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ligibility Date " sheetId="1" r:id="rId1"/>
    <sheet name="no ED" sheetId="2" r:id="rId2"/>
  </sheets>
  <calcPr calcId="124519" fullCalcOnLoad="1"/>
</workbook>
</file>

<file path=xl/sharedStrings.xml><?xml version="1.0" encoding="utf-8"?>
<sst xmlns="http://schemas.openxmlformats.org/spreadsheetml/2006/main" count="31582" uniqueCount="5414">
  <si>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</si>
  <si>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</si>
  <si>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</si>
  <si>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</si>
  <si>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</si>
  <si>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</si>
  <si>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</si>
  <si>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>Unit</t>
  </si>
  <si>
    <t>Zip Code</t>
  </si>
  <si>
    <t>HRA Release?</t>
  </si>
  <si>
    <t>Housing Signed DHCI Form</t>
  </si>
  <si>
    <t>Housing Income Verification</t>
  </si>
  <si>
    <t>Gen Case Index Number</t>
  </si>
  <si>
    <t>Housing Type Of Case</t>
  </si>
  <si>
    <t>Housing Level of Service</t>
  </si>
  <si>
    <t>Close Reason</t>
  </si>
  <si>
    <t>Housing Building Case?</t>
  </si>
  <si>
    <t>Housing Posture of Case on Eligibility Date</t>
  </si>
  <si>
    <t>HAL Eligibility Date</t>
  </si>
  <si>
    <t>Housing Total Monthly Rent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</si>
  <si>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</si>
  <si>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</si>
  <si>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</si>
  <si>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</si>
  <si>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</si>
  <si>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</si>
  <si>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</si>
  <si>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</si>
  <si>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</si>
  <si>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</si>
  <si>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</si>
  <si>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</si>
  <si>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</si>
  <si>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</si>
  <si>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</si>
  <si>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</si>
  <si>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</si>
  <si>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</si>
  <si>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</si>
  <si>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</si>
  <si>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</si>
  <si>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</si>
  <si>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</si>
  <si>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</si>
  <si>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Legal Problem Code</t>
  </si>
  <si>
    <t>Primary Funding Code</t>
  </si>
  <si>
    <t>Bailey, Michael</t>
  </si>
  <si>
    <t>Catuira, Rochelle</t>
  </si>
  <si>
    <t>Chew, Thomas</t>
  </si>
  <si>
    <t>Cisneros, Marisol</t>
  </si>
  <si>
    <t>Costa, Stephanie</t>
  </si>
  <si>
    <t>Crisona, Kathryn</t>
  </si>
  <si>
    <t>DeLong, Sarah</t>
  </si>
  <si>
    <t>Farrell, Emily</t>
  </si>
  <si>
    <t>Goncharov-Cruickshnk, Natalie</t>
  </si>
  <si>
    <t>Hardy, Le`Shera</t>
  </si>
  <si>
    <t>Haynes, Tralane</t>
  </si>
  <si>
    <t>Hecht-Felella, Laura</t>
  </si>
  <si>
    <t>Henriquez, Luis</t>
  </si>
  <si>
    <t>Hernandez, Elizabeth</t>
  </si>
  <si>
    <t>Katnani, Samar</t>
  </si>
  <si>
    <t>Kelly, Dawn</t>
  </si>
  <si>
    <t>Lee, Alicia</t>
  </si>
  <si>
    <t>Marchena, Ivan</t>
  </si>
  <si>
    <t>McCormick, James</t>
  </si>
  <si>
    <t>McCowen, Tamella</t>
  </si>
  <si>
    <t>Patel, Mona</t>
  </si>
  <si>
    <t>Reardon, Elizabeth</t>
  </si>
  <si>
    <t>Roman, Melissa</t>
  </si>
  <si>
    <t>Rubin, Jenn</t>
  </si>
  <si>
    <t>Wong, Humbert</t>
  </si>
  <si>
    <t>Xie, Vivian</t>
  </si>
  <si>
    <t>04/03/2018</t>
  </si>
  <si>
    <t>08/27/2018</t>
  </si>
  <si>
    <t>12/27/2018</t>
  </si>
  <si>
    <t>01/09/2019</t>
  </si>
  <si>
    <t>03/29/2019</t>
  </si>
  <si>
    <t>03/13/2019</t>
  </si>
  <si>
    <t>04/04/2019</t>
  </si>
  <si>
    <t>06/05/2018</t>
  </si>
  <si>
    <t>08/03/2018</t>
  </si>
  <si>
    <t>09/10/2018</t>
  </si>
  <si>
    <t>01/11/2019</t>
  </si>
  <si>
    <t>03/06/2019</t>
  </si>
  <si>
    <t>07/13/2018</t>
  </si>
  <si>
    <t>07/30/2018</t>
  </si>
  <si>
    <t>08/20/2018</t>
  </si>
  <si>
    <t>08/21/2018</t>
  </si>
  <si>
    <t>08/28/2018</t>
  </si>
  <si>
    <t>08/16/2018</t>
  </si>
  <si>
    <t>09/14/2018</t>
  </si>
  <si>
    <t>09/19/2018</t>
  </si>
  <si>
    <t>09/21/2018</t>
  </si>
  <si>
    <t>10/03/2018</t>
  </si>
  <si>
    <t>10/26/2018</t>
  </si>
  <si>
    <t>03/11/2019</t>
  </si>
  <si>
    <t>11/01/2018</t>
  </si>
  <si>
    <t>12/07/2018</t>
  </si>
  <si>
    <t>12/10/2018</t>
  </si>
  <si>
    <t>12/14/2018</t>
  </si>
  <si>
    <t>01/08/2019</t>
  </si>
  <si>
    <t>12/21/2018</t>
  </si>
  <si>
    <t>04/09/2019</t>
  </si>
  <si>
    <t>03/01/2019</t>
  </si>
  <si>
    <t>08/17/2018</t>
  </si>
  <si>
    <t>03/28/2019</t>
  </si>
  <si>
    <t>04/16/2019</t>
  </si>
  <si>
    <t>06/12/2019</t>
  </si>
  <si>
    <t>06/25/2019</t>
  </si>
  <si>
    <t>06/06/2018</t>
  </si>
  <si>
    <t>09/05/2018</t>
  </si>
  <si>
    <t>09/26/2018</t>
  </si>
  <si>
    <t>10/09/2018</t>
  </si>
  <si>
    <t>10/12/2018</t>
  </si>
  <si>
    <t>10/11/2018</t>
  </si>
  <si>
    <t>10/29/2018</t>
  </si>
  <si>
    <t>10/01/2018</t>
  </si>
  <si>
    <t>11/09/2018</t>
  </si>
  <si>
    <t>11/14/2018</t>
  </si>
  <si>
    <t>11/15/2018</t>
  </si>
  <si>
    <t>11/19/2018</t>
  </si>
  <si>
    <t>10/10/2018</t>
  </si>
  <si>
    <t>11/30/2018</t>
  </si>
  <si>
    <t>11/05/2018</t>
  </si>
  <si>
    <t>12/12/2018</t>
  </si>
  <si>
    <t>11/29/2018</t>
  </si>
  <si>
    <t>10/18/2018</t>
  </si>
  <si>
    <t>11/07/2018</t>
  </si>
  <si>
    <t>12/31/2018</t>
  </si>
  <si>
    <t>01/02/2019</t>
  </si>
  <si>
    <t>01/04/2019</t>
  </si>
  <si>
    <t>12/13/2018</t>
  </si>
  <si>
    <t>01/25/2019</t>
  </si>
  <si>
    <t>01/31/2019</t>
  </si>
  <si>
    <t>01/29/2019</t>
  </si>
  <si>
    <t>01/03/2019</t>
  </si>
  <si>
    <t>12/04/2018</t>
  </si>
  <si>
    <t>12/11/2018</t>
  </si>
  <si>
    <t>01/10/2019</t>
  </si>
  <si>
    <t>03/22/2019</t>
  </si>
  <si>
    <t>05/03/2019</t>
  </si>
  <si>
    <t>03/05/2019</t>
  </si>
  <si>
    <t>03/14/2019</t>
  </si>
  <si>
    <t>02/15/2019</t>
  </si>
  <si>
    <t>04/11/2019</t>
  </si>
  <si>
    <t>11/20/2018</t>
  </si>
  <si>
    <t>03/15/2019</t>
  </si>
  <si>
    <t>04/05/2019</t>
  </si>
  <si>
    <t>05/13/2019</t>
  </si>
  <si>
    <t>03/21/2019</t>
  </si>
  <si>
    <t>05/06/2019</t>
  </si>
  <si>
    <t>07/23/2018</t>
  </si>
  <si>
    <t>08/08/2018</t>
  </si>
  <si>
    <t>05/09/2018</t>
  </si>
  <si>
    <t>10/24/2018</t>
  </si>
  <si>
    <t>01/15/2019</t>
  </si>
  <si>
    <t>10/25/2018</t>
  </si>
  <si>
    <t>08/30/2018</t>
  </si>
  <si>
    <t>06/10/2019</t>
  </si>
  <si>
    <t>01/18/2019</t>
  </si>
  <si>
    <t>02/04/2019</t>
  </si>
  <si>
    <t>12/18/2018</t>
  </si>
  <si>
    <t>01/23/2019</t>
  </si>
  <si>
    <t>06/19/2019</t>
  </si>
  <si>
    <t>02/21/2019</t>
  </si>
  <si>
    <t>03/20/2019</t>
  </si>
  <si>
    <t>01/14/2019</t>
  </si>
  <si>
    <t>05/22/2019</t>
  </si>
  <si>
    <t>04/10/2019</t>
  </si>
  <si>
    <t>04/19/2019</t>
  </si>
  <si>
    <t>05/01/2019</t>
  </si>
  <si>
    <t>05/30/2019</t>
  </si>
  <si>
    <t>06/06/2019</t>
  </si>
  <si>
    <t>01/30/2019</t>
  </si>
  <si>
    <t>07/10/2018</t>
  </si>
  <si>
    <t>09/06/2018</t>
  </si>
  <si>
    <t>08/31/2018</t>
  </si>
  <si>
    <t>09/04/2018</t>
  </si>
  <si>
    <t>02/06/2019</t>
  </si>
  <si>
    <t>02/19/2019</t>
  </si>
  <si>
    <t>04/22/2019</t>
  </si>
  <si>
    <t>04/01/2019</t>
  </si>
  <si>
    <t>04/29/2019</t>
  </si>
  <si>
    <t>05/15/2019</t>
  </si>
  <si>
    <t>06/17/2019</t>
  </si>
  <si>
    <t>06/08/2018</t>
  </si>
  <si>
    <t>06/28/2018</t>
  </si>
  <si>
    <t>07/06/2018</t>
  </si>
  <si>
    <t>07/09/2018</t>
  </si>
  <si>
    <t>04/09/2018</t>
  </si>
  <si>
    <t>09/27/2018</t>
  </si>
  <si>
    <t>12/06/2018</t>
  </si>
  <si>
    <t>09/25/2018</t>
  </si>
  <si>
    <t>08/29/2018</t>
  </si>
  <si>
    <t>09/28/2018</t>
  </si>
  <si>
    <t>09/12/2018</t>
  </si>
  <si>
    <t>04/12/2019</t>
  </si>
  <si>
    <t>07/25/2018</t>
  </si>
  <si>
    <t>08/02/2018</t>
  </si>
  <si>
    <t>09/11/2018</t>
  </si>
  <si>
    <t>09/24/2018</t>
  </si>
  <si>
    <t>08/07/2018</t>
  </si>
  <si>
    <t>08/23/2018</t>
  </si>
  <si>
    <t>07/19/2018</t>
  </si>
  <si>
    <t>08/13/2018</t>
  </si>
  <si>
    <t>03/01/2018</t>
  </si>
  <si>
    <t>06/27/2018</t>
  </si>
  <si>
    <t>06/21/2018</t>
  </si>
  <si>
    <t>08/22/2018</t>
  </si>
  <si>
    <t>01/05/2019</t>
  </si>
  <si>
    <t>02/08/2019</t>
  </si>
  <si>
    <t>06/25/2018</t>
  </si>
  <si>
    <t>10/04/2018</t>
  </si>
  <si>
    <t>05/08/2018</t>
  </si>
  <si>
    <t>05/16/2018</t>
  </si>
  <si>
    <t>07/05/2018</t>
  </si>
  <si>
    <t>07/12/2018</t>
  </si>
  <si>
    <t>08/15/2018</t>
  </si>
  <si>
    <t>04/27/2018</t>
  </si>
  <si>
    <t>12/28/2018</t>
  </si>
  <si>
    <t>08/09/2018</t>
  </si>
  <si>
    <t>11/17/2017</t>
  </si>
  <si>
    <t>09/21/2017</t>
  </si>
  <si>
    <t>11/02/2018</t>
  </si>
  <si>
    <t>02/26/2019</t>
  </si>
  <si>
    <t>02/07/2019</t>
  </si>
  <si>
    <t>05/23/2019</t>
  </si>
  <si>
    <t>07/20/2018</t>
  </si>
  <si>
    <t>08/24/2018</t>
  </si>
  <si>
    <t>09/20/2018</t>
  </si>
  <si>
    <t>12/03/2018</t>
  </si>
  <si>
    <t>12/26/2018</t>
  </si>
  <si>
    <t>12/24/2018</t>
  </si>
  <si>
    <t>01/17/2019</t>
  </si>
  <si>
    <t>11/21/2018</t>
  </si>
  <si>
    <t>09/18/2018</t>
  </si>
  <si>
    <t>11/26/2018</t>
  </si>
  <si>
    <t>12/20/2018</t>
  </si>
  <si>
    <t>02/14/2019</t>
  </si>
  <si>
    <t>10/02/2018</t>
  </si>
  <si>
    <t>10/22/2018</t>
  </si>
  <si>
    <t>03/12/2019</t>
  </si>
  <si>
    <t>02/27/2019</t>
  </si>
  <si>
    <t>02/20/2019</t>
  </si>
  <si>
    <t>03/18/2019</t>
  </si>
  <si>
    <t>03/25/2019</t>
  </si>
  <si>
    <t>05/02/2019</t>
  </si>
  <si>
    <t>03/26/2019</t>
  </si>
  <si>
    <t>04/25/2019</t>
  </si>
  <si>
    <t>05/16/2019</t>
  </si>
  <si>
    <t>05/14/2019</t>
  </si>
  <si>
    <t>03/27/2019</t>
  </si>
  <si>
    <t>04/30/2019</t>
  </si>
  <si>
    <t>01/22/2019</t>
  </si>
  <si>
    <t>06/13/2019</t>
  </si>
  <si>
    <t>06/28/2019</t>
  </si>
  <si>
    <t>06/24/2019</t>
  </si>
  <si>
    <t>01/28/2019</t>
  </si>
  <si>
    <t>05/24/2019</t>
  </si>
  <si>
    <t>04/03/2019</t>
  </si>
  <si>
    <t>06/03/2019</t>
  </si>
  <si>
    <t>06/04/2019</t>
  </si>
  <si>
    <t>05/28/2019</t>
  </si>
  <si>
    <t>06/14/2019</t>
  </si>
  <si>
    <t>07/16/2018</t>
  </si>
  <si>
    <t>06/07/2018</t>
  </si>
  <si>
    <t>10/05/2018</t>
  </si>
  <si>
    <t>11/28/2018</t>
  </si>
  <si>
    <t>12/19/2018</t>
  </si>
  <si>
    <t>04/17/2019</t>
  </si>
  <si>
    <t>02/11/2019</t>
  </si>
  <si>
    <t>02/22/2019</t>
  </si>
  <si>
    <t>04/24/2019</t>
  </si>
  <si>
    <t>04/23/2019</t>
  </si>
  <si>
    <t>03/04/2019</t>
  </si>
  <si>
    <t>04/18/2019</t>
  </si>
  <si>
    <t>03/08/2019</t>
  </si>
  <si>
    <t>02/25/2019</t>
  </si>
  <si>
    <t>05/29/2019</t>
  </si>
  <si>
    <t>05/17/2019</t>
  </si>
  <si>
    <t>02/20/2018</t>
  </si>
  <si>
    <t>05/02/2018</t>
  </si>
  <si>
    <t>02/28/2019</t>
  </si>
  <si>
    <t>12/15/2018</t>
  </si>
  <si>
    <t>06/26/2018</t>
  </si>
  <si>
    <t>11/13/2018</t>
  </si>
  <si>
    <t>11/08/2018</t>
  </si>
  <si>
    <t>02/01/2019</t>
  </si>
  <si>
    <t>03/07/2019</t>
  </si>
  <si>
    <t>01/24/2019</t>
  </si>
  <si>
    <t>04/02/2019</t>
  </si>
  <si>
    <t>03/28/2018</t>
  </si>
  <si>
    <t>07/26/2018</t>
  </si>
  <si>
    <t>08/14/2018</t>
  </si>
  <si>
    <t>09/17/2018</t>
  </si>
  <si>
    <t>10/16/2018</t>
  </si>
  <si>
    <t>10/17/2018</t>
  </si>
  <si>
    <t>10/30/2018</t>
  </si>
  <si>
    <t>10/31/2018</t>
  </si>
  <si>
    <t>02/13/2019</t>
  </si>
  <si>
    <t>10/23/2018</t>
  </si>
  <si>
    <t>04/08/2019</t>
  </si>
  <si>
    <t>05/09/2019</t>
  </si>
  <si>
    <t>05/21/2019</t>
  </si>
  <si>
    <t>06/15/2018</t>
  </si>
  <si>
    <t>05/03/2018</t>
  </si>
  <si>
    <t>04/15/2019</t>
  </si>
  <si>
    <t>05/07/2019</t>
  </si>
  <si>
    <t>08/01/2018</t>
  </si>
  <si>
    <t>07/18/2019</t>
  </si>
  <si>
    <t>07/22/2019</t>
  </si>
  <si>
    <t>02/05/2019</t>
  </si>
  <si>
    <t>06/18/2019</t>
  </si>
  <si>
    <t>05/31/2019</t>
  </si>
  <si>
    <t>07/09/2019</t>
  </si>
  <si>
    <t>01/01/2019</t>
  </si>
  <si>
    <t>07/31/2018</t>
  </si>
  <si>
    <t>12/17/2018</t>
  </si>
  <si>
    <t>07/17/2019</t>
  </si>
  <si>
    <t>06/27/2019</t>
  </si>
  <si>
    <t>06/29/2019</t>
  </si>
  <si>
    <t>07/16/2019</t>
  </si>
  <si>
    <t>07/17/2018</t>
  </si>
  <si>
    <t>06/20/2019</t>
  </si>
  <si>
    <t>04/13/2019</t>
  </si>
  <si>
    <t>07/08/2019</t>
  </si>
  <si>
    <t>07/10/2019</t>
  </si>
  <si>
    <t>06/21/2019</t>
  </si>
  <si>
    <t>10/15/2018</t>
  </si>
  <si>
    <t>07/01/2019</t>
  </si>
  <si>
    <t>07/02/2019</t>
  </si>
  <si>
    <t>03/19/2019</t>
  </si>
  <si>
    <t>07/23/2019</t>
  </si>
  <si>
    <t>Kevin</t>
  </si>
  <si>
    <t>Dino</t>
  </si>
  <si>
    <t>Shanelle</t>
  </si>
  <si>
    <t>Petal</t>
  </si>
  <si>
    <t>Willie</t>
  </si>
  <si>
    <t>Betty</t>
  </si>
  <si>
    <t>Suzan</t>
  </si>
  <si>
    <t>Sonia</t>
  </si>
  <si>
    <t>Cheryl</t>
  </si>
  <si>
    <t>Daisy</t>
  </si>
  <si>
    <t>David</t>
  </si>
  <si>
    <t>Keesha</t>
  </si>
  <si>
    <t>Shaifah</t>
  </si>
  <si>
    <t>Jean</t>
  </si>
  <si>
    <t>George</t>
  </si>
  <si>
    <t>Lonnie</t>
  </si>
  <si>
    <t>Wendherllyn</t>
  </si>
  <si>
    <t>Ysmenia</t>
  </si>
  <si>
    <t>John</t>
  </si>
  <si>
    <t>Joyce</t>
  </si>
  <si>
    <t>Erica</t>
  </si>
  <si>
    <t>Khadijah</t>
  </si>
  <si>
    <t>Craig</t>
  </si>
  <si>
    <t>Frank</t>
  </si>
  <si>
    <t>Helen</t>
  </si>
  <si>
    <t>Blanch</t>
  </si>
  <si>
    <t>Sandra</t>
  </si>
  <si>
    <t>Fidelis</t>
  </si>
  <si>
    <t>Donna</t>
  </si>
  <si>
    <t>Beryl</t>
  </si>
  <si>
    <t>Tanya</t>
  </si>
  <si>
    <t>Ryanna</t>
  </si>
  <si>
    <t>Sandreana</t>
  </si>
  <si>
    <t>Keisha</t>
  </si>
  <si>
    <t>Martyn</t>
  </si>
  <si>
    <t>Barbara</t>
  </si>
  <si>
    <t>Claire</t>
  </si>
  <si>
    <t>Patricia</t>
  </si>
  <si>
    <t>Idowy</t>
  </si>
  <si>
    <t>Magdalen</t>
  </si>
  <si>
    <t>Alec</t>
  </si>
  <si>
    <t>Pamela</t>
  </si>
  <si>
    <t>Angela</t>
  </si>
  <si>
    <t>Karen</t>
  </si>
  <si>
    <t>Kinny</t>
  </si>
  <si>
    <t>Taisha</t>
  </si>
  <si>
    <t>Jelecia</t>
  </si>
  <si>
    <t>Louis</t>
  </si>
  <si>
    <t>Westly</t>
  </si>
  <si>
    <t>Germaine</t>
  </si>
  <si>
    <t>Maxine</t>
  </si>
  <si>
    <t>Suimara</t>
  </si>
  <si>
    <t>Kareem</t>
  </si>
  <si>
    <t>Miguel</t>
  </si>
  <si>
    <t>Anthony</t>
  </si>
  <si>
    <t>Anne</t>
  </si>
  <si>
    <t>Jacqueline</t>
  </si>
  <si>
    <t>Natoya</t>
  </si>
  <si>
    <t>Morgen</t>
  </si>
  <si>
    <t>Raylene</t>
  </si>
  <si>
    <t>Momy</t>
  </si>
  <si>
    <t>Regina</t>
  </si>
  <si>
    <t>Sarah</t>
  </si>
  <si>
    <t>Joseph</t>
  </si>
  <si>
    <t>Amanda</t>
  </si>
  <si>
    <t>Michelle</t>
  </si>
  <si>
    <t>James</t>
  </si>
  <si>
    <t>Norman</t>
  </si>
  <si>
    <t>Adila</t>
  </si>
  <si>
    <t>Abelardo</t>
  </si>
  <si>
    <t>Tamishia</t>
  </si>
  <si>
    <t>Hasna</t>
  </si>
  <si>
    <t>Dennis</t>
  </si>
  <si>
    <t>Gary</t>
  </si>
  <si>
    <t>Annette</t>
  </si>
  <si>
    <t>Fernando</t>
  </si>
  <si>
    <t>Shalysha</t>
  </si>
  <si>
    <t>Paula</t>
  </si>
  <si>
    <t>Monica</t>
  </si>
  <si>
    <t>Jillian</t>
  </si>
  <si>
    <t>Armando</t>
  </si>
  <si>
    <t>Alphonso</t>
  </si>
  <si>
    <t>Alfred</t>
  </si>
  <si>
    <t>Natori</t>
  </si>
  <si>
    <t>Asmahan</t>
  </si>
  <si>
    <t>Krystle</t>
  </si>
  <si>
    <t>Terrance</t>
  </si>
  <si>
    <t>Deborah</t>
  </si>
  <si>
    <t>Sharon</t>
  </si>
  <si>
    <t>Moresia</t>
  </si>
  <si>
    <t>Lillian</t>
  </si>
  <si>
    <t>Lateef</t>
  </si>
  <si>
    <t>Vanessa</t>
  </si>
  <si>
    <t>Nicolina</t>
  </si>
  <si>
    <t>Stephanie</t>
  </si>
  <si>
    <t>Allen</t>
  </si>
  <si>
    <t>Tawana</t>
  </si>
  <si>
    <t>Da White</t>
  </si>
  <si>
    <t>Michael</t>
  </si>
  <si>
    <t>Davon</t>
  </si>
  <si>
    <t>Coreen</t>
  </si>
  <si>
    <t>Renee</t>
  </si>
  <si>
    <t>Chanette</t>
  </si>
  <si>
    <t>Reggie</t>
  </si>
  <si>
    <t>Diogenes</t>
  </si>
  <si>
    <t>Letha</t>
  </si>
  <si>
    <t>Christina</t>
  </si>
  <si>
    <t>Sahbi</t>
  </si>
  <si>
    <t>Deshaun</t>
  </si>
  <si>
    <t>Dazil</t>
  </si>
  <si>
    <t>Mary</t>
  </si>
  <si>
    <t>Mi Ran</t>
  </si>
  <si>
    <t>Jamsin</t>
  </si>
  <si>
    <t>Danesha</t>
  </si>
  <si>
    <t>Natasha</t>
  </si>
  <si>
    <t>Lester</t>
  </si>
  <si>
    <t>Alicia</t>
  </si>
  <si>
    <t>Cinthia</t>
  </si>
  <si>
    <t>Cynthia</t>
  </si>
  <si>
    <t>Janette</t>
  </si>
  <si>
    <t>Colleen</t>
  </si>
  <si>
    <t>Tonia</t>
  </si>
  <si>
    <t>Emmanuel</t>
  </si>
  <si>
    <t>Antiellia</t>
  </si>
  <si>
    <t>Shannon</t>
  </si>
  <si>
    <t>Pastora</t>
  </si>
  <si>
    <t>Marley</t>
  </si>
  <si>
    <t>Brooke</t>
  </si>
  <si>
    <t>Ada</t>
  </si>
  <si>
    <t>Othniel</t>
  </si>
  <si>
    <t>Shoshana</t>
  </si>
  <si>
    <t>Elizabeth</t>
  </si>
  <si>
    <t>Susanna</t>
  </si>
  <si>
    <t>Jeanette</t>
  </si>
  <si>
    <t>Robert</t>
  </si>
  <si>
    <t>Brandon</t>
  </si>
  <si>
    <t>Suzanna</t>
  </si>
  <si>
    <t>April</t>
  </si>
  <si>
    <t>Eliyahu</t>
  </si>
  <si>
    <t>Patrick</t>
  </si>
  <si>
    <t>Kaitlin</t>
  </si>
  <si>
    <t>Xonana</t>
  </si>
  <si>
    <t>Tanis</t>
  </si>
  <si>
    <t>Jocelyn</t>
  </si>
  <si>
    <t>Iho</t>
  </si>
  <si>
    <t>Elson</t>
  </si>
  <si>
    <t>Ian</t>
  </si>
  <si>
    <t>Stacey</t>
  </si>
  <si>
    <t>Martina</t>
  </si>
  <si>
    <t>Anna</t>
  </si>
  <si>
    <t>Marco</t>
  </si>
  <si>
    <t>Maria</t>
  </si>
  <si>
    <t>Katherine</t>
  </si>
  <si>
    <t>Monirul</t>
  </si>
  <si>
    <t>Charlene</t>
  </si>
  <si>
    <t>Maureen</t>
  </si>
  <si>
    <t>Paralee</t>
  </si>
  <si>
    <t>Ramdai</t>
  </si>
  <si>
    <t>Yvette</t>
  </si>
  <si>
    <t>Dominique</t>
  </si>
  <si>
    <t>Franklin</t>
  </si>
  <si>
    <t>Tala</t>
  </si>
  <si>
    <t>Eduardo</t>
  </si>
  <si>
    <t>Blondy</t>
  </si>
  <si>
    <t>Kurischa</t>
  </si>
  <si>
    <t>Robin</t>
  </si>
  <si>
    <t>Jake</t>
  </si>
  <si>
    <t>Sara</t>
  </si>
  <si>
    <t>Deonna</t>
  </si>
  <si>
    <t>Graham</t>
  </si>
  <si>
    <t>Keith</t>
  </si>
  <si>
    <t>Veronica</t>
  </si>
  <si>
    <t>Chauncey</t>
  </si>
  <si>
    <t>Juan</t>
  </si>
  <si>
    <t>Lydia</t>
  </si>
  <si>
    <t>Makuna</t>
  </si>
  <si>
    <t>Lorna</t>
  </si>
  <si>
    <t>Myra</t>
  </si>
  <si>
    <t>Samuel</t>
  </si>
  <si>
    <t>Ruth</t>
  </si>
  <si>
    <t>Yesenia</t>
  </si>
  <si>
    <t>Alva</t>
  </si>
  <si>
    <t>Wakina</t>
  </si>
  <si>
    <t>Mildred</t>
  </si>
  <si>
    <t>Nicole</t>
  </si>
  <si>
    <t>Joyette</t>
  </si>
  <si>
    <t>Lynette</t>
  </si>
  <si>
    <t>Sheila</t>
  </si>
  <si>
    <t>Altagracia</t>
  </si>
  <si>
    <t>Shathifa</t>
  </si>
  <si>
    <t>Jalisa</t>
  </si>
  <si>
    <t>Felicia</t>
  </si>
  <si>
    <t>Jere</t>
  </si>
  <si>
    <t>Donyele</t>
  </si>
  <si>
    <t>Terri</t>
  </si>
  <si>
    <t>Roxanne</t>
  </si>
  <si>
    <t>Jazmin</t>
  </si>
  <si>
    <t>Vance</t>
  </si>
  <si>
    <t>Hendrick</t>
  </si>
  <si>
    <t>Saintiane</t>
  </si>
  <si>
    <t>Trudy</t>
  </si>
  <si>
    <t>Rebecca</t>
  </si>
  <si>
    <t>Sherry</t>
  </si>
  <si>
    <t>Debra</t>
  </si>
  <si>
    <t>Ivelisse</t>
  </si>
  <si>
    <t>Monique</t>
  </si>
  <si>
    <t>Taneeka</t>
  </si>
  <si>
    <t>Alix</t>
  </si>
  <si>
    <t>Cresenciano</t>
  </si>
  <si>
    <t>Diane</t>
  </si>
  <si>
    <t>Alwin</t>
  </si>
  <si>
    <t>Latoya</t>
  </si>
  <si>
    <t>Theodore</t>
  </si>
  <si>
    <t>Latania</t>
  </si>
  <si>
    <t>Sian</t>
  </si>
  <si>
    <t>Marquette</t>
  </si>
  <si>
    <t>Setaya</t>
  </si>
  <si>
    <t>Dilenia</t>
  </si>
  <si>
    <t>Alexander</t>
  </si>
  <si>
    <t>Gissell</t>
  </si>
  <si>
    <t>Gloria</t>
  </si>
  <si>
    <t>Starsheema</t>
  </si>
  <si>
    <t>Danielle</t>
  </si>
  <si>
    <t>Jaime</t>
  </si>
  <si>
    <t>Vandella</t>
  </si>
  <si>
    <t>Tamikqua</t>
  </si>
  <si>
    <t>Flora</t>
  </si>
  <si>
    <t>Dianna</t>
  </si>
  <si>
    <t>Kenneth</t>
  </si>
  <si>
    <t>Luis</t>
  </si>
  <si>
    <t>Antrice</t>
  </si>
  <si>
    <t>Valerie</t>
  </si>
  <si>
    <t>Angel</t>
  </si>
  <si>
    <t>Modesto</t>
  </si>
  <si>
    <t>Vashiti</t>
  </si>
  <si>
    <t>Wahlia</t>
  </si>
  <si>
    <t>Rhotochia</t>
  </si>
  <si>
    <t>Carmen</t>
  </si>
  <si>
    <t>Tania</t>
  </si>
  <si>
    <t>Arturo</t>
  </si>
  <si>
    <t>Chenille</t>
  </si>
  <si>
    <t>Samantha</t>
  </si>
  <si>
    <t>Nacresia</t>
  </si>
  <si>
    <t>Antron</t>
  </si>
  <si>
    <t>Andrea</t>
  </si>
  <si>
    <t>Rosalee</t>
  </si>
  <si>
    <t>Djava</t>
  </si>
  <si>
    <t>Gina</t>
  </si>
  <si>
    <t>Anyolina</t>
  </si>
  <si>
    <t>Leonora</t>
  </si>
  <si>
    <t>Charisse</t>
  </si>
  <si>
    <t>Cocavyah</t>
  </si>
  <si>
    <t>Mosiah</t>
  </si>
  <si>
    <t>Ubeka</t>
  </si>
  <si>
    <t>Rhea</t>
  </si>
  <si>
    <t>Ghazala</t>
  </si>
  <si>
    <t>Stephany</t>
  </si>
  <si>
    <t>Crossley</t>
  </si>
  <si>
    <t>Lakresha</t>
  </si>
  <si>
    <t>Glenda</t>
  </si>
  <si>
    <t>Zorro</t>
  </si>
  <si>
    <t>Hilary</t>
  </si>
  <si>
    <t>Fatima</t>
  </si>
  <si>
    <t>Yesynia</t>
  </si>
  <si>
    <t>Sakeena</t>
  </si>
  <si>
    <t>Andre</t>
  </si>
  <si>
    <t>Luz</t>
  </si>
  <si>
    <t>Josephine</t>
  </si>
  <si>
    <t>Kissi</t>
  </si>
  <si>
    <t>Natalie</t>
  </si>
  <si>
    <t>Ama</t>
  </si>
  <si>
    <t>Lisa</t>
  </si>
  <si>
    <t>Genelle</t>
  </si>
  <si>
    <t>Javier</t>
  </si>
  <si>
    <t>Bolivia</t>
  </si>
  <si>
    <t>Takisha</t>
  </si>
  <si>
    <t>Leonard</t>
  </si>
  <si>
    <t>Charen</t>
  </si>
  <si>
    <t>Delores</t>
  </si>
  <si>
    <t>Glomari</t>
  </si>
  <si>
    <t>Teresa</t>
  </si>
  <si>
    <t>Jorge</t>
  </si>
  <si>
    <t>Marta</t>
  </si>
  <si>
    <t>Cherese</t>
  </si>
  <si>
    <t>Melissa</t>
  </si>
  <si>
    <t>Eric</t>
  </si>
  <si>
    <t>Gregory</t>
  </si>
  <si>
    <t>Ana</t>
  </si>
  <si>
    <t>Linda</t>
  </si>
  <si>
    <t>Bernetta</t>
  </si>
  <si>
    <t>Tracy</t>
  </si>
  <si>
    <t>Beatrice</t>
  </si>
  <si>
    <t>Evelyn</t>
  </si>
  <si>
    <t>Deanna</t>
  </si>
  <si>
    <t>Maricela</t>
  </si>
  <si>
    <t>Adrienne</t>
  </si>
  <si>
    <t>Simone</t>
  </si>
  <si>
    <t>Adriana</t>
  </si>
  <si>
    <t>Heshima</t>
  </si>
  <si>
    <t>Tori</t>
  </si>
  <si>
    <t>Earline</t>
  </si>
  <si>
    <t>Jessica</t>
  </si>
  <si>
    <t>Isheen</t>
  </si>
  <si>
    <t>Abigail</t>
  </si>
  <si>
    <t>Dorothy</t>
  </si>
  <si>
    <t>Jaytee</t>
  </si>
  <si>
    <t>Lakisha</t>
  </si>
  <si>
    <t>Jose</t>
  </si>
  <si>
    <t>Tanisha</t>
  </si>
  <si>
    <t>Nancy</t>
  </si>
  <si>
    <t>Merrick</t>
  </si>
  <si>
    <t>Abla</t>
  </si>
  <si>
    <t>Yarisa</t>
  </si>
  <si>
    <t>Jai</t>
  </si>
  <si>
    <t>Letice</t>
  </si>
  <si>
    <t>Lynn Marie</t>
  </si>
  <si>
    <t>Nikeya</t>
  </si>
  <si>
    <t>Catherine</t>
  </si>
  <si>
    <t>Chris</t>
  </si>
  <si>
    <t>Athena</t>
  </si>
  <si>
    <t>Eduviges</t>
  </si>
  <si>
    <t>Jeffrey</t>
  </si>
  <si>
    <t>Sebastian</t>
  </si>
  <si>
    <t>Anita</t>
  </si>
  <si>
    <t>Ebony</t>
  </si>
  <si>
    <t>Phillip</t>
  </si>
  <si>
    <t>Paul</t>
  </si>
  <si>
    <t>Kiana</t>
  </si>
  <si>
    <t>Della</t>
  </si>
  <si>
    <t>Fabian</t>
  </si>
  <si>
    <t>Yvonnia</t>
  </si>
  <si>
    <t>Rolanda</t>
  </si>
  <si>
    <t>Maebell</t>
  </si>
  <si>
    <t>India</t>
  </si>
  <si>
    <t>Richard</t>
  </si>
  <si>
    <t>Katie</t>
  </si>
  <si>
    <t>Margo</t>
  </si>
  <si>
    <t>Abibatu</t>
  </si>
  <si>
    <t>Kearra</t>
  </si>
  <si>
    <t>Brenda</t>
  </si>
  <si>
    <t>Jimmy</t>
  </si>
  <si>
    <t>Williemae</t>
  </si>
  <si>
    <t>Amoo</t>
  </si>
  <si>
    <t>Kathy</t>
  </si>
  <si>
    <t>Cameyo</t>
  </si>
  <si>
    <t>Myrna</t>
  </si>
  <si>
    <t>Star</t>
  </si>
  <si>
    <t>Gwendolyn</t>
  </si>
  <si>
    <t>Almetia</t>
  </si>
  <si>
    <t>Christopher</t>
  </si>
  <si>
    <t>Howard</t>
  </si>
  <si>
    <t>Tasliym</t>
  </si>
  <si>
    <t>Oleen</t>
  </si>
  <si>
    <t>Janet</t>
  </si>
  <si>
    <t>Marie</t>
  </si>
  <si>
    <t>Raliat</t>
  </si>
  <si>
    <t>Idayat</t>
  </si>
  <si>
    <t>Ingrid</t>
  </si>
  <si>
    <t>Olayemi</t>
  </si>
  <si>
    <t>Domingo</t>
  </si>
  <si>
    <t>Tenisha</t>
  </si>
  <si>
    <t>Roc</t>
  </si>
  <si>
    <t>Doris</t>
  </si>
  <si>
    <t>Stephen</t>
  </si>
  <si>
    <t>Rufus</t>
  </si>
  <si>
    <t>Rahman</t>
  </si>
  <si>
    <t>Denise</t>
  </si>
  <si>
    <t>Joi</t>
  </si>
  <si>
    <t>Janice</t>
  </si>
  <si>
    <t>Sherifat</t>
  </si>
  <si>
    <t>Alexis</t>
  </si>
  <si>
    <t>Hattie</t>
  </si>
  <si>
    <t>Darrell</t>
  </si>
  <si>
    <t>Judy</t>
  </si>
  <si>
    <t>Theresa</t>
  </si>
  <si>
    <t>Shaun</t>
  </si>
  <si>
    <t>Dawn</t>
  </si>
  <si>
    <t>Rukiya</t>
  </si>
  <si>
    <t>Mazie</t>
  </si>
  <si>
    <t>Gwenda</t>
  </si>
  <si>
    <t>Harold</t>
  </si>
  <si>
    <t>Lucienne</t>
  </si>
  <si>
    <t>Gail</t>
  </si>
  <si>
    <t>William</t>
  </si>
  <si>
    <t>Johanna</t>
  </si>
  <si>
    <t>Everett</t>
  </si>
  <si>
    <t>Crystal</t>
  </si>
  <si>
    <t>Shahera</t>
  </si>
  <si>
    <t>Arlene</t>
  </si>
  <si>
    <t>Courtney</t>
  </si>
  <si>
    <t>Icemae</t>
  </si>
  <si>
    <t>Andrew</t>
  </si>
  <si>
    <t>Bianca</t>
  </si>
  <si>
    <t>Deneen</t>
  </si>
  <si>
    <t>Kim</t>
  </si>
  <si>
    <t>Shelley</t>
  </si>
  <si>
    <t>Irene</t>
  </si>
  <si>
    <t>Maretta</t>
  </si>
  <si>
    <t>Sydnee</t>
  </si>
  <si>
    <t>Johnnymae</t>
  </si>
  <si>
    <t>Bryan</t>
  </si>
  <si>
    <t>Laverne</t>
  </si>
  <si>
    <t>Renet</t>
  </si>
  <si>
    <t>Candyce</t>
  </si>
  <si>
    <t>Sernomia</t>
  </si>
  <si>
    <t>Leslie</t>
  </si>
  <si>
    <t>Marilyn</t>
  </si>
  <si>
    <t>Chinequa</t>
  </si>
  <si>
    <t>Zora</t>
  </si>
  <si>
    <t>Phyllis</t>
  </si>
  <si>
    <t>Tranae</t>
  </si>
  <si>
    <t>Taniesha</t>
  </si>
  <si>
    <t>Solomon</t>
  </si>
  <si>
    <t>Julian</t>
  </si>
  <si>
    <t>Lorraine</t>
  </si>
  <si>
    <t>Hazel</t>
  </si>
  <si>
    <t>Shamima</t>
  </si>
  <si>
    <t>Esther</t>
  </si>
  <si>
    <t>Trevor</t>
  </si>
  <si>
    <t>Carolyn</t>
  </si>
  <si>
    <t>Michell</t>
  </si>
  <si>
    <t>Rochell</t>
  </si>
  <si>
    <t>Jenny</t>
  </si>
  <si>
    <t>Zondra</t>
  </si>
  <si>
    <t>Viola</t>
  </si>
  <si>
    <t>Cherry-Ann</t>
  </si>
  <si>
    <t>Winifred</t>
  </si>
  <si>
    <t>Bleuberthol</t>
  </si>
  <si>
    <t>Venetta</t>
  </si>
  <si>
    <t>Cecily</t>
  </si>
  <si>
    <t>Gemma</t>
  </si>
  <si>
    <t>Marva</t>
  </si>
  <si>
    <t>Sherry-Ann</t>
  </si>
  <si>
    <t>Christine</t>
  </si>
  <si>
    <t>Annie</t>
  </si>
  <si>
    <t>Pearlina</t>
  </si>
  <si>
    <t>Akheem</t>
  </si>
  <si>
    <t>Garcia</t>
  </si>
  <si>
    <t>Darlene</t>
  </si>
  <si>
    <t>Shaniyia</t>
  </si>
  <si>
    <t>Jephtah</t>
  </si>
  <si>
    <t>Margarita</t>
  </si>
  <si>
    <t>Brent</t>
  </si>
  <si>
    <t>Kayaswonna</t>
  </si>
  <si>
    <t>Jeannette</t>
  </si>
  <si>
    <t>Jaquclin</t>
  </si>
  <si>
    <t>Jennifer</t>
  </si>
  <si>
    <t>Gerald</t>
  </si>
  <si>
    <t>Irving</t>
  </si>
  <si>
    <t>Renska</t>
  </si>
  <si>
    <t>Saturina</t>
  </si>
  <si>
    <t>Fei</t>
  </si>
  <si>
    <t>Darren</t>
  </si>
  <si>
    <t>Matilde</t>
  </si>
  <si>
    <t>Dionne</t>
  </si>
  <si>
    <t>Judith</t>
  </si>
  <si>
    <t>Osifo</t>
  </si>
  <si>
    <t>Jasmine</t>
  </si>
  <si>
    <t>Julien</t>
  </si>
  <si>
    <t>Allan</t>
  </si>
  <si>
    <t>Asiatic</t>
  </si>
  <si>
    <t>Miriam</t>
  </si>
  <si>
    <t>Geisel</t>
  </si>
  <si>
    <t>Clifford</t>
  </si>
  <si>
    <t>Alethea</t>
  </si>
  <si>
    <t>Jalil</t>
  </si>
  <si>
    <t>Shanikqua</t>
  </si>
  <si>
    <t>Celia</t>
  </si>
  <si>
    <t>Kamal</t>
  </si>
  <si>
    <t>Nikima</t>
  </si>
  <si>
    <t>Eddie</t>
  </si>
  <si>
    <t>Martha</t>
  </si>
  <si>
    <t>June</t>
  </si>
  <si>
    <t>Cassandra</t>
  </si>
  <si>
    <t>Shanequa</t>
  </si>
  <si>
    <t>Charisma</t>
  </si>
  <si>
    <t>Paulette</t>
  </si>
  <si>
    <t>Brunilda</t>
  </si>
  <si>
    <t>Joenelly</t>
  </si>
  <si>
    <t>Tamika</t>
  </si>
  <si>
    <t>Trina</t>
  </si>
  <si>
    <t>Arisleyda</t>
  </si>
  <si>
    <t>Xiomara</t>
  </si>
  <si>
    <t>Berlin</t>
  </si>
  <si>
    <t>Maxima</t>
  </si>
  <si>
    <t>Nellie</t>
  </si>
  <si>
    <t>Andrelle</t>
  </si>
  <si>
    <t>Sharina</t>
  </si>
  <si>
    <t>Rhonda</t>
  </si>
  <si>
    <t>Shakal</t>
  </si>
  <si>
    <t>Shavien</t>
  </si>
  <si>
    <t>Britney</t>
  </si>
  <si>
    <t>Sherrie</t>
  </si>
  <si>
    <t>Jeavon</t>
  </si>
  <si>
    <t>Melva</t>
  </si>
  <si>
    <t>Joy</t>
  </si>
  <si>
    <t>Vicky</t>
  </si>
  <si>
    <t>Leston</t>
  </si>
  <si>
    <t>Felesha</t>
  </si>
  <si>
    <t>Beverly</t>
  </si>
  <si>
    <t>Rafael</t>
  </si>
  <si>
    <t>Zelda</t>
  </si>
  <si>
    <t>Donald</t>
  </si>
  <si>
    <t>Teshawna</t>
  </si>
  <si>
    <t>Bernadette</t>
  </si>
  <si>
    <t>Rahtisha</t>
  </si>
  <si>
    <t>Stacy</t>
  </si>
  <si>
    <t>Chrysanthius</t>
  </si>
  <si>
    <t>Mary Ann</t>
  </si>
  <si>
    <t>Jemma</t>
  </si>
  <si>
    <t>Karyn</t>
  </si>
  <si>
    <t>Carol</t>
  </si>
  <si>
    <t>Mavis</t>
  </si>
  <si>
    <t>Carla</t>
  </si>
  <si>
    <t>Tyron</t>
  </si>
  <si>
    <t>Shunelle</t>
  </si>
  <si>
    <t>Perera</t>
  </si>
  <si>
    <t>Fothergill</t>
  </si>
  <si>
    <t>Cummings</t>
  </si>
  <si>
    <t>Loadholt</t>
  </si>
  <si>
    <t>Baxter</t>
  </si>
  <si>
    <t>Blondet</t>
  </si>
  <si>
    <t>Roach</t>
  </si>
  <si>
    <t>loadholt</t>
  </si>
  <si>
    <t>Warren</t>
  </si>
  <si>
    <t>Guity</t>
  </si>
  <si>
    <t>Abdullah</t>
  </si>
  <si>
    <t>Wellington</t>
  </si>
  <si>
    <t>Salahuddin</t>
  </si>
  <si>
    <t>Gustinvil</t>
  </si>
  <si>
    <t>Love</t>
  </si>
  <si>
    <t>Moreta</t>
  </si>
  <si>
    <t>Rodriguez</t>
  </si>
  <si>
    <t>Smith</t>
  </si>
  <si>
    <t>Davidson</t>
  </si>
  <si>
    <t>Diaz</t>
  </si>
  <si>
    <t>Edmonds</t>
  </si>
  <si>
    <t>Shaw</t>
  </si>
  <si>
    <t>Figueroa</t>
  </si>
  <si>
    <t>Adu</t>
  </si>
  <si>
    <t>McDonald</t>
  </si>
  <si>
    <t>Telford</t>
  </si>
  <si>
    <t>Terris</t>
  </si>
  <si>
    <t>Brathwaite</t>
  </si>
  <si>
    <t>Stewart</t>
  </si>
  <si>
    <t>McDowell-Butts</t>
  </si>
  <si>
    <t>Canty</t>
  </si>
  <si>
    <t>Orenkleim</t>
  </si>
  <si>
    <t>Marunde</t>
  </si>
  <si>
    <t>Moore</t>
  </si>
  <si>
    <t>Andrews</t>
  </si>
  <si>
    <t>Ojebe</t>
  </si>
  <si>
    <t>Tyler</t>
  </si>
  <si>
    <t>Luzon</t>
  </si>
  <si>
    <t>Chestnut</t>
  </si>
  <si>
    <t>Anderson</t>
  </si>
  <si>
    <t>Stokes</t>
  </si>
  <si>
    <t>Morgan</t>
  </si>
  <si>
    <t>Baity</t>
  </si>
  <si>
    <t>Biggs</t>
  </si>
  <si>
    <t>Ortiz</t>
  </si>
  <si>
    <t>Shands</t>
  </si>
  <si>
    <t>Cruz</t>
  </si>
  <si>
    <t>Poe</t>
  </si>
  <si>
    <t>Defreitas</t>
  </si>
  <si>
    <t>Muller</t>
  </si>
  <si>
    <t>Goode</t>
  </si>
  <si>
    <t>Seabrooks</t>
  </si>
  <si>
    <t>Bromell</t>
  </si>
  <si>
    <t>Jones</t>
  </si>
  <si>
    <t>Ndiaye</t>
  </si>
  <si>
    <t>Boutrin-Jones</t>
  </si>
  <si>
    <t>Werkmeister</t>
  </si>
  <si>
    <t>Blumenberg</t>
  </si>
  <si>
    <t>Rice</t>
  </si>
  <si>
    <t>Royal</t>
  </si>
  <si>
    <t>Risbrook</t>
  </si>
  <si>
    <t>Surgeon</t>
  </si>
  <si>
    <t>Brannigan</t>
  </si>
  <si>
    <t>Guerrero</t>
  </si>
  <si>
    <t>Flowers</t>
  </si>
  <si>
    <t>Baououi</t>
  </si>
  <si>
    <t>Respes</t>
  </si>
  <si>
    <t>Suarez</t>
  </si>
  <si>
    <t>De La Cruz</t>
  </si>
  <si>
    <t>Jeffries</t>
  </si>
  <si>
    <t>Sancya</t>
  </si>
  <si>
    <t>Tirado</t>
  </si>
  <si>
    <t>Gonzalez</t>
  </si>
  <si>
    <t>Benjamin</t>
  </si>
  <si>
    <t>Goodwin</t>
  </si>
  <si>
    <t>Velasquez</t>
  </si>
  <si>
    <t>Jackson</t>
  </si>
  <si>
    <t>Kennedy</t>
  </si>
  <si>
    <t>Hussein</t>
  </si>
  <si>
    <t>Phillips</t>
  </si>
  <si>
    <t>Curley</t>
  </si>
  <si>
    <t>Hopson</t>
  </si>
  <si>
    <t>Browne-James</t>
  </si>
  <si>
    <t>Diaz Guadalupe</t>
  </si>
  <si>
    <t>Pou</t>
  </si>
  <si>
    <t>Thompson</t>
  </si>
  <si>
    <t>Triliegi</t>
  </si>
  <si>
    <t>Torres</t>
  </si>
  <si>
    <t>Ross</t>
  </si>
  <si>
    <t>Williams</t>
  </si>
  <si>
    <t>Staley</t>
  </si>
  <si>
    <t>Thomas</t>
  </si>
  <si>
    <t>Applewhite</t>
  </si>
  <si>
    <t>Walker</t>
  </si>
  <si>
    <t>Parker</t>
  </si>
  <si>
    <t>Ward</t>
  </si>
  <si>
    <t>Hernandez</t>
  </si>
  <si>
    <t>Fraser</t>
  </si>
  <si>
    <t>Hanes</t>
  </si>
  <si>
    <t>Mcknight</t>
  </si>
  <si>
    <t>Grayaa</t>
  </si>
  <si>
    <t>Weston</t>
  </si>
  <si>
    <t>Paige</t>
  </si>
  <si>
    <t>Lindo</t>
  </si>
  <si>
    <t>Ratley</t>
  </si>
  <si>
    <t>Lee</t>
  </si>
  <si>
    <t>Albert</t>
  </si>
  <si>
    <t>Davis</t>
  </si>
  <si>
    <t>Francis</t>
  </si>
  <si>
    <t>Baptiste</t>
  </si>
  <si>
    <t>Sheen</t>
  </si>
  <si>
    <t>Gordon</t>
  </si>
  <si>
    <t>Macias</t>
  </si>
  <si>
    <t>Robertson</t>
  </si>
  <si>
    <t>Hall</t>
  </si>
  <si>
    <t>Dabu</t>
  </si>
  <si>
    <t>Sterling</t>
  </si>
  <si>
    <t>Richardson</t>
  </si>
  <si>
    <t>Guzman</t>
  </si>
  <si>
    <t>Zeno</t>
  </si>
  <si>
    <t>Shaffner</t>
  </si>
  <si>
    <t>Desmond</t>
  </si>
  <si>
    <t>Hayardeny</t>
  </si>
  <si>
    <t>Denis</t>
  </si>
  <si>
    <t>Bauminger</t>
  </si>
  <si>
    <t>Carbonell</t>
  </si>
  <si>
    <t>Banks</t>
  </si>
  <si>
    <t>Miley</t>
  </si>
  <si>
    <t>Pounding</t>
  </si>
  <si>
    <t>Perry</t>
  </si>
  <si>
    <t>Cole</t>
  </si>
  <si>
    <t>Qi</t>
  </si>
  <si>
    <t>Winkler</t>
  </si>
  <si>
    <t>Hicks</t>
  </si>
  <si>
    <t>Hays</t>
  </si>
  <si>
    <t>Lewis</t>
  </si>
  <si>
    <t>Scrubb</t>
  </si>
  <si>
    <t>Yates</t>
  </si>
  <si>
    <t>Robillard</t>
  </si>
  <si>
    <t>Flotteron</t>
  </si>
  <si>
    <t>Taguchi</t>
  </si>
  <si>
    <t>Cheng</t>
  </si>
  <si>
    <t>Singleton</t>
  </si>
  <si>
    <t>Macaldo</t>
  </si>
  <si>
    <t>Miller</t>
  </si>
  <si>
    <t>Hawkins</t>
  </si>
  <si>
    <t>Barrett</t>
  </si>
  <si>
    <t>Cobb</t>
  </si>
  <si>
    <t>Islam</t>
  </si>
  <si>
    <t>Vincent</t>
  </si>
  <si>
    <t>Easton</t>
  </si>
  <si>
    <t>Armstrong</t>
  </si>
  <si>
    <t>Headlan</t>
  </si>
  <si>
    <t>Osbourne Garlington</t>
  </si>
  <si>
    <t>Khamraj</t>
  </si>
  <si>
    <t>Noe</t>
  </si>
  <si>
    <t>Brown</t>
  </si>
  <si>
    <t>Leach</t>
  </si>
  <si>
    <t>Kelly</t>
  </si>
  <si>
    <t>Pierre</t>
  </si>
  <si>
    <t>Bacon</t>
  </si>
  <si>
    <t>Page</t>
  </si>
  <si>
    <t>Croom</t>
  </si>
  <si>
    <t>Rothenberg</t>
  </si>
  <si>
    <t>Obregon</t>
  </si>
  <si>
    <t>Sawney-Calliste</t>
  </si>
  <si>
    <t>Cundiff</t>
  </si>
  <si>
    <t>Barrow</t>
  </si>
  <si>
    <t>Bain</t>
  </si>
  <si>
    <t>Threets</t>
  </si>
  <si>
    <t>Warnick</t>
  </si>
  <si>
    <t>Soto</t>
  </si>
  <si>
    <t>Santiago</t>
  </si>
  <si>
    <t>Mtambuzi</t>
  </si>
  <si>
    <t>Toombs</t>
  </si>
  <si>
    <t>Fernanders</t>
  </si>
  <si>
    <t>Medina</t>
  </si>
  <si>
    <t>Haywood</t>
  </si>
  <si>
    <t>Braun</t>
  </si>
  <si>
    <t>Pratt</t>
  </si>
  <si>
    <t>Holder</t>
  </si>
  <si>
    <t>Bougouneau</t>
  </si>
  <si>
    <t>Purvis</t>
  </si>
  <si>
    <t>Giddings</t>
  </si>
  <si>
    <t>Sheftel-Brown</t>
  </si>
  <si>
    <t>Peeples</t>
  </si>
  <si>
    <t>Munoz</t>
  </si>
  <si>
    <t>Daniels</t>
  </si>
  <si>
    <t>Green</t>
  </si>
  <si>
    <t>Mingo</t>
  </si>
  <si>
    <t>Holland</t>
  </si>
  <si>
    <t>Sinclair</t>
  </si>
  <si>
    <t>Preyor</t>
  </si>
  <si>
    <t>Charles-Perrin</t>
  </si>
  <si>
    <t>Loten</t>
  </si>
  <si>
    <t>Tatun</t>
  </si>
  <si>
    <t>Best</t>
  </si>
  <si>
    <t>King</t>
  </si>
  <si>
    <t>Vasquez</t>
  </si>
  <si>
    <t>Hankerson</t>
  </si>
  <si>
    <t>Francois</t>
  </si>
  <si>
    <t>Crisantos</t>
  </si>
  <si>
    <t>Robinson</t>
  </si>
  <si>
    <t>Kingston</t>
  </si>
  <si>
    <t>Watkins</t>
  </si>
  <si>
    <t>Glenn</t>
  </si>
  <si>
    <t>Dixon</t>
  </si>
  <si>
    <t>Oyebade</t>
  </si>
  <si>
    <t>West</t>
  </si>
  <si>
    <t>Horton</t>
  </si>
  <si>
    <t>Trotman</t>
  </si>
  <si>
    <t>Bascom</t>
  </si>
  <si>
    <t>Hodges</t>
  </si>
  <si>
    <t>Sanchez</t>
  </si>
  <si>
    <t>Erazo</t>
  </si>
  <si>
    <t>Leyva</t>
  </si>
  <si>
    <t>Jean-Simon</t>
  </si>
  <si>
    <t>Wilson</t>
  </si>
  <si>
    <t>Caraballo</t>
  </si>
  <si>
    <t>May</t>
  </si>
  <si>
    <t>Marajh</t>
  </si>
  <si>
    <t>Gilliam</t>
  </si>
  <si>
    <t>Kimbo</t>
  </si>
  <si>
    <t>Mendez</t>
  </si>
  <si>
    <t>Wright</t>
  </si>
  <si>
    <t>Vega</t>
  </si>
  <si>
    <t>Harry</t>
  </si>
  <si>
    <t>Jacobs</t>
  </si>
  <si>
    <t>Pressley</t>
  </si>
  <si>
    <t>Robles</t>
  </si>
  <si>
    <t>Sanguinetti</t>
  </si>
  <si>
    <t>Atkins-Jones</t>
  </si>
  <si>
    <t>Martinez</t>
  </si>
  <si>
    <t>Lawrence</t>
  </si>
  <si>
    <t>Santos</t>
  </si>
  <si>
    <t>Blue</t>
  </si>
  <si>
    <t>Casaigne</t>
  </si>
  <si>
    <t>Nunez</t>
  </si>
  <si>
    <t>Buenrostro</t>
  </si>
  <si>
    <t>Conwell</t>
  </si>
  <si>
    <t>Cruz Aponte</t>
  </si>
  <si>
    <t>Rojas</t>
  </si>
  <si>
    <t>Reynoso Garcia</t>
  </si>
  <si>
    <t>Christian</t>
  </si>
  <si>
    <t>Benyahmeen</t>
  </si>
  <si>
    <t>Sunday</t>
  </si>
  <si>
    <t>Goch</t>
  </si>
  <si>
    <t>Alvi</t>
  </si>
  <si>
    <t>Villavicencio</t>
  </si>
  <si>
    <t>Edwards</t>
  </si>
  <si>
    <t>Lindsay</t>
  </si>
  <si>
    <t>McGee</t>
  </si>
  <si>
    <t>Longmore</t>
  </si>
  <si>
    <t>Anjou</t>
  </si>
  <si>
    <t>Nistor</t>
  </si>
  <si>
    <t>Greene</t>
  </si>
  <si>
    <t>Marroquin</t>
  </si>
  <si>
    <t>Vitola</t>
  </si>
  <si>
    <t>Sims</t>
  </si>
  <si>
    <t>Eugene</t>
  </si>
  <si>
    <t>Keita</t>
  </si>
  <si>
    <t>Wade</t>
  </si>
  <si>
    <t>Sey</t>
  </si>
  <si>
    <t>Frost</t>
  </si>
  <si>
    <t>Martin</t>
  </si>
  <si>
    <t>Henry</t>
  </si>
  <si>
    <t>Tucker</t>
  </si>
  <si>
    <t>Marcelle</t>
  </si>
  <si>
    <t>Cheeks</t>
  </si>
  <si>
    <t>Bowe</t>
  </si>
  <si>
    <t>Spratley</t>
  </si>
  <si>
    <t>Maldonado</t>
  </si>
  <si>
    <t>Cruz Vidal</t>
  </si>
  <si>
    <t>Holmes</t>
  </si>
  <si>
    <t>Reyes Abreu</t>
  </si>
  <si>
    <t>Tanco</t>
  </si>
  <si>
    <t>Rivera</t>
  </si>
  <si>
    <t>Purcell</t>
  </si>
  <si>
    <t>Nicholson</t>
  </si>
  <si>
    <t>Richards</t>
  </si>
  <si>
    <t>McCants</t>
  </si>
  <si>
    <t>Edmundson</t>
  </si>
  <si>
    <t>Lewin</t>
  </si>
  <si>
    <t>Hendy-Hogan</t>
  </si>
  <si>
    <t>Darby</t>
  </si>
  <si>
    <t>Caple</t>
  </si>
  <si>
    <t>Dowdell</t>
  </si>
  <si>
    <t>Lynch</t>
  </si>
  <si>
    <t>Deare</t>
  </si>
  <si>
    <t>Muller-Cowan</t>
  </si>
  <si>
    <t>Morales</t>
  </si>
  <si>
    <t>Sancho</t>
  </si>
  <si>
    <t>Spurgeon</t>
  </si>
  <si>
    <t>Whyte</t>
  </si>
  <si>
    <t>Stubs</t>
  </si>
  <si>
    <t>Altgibers</t>
  </si>
  <si>
    <t>White</t>
  </si>
  <si>
    <t>Elliott</t>
  </si>
  <si>
    <t>Wardlaw</t>
  </si>
  <si>
    <t>Adodo-Addeh</t>
  </si>
  <si>
    <t>Martinez Guzman</t>
  </si>
  <si>
    <t>Hiraldo</t>
  </si>
  <si>
    <t>Littles</t>
  </si>
  <si>
    <t>McCarter-Yates</t>
  </si>
  <si>
    <t>Burrowes</t>
  </si>
  <si>
    <t>Hartridge</t>
  </si>
  <si>
    <t>Gellein</t>
  </si>
  <si>
    <t>Wanko</t>
  </si>
  <si>
    <t>Kurry</t>
  </si>
  <si>
    <t>Polanco</t>
  </si>
  <si>
    <t>Harrison</t>
  </si>
  <si>
    <t>Foxe</t>
  </si>
  <si>
    <t>Bailey</t>
  </si>
  <si>
    <t>Minkins</t>
  </si>
  <si>
    <t>Hanley</t>
  </si>
  <si>
    <t>Durden</t>
  </si>
  <si>
    <t>Nwaoha</t>
  </si>
  <si>
    <t>Rogers</t>
  </si>
  <si>
    <t>Boomer</t>
  </si>
  <si>
    <t>Campbell</t>
  </si>
  <si>
    <t>Lamar</t>
  </si>
  <si>
    <t>Debnam</t>
  </si>
  <si>
    <t>Durham</t>
  </si>
  <si>
    <t>McMurtry Somerville</t>
  </si>
  <si>
    <t>Rose</t>
  </si>
  <si>
    <t>Konteh</t>
  </si>
  <si>
    <t>McCartney</t>
  </si>
  <si>
    <t>Wynn</t>
  </si>
  <si>
    <t>McCullovgh</t>
  </si>
  <si>
    <t>Harvey</t>
  </si>
  <si>
    <t>Fashionne</t>
  </si>
  <si>
    <t>Leitch</t>
  </si>
  <si>
    <t>Wells</t>
  </si>
  <si>
    <t>Akinyele</t>
  </si>
  <si>
    <t>Grayson</t>
  </si>
  <si>
    <t>Bettis</t>
  </si>
  <si>
    <t>Frederick</t>
  </si>
  <si>
    <t>Stone</t>
  </si>
  <si>
    <t>St. Louis</t>
  </si>
  <si>
    <t>Griffin</t>
  </si>
  <si>
    <t>Manning</t>
  </si>
  <si>
    <t>Johnson</t>
  </si>
  <si>
    <t>Kinsey-Clark</t>
  </si>
  <si>
    <t>Regis</t>
  </si>
  <si>
    <t>Fadeyi</t>
  </si>
  <si>
    <t>Vanterpool</t>
  </si>
  <si>
    <t>O'Conner Middleton</t>
  </si>
  <si>
    <t>Locklear</t>
  </si>
  <si>
    <t>Adeleye</t>
  </si>
  <si>
    <t>Lawal</t>
  </si>
  <si>
    <t>Harewood</t>
  </si>
  <si>
    <t>Abiodun</t>
  </si>
  <si>
    <t>Arnold</t>
  </si>
  <si>
    <t>Faulk</t>
  </si>
  <si>
    <t>Peterkin</t>
  </si>
  <si>
    <t>Magny</t>
  </si>
  <si>
    <t>Poole</t>
  </si>
  <si>
    <t>St Louis</t>
  </si>
  <si>
    <t>Gadsden</t>
  </si>
  <si>
    <t>Dawodu</t>
  </si>
  <si>
    <t>Merritt</t>
  </si>
  <si>
    <t>Lyons</t>
  </si>
  <si>
    <t>McLaughlin</t>
  </si>
  <si>
    <t>Daniel</t>
  </si>
  <si>
    <t>Omisola</t>
  </si>
  <si>
    <t>Franks</t>
  </si>
  <si>
    <t>Lilley</t>
  </si>
  <si>
    <t>Mullin</t>
  </si>
  <si>
    <t>Frye</t>
  </si>
  <si>
    <t>Belin</t>
  </si>
  <si>
    <t>Booker</t>
  </si>
  <si>
    <t>Cockfield</t>
  </si>
  <si>
    <t>Cotton</t>
  </si>
  <si>
    <t>Sylvester</t>
  </si>
  <si>
    <t>Jefferey</t>
  </si>
  <si>
    <t>McIntosh</t>
  </si>
  <si>
    <t>McKinney</t>
  </si>
  <si>
    <t>Wise</t>
  </si>
  <si>
    <t>Lombard</t>
  </si>
  <si>
    <t>Buckle</t>
  </si>
  <si>
    <t>Brinson</t>
  </si>
  <si>
    <t>Mainor</t>
  </si>
  <si>
    <t>Dubois</t>
  </si>
  <si>
    <t>Mcrae</t>
  </si>
  <si>
    <t>Downes</t>
  </si>
  <si>
    <t>Saheed</t>
  </si>
  <si>
    <t>Gras</t>
  </si>
  <si>
    <t>Blondell</t>
  </si>
  <si>
    <t>Correy</t>
  </si>
  <si>
    <t>Saunders Burks</t>
  </si>
  <si>
    <t>Russell</t>
  </si>
  <si>
    <t>Kellman</t>
  </si>
  <si>
    <t>Corriders</t>
  </si>
  <si>
    <t>Young</t>
  </si>
  <si>
    <t>Pettus</t>
  </si>
  <si>
    <t>Harris</t>
  </si>
  <si>
    <t>Scott</t>
  </si>
  <si>
    <t>Hart</t>
  </si>
  <si>
    <t>Cardenas</t>
  </si>
  <si>
    <t>Sarvis</t>
  </si>
  <si>
    <t>Rowe</t>
  </si>
  <si>
    <t>Grant</t>
  </si>
  <si>
    <t>Roberts</t>
  </si>
  <si>
    <t>Hardamon</t>
  </si>
  <si>
    <t>Winston-Orr</t>
  </si>
  <si>
    <t>Moran</t>
  </si>
  <si>
    <t>Ali</t>
  </si>
  <si>
    <t>Hewitt</t>
  </si>
  <si>
    <t>Dargan</t>
  </si>
  <si>
    <t>Hazell</t>
  </si>
  <si>
    <t>Clarke</t>
  </si>
  <si>
    <t>Ramsey</t>
  </si>
  <si>
    <t>Wignon</t>
  </si>
  <si>
    <t>Pearsall</t>
  </si>
  <si>
    <t>Roseboro</t>
  </si>
  <si>
    <t>Almaguer</t>
  </si>
  <si>
    <t>Lopez</t>
  </si>
  <si>
    <t>Herrington</t>
  </si>
  <si>
    <t>Bibins</t>
  </si>
  <si>
    <t>Mayers</t>
  </si>
  <si>
    <t>Noel</t>
  </si>
  <si>
    <t>Rosemond</t>
  </si>
  <si>
    <t>Christmas</t>
  </si>
  <si>
    <t>Cumberbatch</t>
  </si>
  <si>
    <t>Collier</t>
  </si>
  <si>
    <t>Monrose</t>
  </si>
  <si>
    <t>McQueen</t>
  </si>
  <si>
    <t>Drayton</t>
  </si>
  <si>
    <t>Shabazz</t>
  </si>
  <si>
    <t>Watson</t>
  </si>
  <si>
    <t>Rollgier-Marshall</t>
  </si>
  <si>
    <t>Muhammad</t>
  </si>
  <si>
    <t>Curmon</t>
  </si>
  <si>
    <t>Theme</t>
  </si>
  <si>
    <t>Lantigua</t>
  </si>
  <si>
    <t>Hammond</t>
  </si>
  <si>
    <t>Delgado</t>
  </si>
  <si>
    <t>Cohen</t>
  </si>
  <si>
    <t>Gil</t>
  </si>
  <si>
    <t>London</t>
  </si>
  <si>
    <t>Harrington</t>
  </si>
  <si>
    <t>Navarro</t>
  </si>
  <si>
    <t>Xu</t>
  </si>
  <si>
    <t>Jouvert</t>
  </si>
  <si>
    <t>Roman</t>
  </si>
  <si>
    <t>Leyba</t>
  </si>
  <si>
    <t>Donplay</t>
  </si>
  <si>
    <t>Sumter</t>
  </si>
  <si>
    <t>Berrios</t>
  </si>
  <si>
    <t>Kinoo</t>
  </si>
  <si>
    <t>Heggs</t>
  </si>
  <si>
    <t>Newby</t>
  </si>
  <si>
    <t>Dey</t>
  </si>
  <si>
    <t>Kippins</t>
  </si>
  <si>
    <t>Acosta</t>
  </si>
  <si>
    <t>Steer</t>
  </si>
  <si>
    <t>Dunlock</t>
  </si>
  <si>
    <t>Ludd</t>
  </si>
  <si>
    <t>Buie</t>
  </si>
  <si>
    <t>Uddin</t>
  </si>
  <si>
    <t>Vargas</t>
  </si>
  <si>
    <t>Boothe</t>
  </si>
  <si>
    <t>Zapata</t>
  </si>
  <si>
    <t>Randolph</t>
  </si>
  <si>
    <t>Malik</t>
  </si>
  <si>
    <t>Aultman</t>
  </si>
  <si>
    <t>Zolnoski</t>
  </si>
  <si>
    <t>Nieves</t>
  </si>
  <si>
    <t>Rivers</t>
  </si>
  <si>
    <t>Jimenez</t>
  </si>
  <si>
    <t>Bailey-Barnes</t>
  </si>
  <si>
    <t>Mieses</t>
  </si>
  <si>
    <t>Bolivar</t>
  </si>
  <si>
    <t>Ramirez</t>
  </si>
  <si>
    <t>Lanza</t>
  </si>
  <si>
    <t>Boone</t>
  </si>
  <si>
    <t>Mccolley</t>
  </si>
  <si>
    <t>McColley</t>
  </si>
  <si>
    <t>Maxey</t>
  </si>
  <si>
    <t>Collins</t>
  </si>
  <si>
    <t>Ebanks</t>
  </si>
  <si>
    <t>Yapp</t>
  </si>
  <si>
    <t>Smith- Hewitt</t>
  </si>
  <si>
    <t>Hauser</t>
  </si>
  <si>
    <t>Clement</t>
  </si>
  <si>
    <t>Cupid</t>
  </si>
  <si>
    <t>Elmore</t>
  </si>
  <si>
    <t>McCune</t>
  </si>
  <si>
    <t>Hazelton</t>
  </si>
  <si>
    <t>Fagan</t>
  </si>
  <si>
    <t>Roldan</t>
  </si>
  <si>
    <t>Raines</t>
  </si>
  <si>
    <t>Fuqua</t>
  </si>
  <si>
    <t>Patterson</t>
  </si>
  <si>
    <t>Ginel</t>
  </si>
  <si>
    <t>Nolan</t>
  </si>
  <si>
    <t>Remsey</t>
  </si>
  <si>
    <t>Nebellet</t>
  </si>
  <si>
    <t>Frazier</t>
  </si>
  <si>
    <t>Thornhill- Kinch</t>
  </si>
  <si>
    <t>Sampson</t>
  </si>
  <si>
    <t>Brewer</t>
  </si>
  <si>
    <t>Fortune</t>
  </si>
  <si>
    <t>Harper</t>
  </si>
  <si>
    <t>731 New Jersey Ave</t>
  </si>
  <si>
    <t>399 Kosciuszko St</t>
  </si>
  <si>
    <t>184 Irving Ave</t>
  </si>
  <si>
    <t>107 Somers St</t>
  </si>
  <si>
    <t>984 Greene Ave</t>
  </si>
  <si>
    <t>749 Lafayette Ave</t>
  </si>
  <si>
    <t>403 Kosciuszko St</t>
  </si>
  <si>
    <t>1068 Winthrop St</t>
  </si>
  <si>
    <t>510 Riverdale ave</t>
  </si>
  <si>
    <t>293 Mac Dougal St</t>
  </si>
  <si>
    <t>214 Rockaway Pkwy</t>
  </si>
  <si>
    <t>202 Lott Ave</t>
  </si>
  <si>
    <t>127 Miller Ave</t>
  </si>
  <si>
    <t>445 Linwood St</t>
  </si>
  <si>
    <t>662 Halsey St</t>
  </si>
  <si>
    <t>455 Linwood St</t>
  </si>
  <si>
    <t>251 Mother Gaston Blvd</t>
  </si>
  <si>
    <t>211 W 101st St</t>
  </si>
  <si>
    <t>9427 Kings Hwy</t>
  </si>
  <si>
    <t>274 E 93rd St</t>
  </si>
  <si>
    <t>327 Franklin Ave</t>
  </si>
  <si>
    <t>2239 Creston Ave</t>
  </si>
  <si>
    <t>60 S Oxford St</t>
  </si>
  <si>
    <t>763 Eastern Pkwy</t>
  </si>
  <si>
    <t>1165 Saint Johns Pl</t>
  </si>
  <si>
    <t>720 Bergen St</t>
  </si>
  <si>
    <t>35 Covert St</t>
  </si>
  <si>
    <t>9507 Kings Hwy</t>
  </si>
  <si>
    <t>1070 E New York Ave</t>
  </si>
  <si>
    <t>477 Saratoga Ave</t>
  </si>
  <si>
    <t>127 miller ave</t>
  </si>
  <si>
    <t>380 Schenck Ave</t>
  </si>
  <si>
    <t>802 Belmont Ave</t>
  </si>
  <si>
    <t>461 Milford St</t>
  </si>
  <si>
    <t>867 Saint Marks Ave</t>
  </si>
  <si>
    <t>178 Riverdale Ave</t>
  </si>
  <si>
    <t>2158 Atlantic Ave</t>
  </si>
  <si>
    <t>12399 Flatlands Ave</t>
  </si>
  <si>
    <t>1509 Eastern Pkwy</t>
  </si>
  <si>
    <t>1260 Croton Loop</t>
  </si>
  <si>
    <t>443 Wyona St</t>
  </si>
  <si>
    <t>604 Georgia Ave</t>
  </si>
  <si>
    <t>1631 Saint Marks Ave</t>
  </si>
  <si>
    <t>800 Hancock St</t>
  </si>
  <si>
    <t>2 Elton St</t>
  </si>
  <si>
    <t>349 Rockaway Pkwy</t>
  </si>
  <si>
    <t>209 Sumpter St</t>
  </si>
  <si>
    <t>386 Autumn Ave</t>
  </si>
  <si>
    <t>2313 Strauss St</t>
  </si>
  <si>
    <t>389 Herzl St</t>
  </si>
  <si>
    <t>454 Bradford St</t>
  </si>
  <si>
    <t>593 Flushing Ave</t>
  </si>
  <si>
    <t>300 Vernon Ave</t>
  </si>
  <si>
    <t>1932 Strauss St</t>
  </si>
  <si>
    <t>1841 Atlantic Ave</t>
  </si>
  <si>
    <t>2170 Atlantic Ave</t>
  </si>
  <si>
    <t>285 Bainbridge St</t>
  </si>
  <si>
    <t>1360 Herkimer St</t>
  </si>
  <si>
    <t>1420 Freeport Loop</t>
  </si>
  <si>
    <t>271 67th st</t>
  </si>
  <si>
    <t>1111 Grant Ave</t>
  </si>
  <si>
    <t>1320 Eastern Pkwy</t>
  </si>
  <si>
    <t>371 Etna St</t>
  </si>
  <si>
    <t>2181 Pacific St</t>
  </si>
  <si>
    <t>542 Chauncey St</t>
  </si>
  <si>
    <t>482 Riverdale Ave</t>
  </si>
  <si>
    <t>1918 Pacific St</t>
  </si>
  <si>
    <t>1255 Blake Ave</t>
  </si>
  <si>
    <t>927 Lenox Rd</t>
  </si>
  <si>
    <t>2112 Fulton St</t>
  </si>
  <si>
    <t>110 Rochester Ave</t>
  </si>
  <si>
    <t>725 Miller Ave</t>
  </si>
  <si>
    <t>525 Hegeman Ave</t>
  </si>
  <si>
    <t>356 Sumpter St</t>
  </si>
  <si>
    <t>2830 Pitkin Ave</t>
  </si>
  <si>
    <t>615 Hendrix St</t>
  </si>
  <si>
    <t>1062 Elton St</t>
  </si>
  <si>
    <t>757 Pine St</t>
  </si>
  <si>
    <t>120 Schroeders Ave</t>
  </si>
  <si>
    <t>735 Lincoln Ave</t>
  </si>
  <si>
    <t>35 E 94th St</t>
  </si>
  <si>
    <t>200 Cozine Ave</t>
  </si>
  <si>
    <t>860 Belmont Ave</t>
  </si>
  <si>
    <t>1061 Rutland Rd</t>
  </si>
  <si>
    <t>369 Milford St</t>
  </si>
  <si>
    <t>1023 Hegeman Ave</t>
  </si>
  <si>
    <t>21 Truxton St</t>
  </si>
  <si>
    <t>381 Sumpter St</t>
  </si>
  <si>
    <t>950 Rutland Rd</t>
  </si>
  <si>
    <t>545 Bradford St</t>
  </si>
  <si>
    <t>1711 Fulton St</t>
  </si>
  <si>
    <t>765 Lincoln Ave</t>
  </si>
  <si>
    <t>212 Highland Pl</t>
  </si>
  <si>
    <t>405 Rockaway Pkwy</t>
  </si>
  <si>
    <t>232 Schenectady Ave</t>
  </si>
  <si>
    <t>602 New Lots Ave</t>
  </si>
  <si>
    <t>1843 Atlantic Ave</t>
  </si>
  <si>
    <t>642 Eldert Ln</t>
  </si>
  <si>
    <t>683 Barbey ST</t>
  </si>
  <si>
    <t>217 Hull St</t>
  </si>
  <si>
    <t>440 Watkins St</t>
  </si>
  <si>
    <t>312 Court St</t>
  </si>
  <si>
    <t>12445 Flatlands Ave</t>
  </si>
  <si>
    <t>398 Crescent St</t>
  </si>
  <si>
    <t>67 Doscher st</t>
  </si>
  <si>
    <t>611 Linwood St</t>
  </si>
  <si>
    <t>2181 Strauss St</t>
  </si>
  <si>
    <t>945 Eldert Ln</t>
  </si>
  <si>
    <t>746 Sheffield Ave</t>
  </si>
  <si>
    <t>675 Lincoln Ave</t>
  </si>
  <si>
    <t>903 Belmont Ave</t>
  </si>
  <si>
    <t>291 Bainbridge St</t>
  </si>
  <si>
    <t>86 Fountain Ave</t>
  </si>
  <si>
    <t>792 Sterling Pl</t>
  </si>
  <si>
    <t>378 Throop Ave</t>
  </si>
  <si>
    <t>185 E 92nd St</t>
  </si>
  <si>
    <t>385 Chestnut St</t>
  </si>
  <si>
    <t>159 Eastern Pkwy</t>
  </si>
  <si>
    <t>8417 Glenwood Rd</t>
  </si>
  <si>
    <t>288 Crown St</t>
  </si>
  <si>
    <t>178 Rockaway Pkwy</t>
  </si>
  <si>
    <t>829 Halsey St</t>
  </si>
  <si>
    <t>275 Grant Ave</t>
  </si>
  <si>
    <t>72 Lincoln Ave</t>
  </si>
  <si>
    <t>79 Milford St</t>
  </si>
  <si>
    <t>82 Rockaway Pkwy</t>
  </si>
  <si>
    <t>498 Halsey St</t>
  </si>
  <si>
    <t>180 Grafton St</t>
  </si>
  <si>
    <t>804 Macon St</t>
  </si>
  <si>
    <t>216 Rockaway Ave</t>
  </si>
  <si>
    <t>536 E 96th St</t>
  </si>
  <si>
    <t>148 Marcus Garvey Blvd</t>
  </si>
  <si>
    <t>152 Marcus Garvey Blvd</t>
  </si>
  <si>
    <t>1350 Park Pl</t>
  </si>
  <si>
    <t>115 Ocean Ave</t>
  </si>
  <si>
    <t>471 Hancock St</t>
  </si>
  <si>
    <t>788 Howard Ave</t>
  </si>
  <si>
    <t>1169 E New York Ave</t>
  </si>
  <si>
    <t>495 Pine St</t>
  </si>
  <si>
    <t>171 E 93rd St</t>
  </si>
  <si>
    <t>395 Bainbridge St</t>
  </si>
  <si>
    <t>1790 Fulton St</t>
  </si>
  <si>
    <t>660 E 98th St</t>
  </si>
  <si>
    <t>2265 Strauss St</t>
  </si>
  <si>
    <t>285 Shepherd Ave</t>
  </si>
  <si>
    <t>315 Pulaski St</t>
  </si>
  <si>
    <t>110 Highland Pl</t>
  </si>
  <si>
    <t>722 Van Siclen Ave</t>
  </si>
  <si>
    <t>568 Cleveland St</t>
  </si>
  <si>
    <t>1293 E New York Ave</t>
  </si>
  <si>
    <t>257 Mother Gaston Blvd</t>
  </si>
  <si>
    <t>655 Warwick St</t>
  </si>
  <si>
    <t>465 Elton St</t>
  </si>
  <si>
    <t>18 Irving Ave</t>
  </si>
  <si>
    <t>1242 President St</t>
  </si>
  <si>
    <t>670 Sheffield Ave</t>
  </si>
  <si>
    <t>2028 Bergen St</t>
  </si>
  <si>
    <t>1336 Herkimer St</t>
  </si>
  <si>
    <t>1444 Lincoln Pl</t>
  </si>
  <si>
    <t>558 Ralph Ave</t>
  </si>
  <si>
    <t>2260 Strauss St</t>
  </si>
  <si>
    <t>355 Marion St</t>
  </si>
  <si>
    <t>712 Macon St</t>
  </si>
  <si>
    <t>485 Herzl St</t>
  </si>
  <si>
    <t>437 Wyona St</t>
  </si>
  <si>
    <t>1490 Hornell Loop</t>
  </si>
  <si>
    <t>979 42nd St</t>
  </si>
  <si>
    <t>2353 Pacific st</t>
  </si>
  <si>
    <t>643 Central Ave</t>
  </si>
  <si>
    <t>2353 Pacific St</t>
  </si>
  <si>
    <t>42 Saint Felix St</t>
  </si>
  <si>
    <t>120 Tapscott St</t>
  </si>
  <si>
    <t>711 Macon St</t>
  </si>
  <si>
    <t>1890 Pacific St</t>
  </si>
  <si>
    <t>19 Hill St</t>
  </si>
  <si>
    <t>1969 Bergen St</t>
  </si>
  <si>
    <t>2305 Linden Blvd</t>
  </si>
  <si>
    <t>2106 Union St</t>
  </si>
  <si>
    <t>924 Hancock St</t>
  </si>
  <si>
    <t>723 Hancock St</t>
  </si>
  <si>
    <t>2174 Pitkin Ave</t>
  </si>
  <si>
    <t>249 Harman St</t>
  </si>
  <si>
    <t>344 Marion St</t>
  </si>
  <si>
    <t>344 Marion st</t>
  </si>
  <si>
    <t>972 Eastern Pkwy</t>
  </si>
  <si>
    <t>540 Osborn St</t>
  </si>
  <si>
    <t>901 Franklin Ave</t>
  </si>
  <si>
    <t>1460 Sterling Pl</t>
  </si>
  <si>
    <t>1074 Eastern Pkwy</t>
  </si>
  <si>
    <t>392 Rockaway Pkwy</t>
  </si>
  <si>
    <t>651 Barbey St</t>
  </si>
  <si>
    <t>446 E 98th St</t>
  </si>
  <si>
    <t>27 Granite St</t>
  </si>
  <si>
    <t>1285 Delmar Loop</t>
  </si>
  <si>
    <t>310 Hemlock St</t>
  </si>
  <si>
    <t>490 Lincoln Ave</t>
  </si>
  <si>
    <t>804 Cleveland St</t>
  </si>
  <si>
    <t>500 Bristol St</t>
  </si>
  <si>
    <t>116 Riverdale Ave</t>
  </si>
  <si>
    <t>510 Riverdale Ave</t>
  </si>
  <si>
    <t>1398 Pitkin Ave</t>
  </si>
  <si>
    <t>35 covert st</t>
  </si>
  <si>
    <t>11325 Sea View Ave</t>
  </si>
  <si>
    <t>43 Sheffield Ave</t>
  </si>
  <si>
    <t>986 Dumont Ave</t>
  </si>
  <si>
    <t>331 Etna Street</t>
  </si>
  <si>
    <t>301 Grant Ave</t>
  </si>
  <si>
    <t>1397 Stanley Ave</t>
  </si>
  <si>
    <t>175 Ardsley Loop</t>
  </si>
  <si>
    <t>2765 Atlantic Ave</t>
  </si>
  <si>
    <t>658 Ashford St</t>
  </si>
  <si>
    <t>438 Atkins Ave</t>
  </si>
  <si>
    <t>216 Newport St</t>
  </si>
  <si>
    <t>127 Bainbridge St</t>
  </si>
  <si>
    <t>74 Norwood Ave</t>
  </si>
  <si>
    <t>7 Hegeman ave</t>
  </si>
  <si>
    <t>596 logan St</t>
  </si>
  <si>
    <t>1595 Park Pl</t>
  </si>
  <si>
    <t>135 Essex St</t>
  </si>
  <si>
    <t>1875 Atlantic Ave</t>
  </si>
  <si>
    <t>1661 Saint Johns Pl</t>
  </si>
  <si>
    <t>515 Crescent St</t>
  </si>
  <si>
    <t>1030 Winthrop St</t>
  </si>
  <si>
    <t>1512 Eastern Pkwy</t>
  </si>
  <si>
    <t>2591 Pitkin Ave</t>
  </si>
  <si>
    <t>201 Hale Ave</t>
  </si>
  <si>
    <t>1465 Geneva Loop</t>
  </si>
  <si>
    <t>350 Pennsylvania Ave</t>
  </si>
  <si>
    <t>890 Flushing Ave</t>
  </si>
  <si>
    <t>595 Autumn Ave</t>
  </si>
  <si>
    <t>271 Bainbridge Street</t>
  </si>
  <si>
    <t>734 Crescent St</t>
  </si>
  <si>
    <t>356 Van Siclen Ave</t>
  </si>
  <si>
    <t>489 Lincoln Ave</t>
  </si>
  <si>
    <t>7 Hegeman Ave</t>
  </si>
  <si>
    <t>2081 Fulton St</t>
  </si>
  <si>
    <t>376 Montauk Ave</t>
  </si>
  <si>
    <t>45 Twin Pines Dr</t>
  </si>
  <si>
    <t>99 Pine St</t>
  </si>
  <si>
    <t>1152 Elton St</t>
  </si>
  <si>
    <t>486 Glenmore Ave</t>
  </si>
  <si>
    <t>396 Saratoga Ave</t>
  </si>
  <si>
    <t>294 Sumpter St</t>
  </si>
  <si>
    <t>272 Pennsylvania Ave</t>
  </si>
  <si>
    <t>350 Snediker Ave</t>
  </si>
  <si>
    <t>1677 Saint Johns Pl</t>
  </si>
  <si>
    <t>50 Legion St</t>
  </si>
  <si>
    <t>1740 Prospect Pl</t>
  </si>
  <si>
    <t>141 Watkins st</t>
  </si>
  <si>
    <t>903 Drew St</t>
  </si>
  <si>
    <t>171 E 96th St</t>
  </si>
  <si>
    <t>132 Ralph Ave</t>
  </si>
  <si>
    <t>1615 Saint Johns Pl</t>
  </si>
  <si>
    <t>1147 Sutter Ave</t>
  </si>
  <si>
    <t>1919 Eastern Pkwy</t>
  </si>
  <si>
    <t>494 E 95th St</t>
  </si>
  <si>
    <t>600 Van Siclen Ave</t>
  </si>
  <si>
    <t>656 Stanley Ave</t>
  </si>
  <si>
    <t>1036 President St</t>
  </si>
  <si>
    <t>68 MacDougal St</t>
  </si>
  <si>
    <t>95 E 18th St</t>
  </si>
  <si>
    <t>279 Van Siclen Ave</t>
  </si>
  <si>
    <t>145 Elmira Loop</t>
  </si>
  <si>
    <t>892 Glenmore Ave</t>
  </si>
  <si>
    <t>458 Ruby St</t>
  </si>
  <si>
    <t>387 Shepherd Ave</t>
  </si>
  <si>
    <t>901 Drew St</t>
  </si>
  <si>
    <t>54 Bristol St</t>
  </si>
  <si>
    <t>1933 Union St</t>
  </si>
  <si>
    <t>430 Saratoga Ave</t>
  </si>
  <si>
    <t>908 Thomas S Boyland St</t>
  </si>
  <si>
    <t>1254 Decatur St</t>
  </si>
  <si>
    <t>468 Chauncey St</t>
  </si>
  <si>
    <t>11245 Sea View Ave</t>
  </si>
  <si>
    <t>25 Lafayette Ave</t>
  </si>
  <si>
    <t>459 Milford St</t>
  </si>
  <si>
    <t>333 E 92nd St</t>
  </si>
  <si>
    <t>1325 Pennsylvania Ave</t>
  </si>
  <si>
    <t>1315 Eastern Pkwy</t>
  </si>
  <si>
    <t>249 Thomas S Boyland St</t>
  </si>
  <si>
    <t>216 Rockaway ave</t>
  </si>
  <si>
    <t>249 Thomas S Boyland st</t>
  </si>
  <si>
    <t>249 Thomas s Boyland st</t>
  </si>
  <si>
    <t>277 Rockaway Pkwy</t>
  </si>
  <si>
    <t>37 Bradford st</t>
  </si>
  <si>
    <t>1336 Saint Marks Ave</t>
  </si>
  <si>
    <t>146 Marcus Garvey Blvd</t>
  </si>
  <si>
    <t>671 Halsey St</t>
  </si>
  <si>
    <t>663 Howard Ave</t>
  </si>
  <si>
    <t>466 Marcy Ave</t>
  </si>
  <si>
    <t>1018 Eastern Pkwy</t>
  </si>
  <si>
    <t>1342 Sterling Pl</t>
  </si>
  <si>
    <t>1392 Sterling Pl</t>
  </si>
  <si>
    <t>270 Van Siclen Ave</t>
  </si>
  <si>
    <t>68 Buffalo Ave</t>
  </si>
  <si>
    <t>1825 Atlantic Ave</t>
  </si>
  <si>
    <t>1035 Willmohr St</t>
  </si>
  <si>
    <t>729 Eldert Ln</t>
  </si>
  <si>
    <t>494 New Lots Ave</t>
  </si>
  <si>
    <t>487 Herzl St</t>
  </si>
  <si>
    <t>651 Elton St</t>
  </si>
  <si>
    <t>680 Schenck Ave</t>
  </si>
  <si>
    <t>326 Grafton St</t>
  </si>
  <si>
    <t>845 Schenck Ave</t>
  </si>
  <si>
    <t>22 Moffat St</t>
  </si>
  <si>
    <t>203 Atkins Ave</t>
  </si>
  <si>
    <t>1474 Bushwick Ave</t>
  </si>
  <si>
    <t>103 Barbey st</t>
  </si>
  <si>
    <t>1704 Saint Johns Pl</t>
  </si>
  <si>
    <t>284 Cooper St</t>
  </si>
  <si>
    <t>765 Stanley Ave</t>
  </si>
  <si>
    <t>50 Vandalia Ave</t>
  </si>
  <si>
    <t>412 Thomas S Boyland st</t>
  </si>
  <si>
    <t>443 Miller Ave</t>
  </si>
  <si>
    <t>345 Herzl St</t>
  </si>
  <si>
    <t>352 Montauk Ave</t>
  </si>
  <si>
    <t>90 Thomas S Boyland St</t>
  </si>
  <si>
    <t>605 Liberty Ave</t>
  </si>
  <si>
    <t>2181 Pacific st</t>
  </si>
  <si>
    <t>871 Hegeman Ave</t>
  </si>
  <si>
    <t>1920 Union St</t>
  </si>
  <si>
    <t>20 Vandalia Ave</t>
  </si>
  <si>
    <t>2359 Dean St</t>
  </si>
  <si>
    <t>1833 Park Pl</t>
  </si>
  <si>
    <t>36 Euclid Ave</t>
  </si>
  <si>
    <t>395 Auduban Avenue</t>
  </si>
  <si>
    <t>1049 Glenmore Ave</t>
  </si>
  <si>
    <t>161 Boerum St</t>
  </si>
  <si>
    <t>198 Crescent St</t>
  </si>
  <si>
    <t>421 E 94th St</t>
  </si>
  <si>
    <t>409 Macon St</t>
  </si>
  <si>
    <t>2168 Fulton St</t>
  </si>
  <si>
    <t>2276 Atlantic Ave</t>
  </si>
  <si>
    <t>151 Rockaway Ave</t>
  </si>
  <si>
    <t>1575 E New York Ave</t>
  </si>
  <si>
    <t>987 Hegeman Ave</t>
  </si>
  <si>
    <t>524 Jerome St</t>
  </si>
  <si>
    <t>591 Logan St</t>
  </si>
  <si>
    <t>504 Thatford Ave</t>
  </si>
  <si>
    <t>524 Vandalia Ave</t>
  </si>
  <si>
    <t>771 Herkimer St</t>
  </si>
  <si>
    <t>511 Bradford St</t>
  </si>
  <si>
    <t>133 Crystal St</t>
  </si>
  <si>
    <t>266 Hemlock St</t>
  </si>
  <si>
    <t>566a Bristol St</t>
  </si>
  <si>
    <t>94 Fountain Ave</t>
  </si>
  <si>
    <t>207 Schaefer st</t>
  </si>
  <si>
    <t>330 Hinsdale St</t>
  </si>
  <si>
    <t>1677 Prospect PL</t>
  </si>
  <si>
    <t>11275 Sea View Ave</t>
  </si>
  <si>
    <t>588 Decatur St</t>
  </si>
  <si>
    <t>383 Lewis Ave</t>
  </si>
  <si>
    <t>558 Riverdale Ave</t>
  </si>
  <si>
    <t>385 Lewis Ave</t>
  </si>
  <si>
    <t>902 Drew St</t>
  </si>
  <si>
    <t>556 Thomas S Boyland St</t>
  </si>
  <si>
    <t>532 Bradford St</t>
  </si>
  <si>
    <t>1563 Pitkin Ave</t>
  </si>
  <si>
    <t>1885 Eastern Pkwy</t>
  </si>
  <si>
    <t>760 Eldert Ln</t>
  </si>
  <si>
    <t>505 Rockaway pkwy</t>
  </si>
  <si>
    <t>707 Miller Ave</t>
  </si>
  <si>
    <t>836 Hancock St</t>
  </si>
  <si>
    <t>1780 Pitkin Ave</t>
  </si>
  <si>
    <t>1756 Park Pl</t>
  </si>
  <si>
    <t>704 Elton St</t>
  </si>
  <si>
    <t>902 Drew st</t>
  </si>
  <si>
    <t>47 Montauk Ave</t>
  </si>
  <si>
    <t>260 Howard Ave</t>
  </si>
  <si>
    <t>248 Bainbridge st</t>
  </si>
  <si>
    <t>1613 Eastern Pkwy</t>
  </si>
  <si>
    <t>1004 Hegeman Ave</t>
  </si>
  <si>
    <t>130 Vandalia Ave</t>
  </si>
  <si>
    <t>250 Macdougal St</t>
  </si>
  <si>
    <t>555 Bradford St</t>
  </si>
  <si>
    <t>737 Liberty Ave</t>
  </si>
  <si>
    <t>356 Pine Street</t>
  </si>
  <si>
    <t>711 Jerome St</t>
  </si>
  <si>
    <t>395 Troy Ave</t>
  </si>
  <si>
    <t>71 Pilling St</t>
  </si>
  <si>
    <t>659 Euclid Ave</t>
  </si>
  <si>
    <t>2B</t>
  </si>
  <si>
    <t>3L</t>
  </si>
  <si>
    <t>4B</t>
  </si>
  <si>
    <t>3B</t>
  </si>
  <si>
    <t>1B</t>
  </si>
  <si>
    <t>3C</t>
  </si>
  <si>
    <t>2A</t>
  </si>
  <si>
    <t>1A</t>
  </si>
  <si>
    <t>4E</t>
  </si>
  <si>
    <t>2H</t>
  </si>
  <si>
    <t>4C</t>
  </si>
  <si>
    <t>1st Floor</t>
  </si>
  <si>
    <t>2L</t>
  </si>
  <si>
    <t>Room 3</t>
  </si>
  <si>
    <t>1R</t>
  </si>
  <si>
    <t>1L</t>
  </si>
  <si>
    <t>3r</t>
  </si>
  <si>
    <t>1D</t>
  </si>
  <si>
    <t>2R</t>
  </si>
  <si>
    <t>5E</t>
  </si>
  <si>
    <t>3A</t>
  </si>
  <si>
    <t>5B</t>
  </si>
  <si>
    <t>B18</t>
  </si>
  <si>
    <t>1 LR</t>
  </si>
  <si>
    <t>2F</t>
  </si>
  <si>
    <t>5L</t>
  </si>
  <si>
    <t>2C</t>
  </si>
  <si>
    <t>B</t>
  </si>
  <si>
    <t>13C</t>
  </si>
  <si>
    <t>basement</t>
  </si>
  <si>
    <t>2D</t>
  </si>
  <si>
    <t>1F</t>
  </si>
  <si>
    <t>Apt 2L</t>
  </si>
  <si>
    <t>#3B</t>
  </si>
  <si>
    <t>3R</t>
  </si>
  <si>
    <t>6R</t>
  </si>
  <si>
    <t>B4</t>
  </si>
  <si>
    <t>C8</t>
  </si>
  <si>
    <t>1C</t>
  </si>
  <si>
    <t>4D</t>
  </si>
  <si>
    <t>2nd Fl</t>
  </si>
  <si>
    <t>6I</t>
  </si>
  <si>
    <t>#1F</t>
  </si>
  <si>
    <t>1st Fl</t>
  </si>
  <si>
    <t>2nd Floor</t>
  </si>
  <si>
    <t>16A</t>
  </si>
  <si>
    <t>5A</t>
  </si>
  <si>
    <t>5D</t>
  </si>
  <si>
    <t>2X</t>
  </si>
  <si>
    <t>D2</t>
  </si>
  <si>
    <t>2E</t>
  </si>
  <si>
    <t>3rd Floor</t>
  </si>
  <si>
    <t>5/3L</t>
  </si>
  <si>
    <t>2nd FL</t>
  </si>
  <si>
    <t>2nd fl</t>
  </si>
  <si>
    <t>18T</t>
  </si>
  <si>
    <t>5J</t>
  </si>
  <si>
    <t>4A</t>
  </si>
  <si>
    <t>4J</t>
  </si>
  <si>
    <t>3H</t>
  </si>
  <si>
    <t>5H</t>
  </si>
  <si>
    <t>5F</t>
  </si>
  <si>
    <t>D1B</t>
  </si>
  <si>
    <t>3P</t>
  </si>
  <si>
    <t>2I</t>
  </si>
  <si>
    <t>PHD</t>
  </si>
  <si>
    <t>3I</t>
  </si>
  <si>
    <t>5P</t>
  </si>
  <si>
    <t>5C</t>
  </si>
  <si>
    <t>2M</t>
  </si>
  <si>
    <t>1H</t>
  </si>
  <si>
    <t>1E</t>
  </si>
  <si>
    <t>4F</t>
  </si>
  <si>
    <t>1K</t>
  </si>
  <si>
    <t>3E</t>
  </si>
  <si>
    <t>6C</t>
  </si>
  <si>
    <t>7B</t>
  </si>
  <si>
    <t>7D</t>
  </si>
  <si>
    <t>7C</t>
  </si>
  <si>
    <t>1M</t>
  </si>
  <si>
    <t>3K</t>
  </si>
  <si>
    <t>B5</t>
  </si>
  <si>
    <t>1i</t>
  </si>
  <si>
    <t>4H</t>
  </si>
  <si>
    <t>2G</t>
  </si>
  <si>
    <t>3D</t>
  </si>
  <si>
    <t>E4</t>
  </si>
  <si>
    <t>C15</t>
  </si>
  <si>
    <t>1l</t>
  </si>
  <si>
    <t>4G</t>
  </si>
  <si>
    <t>8B</t>
  </si>
  <si>
    <t>20K</t>
  </si>
  <si>
    <t>8G</t>
  </si>
  <si>
    <t>Private House</t>
  </si>
  <si>
    <t>2 floor</t>
  </si>
  <si>
    <t>Garden Floor</t>
  </si>
  <si>
    <t>Apt 2R</t>
  </si>
  <si>
    <t>13B</t>
  </si>
  <si>
    <t>#2F</t>
  </si>
  <si>
    <t>2-K</t>
  </si>
  <si>
    <t>C2C</t>
  </si>
  <si>
    <t>2nd Floor, #2</t>
  </si>
  <si>
    <t>A5C</t>
  </si>
  <si>
    <t>Basement</t>
  </si>
  <si>
    <t>C3E</t>
  </si>
  <si>
    <t>D6A</t>
  </si>
  <si>
    <t>A-3</t>
  </si>
  <si>
    <t>3-B</t>
  </si>
  <si>
    <t>11-B</t>
  </si>
  <si>
    <t>1 C</t>
  </si>
  <si>
    <t>6A</t>
  </si>
  <si>
    <t>A-4</t>
  </si>
  <si>
    <t>1RR</t>
  </si>
  <si>
    <t>A3</t>
  </si>
  <si>
    <t>17 A</t>
  </si>
  <si>
    <t>3F</t>
  </si>
  <si>
    <t>D1</t>
  </si>
  <si>
    <t>3Q</t>
  </si>
  <si>
    <t>14C</t>
  </si>
  <si>
    <t>16 D</t>
  </si>
  <si>
    <t>12G</t>
  </si>
  <si>
    <t>#3L</t>
  </si>
  <si>
    <t>3G</t>
  </si>
  <si>
    <t>19G</t>
  </si>
  <si>
    <t>Apt 1</t>
  </si>
  <si>
    <t>Apt 5</t>
  </si>
  <si>
    <t>6L</t>
  </si>
  <si>
    <t>Apt. 4G</t>
  </si>
  <si>
    <t>J</t>
  </si>
  <si>
    <t>12A</t>
  </si>
  <si>
    <t>1 B</t>
  </si>
  <si>
    <t>A</t>
  </si>
  <si>
    <t>Apt 6A</t>
  </si>
  <si>
    <t>6D</t>
  </si>
  <si>
    <t>5W</t>
  </si>
  <si>
    <t>17H</t>
  </si>
  <si>
    <t>12-0</t>
  </si>
  <si>
    <t>17C</t>
  </si>
  <si>
    <t>23E</t>
  </si>
  <si>
    <t>10F</t>
  </si>
  <si>
    <t>17G</t>
  </si>
  <si>
    <t>22L</t>
  </si>
  <si>
    <t>11F</t>
  </si>
  <si>
    <t>11D</t>
  </si>
  <si>
    <t>21B</t>
  </si>
  <si>
    <t>3-0</t>
  </si>
  <si>
    <t>18H</t>
  </si>
  <si>
    <t>7K</t>
  </si>
  <si>
    <t>19E</t>
  </si>
  <si>
    <t>16G</t>
  </si>
  <si>
    <t>9O</t>
  </si>
  <si>
    <t>6N</t>
  </si>
  <si>
    <t>8C</t>
  </si>
  <si>
    <t>23L</t>
  </si>
  <si>
    <t>10-O</t>
  </si>
  <si>
    <t>16L</t>
  </si>
  <si>
    <t>15H</t>
  </si>
  <si>
    <t>22F</t>
  </si>
  <si>
    <t>17N</t>
  </si>
  <si>
    <t>16E</t>
  </si>
  <si>
    <t>23M</t>
  </si>
  <si>
    <t>22P</t>
  </si>
  <si>
    <t>4-O</t>
  </si>
  <si>
    <t>24-D</t>
  </si>
  <si>
    <t>10M</t>
  </si>
  <si>
    <t>11E</t>
  </si>
  <si>
    <t>6J</t>
  </si>
  <si>
    <t>19N</t>
  </si>
  <si>
    <t>19F</t>
  </si>
  <si>
    <t>8-O</t>
  </si>
  <si>
    <t>16-0</t>
  </si>
  <si>
    <t>20C</t>
  </si>
  <si>
    <t>8P</t>
  </si>
  <si>
    <t>20H</t>
  </si>
  <si>
    <t>10D</t>
  </si>
  <si>
    <t>4K</t>
  </si>
  <si>
    <t>16B</t>
  </si>
  <si>
    <t>19M</t>
  </si>
  <si>
    <t>24C</t>
  </si>
  <si>
    <t>10C</t>
  </si>
  <si>
    <t>17M</t>
  </si>
  <si>
    <t>10E</t>
  </si>
  <si>
    <t>9D</t>
  </si>
  <si>
    <t>20D</t>
  </si>
  <si>
    <t>3J</t>
  </si>
  <si>
    <t>14 K</t>
  </si>
  <si>
    <t>16N</t>
  </si>
  <si>
    <t>17B</t>
  </si>
  <si>
    <t>21C</t>
  </si>
  <si>
    <t>7H</t>
  </si>
  <si>
    <t>19R</t>
  </si>
  <si>
    <t>11P</t>
  </si>
  <si>
    <t>8R</t>
  </si>
  <si>
    <t>9L</t>
  </si>
  <si>
    <t>9H</t>
  </si>
  <si>
    <t>12H</t>
  </si>
  <si>
    <t>18M</t>
  </si>
  <si>
    <t>11C</t>
  </si>
  <si>
    <t>16K</t>
  </si>
  <si>
    <t>6E</t>
  </si>
  <si>
    <t>20B</t>
  </si>
  <si>
    <t>7E</t>
  </si>
  <si>
    <t>14N</t>
  </si>
  <si>
    <t>24P</t>
  </si>
  <si>
    <t>17R</t>
  </si>
  <si>
    <t>12D</t>
  </si>
  <si>
    <t>7G</t>
  </si>
  <si>
    <t>17E</t>
  </si>
  <si>
    <t>21J</t>
  </si>
  <si>
    <t>11A</t>
  </si>
  <si>
    <t>12L</t>
  </si>
  <si>
    <t>7M</t>
  </si>
  <si>
    <t>21K</t>
  </si>
  <si>
    <t>18G</t>
  </si>
  <si>
    <t>18C</t>
  </si>
  <si>
    <t>19A</t>
  </si>
  <si>
    <t>14D</t>
  </si>
  <si>
    <t>21F</t>
  </si>
  <si>
    <t>7J</t>
  </si>
  <si>
    <t>6K</t>
  </si>
  <si>
    <t>4N</t>
  </si>
  <si>
    <t>21M</t>
  </si>
  <si>
    <t>18N</t>
  </si>
  <si>
    <t>23G</t>
  </si>
  <si>
    <t>12P</t>
  </si>
  <si>
    <t>18J</t>
  </si>
  <si>
    <t>9G</t>
  </si>
  <si>
    <t>2N</t>
  </si>
  <si>
    <t>11B</t>
  </si>
  <si>
    <t>14L</t>
  </si>
  <si>
    <t>5K</t>
  </si>
  <si>
    <t>20-0</t>
  </si>
  <si>
    <t>#2</t>
  </si>
  <si>
    <t>5N</t>
  </si>
  <si>
    <t>5-B</t>
  </si>
  <si>
    <t>4L</t>
  </si>
  <si>
    <t>19L</t>
  </si>
  <si>
    <t>11L</t>
  </si>
  <si>
    <t>4I</t>
  </si>
  <si>
    <t>B1</t>
  </si>
  <si>
    <t>Apt A-15</t>
  </si>
  <si>
    <t>6G</t>
  </si>
  <si>
    <t>1-A</t>
  </si>
  <si>
    <t>2 A</t>
  </si>
  <si>
    <t>#2FL</t>
  </si>
  <si>
    <t>7A</t>
  </si>
  <si>
    <t>A17</t>
  </si>
  <si>
    <t>9B</t>
  </si>
  <si>
    <t>12C</t>
  </si>
  <si>
    <t>Apt 2 Room 3</t>
  </si>
  <si>
    <t>3rd FL</t>
  </si>
  <si>
    <t>12F</t>
  </si>
  <si>
    <t>3 R</t>
  </si>
  <si>
    <t>b2</t>
  </si>
  <si>
    <t>2 Rear</t>
  </si>
  <si>
    <t>1st floor</t>
  </si>
  <si>
    <t>1-F</t>
  </si>
  <si>
    <t>B306</t>
  </si>
  <si>
    <t>A4</t>
  </si>
  <si>
    <t>11N</t>
  </si>
  <si>
    <t>A1</t>
  </si>
  <si>
    <t>13G</t>
  </si>
  <si>
    <t>2nd floor</t>
  </si>
  <si>
    <t>15M</t>
  </si>
  <si>
    <t>C3</t>
  </si>
  <si>
    <t>10H</t>
  </si>
  <si>
    <t>Ground Floor</t>
  </si>
  <si>
    <t>3M</t>
  </si>
  <si>
    <t>Yes</t>
  </si>
  <si>
    <t>No</t>
  </si>
  <si>
    <t xml:space="preserve"> </t>
  </si>
  <si>
    <t>DHCI Form</t>
  </si>
  <si>
    <t>None</t>
  </si>
  <si>
    <t>Active CA/SNAP</t>
  </si>
  <si>
    <t>LT-092112-17/KI</t>
  </si>
  <si>
    <t>LT-006147-18/KI</t>
  </si>
  <si>
    <t>LT-096221-18/KI</t>
  </si>
  <si>
    <t>LT-059294-19/KI</t>
  </si>
  <si>
    <t>LT-090956-18/KI</t>
  </si>
  <si>
    <t>LT-089318-17/KI</t>
  </si>
  <si>
    <t>LT-074595-18/KI</t>
  </si>
  <si>
    <t>LT-064232-18/KI</t>
  </si>
  <si>
    <t>LT-096815-18/KI</t>
  </si>
  <si>
    <t>LT-060098-19/KI</t>
  </si>
  <si>
    <t>LT-055930-18/KI</t>
  </si>
  <si>
    <t>LT-074444-18/KI</t>
  </si>
  <si>
    <t>LT-55186-18/KI</t>
  </si>
  <si>
    <t>LT-55931-18/KI</t>
  </si>
  <si>
    <t>LT-074441-18/KI</t>
  </si>
  <si>
    <t>LT-074637-18/KI</t>
  </si>
  <si>
    <t>LT-074445-18/KI</t>
  </si>
  <si>
    <t>LT-74442-18/KI</t>
  </si>
  <si>
    <t>037984/2018</t>
  </si>
  <si>
    <t>No Case</t>
  </si>
  <si>
    <t>LT-092266-18/KI</t>
  </si>
  <si>
    <t>047991/2019</t>
  </si>
  <si>
    <t>045154/2019</t>
  </si>
  <si>
    <t>LT-002939-18/KI</t>
  </si>
  <si>
    <t>LT-07444-18/KI</t>
  </si>
  <si>
    <t>LT-62657-19/KI</t>
  </si>
  <si>
    <t>LT-065828-19/KI</t>
  </si>
  <si>
    <t>LT-066730-19/KI</t>
  </si>
  <si>
    <t>LT-067042-18/KI</t>
  </si>
  <si>
    <t>LT-078213-18/KI</t>
  </si>
  <si>
    <t>LT-080172-18/KI</t>
  </si>
  <si>
    <t>LT-001912-16/KI</t>
  </si>
  <si>
    <t>LT-076250-18/KI</t>
  </si>
  <si>
    <t>LT-078530-18/KI</t>
  </si>
  <si>
    <t>LT-58333-18/KI</t>
  </si>
  <si>
    <t>LT-086575-18/KI</t>
  </si>
  <si>
    <t>LT-75689-18/KI</t>
  </si>
  <si>
    <t>LT-058333-18/KI</t>
  </si>
  <si>
    <t>LT-087600-18/KI</t>
  </si>
  <si>
    <t>LT-082168-18/KI</t>
  </si>
  <si>
    <t>LT-086826-18/KI</t>
  </si>
  <si>
    <t>LT-088662-18/KI</t>
  </si>
  <si>
    <t>LT-083963-18/KI</t>
  </si>
  <si>
    <t>LT-088031-18/KI</t>
  </si>
  <si>
    <t>LT-083052-18/KI</t>
  </si>
  <si>
    <t>LT-067416-18/KI</t>
  </si>
  <si>
    <t>LT-090839-18/KI</t>
  </si>
  <si>
    <t>LT-062402-18/KI</t>
  </si>
  <si>
    <t>LT-063815-17/KI</t>
  </si>
  <si>
    <t>LT-093578-18/KI</t>
  </si>
  <si>
    <t>none</t>
  </si>
  <si>
    <t>LT-095266-18/KI</t>
  </si>
  <si>
    <t>LT-080471-18/KI</t>
  </si>
  <si>
    <t>LT-051538-19/KI</t>
  </si>
  <si>
    <t>LT-054594-17/KI</t>
  </si>
  <si>
    <t>LT-64322-18/KI</t>
  </si>
  <si>
    <t>LT-051847-19/KI</t>
  </si>
  <si>
    <t>LT-053962-19/KI</t>
  </si>
  <si>
    <t>LT-089594-18/KI</t>
  </si>
  <si>
    <t>LT-095833-18/KI</t>
  </si>
  <si>
    <t>LT-089484-18/KI</t>
  </si>
  <si>
    <t>LT-85659-18/KI</t>
  </si>
  <si>
    <t>LT-095560-18/KI</t>
  </si>
  <si>
    <t>LT-88600-18/KI</t>
  </si>
  <si>
    <t>LT-066169-19/KI</t>
  </si>
  <si>
    <t>LT-87502-18/KI</t>
  </si>
  <si>
    <t>LT-088674-18/KI</t>
  </si>
  <si>
    <t>LT-097407-18/KI</t>
  </si>
  <si>
    <t>LT-062456-19/KI</t>
  </si>
  <si>
    <t>LT-050967-19/KI</t>
  </si>
  <si>
    <t>LT-064730-19/KI</t>
  </si>
  <si>
    <t>LT-063301-19/KI</t>
  </si>
  <si>
    <t>LT-058076-19/KI</t>
  </si>
  <si>
    <t>LT-061436-18/KI</t>
  </si>
  <si>
    <t>LT-095865-18/KI</t>
  </si>
  <si>
    <t>LT-000841-19/KI</t>
  </si>
  <si>
    <t>LT-083961-18/KI</t>
  </si>
  <si>
    <t>LT-057176-19/KI</t>
  </si>
  <si>
    <t>LT-059007-19/KI</t>
  </si>
  <si>
    <t>LT-062145-19/KI</t>
  </si>
  <si>
    <t>LT-063808-19/KI</t>
  </si>
  <si>
    <t>LT-079225-18/KI</t>
  </si>
  <si>
    <t>LT-055204-19/KI</t>
  </si>
  <si>
    <t>LT-071803-18/KI</t>
  </si>
  <si>
    <t>LT-077516-18/KI</t>
  </si>
  <si>
    <t>LT-063375-18/KI</t>
  </si>
  <si>
    <t>LT-053576-18/KI</t>
  </si>
  <si>
    <t>LT-085791-18/KI</t>
  </si>
  <si>
    <t>LT-097297-18/KI</t>
  </si>
  <si>
    <t>LT-84032-18/KI</t>
  </si>
  <si>
    <t>LT-093932-18/KI</t>
  </si>
  <si>
    <t>LT-95268-18/KI</t>
  </si>
  <si>
    <t>LT-069316-18/KI</t>
  </si>
  <si>
    <t>LT-087894-18/KI</t>
  </si>
  <si>
    <t>LT-051481-19/KI</t>
  </si>
  <si>
    <t>LT-095151-18/KI</t>
  </si>
  <si>
    <t>LT-95270-18/KI</t>
  </si>
  <si>
    <t>LT-95269-18/KI</t>
  </si>
  <si>
    <t>client to provide</t>
  </si>
  <si>
    <t>LT-094059-18/KI</t>
  </si>
  <si>
    <t>LT-088679-18/KI</t>
  </si>
  <si>
    <t>LT-057461-19/KI</t>
  </si>
  <si>
    <t>LT-058348-19/KI</t>
  </si>
  <si>
    <t>LT-059113-19/KI</t>
  </si>
  <si>
    <t>LT-096863-18/KI</t>
  </si>
  <si>
    <t>LT-072292-18/KI</t>
  </si>
  <si>
    <t>LT-050968-19/KI</t>
  </si>
  <si>
    <t>LT-063666-19/KI</t>
  </si>
  <si>
    <t>LT-63664-19/KI</t>
  </si>
  <si>
    <t>LT-063663-19/KI</t>
  </si>
  <si>
    <t>LT-063665-19/KI</t>
  </si>
  <si>
    <t>LT-060707-19/KI</t>
  </si>
  <si>
    <t>LT-083037-18/KI</t>
  </si>
  <si>
    <t>LT-058318-19/KI</t>
  </si>
  <si>
    <t>LT-059228-19/KI</t>
  </si>
  <si>
    <t>LT-063685-19/KI</t>
  </si>
  <si>
    <t>LT-094913-18/KI</t>
  </si>
  <si>
    <t>LT-068180-19/KI</t>
  </si>
  <si>
    <t>LT-060416-18/KI</t>
  </si>
  <si>
    <t>LT-71311-18/KI</t>
  </si>
  <si>
    <t>LT-074335-18/KI</t>
  </si>
  <si>
    <t>002704/2018</t>
  </si>
  <si>
    <t>LT-003808-18/KI</t>
  </si>
  <si>
    <t>no case</t>
  </si>
  <si>
    <t>No case</t>
  </si>
  <si>
    <t>LT-052960-19/KI</t>
  </si>
  <si>
    <t>LT-054816-19/KI</t>
  </si>
  <si>
    <t>LT-058735-19/KI</t>
  </si>
  <si>
    <t>LT-050532-19/KI</t>
  </si>
  <si>
    <t>2704/18</t>
  </si>
  <si>
    <t>LT-063289-19/KI</t>
  </si>
  <si>
    <t>LT-64595-19/KI</t>
  </si>
  <si>
    <t>LT-64593-19/KI</t>
  </si>
  <si>
    <t>FR-210086-OM</t>
  </si>
  <si>
    <t>LT-003477-18/KI</t>
  </si>
  <si>
    <t>HP-003539-18/KI</t>
  </si>
  <si>
    <t>Lt-003539-18/KI</t>
  </si>
  <si>
    <t>LT-003539-18/KI</t>
  </si>
  <si>
    <t>HN 2100270 R</t>
  </si>
  <si>
    <t>LT-000749-19/KI</t>
  </si>
  <si>
    <t>HN-210027-0R</t>
  </si>
  <si>
    <t>LT-073346-18/KI</t>
  </si>
  <si>
    <t>LT-074803-18/KI</t>
  </si>
  <si>
    <t>LT-066840-18/KI</t>
  </si>
  <si>
    <t>LT-069384-18/KI</t>
  </si>
  <si>
    <t>LT-076452-18/KI</t>
  </si>
  <si>
    <t>LT-075396-18/KI</t>
  </si>
  <si>
    <t>LT-072419-18/KI</t>
  </si>
  <si>
    <t>Unknown</t>
  </si>
  <si>
    <t>LT-056213-18/KI</t>
  </si>
  <si>
    <t>HP-003158-18/KI</t>
  </si>
  <si>
    <t>LT-076816-18/KI</t>
  </si>
  <si>
    <t>LT-061755-18/KI</t>
  </si>
  <si>
    <t>LT-088200-17/KI</t>
  </si>
  <si>
    <t>LT-074958-18/KI</t>
  </si>
  <si>
    <t>LT-087341-18/KI</t>
  </si>
  <si>
    <t>LT-093040-18/KI</t>
  </si>
  <si>
    <t>GR-210054-S</t>
  </si>
  <si>
    <t>LT-070101-18/KI</t>
  </si>
  <si>
    <t>LT-068253-18/KI</t>
  </si>
  <si>
    <t>LT-056286-18/KI</t>
  </si>
  <si>
    <t>LT-084792-18/KI</t>
  </si>
  <si>
    <t>LT-056307-18/KI</t>
  </si>
  <si>
    <t>LT-096536-18/KI</t>
  </si>
  <si>
    <t>GR-210001-B</t>
  </si>
  <si>
    <t>LT-051542-19/KI</t>
  </si>
  <si>
    <t>LT-096258-18/KI</t>
  </si>
  <si>
    <t>LT-059273-19/KI</t>
  </si>
  <si>
    <t>LT-055511-19/KI</t>
  </si>
  <si>
    <t>LT-063297-19/KI</t>
  </si>
  <si>
    <t>LT-061707-19/KI</t>
  </si>
  <si>
    <t>LT-89829-18/KI</t>
  </si>
  <si>
    <t>LT-54649-18/KI</t>
  </si>
  <si>
    <t>LT-055593-18/KI</t>
  </si>
  <si>
    <t>LT-082427-18/KI</t>
  </si>
  <si>
    <t>LT-094203-18/KI</t>
  </si>
  <si>
    <t>LT-054705-19/KI</t>
  </si>
  <si>
    <t>LT-072426-18/KI</t>
  </si>
  <si>
    <t>LT-081008-17/KI</t>
  </si>
  <si>
    <t>LT-076743-18/KI</t>
  </si>
  <si>
    <t>LT-075956-18/KI</t>
  </si>
  <si>
    <t>LT-085494-17/KI</t>
  </si>
  <si>
    <t>LT-078550-17/KI</t>
  </si>
  <si>
    <t>LT-83699-18/KI</t>
  </si>
  <si>
    <t>LT-078880-18/KI</t>
  </si>
  <si>
    <t>LT-83464-18/KI</t>
  </si>
  <si>
    <t>LT-096372-18/KI</t>
  </si>
  <si>
    <t>LT-076152-18/KI</t>
  </si>
  <si>
    <t>FX210021B</t>
  </si>
  <si>
    <t>LT-000838-18/KI</t>
  </si>
  <si>
    <t>LT-002370-17/KI</t>
  </si>
  <si>
    <t>LT-003413-17/KI</t>
  </si>
  <si>
    <t>LT-084795-18/KI</t>
  </si>
  <si>
    <t>GM-210137-S</t>
  </si>
  <si>
    <t>FX210213S</t>
  </si>
  <si>
    <t>FX210216S</t>
  </si>
  <si>
    <t>FX210214S</t>
  </si>
  <si>
    <t>LT-002584-18/KI</t>
  </si>
  <si>
    <t>LT-093707-17/KI</t>
  </si>
  <si>
    <t>LT-060492-18/KI</t>
  </si>
  <si>
    <t>LT-056822-18/KI</t>
  </si>
  <si>
    <t>LT-066567-18/KI</t>
  </si>
  <si>
    <t>078891/18</t>
  </si>
  <si>
    <t>LT-073178-18/KI</t>
  </si>
  <si>
    <t>LT-071482-18/KI</t>
  </si>
  <si>
    <t>LT-069191-18/KI</t>
  </si>
  <si>
    <t>LT-089315-17/KI</t>
  </si>
  <si>
    <t>LT-079733-17/KI</t>
  </si>
  <si>
    <t>LT-002246-17/KI</t>
  </si>
  <si>
    <t>LT-079778-18/KI</t>
  </si>
  <si>
    <t>LT-078385-18/KI</t>
  </si>
  <si>
    <t>LT-065438-18/KI</t>
  </si>
  <si>
    <t>LT-082690-18/KI</t>
  </si>
  <si>
    <t>LT-087625-18/KI</t>
  </si>
  <si>
    <t>LT-086989-18/KI</t>
  </si>
  <si>
    <t>LT-082510-18/KI</t>
  </si>
  <si>
    <t>LT-065437-17/KI</t>
  </si>
  <si>
    <t>LT-098068-17/KI</t>
  </si>
  <si>
    <t>LT-078967-18/KI</t>
  </si>
  <si>
    <t>LT-088411-18/KI</t>
  </si>
  <si>
    <t>LT-003929-18/KI</t>
  </si>
  <si>
    <t>LT-053150-19/KI</t>
  </si>
  <si>
    <t>LT-093820-18/KI</t>
  </si>
  <si>
    <t>LT093887/18 KI</t>
  </si>
  <si>
    <t>LT-096533-18/KI</t>
  </si>
  <si>
    <t>LT-066283-18/KI</t>
  </si>
  <si>
    <t>LT-090458-18/KI</t>
  </si>
  <si>
    <t>LT-072674-18/KI</t>
  </si>
  <si>
    <t>LT-088140-18/KI</t>
  </si>
  <si>
    <t>LT-097350-18/KI</t>
  </si>
  <si>
    <t>LT-51639-19/KI</t>
  </si>
  <si>
    <t>LT-084760-18/KI</t>
  </si>
  <si>
    <t>LT-077362-18/KI</t>
  </si>
  <si>
    <t>LT-079487-18/KI</t>
  </si>
  <si>
    <t>LT-053119-19/KI</t>
  </si>
  <si>
    <t>LT-079777-18/KI</t>
  </si>
  <si>
    <t>LT-083648-18/KI</t>
  </si>
  <si>
    <t>LT-077818-18/KI</t>
  </si>
  <si>
    <t>LT-087861-18/KI</t>
  </si>
  <si>
    <t>LT-094943-19/KI</t>
  </si>
  <si>
    <t>LT-097199-18/KI</t>
  </si>
  <si>
    <t>LT-056655-19/KI</t>
  </si>
  <si>
    <t>LT-053308-19/KI</t>
  </si>
  <si>
    <t>LT-051222-19/ki</t>
  </si>
  <si>
    <t>LT-052201-19/KI</t>
  </si>
  <si>
    <t>LT-014802-19/KI</t>
  </si>
  <si>
    <t>LT-056703-19/KI</t>
  </si>
  <si>
    <t>LT-051332-19/KI</t>
  </si>
  <si>
    <t>LT-096052-18/KI</t>
  </si>
  <si>
    <t>LT- 059724-19/KI</t>
  </si>
  <si>
    <t>LT-060912-19/KI</t>
  </si>
  <si>
    <t>LT-066517-19/KI</t>
  </si>
  <si>
    <t>LT-502370-19/KI</t>
  </si>
  <si>
    <t>LT-055909-19/KI</t>
  </si>
  <si>
    <t>LT-059384-19/KI</t>
  </si>
  <si>
    <t>LT-059574-19/KI</t>
  </si>
  <si>
    <t>LT-062485-19/KI</t>
  </si>
  <si>
    <t>LT-051298-19/KI</t>
  </si>
  <si>
    <t>LT-061701-19/KI</t>
  </si>
  <si>
    <t>LT-058629-19/KI</t>
  </si>
  <si>
    <t>LT-065200-19/KI</t>
  </si>
  <si>
    <t>068452/19</t>
  </si>
  <si>
    <t>LT-061783-19/KI</t>
  </si>
  <si>
    <t>LT-063667-19/KI</t>
  </si>
  <si>
    <t>LT-072629-18/KI</t>
  </si>
  <si>
    <t>LT-762071-18/KI</t>
  </si>
  <si>
    <t>LT-071707-18/KI</t>
  </si>
  <si>
    <t>LT-093726-18/KI</t>
  </si>
  <si>
    <t>LT-088054-17/KI</t>
  </si>
  <si>
    <t>LT-055564-19/KI</t>
  </si>
  <si>
    <t>075828/2018</t>
  </si>
  <si>
    <t>LT-058764-19/KI</t>
  </si>
  <si>
    <t>LT-97275-18/KI</t>
  </si>
  <si>
    <t>LT-053103-19/KI</t>
  </si>
  <si>
    <t>LT-059724-19/KI</t>
  </si>
  <si>
    <t>LT-073300-18//KI</t>
  </si>
  <si>
    <t>LT-073342-18/KI</t>
  </si>
  <si>
    <t>LT-015339-18/KI</t>
  </si>
  <si>
    <t>LT-083502-17/KI</t>
  </si>
  <si>
    <t>LT-000287-19/KI</t>
  </si>
  <si>
    <t>LT-79538-18/KI</t>
  </si>
  <si>
    <t>LT-082835-18/KI</t>
  </si>
  <si>
    <t>LT-92172-18/KI</t>
  </si>
  <si>
    <t>GS-2100080-D</t>
  </si>
  <si>
    <t>GS-2100050-D</t>
  </si>
  <si>
    <t>Nonw</t>
  </si>
  <si>
    <t>Not Available</t>
  </si>
  <si>
    <t>LT-064518-19/KI</t>
  </si>
  <si>
    <t>LT-065198-19/KI</t>
  </si>
  <si>
    <t>LT-061979-19/KI</t>
  </si>
  <si>
    <t>040820/2019</t>
  </si>
  <si>
    <t>LT-52985-19/KI</t>
  </si>
  <si>
    <t>LT-063618-19/KI</t>
  </si>
  <si>
    <t>LT-064550-19/KI</t>
  </si>
  <si>
    <t>LT-063303-19/KI</t>
  </si>
  <si>
    <t>040822/2019</t>
  </si>
  <si>
    <t>LT-064609-19/KI</t>
  </si>
  <si>
    <t>LT-64607-19/KI</t>
  </si>
  <si>
    <t>0001579/2017</t>
  </si>
  <si>
    <t>LT-064986-19/KI</t>
  </si>
  <si>
    <t>287-19/KI</t>
  </si>
  <si>
    <t>LT-000278-19/KI</t>
  </si>
  <si>
    <t>521089/2017</t>
  </si>
  <si>
    <t>19-40820</t>
  </si>
  <si>
    <t>LT-072629-17/KI</t>
  </si>
  <si>
    <t>LT-72950-18/KI</t>
  </si>
  <si>
    <t>LT-074368-18/KI</t>
  </si>
  <si>
    <t>LT-01490-18/KI</t>
  </si>
  <si>
    <t>LT-078152-18/KI</t>
  </si>
  <si>
    <t>LT-072396-18/KI</t>
  </si>
  <si>
    <t>LT-081981-18/KI</t>
  </si>
  <si>
    <t>LT-80394-18/KI</t>
  </si>
  <si>
    <t>LT-75828-18/KI</t>
  </si>
  <si>
    <t>LT-087064-18/KI</t>
  </si>
  <si>
    <t>LT-091750-18/KI</t>
  </si>
  <si>
    <t>LT-095284-18/KI</t>
  </si>
  <si>
    <t>LT-080458-18/KI</t>
  </si>
  <si>
    <t>LT-052785-19/KI</t>
  </si>
  <si>
    <t>LT-082646-18/KI</t>
  </si>
  <si>
    <t>LT-080398-18/KI</t>
  </si>
  <si>
    <t>LT-086747-18/ KI</t>
  </si>
  <si>
    <t>LT-052745-19/KI</t>
  </si>
  <si>
    <t>LT-074136-18/KI</t>
  </si>
  <si>
    <t>LT-058477-19/KI</t>
  </si>
  <si>
    <t>LT-074169-18/KI</t>
  </si>
  <si>
    <t>LT-05189519/KI</t>
  </si>
  <si>
    <t>LT-066745-18/KI</t>
  </si>
  <si>
    <t>LT-053980-19/KI</t>
  </si>
  <si>
    <t>LT-060417-18/KI</t>
  </si>
  <si>
    <t>LT-062958-19/KI</t>
  </si>
  <si>
    <t>LT-058364-19/KI</t>
  </si>
  <si>
    <t>LT-063594-19/KI</t>
  </si>
  <si>
    <t>LT-064196-19/KI</t>
  </si>
  <si>
    <t>LT-066620-19/KI</t>
  </si>
  <si>
    <t>LT-066159-19/KI</t>
  </si>
  <si>
    <t>LT-99996-16/KI</t>
  </si>
  <si>
    <t>LT-077764-18/KI</t>
  </si>
  <si>
    <t>LT-070046-18/KI</t>
  </si>
  <si>
    <t>LT-075721-18/KI</t>
  </si>
  <si>
    <t>LT-074615-18/KI</t>
  </si>
  <si>
    <t>LT-083925-17/KI</t>
  </si>
  <si>
    <t>LT-072216-18/KI</t>
  </si>
  <si>
    <t>LT-076886-18/KI</t>
  </si>
  <si>
    <t>L&amp;T 067041/2018-KI</t>
  </si>
  <si>
    <t>LT-062358-18/KI</t>
  </si>
  <si>
    <t>LT-075059-18/KI</t>
  </si>
  <si>
    <t>LT-80105-18/KI</t>
  </si>
  <si>
    <t>LT-080317-18/KI</t>
  </si>
  <si>
    <t>LT-062582-17/KI</t>
  </si>
  <si>
    <t>LT-072787-18/KI</t>
  </si>
  <si>
    <t>LT-058414-18/KI</t>
  </si>
  <si>
    <t>LT-086961-18/KI</t>
  </si>
  <si>
    <t>LT-082361-18/KI</t>
  </si>
  <si>
    <t>LT-085763-18/KI</t>
  </si>
  <si>
    <t>LT-083740-18/KI</t>
  </si>
  <si>
    <t>LT-085021-18/KI</t>
  </si>
  <si>
    <t>LT-087605-18/KI</t>
  </si>
  <si>
    <t>LT-092672-18/KI</t>
  </si>
  <si>
    <t>LT-082869-18/KI</t>
  </si>
  <si>
    <t>LT-093368-18/KI</t>
  </si>
  <si>
    <t>LT-076837-18/KI</t>
  </si>
  <si>
    <t>LT-088144-18/KI</t>
  </si>
  <si>
    <t>LT-94436-18/KI</t>
  </si>
  <si>
    <t>LT-096205-18/KI</t>
  </si>
  <si>
    <t>LT-087369-18/KI</t>
  </si>
  <si>
    <t>LT-050579-19/KI</t>
  </si>
  <si>
    <t>LT-076975-18/KI</t>
  </si>
  <si>
    <t>LT-065023-18/KI</t>
  </si>
  <si>
    <t>LT-76975-18/KI</t>
  </si>
  <si>
    <t>LT-089058-18/KI</t>
  </si>
  <si>
    <t>LT-092019-18/KI</t>
  </si>
  <si>
    <t>LT-086504-18/KI</t>
  </si>
  <si>
    <t>LT-052001-19/KI</t>
  </si>
  <si>
    <t>LT-086282-18/KI</t>
  </si>
  <si>
    <t>LT-094597-18/KI</t>
  </si>
  <si>
    <t>LT-096694-18/KI</t>
  </si>
  <si>
    <t>LT-056562-18/KI</t>
  </si>
  <si>
    <t>LT-052165-19/KI</t>
  </si>
  <si>
    <t>LT-073648-18/KI</t>
  </si>
  <si>
    <t>LT-053906-19/KI</t>
  </si>
  <si>
    <t>LT-075409-18/KI</t>
  </si>
  <si>
    <t>LT-052841-19/KI</t>
  </si>
  <si>
    <t>LT-059655-19/KI</t>
  </si>
  <si>
    <t>LT-059657-19/KI</t>
  </si>
  <si>
    <t>LT-088036-18/KI</t>
  </si>
  <si>
    <t>LT-058173-19/KI</t>
  </si>
  <si>
    <t>LT-081608-18/KI</t>
  </si>
  <si>
    <t>LT-062243-19/KI</t>
  </si>
  <si>
    <t>LT-087288-19/KI</t>
  </si>
  <si>
    <t>LT-061559-19/KI</t>
  </si>
  <si>
    <t>LT-062457-19/KI</t>
  </si>
  <si>
    <t>LT-53763-19/KI</t>
  </si>
  <si>
    <t>LT-096763-18/KI</t>
  </si>
  <si>
    <t>LT-065115-19/KI</t>
  </si>
  <si>
    <t>LT-081566-18/KI</t>
  </si>
  <si>
    <t>LT-063525-18/KI</t>
  </si>
  <si>
    <t>LT-069898-18/KI</t>
  </si>
  <si>
    <t>LT-79908-17/KI</t>
  </si>
  <si>
    <t>403195/2017</t>
  </si>
  <si>
    <t>LT-084844-18/KI</t>
  </si>
  <si>
    <t>LT-058120-19/KI</t>
  </si>
  <si>
    <t>LT-066618-17/KI</t>
  </si>
  <si>
    <t>LT-058125-19/KI</t>
  </si>
  <si>
    <t>LT-64533-19/KI</t>
  </si>
  <si>
    <t>LT-04552-19/KI</t>
  </si>
  <si>
    <t>Holdover</t>
  </si>
  <si>
    <t>HP Action</t>
  </si>
  <si>
    <t>Non-payment</t>
  </si>
  <si>
    <t>Other Civil Court</t>
  </si>
  <si>
    <t>Non-Litigation Advocacy</t>
  </si>
  <si>
    <t>Human Rights Complaint</t>
  </si>
  <si>
    <t>Tenant Rights</t>
  </si>
  <si>
    <t>Affirmative Litigation Supreme</t>
  </si>
  <si>
    <t>Illegal Lockout</t>
  </si>
  <si>
    <t>PA Issue: RAU</t>
  </si>
  <si>
    <t>Sec. 8 Termination</t>
  </si>
  <si>
    <t>DHCR Administrative Action</t>
  </si>
  <si>
    <t>SCRIE/DRIE</t>
  </si>
  <si>
    <t>DHCR Proceeding</t>
  </si>
  <si>
    <t>Section 8 share</t>
  </si>
  <si>
    <t>Section 8 HQS</t>
  </si>
  <si>
    <t>PA Issue: FEPS</t>
  </si>
  <si>
    <t>PA Issue: Other</t>
  </si>
  <si>
    <t>PA Issue: LINC</t>
  </si>
  <si>
    <t>PA Issue: City FEPS/SEPS</t>
  </si>
  <si>
    <t>Other Administrative Proceeding</t>
  </si>
  <si>
    <t>7A Proceeding</t>
  </si>
  <si>
    <t>Section 8 other</t>
  </si>
  <si>
    <t>Brief Service</t>
  </si>
  <si>
    <t>Representation - State Court</t>
  </si>
  <si>
    <t>Representation - Federal Court</t>
  </si>
  <si>
    <t>Advice</t>
  </si>
  <si>
    <t>Out-of-Court Advocacy</t>
  </si>
  <si>
    <t>Representation - Admin. Agency</t>
  </si>
  <si>
    <t>Hold For Review</t>
  </si>
  <si>
    <t>B - Limited Action (Brief Service)</t>
  </si>
  <si>
    <t>A - Counsel and Advice</t>
  </si>
  <si>
    <t>G - Negotiated Settlement with Litigation</t>
  </si>
  <si>
    <t>F - Negotiated Settlement w/out Litigation</t>
  </si>
  <si>
    <t>IA - Uncontested Court Decision</t>
  </si>
  <si>
    <t>L - Extensive Service (not resulting in Settlement of Court or Administrative Action)</t>
  </si>
  <si>
    <t>H - Administrative Agency Decision</t>
  </si>
  <si>
    <t>Prefer Not To Answer</t>
  </si>
  <si>
    <t>No Stipulation; No Judgment</t>
  </si>
  <si>
    <t>On for Trial</t>
  </si>
  <si>
    <t>Post-Judgment, Tenant in Possession-Judgment Due to Default</t>
  </si>
  <si>
    <t>Post-Stipulation, No Judgment</t>
  </si>
  <si>
    <t>Post-Judgment, Tenant in Possession-Judgment Due to Other</t>
  </si>
  <si>
    <t>Post-Judgment, Tenant Out of Possession</t>
  </si>
  <si>
    <t>02/23/2019</t>
  </si>
  <si>
    <t>07/02/2018</t>
  </si>
  <si>
    <t>07/01/2018</t>
  </si>
  <si>
    <t>08/06/2018</t>
  </si>
  <si>
    <t>12/01/2018</t>
  </si>
  <si>
    <t>01/13/2019</t>
  </si>
  <si>
    <t>09/01/2018</t>
  </si>
  <si>
    <t>08/19/2018</t>
  </si>
  <si>
    <t>12/05/2018</t>
  </si>
  <si>
    <t>12/08/2018</t>
  </si>
  <si>
    <t>06/30/2019</t>
  </si>
  <si>
    <t>09/14/2019</t>
  </si>
  <si>
    <t>08/10/2018</t>
  </si>
  <si>
    <t>11/10/2018</t>
  </si>
  <si>
    <t>11/23/2018</t>
  </si>
  <si>
    <t>12/23/2018</t>
  </si>
  <si>
    <t>01/19/2019</t>
  </si>
  <si>
    <t>07/04/2018</t>
  </si>
  <si>
    <t>07/22/2018</t>
  </si>
  <si>
    <t>07/24/2018</t>
  </si>
  <si>
    <t>01/06/2019</t>
  </si>
  <si>
    <t>02/18/2019</t>
  </si>
  <si>
    <t>07/08/2018</t>
  </si>
  <si>
    <t>07/11/2018</t>
  </si>
  <si>
    <t>09/03/2018</t>
  </si>
  <si>
    <t>09/07/2018</t>
  </si>
  <si>
    <t>11/27/2018</t>
  </si>
  <si>
    <t>05/08/2019</t>
  </si>
  <si>
    <t>05/20/2019</t>
  </si>
  <si>
    <t>12/22/2018</t>
  </si>
  <si>
    <t>02/09/2019</t>
  </si>
  <si>
    <t>10/27/2018</t>
  </si>
  <si>
    <t>01/16/2019</t>
  </si>
  <si>
    <t>07/27/2018</t>
  </si>
  <si>
    <t>01/07/2019</t>
  </si>
  <si>
    <t>06/05/2019</t>
  </si>
  <si>
    <t>HRA ELS (Assigned Counsel)</t>
  </si>
  <si>
    <t>Outreach</t>
  </si>
  <si>
    <t>Other</t>
  </si>
  <si>
    <t>Community Organization</t>
  </si>
  <si>
    <t>Returning Client</t>
  </si>
  <si>
    <t>ADP Hotline</t>
  </si>
  <si>
    <t>Self-referred</t>
  </si>
  <si>
    <t>HRA</t>
  </si>
  <si>
    <t>Court Referral-NON HRA</t>
  </si>
  <si>
    <t>Other City Agency</t>
  </si>
  <si>
    <t>Elected Official</t>
  </si>
  <si>
    <t>In-House</t>
  </si>
  <si>
    <t>Friends/Family</t>
  </si>
  <si>
    <t>FJC Housing Intake</t>
  </si>
  <si>
    <t>Home base</t>
  </si>
  <si>
    <t>3-1-1</t>
  </si>
  <si>
    <t>Tenant Support Unit</t>
  </si>
  <si>
    <t>Court</t>
  </si>
  <si>
    <t>DHS</t>
  </si>
  <si>
    <t>Word of mouth</t>
  </si>
  <si>
    <t>ZZ-Client Withdrew—For ZZ Adm Closed Reason Closed Cases Only</t>
  </si>
  <si>
    <t>6017-Obtained other benefit on a Housing matter</t>
  </si>
  <si>
    <t>6014-Obtained advice and counsel on a Housing matter</t>
  </si>
  <si>
    <t>6002-Prevented eviction from private housing</t>
  </si>
  <si>
    <t>6016-Obtained referral on a Housing matter</t>
  </si>
  <si>
    <t>6015-Obtained non-litgation advocacy services on a Housing  matter</t>
  </si>
  <si>
    <t>6003-Delayed eviction providing time to seek alternative housing</t>
  </si>
  <si>
    <t>6001-Prevented eviction from public housing</t>
  </si>
  <si>
    <t>6018-Prevented eviction from subsidized housing</t>
  </si>
  <si>
    <t>6007-Avoided, or obtained redress for charges by landlord</t>
  </si>
  <si>
    <t>6009-Obtained repairs, Improved housing conditions or otherwise enforced rights to decent, habitable housing</t>
  </si>
  <si>
    <t>7001-Obtained, preserved or increased public assistance, TANF or other welfare benefit/right</t>
  </si>
  <si>
    <t>7012-Obtained advice and counsel  on an Income Maintenance matter</t>
  </si>
  <si>
    <t>1013-Obtained advice and counsel  on Consumer matter</t>
  </si>
  <si>
    <t>6021-Provided full representation in a Housing matter, but no legal benefit achieved for the client</t>
  </si>
  <si>
    <t>07/12/1989</t>
  </si>
  <si>
    <t>08/22/1965</t>
  </si>
  <si>
    <t>03/04/1993</t>
  </si>
  <si>
    <t>07/23/1961</t>
  </si>
  <si>
    <t>05/23/1956</t>
  </si>
  <si>
    <t>02/16/1955</t>
  </si>
  <si>
    <t>06/15/1961</t>
  </si>
  <si>
    <t>06/11/1961</t>
  </si>
  <si>
    <t>07/11/1961</t>
  </si>
  <si>
    <t>08/30/1967</t>
  </si>
  <si>
    <t>06/11/1966</t>
  </si>
  <si>
    <t>03/21/1976</t>
  </si>
  <si>
    <t>06/09/1971</t>
  </si>
  <si>
    <t>10/09/1979</t>
  </si>
  <si>
    <t>05/23/1959</t>
  </si>
  <si>
    <t>10/18/1988</t>
  </si>
  <si>
    <t>04/18/1990</t>
  </si>
  <si>
    <t>03/19/1976</t>
  </si>
  <si>
    <t>11/17/1943</t>
  </si>
  <si>
    <t>11/29/1979</t>
  </si>
  <si>
    <t>04/28/1979</t>
  </si>
  <si>
    <t>11/29/1993</t>
  </si>
  <si>
    <t>01/16/1979</t>
  </si>
  <si>
    <t>12/22/1983</t>
  </si>
  <si>
    <t>11/24/1970</t>
  </si>
  <si>
    <t>04/19/1950</t>
  </si>
  <si>
    <t>02/20/1956</t>
  </si>
  <si>
    <t>11/09/1993</t>
  </si>
  <si>
    <t>07/18/1972</t>
  </si>
  <si>
    <t>03/02/1937</t>
  </si>
  <si>
    <t>06/19/1965</t>
  </si>
  <si>
    <t>03/08/1993</t>
  </si>
  <si>
    <t>09/29/1960</t>
  </si>
  <si>
    <t>01/01/1979</t>
  </si>
  <si>
    <t>07/07/1951</t>
  </si>
  <si>
    <t>10/26/1946</t>
  </si>
  <si>
    <t>10/27/1967</t>
  </si>
  <si>
    <t>10/08/1962</t>
  </si>
  <si>
    <t>06/02/1967</t>
  </si>
  <si>
    <t>03/13/1960</t>
  </si>
  <si>
    <t>10/22/1962</t>
  </si>
  <si>
    <t>03/13/1962</t>
  </si>
  <si>
    <t>04/06/1961</t>
  </si>
  <si>
    <t>04/16/1959</t>
  </si>
  <si>
    <t>03/08/1997</t>
  </si>
  <si>
    <t>08/27/1981</t>
  </si>
  <si>
    <t>11/27/1988</t>
  </si>
  <si>
    <t>03/30/1933</t>
  </si>
  <si>
    <t>04/13/1972</t>
  </si>
  <si>
    <t>12/08/1973</t>
  </si>
  <si>
    <t>07/07/1955</t>
  </si>
  <si>
    <t>06/03/1977</t>
  </si>
  <si>
    <t>11/11/1983</t>
  </si>
  <si>
    <t>05/05/1959</t>
  </si>
  <si>
    <t>11/28/1970</t>
  </si>
  <si>
    <t>06/01/1953</t>
  </si>
  <si>
    <t>03/14/1957</t>
  </si>
  <si>
    <t>07/15/1961</t>
  </si>
  <si>
    <t>02/10/1986</t>
  </si>
  <si>
    <t>04/09/1992</t>
  </si>
  <si>
    <t>11/19/1984</t>
  </si>
  <si>
    <t>11/21/1977</t>
  </si>
  <si>
    <t>12/27/1977</t>
  </si>
  <si>
    <t>10/07/1982</t>
  </si>
  <si>
    <t>04/27/1979</t>
  </si>
  <si>
    <t>06/26/1968</t>
  </si>
  <si>
    <t>03/05/1977</t>
  </si>
  <si>
    <t>02/11/1983</t>
  </si>
  <si>
    <t>11/25/1951</t>
  </si>
  <si>
    <t>12/24/1976</t>
  </si>
  <si>
    <t>12/19/1969</t>
  </si>
  <si>
    <t>06/21/1970</t>
  </si>
  <si>
    <t>01/01/1976</t>
  </si>
  <si>
    <t>01/28/1985</t>
  </si>
  <si>
    <t>12/31/1961</t>
  </si>
  <si>
    <t>11/08/1966</t>
  </si>
  <si>
    <t>12/08/1960</t>
  </si>
  <si>
    <t>02/26/1991</t>
  </si>
  <si>
    <t>10/03/1963</t>
  </si>
  <si>
    <t>02/19/1959</t>
  </si>
  <si>
    <t>02/07/1979</t>
  </si>
  <si>
    <t>04/15/1965</t>
  </si>
  <si>
    <t>04/15/1957</t>
  </si>
  <si>
    <t>12/18/1974</t>
  </si>
  <si>
    <t>09/03/1972</t>
  </si>
  <si>
    <t>02/09/1984</t>
  </si>
  <si>
    <t>09/08/1978</t>
  </si>
  <si>
    <t>03/25/1987</t>
  </si>
  <si>
    <t>05/09/1967</t>
  </si>
  <si>
    <t>10/14/1964</t>
  </si>
  <si>
    <t>02/29/1964</t>
  </si>
  <si>
    <t>06/17/1977</t>
  </si>
  <si>
    <t>11/29/1958</t>
  </si>
  <si>
    <t>08/04/1971</t>
  </si>
  <si>
    <t>03/17/1966</t>
  </si>
  <si>
    <t>10/08/1966</t>
  </si>
  <si>
    <t>03/17/1982</t>
  </si>
  <si>
    <t>02/12/1944</t>
  </si>
  <si>
    <t>12/13/1977</t>
  </si>
  <si>
    <t>05/28/1982</t>
  </si>
  <si>
    <t>06/19/1963</t>
  </si>
  <si>
    <t>12/28/1982</t>
  </si>
  <si>
    <t>06/27/1944</t>
  </si>
  <si>
    <t>01/26/1977</t>
  </si>
  <si>
    <t>05/09/1983</t>
  </si>
  <si>
    <t>11/20/1964</t>
  </si>
  <si>
    <t>06/23/1987</t>
  </si>
  <si>
    <t>12/26/1992</t>
  </si>
  <si>
    <t>12/13/1964</t>
  </si>
  <si>
    <t>03/12/1967</t>
  </si>
  <si>
    <t>10/20/1987</t>
  </si>
  <si>
    <t>06/13/1978</t>
  </si>
  <si>
    <t>09/08/1977</t>
  </si>
  <si>
    <t>06/06/1971</t>
  </si>
  <si>
    <t>01/04/1975</t>
  </si>
  <si>
    <t>05/07/1973</t>
  </si>
  <si>
    <t>12/12/1952</t>
  </si>
  <si>
    <t>09/28/1978</t>
  </si>
  <si>
    <t>05/18/1987</t>
  </si>
  <si>
    <t>07/26/1966</t>
  </si>
  <si>
    <t>01/22/1993</t>
  </si>
  <si>
    <t>02/08/1978</t>
  </si>
  <si>
    <t>08/20/1978</t>
  </si>
  <si>
    <t>09/05/1985</t>
  </si>
  <si>
    <t>06/14/1977</t>
  </si>
  <si>
    <t>01/06/1989</t>
  </si>
  <si>
    <t>05/25/1986</t>
  </si>
  <si>
    <t>03/08/1967</t>
  </si>
  <si>
    <t>09/18/1967</t>
  </si>
  <si>
    <t>08/20/1950</t>
  </si>
  <si>
    <t>04/05/1984</t>
  </si>
  <si>
    <t>06/22/1979</t>
  </si>
  <si>
    <t>03/30/1986</t>
  </si>
  <si>
    <t>05/27/1989</t>
  </si>
  <si>
    <t>11/29/1977</t>
  </si>
  <si>
    <t>07/07/1989</t>
  </si>
  <si>
    <t>09/19/1990</t>
  </si>
  <si>
    <t>02/14/1979</t>
  </si>
  <si>
    <t>06/11/1978</t>
  </si>
  <si>
    <t>11/30/1982</t>
  </si>
  <si>
    <t>01/23/1991</t>
  </si>
  <si>
    <t>06/19/1959</t>
  </si>
  <si>
    <t>01/01/1978</t>
  </si>
  <si>
    <t>01/30/1985</t>
  </si>
  <si>
    <t>03/06/1991</t>
  </si>
  <si>
    <t>04/01/1993</t>
  </si>
  <si>
    <t>08/22/1987</t>
  </si>
  <si>
    <t>12/30/1988</t>
  </si>
  <si>
    <t>01/01/1987</t>
  </si>
  <si>
    <t>05/05/1991</t>
  </si>
  <si>
    <t>07/18/1992</t>
  </si>
  <si>
    <t>05/09/1992</t>
  </si>
  <si>
    <t>12/29/1988</t>
  </si>
  <si>
    <t>05/17/1979</t>
  </si>
  <si>
    <t>04/13/1982</t>
  </si>
  <si>
    <t>08/10/1991</t>
  </si>
  <si>
    <t>08/22/1961</t>
  </si>
  <si>
    <t>04/28/1967</t>
  </si>
  <si>
    <t>02/08/1982</t>
  </si>
  <si>
    <t>03/02/1987</t>
  </si>
  <si>
    <t>10/27/1971</t>
  </si>
  <si>
    <t>01/15/1948</t>
  </si>
  <si>
    <t>03/15/1984</t>
  </si>
  <si>
    <t>10/09/1994</t>
  </si>
  <si>
    <t>05/05/1983</t>
  </si>
  <si>
    <t>08/30/1951</t>
  </si>
  <si>
    <t>12/02/1962</t>
  </si>
  <si>
    <t>12/20/1943</t>
  </si>
  <si>
    <t>07/24/1941</t>
  </si>
  <si>
    <t>09/21/1933</t>
  </si>
  <si>
    <t>07/15/1974</t>
  </si>
  <si>
    <t>05/06/1976</t>
  </si>
  <si>
    <t>06/04/1988</t>
  </si>
  <si>
    <t>05/15/1983</t>
  </si>
  <si>
    <t>07/01/1961</t>
  </si>
  <si>
    <t>03/08/1960</t>
  </si>
  <si>
    <t>12/27/1978</t>
  </si>
  <si>
    <t>03/31/1970</t>
  </si>
  <si>
    <t>12/23/1963</t>
  </si>
  <si>
    <t>10/31/1959</t>
  </si>
  <si>
    <t>04/13/1994</t>
  </si>
  <si>
    <t>12/27/1963</t>
  </si>
  <si>
    <t>11/07/1956</t>
  </si>
  <si>
    <t>12/02/1965</t>
  </si>
  <si>
    <t>12/18/1981</t>
  </si>
  <si>
    <t>06/27/1965</t>
  </si>
  <si>
    <t>08/01/1967</t>
  </si>
  <si>
    <t>05/14/1964</t>
  </si>
  <si>
    <t>01/10/1960</t>
  </si>
  <si>
    <t>02/20/1987</t>
  </si>
  <si>
    <t>12/08/1943</t>
  </si>
  <si>
    <t>01/18/1941</t>
  </si>
  <si>
    <t>07/20/1961</t>
  </si>
  <si>
    <t>04/10/1954</t>
  </si>
  <si>
    <t>03/06/1959</t>
  </si>
  <si>
    <t>03/01/1972</t>
  </si>
  <si>
    <t>07/16/1977</t>
  </si>
  <si>
    <t>08/05/1974</t>
  </si>
  <si>
    <t>06/15/1946</t>
  </si>
  <si>
    <t>01/09/1973</t>
  </si>
  <si>
    <t>04/09/1967</t>
  </si>
  <si>
    <t>03/20/1968</t>
  </si>
  <si>
    <t>06/17/1978</t>
  </si>
  <si>
    <t>02/02/1963</t>
  </si>
  <si>
    <t>09/06/1960</t>
  </si>
  <si>
    <t>05/30/1946</t>
  </si>
  <si>
    <t>08/31/1958</t>
  </si>
  <si>
    <t>02/05/1954</t>
  </si>
  <si>
    <t>12/10/1939</t>
  </si>
  <si>
    <t>11/06/1975</t>
  </si>
  <si>
    <t>09/21/1988</t>
  </si>
  <si>
    <t>05/31/1987</t>
  </si>
  <si>
    <t>02/17/1981</t>
  </si>
  <si>
    <t>10/15/1977</t>
  </si>
  <si>
    <t>08/20/1954</t>
  </si>
  <si>
    <t>04/27/1961</t>
  </si>
  <si>
    <t>09/16/1989</t>
  </si>
  <si>
    <t>10/03/1977</t>
  </si>
  <si>
    <t>04/15/1982</t>
  </si>
  <si>
    <t>03/28/1971</t>
  </si>
  <si>
    <t>03/04/1988</t>
  </si>
  <si>
    <t>08/29/1957</t>
  </si>
  <si>
    <t>01/10/1979</t>
  </si>
  <si>
    <t>12/27/1960</t>
  </si>
  <si>
    <t>08/26/1976</t>
  </si>
  <si>
    <t>12/01/1969</t>
  </si>
  <si>
    <t>02/24/1983</t>
  </si>
  <si>
    <t>06/08/1953</t>
  </si>
  <si>
    <t>04/28/1960</t>
  </si>
  <si>
    <t>02/10/1969</t>
  </si>
  <si>
    <t>10/30/1947</t>
  </si>
  <si>
    <t>09/17/1985</t>
  </si>
  <si>
    <t>12/02/1959</t>
  </si>
  <si>
    <t>04/07/1970</t>
  </si>
  <si>
    <t>02/12/1973</t>
  </si>
  <si>
    <t>04/28/1959</t>
  </si>
  <si>
    <t>12/16/1946</t>
  </si>
  <si>
    <t>07/08/1966</t>
  </si>
  <si>
    <t>09/05/1967</t>
  </si>
  <si>
    <t>04/17/1970</t>
  </si>
  <si>
    <t>11/30/1977</t>
  </si>
  <si>
    <t>12/16/1990</t>
  </si>
  <si>
    <t>08/13/1983</t>
  </si>
  <si>
    <t>11/07/1982</t>
  </si>
  <si>
    <t>03/20/1949</t>
  </si>
  <si>
    <t>09/09/1984</t>
  </si>
  <si>
    <t>07/19/1984</t>
  </si>
  <si>
    <t>04/02/1958</t>
  </si>
  <si>
    <t>02/22/1985</t>
  </si>
  <si>
    <t>01/25/1963</t>
  </si>
  <si>
    <t>02/01/1966</t>
  </si>
  <si>
    <t>08/13/1952</t>
  </si>
  <si>
    <t>11/08/1984</t>
  </si>
  <si>
    <t>02/05/1957</t>
  </si>
  <si>
    <t>07/10/1963</t>
  </si>
  <si>
    <t>10/20/1962</t>
  </si>
  <si>
    <t>04/22/1978</t>
  </si>
  <si>
    <t>08/12/1970</t>
  </si>
  <si>
    <t>02/18/1968</t>
  </si>
  <si>
    <t>06/14/1952</t>
  </si>
  <si>
    <t>03/22/1962</t>
  </si>
  <si>
    <t>09/25/1954</t>
  </si>
  <si>
    <t>08/15/1957</t>
  </si>
  <si>
    <t>12/09/1988</t>
  </si>
  <si>
    <t>03/30/1982</t>
  </si>
  <si>
    <t>04/22/1993</t>
  </si>
  <si>
    <t>08/29/1963</t>
  </si>
  <si>
    <t>01/25/1957</t>
  </si>
  <si>
    <t>03/07/1957</t>
  </si>
  <si>
    <t>01/05/1975</t>
  </si>
  <si>
    <t>01/01/1990</t>
  </si>
  <si>
    <t>08/31/1971</t>
  </si>
  <si>
    <t>02/05/1980</t>
  </si>
  <si>
    <t>01/02/1963</t>
  </si>
  <si>
    <t>03/15/1954</t>
  </si>
  <si>
    <t>08/15/1977</t>
  </si>
  <si>
    <t>02/05/1946</t>
  </si>
  <si>
    <t>03/16/1960</t>
  </si>
  <si>
    <t>01/01/1969</t>
  </si>
  <si>
    <t>01/24/1977</t>
  </si>
  <si>
    <t>07/09/1984</t>
  </si>
  <si>
    <t>10/24/1954</t>
  </si>
  <si>
    <t>11/08/1980</t>
  </si>
  <si>
    <t>07/16/1947</t>
  </si>
  <si>
    <t>05/26/1961</t>
  </si>
  <si>
    <t>09/29/1992</t>
  </si>
  <si>
    <t>10/24/1975</t>
  </si>
  <si>
    <t>11/28/1977</t>
  </si>
  <si>
    <t>02/03/1941</t>
  </si>
  <si>
    <t>10/16/1971</t>
  </si>
  <si>
    <t>06/24/1983</t>
  </si>
  <si>
    <t>11/04/1959</t>
  </si>
  <si>
    <t>05/03/1938</t>
  </si>
  <si>
    <t>03/13/1979</t>
  </si>
  <si>
    <t>05/01/1969</t>
  </si>
  <si>
    <t>11/23/1959</t>
  </si>
  <si>
    <t>04/30/1985</t>
  </si>
  <si>
    <t>01/18/1978</t>
  </si>
  <si>
    <t>07/07/1959</t>
  </si>
  <si>
    <t>08/04/1960</t>
  </si>
  <si>
    <t>04/25/1957</t>
  </si>
  <si>
    <t>02/12/2017</t>
  </si>
  <si>
    <t>01/20/1976</t>
  </si>
  <si>
    <t>01/27/1966</t>
  </si>
  <si>
    <t>08/08/1983</t>
  </si>
  <si>
    <t>03/23/1958</t>
  </si>
  <si>
    <t>01/26/1968</t>
  </si>
  <si>
    <t>03/17/1970</t>
  </si>
  <si>
    <t>03/21/1962</t>
  </si>
  <si>
    <t>10/11/1975</t>
  </si>
  <si>
    <t>08/03/1964</t>
  </si>
  <si>
    <t>05/12/1965</t>
  </si>
  <si>
    <t>02/01/1973</t>
  </si>
  <si>
    <t>10/25/1956</t>
  </si>
  <si>
    <t>06/12/1961</t>
  </si>
  <si>
    <t>07/24/1957</t>
  </si>
  <si>
    <t>05/01/1975</t>
  </si>
  <si>
    <t>10/28/1959</t>
  </si>
  <si>
    <t>07/27/1964</t>
  </si>
  <si>
    <t>03/13/1941</t>
  </si>
  <si>
    <t>01/10/1972</t>
  </si>
  <si>
    <t>08/04/1964</t>
  </si>
  <si>
    <t>01/28/1981</t>
  </si>
  <si>
    <t>10/05/1982</t>
  </si>
  <si>
    <t>09/19/1967</t>
  </si>
  <si>
    <t>04/18/1959</t>
  </si>
  <si>
    <t>07/30/1956</t>
  </si>
  <si>
    <t>08/21/1978</t>
  </si>
  <si>
    <t>04/13/1969</t>
  </si>
  <si>
    <t>01/26/1981</t>
  </si>
  <si>
    <t>02/23/1980</t>
  </si>
  <si>
    <t>08/26/1962</t>
  </si>
  <si>
    <t>11/18/1960</t>
  </si>
  <si>
    <t>06/27/1954</t>
  </si>
  <si>
    <t>01/23/1967</t>
  </si>
  <si>
    <t>03/12/1970</t>
  </si>
  <si>
    <t>07/17/1974</t>
  </si>
  <si>
    <t>03/06/1987</t>
  </si>
  <si>
    <t>03/22/1961</t>
  </si>
  <si>
    <t>11/27/1962</t>
  </si>
  <si>
    <t>02/14/1965</t>
  </si>
  <si>
    <t>05/22/1977</t>
  </si>
  <si>
    <t>01/28/1968</t>
  </si>
  <si>
    <t>08/22/1978</t>
  </si>
  <si>
    <t>07/01/1955</t>
  </si>
  <si>
    <t>06/09/1969</t>
  </si>
  <si>
    <t>03/07/1981</t>
  </si>
  <si>
    <t>09/12/1988</t>
  </si>
  <si>
    <t>06/09/1968</t>
  </si>
  <si>
    <t>12/14/1963</t>
  </si>
  <si>
    <t>02/25/1977</t>
  </si>
  <si>
    <t>09/15/1963</t>
  </si>
  <si>
    <t>10/10/1957</t>
  </si>
  <si>
    <t>12/28/1943</t>
  </si>
  <si>
    <t>01/06/1967</t>
  </si>
  <si>
    <t>02/20/1967</t>
  </si>
  <si>
    <t>08/13/1975</t>
  </si>
  <si>
    <t>06/23/1984</t>
  </si>
  <si>
    <t>04/20/1969</t>
  </si>
  <si>
    <t>09/05/1978</t>
  </si>
  <si>
    <t>05/03/1968</t>
  </si>
  <si>
    <t>07/13/1962</t>
  </si>
  <si>
    <t>05/08/1972</t>
  </si>
  <si>
    <t>07/25/1961</t>
  </si>
  <si>
    <t>11/23/1993</t>
  </si>
  <si>
    <t>08/06/1960</t>
  </si>
  <si>
    <t>02/21/1993</t>
  </si>
  <si>
    <t>09/18/1988</t>
  </si>
  <si>
    <t>02/01/1990</t>
  </si>
  <si>
    <t>04/12/1985</t>
  </si>
  <si>
    <t>09/30/1982</t>
  </si>
  <si>
    <t>01/27/1980</t>
  </si>
  <si>
    <t>07/16/1995</t>
  </si>
  <si>
    <t>03/01/1951</t>
  </si>
  <si>
    <t>06/08/1967</t>
  </si>
  <si>
    <t>10/17/1947</t>
  </si>
  <si>
    <t>10/06/1962</t>
  </si>
  <si>
    <t>02/05/1961</t>
  </si>
  <si>
    <t>05/06/1958</t>
  </si>
  <si>
    <t>12/14/1979</t>
  </si>
  <si>
    <t>06/09/1964</t>
  </si>
  <si>
    <t>03/06/1964</t>
  </si>
  <si>
    <t>09/01/1992</t>
  </si>
  <si>
    <t>02/08/1962</t>
  </si>
  <si>
    <t>06/12/1995</t>
  </si>
  <si>
    <t>09/07/1951</t>
  </si>
  <si>
    <t>10/19/1954</t>
  </si>
  <si>
    <t>03/06/1942</t>
  </si>
  <si>
    <t>09/04/1977</t>
  </si>
  <si>
    <t>04/30/1959</t>
  </si>
  <si>
    <t>02/08/1959</t>
  </si>
  <si>
    <t>10/06/1946</t>
  </si>
  <si>
    <t>03/12/1946</t>
  </si>
  <si>
    <t>05/01/1949</t>
  </si>
  <si>
    <t>05/08/1954</t>
  </si>
  <si>
    <t>12/10/1972</t>
  </si>
  <si>
    <t>09/26/1933</t>
  </si>
  <si>
    <t>10/18/1976</t>
  </si>
  <si>
    <t>08/30/1944</t>
  </si>
  <si>
    <t>05/03/1945</t>
  </si>
  <si>
    <t>06/09/1935</t>
  </si>
  <si>
    <t>02/28/1985</t>
  </si>
  <si>
    <t>06/07/1944</t>
  </si>
  <si>
    <t>07/30/1971</t>
  </si>
  <si>
    <t>06/17/1963</t>
  </si>
  <si>
    <t>10/14/1962</t>
  </si>
  <si>
    <t>02/01/1952</t>
  </si>
  <si>
    <t>05/31/1982</t>
  </si>
  <si>
    <t>06/02/1948</t>
  </si>
  <si>
    <t>12/24/1947</t>
  </si>
  <si>
    <t>08/19/1945</t>
  </si>
  <si>
    <t>07/03/1986</t>
  </si>
  <si>
    <t>08/13/1947</t>
  </si>
  <si>
    <t>01/19/1955</t>
  </si>
  <si>
    <t>07/13/1972</t>
  </si>
  <si>
    <t>09/24/1986</t>
  </si>
  <si>
    <t>12/26/1946</t>
  </si>
  <si>
    <t>02/12/1977</t>
  </si>
  <si>
    <t>01/23/1940</t>
  </si>
  <si>
    <t>04/22/1951</t>
  </si>
  <si>
    <t>03/06/1953</t>
  </si>
  <si>
    <t>08/07/1963</t>
  </si>
  <si>
    <t>11/18/1979</t>
  </si>
  <si>
    <t>06/10/1958</t>
  </si>
  <si>
    <t>04/19/1972</t>
  </si>
  <si>
    <t>09/07/1937</t>
  </si>
  <si>
    <t>10/22/1952</t>
  </si>
  <si>
    <t>02/28/1954</t>
  </si>
  <si>
    <t>07/27/1978</t>
  </si>
  <si>
    <t>07/22/1950</t>
  </si>
  <si>
    <t>05/14/1954</t>
  </si>
  <si>
    <t>08/04/1942</t>
  </si>
  <si>
    <t>01/19/1967</t>
  </si>
  <si>
    <t>06/07/1955</t>
  </si>
  <si>
    <t>08/24/1950</t>
  </si>
  <si>
    <t>11/25/1973</t>
  </si>
  <si>
    <t>12/13/1955</t>
  </si>
  <si>
    <t>12/22/1982</t>
  </si>
  <si>
    <t>03/23/1951</t>
  </si>
  <si>
    <t>05/16/1970</t>
  </si>
  <si>
    <t>10/10/1948</t>
  </si>
  <si>
    <t>09/05/1979</t>
  </si>
  <si>
    <t>10/25/1974</t>
  </si>
  <si>
    <t>05/18/1971</t>
  </si>
  <si>
    <t>02/16/1939</t>
  </si>
  <si>
    <t>10/03/1958</t>
  </si>
  <si>
    <t>04/11/1965</t>
  </si>
  <si>
    <t>06/25/1955</t>
  </si>
  <si>
    <t>11/21/1947</t>
  </si>
  <si>
    <t>10/14/1963</t>
  </si>
  <si>
    <t>01/12/1957</t>
  </si>
  <si>
    <t>09/01/1967</t>
  </si>
  <si>
    <t>08/31/1940</t>
  </si>
  <si>
    <t>09/26/1971</t>
  </si>
  <si>
    <t>07/10/1976</t>
  </si>
  <si>
    <t>07/20/1946</t>
  </si>
  <si>
    <t>02/12/1970</t>
  </si>
  <si>
    <t>12/27/1959</t>
  </si>
  <si>
    <t>09/17/1972</t>
  </si>
  <si>
    <t>09/17/1961</t>
  </si>
  <si>
    <t>08/03/1958</t>
  </si>
  <si>
    <t>12/19/1967</t>
  </si>
  <si>
    <t>12/30/1950</t>
  </si>
  <si>
    <t>09/16/1941</t>
  </si>
  <si>
    <t>04/23/1965</t>
  </si>
  <si>
    <t>10/02/1953</t>
  </si>
  <si>
    <t>12/09/1964</t>
  </si>
  <si>
    <t>01/23/1971</t>
  </si>
  <si>
    <t>08/28/1979</t>
  </si>
  <si>
    <t>02/24/1942</t>
  </si>
  <si>
    <t>10/29/1969</t>
  </si>
  <si>
    <t>09/22/1942</t>
  </si>
  <si>
    <t>09/02/1997</t>
  </si>
  <si>
    <t>04/17/1990</t>
  </si>
  <si>
    <t>07/03/1973</t>
  </si>
  <si>
    <t>10/13/1958</t>
  </si>
  <si>
    <t>12/20/1962</t>
  </si>
  <si>
    <t>07/05/1968</t>
  </si>
  <si>
    <t>12/30/1963</t>
  </si>
  <si>
    <t>07/13/1953</t>
  </si>
  <si>
    <t>12/15/1991</t>
  </si>
  <si>
    <t>01/15/1956</t>
  </si>
  <si>
    <t>01/07/1960</t>
  </si>
  <si>
    <t>04/11/1977</t>
  </si>
  <si>
    <t>12/22/1948</t>
  </si>
  <si>
    <t>01/21/1965</t>
  </si>
  <si>
    <t>05/14/1975</t>
  </si>
  <si>
    <t>07/19/1959</t>
  </si>
  <si>
    <t>07/28/1975</t>
  </si>
  <si>
    <t>11/29/1963</t>
  </si>
  <si>
    <t>10/30/1963</t>
  </si>
  <si>
    <t>11/06/1977</t>
  </si>
  <si>
    <t>06/17/1941</t>
  </si>
  <si>
    <t>05/22/1953</t>
  </si>
  <si>
    <t>01/24/1992</t>
  </si>
  <si>
    <t>03/03/1981</t>
  </si>
  <si>
    <t>06/28/1948</t>
  </si>
  <si>
    <t>10/22/1975</t>
  </si>
  <si>
    <t>09/07/1988</t>
  </si>
  <si>
    <t>06/27/1960</t>
  </si>
  <si>
    <t>05/01/1942</t>
  </si>
  <si>
    <t>09/03/1983</t>
  </si>
  <si>
    <t>02/21/1963</t>
  </si>
  <si>
    <t>04/04/1959</t>
  </si>
  <si>
    <t>11/23/1953</t>
  </si>
  <si>
    <t>09/10/1957</t>
  </si>
  <si>
    <t>12/14/1978</t>
  </si>
  <si>
    <t>05/07/1972</t>
  </si>
  <si>
    <t>04/11/1969</t>
  </si>
  <si>
    <t>08/15/1968</t>
  </si>
  <si>
    <t>02/13/1947</t>
  </si>
  <si>
    <t>01/18/1947</t>
  </si>
  <si>
    <t>05/27/1970</t>
  </si>
  <si>
    <t>01/26/1944</t>
  </si>
  <si>
    <t>07/20/1984</t>
  </si>
  <si>
    <t>03/11/1941</t>
  </si>
  <si>
    <t>03/24/1962</t>
  </si>
  <si>
    <t>10/14/1952</t>
  </si>
  <si>
    <t>08/25/1952</t>
  </si>
  <si>
    <t>12/08/1970</t>
  </si>
  <si>
    <t>04/16/1962</t>
  </si>
  <si>
    <t>06/23/1959</t>
  </si>
  <si>
    <t>08/03/1972</t>
  </si>
  <si>
    <t>12/31/1966</t>
  </si>
  <si>
    <t>08/15/1996</t>
  </si>
  <si>
    <t>08/11/1949</t>
  </si>
  <si>
    <t>05/02/1982</t>
  </si>
  <si>
    <t>03/28/1948</t>
  </si>
  <si>
    <t>05/23/1961</t>
  </si>
  <si>
    <t>03/28/1947</t>
  </si>
  <si>
    <t>08/13/1985</t>
  </si>
  <si>
    <t>07/10/1970</t>
  </si>
  <si>
    <t>04/20/1979</t>
  </si>
  <si>
    <t>06/02/1978</t>
  </si>
  <si>
    <t>05/15/1971</t>
  </si>
  <si>
    <t>01/01/1965</t>
  </si>
  <si>
    <t>02/03/1967</t>
  </si>
  <si>
    <t>04/09/1964</t>
  </si>
  <si>
    <t>05/12/1972</t>
  </si>
  <si>
    <t>03/21/1938</t>
  </si>
  <si>
    <t>05/15/1970</t>
  </si>
  <si>
    <t>10/26/1983</t>
  </si>
  <si>
    <t>11/29/1964</t>
  </si>
  <si>
    <t>11/03/1930</t>
  </si>
  <si>
    <t>04/14/1976</t>
  </si>
  <si>
    <t>10/19/1962</t>
  </si>
  <si>
    <t>07/17/1975</t>
  </si>
  <si>
    <t>07/16/1958</t>
  </si>
  <si>
    <t>01/01/1970</t>
  </si>
  <si>
    <t>05/20/1987</t>
  </si>
  <si>
    <t>02/19/1973</t>
  </si>
  <si>
    <t>07/03/1978</t>
  </si>
  <si>
    <t>07/27/1943</t>
  </si>
  <si>
    <t>01/26/1976</t>
  </si>
  <si>
    <t>06/24/1960</t>
  </si>
  <si>
    <t>02/21/1961</t>
  </si>
  <si>
    <t>09/29/1958</t>
  </si>
  <si>
    <t>06/09/1976</t>
  </si>
  <si>
    <t>12/13/1990</t>
  </si>
  <si>
    <t>02/15/1979</t>
  </si>
  <si>
    <t>03/18/1956</t>
  </si>
  <si>
    <t>11/16/1961</t>
  </si>
  <si>
    <t>09/25/1995</t>
  </si>
  <si>
    <t>10/19/1977</t>
  </si>
  <si>
    <t>06/11/1967</t>
  </si>
  <si>
    <t>02/15/1968</t>
  </si>
  <si>
    <t>03/28/1981</t>
  </si>
  <si>
    <t>09/14/1962</t>
  </si>
  <si>
    <t>01/25/1969</t>
  </si>
  <si>
    <t>09/06/1957</t>
  </si>
  <si>
    <t>06/11/1964</t>
  </si>
  <si>
    <t>11/02/1969</t>
  </si>
  <si>
    <t>03/11/1986</t>
  </si>
  <si>
    <t>08/18/1993</t>
  </si>
  <si>
    <t>06/27/1978</t>
  </si>
  <si>
    <t>07/26/1988</t>
  </si>
  <si>
    <t>07/14/1955</t>
  </si>
  <si>
    <t>01/12/1986</t>
  </si>
  <si>
    <t>04/19/1977</t>
  </si>
  <si>
    <t>06/05/1966</t>
  </si>
  <si>
    <t>07/23/1992</t>
  </si>
  <si>
    <t>08/10/1961</t>
  </si>
  <si>
    <t>09/22/1964</t>
  </si>
  <si>
    <t>08/12/1963</t>
  </si>
  <si>
    <t>04/18/1963</t>
  </si>
  <si>
    <t>05/28/1987</t>
  </si>
  <si>
    <t>02/05/1968</t>
  </si>
  <si>
    <t>07/05/1990</t>
  </si>
  <si>
    <t>03/01/1982</t>
  </si>
  <si>
    <t>09/25/1982</t>
  </si>
  <si>
    <t>09/22/1956</t>
  </si>
  <si>
    <t>09/26/1984</t>
  </si>
  <si>
    <t>05/11/1982</t>
  </si>
  <si>
    <t>01/15/1982</t>
  </si>
  <si>
    <t>08/23/1989</t>
  </si>
  <si>
    <t>05/05/1986</t>
  </si>
  <si>
    <t>09/02/1969</t>
  </si>
  <si>
    <t>06/11/1982</t>
  </si>
  <si>
    <t>04/30/1979</t>
  </si>
  <si>
    <t>10/28/1987</t>
  </si>
  <si>
    <t>06/23/1948</t>
  </si>
  <si>
    <t>07/25/1979</t>
  </si>
  <si>
    <t>06/12/1955</t>
  </si>
  <si>
    <t>02/14/1971</t>
  </si>
  <si>
    <t>08/28/1978</t>
  </si>
  <si>
    <t>07/29/1977</t>
  </si>
  <si>
    <t>07/26/1965</t>
  </si>
  <si>
    <t>10/29/1968</t>
  </si>
  <si>
    <t>04/23/1956</t>
  </si>
  <si>
    <t>03/06/1955</t>
  </si>
  <si>
    <t>03/14/1956</t>
  </si>
  <si>
    <t>01/26/1988</t>
  </si>
  <si>
    <t>05/04/1972</t>
  </si>
  <si>
    <t>07/08/1989</t>
  </si>
  <si>
    <t>04/30/1988</t>
  </si>
  <si>
    <t>08/27/1983</t>
  </si>
  <si>
    <t>08/24/1990</t>
  </si>
  <si>
    <t>12/17/1991</t>
  </si>
  <si>
    <t>12/16/1947</t>
  </si>
  <si>
    <t>05/17/1951</t>
  </si>
  <si>
    <t>03/13/1959</t>
  </si>
  <si>
    <t>06/12/1946</t>
  </si>
  <si>
    <t>12/11/1976</t>
  </si>
  <si>
    <t>08/21/1990</t>
  </si>
  <si>
    <t>10/07/1987</t>
  </si>
  <si>
    <t>06/05/1970</t>
  </si>
  <si>
    <t>05/29/1949</t>
  </si>
  <si>
    <t>02/10/1972</t>
  </si>
  <si>
    <t>11/03/1967</t>
  </si>
  <si>
    <t>12/26/1957</t>
  </si>
  <si>
    <t>10/04/1987</t>
  </si>
  <si>
    <t>06/20/1977</t>
  </si>
  <si>
    <t>not available</t>
  </si>
  <si>
    <t>VW84117P</t>
  </si>
  <si>
    <t>MU39601B</t>
  </si>
  <si>
    <t>Not available</t>
  </si>
  <si>
    <t>YP2216D</t>
  </si>
  <si>
    <t>03352956J</t>
  </si>
  <si>
    <t>030060214B</t>
  </si>
  <si>
    <t>008136303I</t>
  </si>
  <si>
    <t>0018167969H</t>
  </si>
  <si>
    <t>00037201694J</t>
  </si>
  <si>
    <t>00016600288B</t>
  </si>
  <si>
    <t>S308506</t>
  </si>
  <si>
    <t>010388752H</t>
  </si>
  <si>
    <t>036759660 I</t>
  </si>
  <si>
    <t>56794C1</t>
  </si>
  <si>
    <t>007187393J</t>
  </si>
  <si>
    <t>009351154B</t>
  </si>
  <si>
    <t>00015368528 E</t>
  </si>
  <si>
    <t>N/a</t>
  </si>
  <si>
    <t>00037408902H</t>
  </si>
  <si>
    <t>015934905J</t>
  </si>
  <si>
    <t>90286398E</t>
  </si>
  <si>
    <t>010799339G</t>
  </si>
  <si>
    <t>8970740-A</t>
  </si>
  <si>
    <t>009111529F</t>
  </si>
  <si>
    <t>V35891T</t>
  </si>
  <si>
    <t>002960083A</t>
  </si>
  <si>
    <t>007172896I</t>
  </si>
  <si>
    <t>033688014B</t>
  </si>
  <si>
    <t>001945174J</t>
  </si>
  <si>
    <t>ZZ39348C</t>
  </si>
  <si>
    <t>008767889C</t>
  </si>
  <si>
    <t>client will provide</t>
  </si>
  <si>
    <t>011044483D</t>
  </si>
  <si>
    <t>7230391 A</t>
  </si>
  <si>
    <t>4034579F</t>
  </si>
  <si>
    <t>003995994F</t>
  </si>
  <si>
    <t>018459516D</t>
  </si>
  <si>
    <t>unknown</t>
  </si>
  <si>
    <t>008626902E</t>
  </si>
  <si>
    <t>004646000C</t>
  </si>
  <si>
    <t>036869011B</t>
  </si>
  <si>
    <t>017876945B</t>
  </si>
  <si>
    <t>016292499H</t>
  </si>
  <si>
    <t>0036982304-01-02</t>
  </si>
  <si>
    <t>0009839321-01-04</t>
  </si>
  <si>
    <t>3188527I</t>
  </si>
  <si>
    <t>9592685D</t>
  </si>
  <si>
    <t>unavailable</t>
  </si>
  <si>
    <t>12480289D</t>
  </si>
  <si>
    <t>004324947D</t>
  </si>
  <si>
    <t>Y222420R</t>
  </si>
  <si>
    <t>004613350B</t>
  </si>
  <si>
    <t>009349917G</t>
  </si>
  <si>
    <t>035846331D</t>
  </si>
  <si>
    <t>005028630B</t>
  </si>
  <si>
    <t>018293966A</t>
  </si>
  <si>
    <t>37737821BCL</t>
  </si>
  <si>
    <t>00022009745F</t>
  </si>
  <si>
    <t>005841994G</t>
  </si>
  <si>
    <t>6058962J</t>
  </si>
  <si>
    <t>010445444C</t>
  </si>
  <si>
    <t>0058419944G</t>
  </si>
  <si>
    <t>012538853 I</t>
  </si>
  <si>
    <t>002548716G</t>
  </si>
  <si>
    <t>17891001E</t>
  </si>
  <si>
    <t>003761746B</t>
  </si>
  <si>
    <t>009453433G</t>
  </si>
  <si>
    <t>7084974-A</t>
  </si>
  <si>
    <t>18089865C</t>
  </si>
  <si>
    <t>004629355B</t>
  </si>
  <si>
    <t>2196694-02</t>
  </si>
  <si>
    <t>011082964F</t>
  </si>
  <si>
    <t>PR23469F</t>
  </si>
  <si>
    <t>035925185H</t>
  </si>
  <si>
    <t>18292952-B</t>
  </si>
  <si>
    <t>18330874-B</t>
  </si>
  <si>
    <t>036668969D</t>
  </si>
  <si>
    <t>3730492D</t>
  </si>
  <si>
    <t>009809162C</t>
  </si>
  <si>
    <t>006148062A</t>
  </si>
  <si>
    <t>010737723G</t>
  </si>
  <si>
    <t>017750074B</t>
  </si>
  <si>
    <t>00037497882D</t>
  </si>
  <si>
    <t>ZG93804U &amp; 12210107</t>
  </si>
  <si>
    <t>009376079B</t>
  </si>
  <si>
    <t>010980725F</t>
  </si>
  <si>
    <t>032520446J</t>
  </si>
  <si>
    <t>000206106H</t>
  </si>
  <si>
    <t>14373073 H</t>
  </si>
  <si>
    <t>00030632229 I</t>
  </si>
  <si>
    <t>018625994B</t>
  </si>
  <si>
    <t>035334052E</t>
  </si>
  <si>
    <t>00037372338G</t>
  </si>
  <si>
    <t>18496207E</t>
  </si>
  <si>
    <t>27S12228</t>
  </si>
  <si>
    <t>033170066H</t>
  </si>
  <si>
    <t>0007557622D</t>
  </si>
  <si>
    <t>18494021B</t>
  </si>
  <si>
    <t>00018409848B</t>
  </si>
  <si>
    <t>008743010E</t>
  </si>
  <si>
    <t>2952457G</t>
  </si>
  <si>
    <t>37941477E</t>
  </si>
  <si>
    <t>001310701G</t>
  </si>
  <si>
    <t>036430035A</t>
  </si>
  <si>
    <t>UC08287E</t>
  </si>
  <si>
    <t>1750101G</t>
  </si>
  <si>
    <t>6004868123 /185941196</t>
  </si>
  <si>
    <t>008586546 H</t>
  </si>
  <si>
    <t>WK31684D</t>
  </si>
  <si>
    <t>10802715C</t>
  </si>
  <si>
    <t>00037289885I</t>
  </si>
  <si>
    <t>015941913E</t>
  </si>
  <si>
    <t>035377186-I</t>
  </si>
  <si>
    <t>037774880B</t>
  </si>
  <si>
    <t>00037415296 F</t>
  </si>
  <si>
    <t>00009827849C</t>
  </si>
  <si>
    <t>MN95602C</t>
  </si>
  <si>
    <t>033173366H</t>
  </si>
  <si>
    <t>000345730G</t>
  </si>
  <si>
    <t>04191730D</t>
  </si>
  <si>
    <t>00009748241I</t>
  </si>
  <si>
    <t>006548550A</t>
  </si>
  <si>
    <t>036938736A</t>
  </si>
  <si>
    <t>036794417A</t>
  </si>
  <si>
    <t>YE59744Y</t>
  </si>
  <si>
    <t>018220042-I</t>
  </si>
  <si>
    <t>011375659H</t>
  </si>
  <si>
    <t>37069750A</t>
  </si>
  <si>
    <t>7451476B</t>
  </si>
  <si>
    <t>037240502H</t>
  </si>
  <si>
    <t>004949261E</t>
  </si>
  <si>
    <t>09329375B</t>
  </si>
  <si>
    <t>012090268J</t>
  </si>
  <si>
    <t>008895026G</t>
  </si>
  <si>
    <t>018489081C</t>
  </si>
  <si>
    <t>6959187D</t>
  </si>
  <si>
    <t>007390332A</t>
  </si>
  <si>
    <t>8095488G</t>
  </si>
  <si>
    <t>002494642I</t>
  </si>
  <si>
    <t>00037540753D</t>
  </si>
  <si>
    <t>37453640 H</t>
  </si>
  <si>
    <t>00037182925A</t>
  </si>
  <si>
    <t>33502288A / 17979163 H</t>
  </si>
  <si>
    <t>6004868732145134295</t>
  </si>
  <si>
    <t>015365722G</t>
  </si>
  <si>
    <t>17711859-D</t>
  </si>
  <si>
    <t>002774009B</t>
  </si>
  <si>
    <t>078-76-3875</t>
  </si>
  <si>
    <t>096-60-7761</t>
  </si>
  <si>
    <t>095-80-0021</t>
  </si>
  <si>
    <t>105-46-5348</t>
  </si>
  <si>
    <t>077-52-1563</t>
  </si>
  <si>
    <t>101-54-6235</t>
  </si>
  <si>
    <t>589-72-5937</t>
  </si>
  <si>
    <t>005-46-5348</t>
  </si>
  <si>
    <t>069-56-1544</t>
  </si>
  <si>
    <t>110-62-9132</t>
  </si>
  <si>
    <t>121-54-1862</t>
  </si>
  <si>
    <t>090-58-7748</t>
  </si>
  <si>
    <t>073-86-5344</t>
  </si>
  <si>
    <t>106-50-1484</t>
  </si>
  <si>
    <t>120-75-3614</t>
  </si>
  <si>
    <t>125-75-0313</t>
  </si>
  <si>
    <t>098-58-1834</t>
  </si>
  <si>
    <t>125-32-0081</t>
  </si>
  <si>
    <t>068-64-8594</t>
  </si>
  <si>
    <t>093-82-5522</t>
  </si>
  <si>
    <t>099-68-2305</t>
  </si>
  <si>
    <t>075-94-2752</t>
  </si>
  <si>
    <t>077-44-8917</t>
  </si>
  <si>
    <t>061-70-2033</t>
  </si>
  <si>
    <t>054-96-4729</t>
  </si>
  <si>
    <t>098-94-3587</t>
  </si>
  <si>
    <t>154-72-0727</t>
  </si>
  <si>
    <t>095-58-2750</t>
  </si>
  <si>
    <t>243-75-7400</t>
  </si>
  <si>
    <t>097-54-9643</t>
  </si>
  <si>
    <t>092-40-0715</t>
  </si>
  <si>
    <t>339-92-7905</t>
  </si>
  <si>
    <t>148-58-9764</t>
  </si>
  <si>
    <t>729-07-8907</t>
  </si>
  <si>
    <t>111-98-0932</t>
  </si>
  <si>
    <t>086-70-6554</t>
  </si>
  <si>
    <t>116-52-7557</t>
  </si>
  <si>
    <t>089-86-3392</t>
  </si>
  <si>
    <t>059-66-0046</t>
  </si>
  <si>
    <t>065-92-7647</t>
  </si>
  <si>
    <t>068-60-1562</t>
  </si>
  <si>
    <t>101-60-6763</t>
  </si>
  <si>
    <t>115-64-6676</t>
  </si>
  <si>
    <t>582-55-3411</t>
  </si>
  <si>
    <t>112-68-0022</t>
  </si>
  <si>
    <t>102-52-2798</t>
  </si>
  <si>
    <t>068-62-8250</t>
  </si>
  <si>
    <t>088-48-0229</t>
  </si>
  <si>
    <t>128-48-9058</t>
  </si>
  <si>
    <t>082-56-0574</t>
  </si>
  <si>
    <t>096-70-2527</t>
  </si>
  <si>
    <t>045-90-4490</t>
  </si>
  <si>
    <t>121-68-3730</t>
  </si>
  <si>
    <t>079-02-1486</t>
  </si>
  <si>
    <t>070-76-8863</t>
  </si>
  <si>
    <t>124-84-6863</t>
  </si>
  <si>
    <t>115-62-0958</t>
  </si>
  <si>
    <t>098-56-3114</t>
  </si>
  <si>
    <t>097-64-6235</t>
  </si>
  <si>
    <t>117-66-7292</t>
  </si>
  <si>
    <t>069-62-9676</t>
  </si>
  <si>
    <t>068-62-9946</t>
  </si>
  <si>
    <t>086-60-7260</t>
  </si>
  <si>
    <t>125-62-3341</t>
  </si>
  <si>
    <t>133-90-8703</t>
  </si>
  <si>
    <t>097-56-1671</t>
  </si>
  <si>
    <t>118-58-4060</t>
  </si>
  <si>
    <t>095-52-8626</t>
  </si>
  <si>
    <t>105-78-8644</t>
  </si>
  <si>
    <t>101-68-1828</t>
  </si>
  <si>
    <t>730-03-4537</t>
  </si>
  <si>
    <t>120-62-9149</t>
  </si>
  <si>
    <t>132-84-9839</t>
  </si>
  <si>
    <t>114-48-4474</t>
  </si>
  <si>
    <t>084-62-0287</t>
  </si>
  <si>
    <t>092-68-7608</t>
  </si>
  <si>
    <t>103-92-7565</t>
  </si>
  <si>
    <t>070-72-3310</t>
  </si>
  <si>
    <t>216-96-9440</t>
  </si>
  <si>
    <t>098-56-2102</t>
  </si>
  <si>
    <t>089-58-8487</t>
  </si>
  <si>
    <t>158-55-4856</t>
  </si>
  <si>
    <t>582-29-4623</t>
  </si>
  <si>
    <t>062-58-7744</t>
  </si>
  <si>
    <t>111-64-5953</t>
  </si>
  <si>
    <t>474-96-5901</t>
  </si>
  <si>
    <t>125-66-9555</t>
  </si>
  <si>
    <t>028-32-7805</t>
  </si>
  <si>
    <t>101-62-0089</t>
  </si>
  <si>
    <t>102-66-2303</t>
  </si>
  <si>
    <t>108-66-5600</t>
  </si>
  <si>
    <t>580-14-7724</t>
  </si>
  <si>
    <t>106-66-8618</t>
  </si>
  <si>
    <t>090-70-3031</t>
  </si>
  <si>
    <t>000-00-2408</t>
  </si>
  <si>
    <t>112-74-9224</t>
  </si>
  <si>
    <t>000-00-4958</t>
  </si>
  <si>
    <t>151-94-5287</t>
  </si>
  <si>
    <t>082-60-7633</t>
  </si>
  <si>
    <t>082-74-9862</t>
  </si>
  <si>
    <t>793-49-1518</t>
  </si>
  <si>
    <t>000-00-5753</t>
  </si>
  <si>
    <t>187-70-7024</t>
  </si>
  <si>
    <t>112-62-2993</t>
  </si>
  <si>
    <t>055-62-0679</t>
  </si>
  <si>
    <t>249-94-1682</t>
  </si>
  <si>
    <t>059-80-8469</t>
  </si>
  <si>
    <t>262-85-1529</t>
  </si>
  <si>
    <t>127-84-4500</t>
  </si>
  <si>
    <t>000-00-0578</t>
  </si>
  <si>
    <t>057-74-2926</t>
  </si>
  <si>
    <t>072-72-0132</t>
  </si>
  <si>
    <t>082-78-4359</t>
  </si>
  <si>
    <t>562-89-4337</t>
  </si>
  <si>
    <t>840-50-5868</t>
  </si>
  <si>
    <t>000-00-4720</t>
  </si>
  <si>
    <t>118-94-9395</t>
  </si>
  <si>
    <t>112-68-8686</t>
  </si>
  <si>
    <t>057-80-3890</t>
  </si>
  <si>
    <t>534-17-8320</t>
  </si>
  <si>
    <t>256-37-0656</t>
  </si>
  <si>
    <t>087-76-3187</t>
  </si>
  <si>
    <t>050-66-3289</t>
  </si>
  <si>
    <t>056-64-3902</t>
  </si>
  <si>
    <t>143-80-4223</t>
  </si>
  <si>
    <t>062-54-3745</t>
  </si>
  <si>
    <t>541-29-3269</t>
  </si>
  <si>
    <t>092-76-9844</t>
  </si>
  <si>
    <t>120-78-7792</t>
  </si>
  <si>
    <t>141-84-5048</t>
  </si>
  <si>
    <t>595-89-3150</t>
  </si>
  <si>
    <t>590-52-6713</t>
  </si>
  <si>
    <t>353-86-7413</t>
  </si>
  <si>
    <t>107-80-9996</t>
  </si>
  <si>
    <t>071-64-5267</t>
  </si>
  <si>
    <t>866-91-7307</t>
  </si>
  <si>
    <t>127-78-9249</t>
  </si>
  <si>
    <t>125-52-1907</t>
  </si>
  <si>
    <t>121-56-6011</t>
  </si>
  <si>
    <t>191-86-5503</t>
  </si>
  <si>
    <t>098-62-0317</t>
  </si>
  <si>
    <t>038-56-5630</t>
  </si>
  <si>
    <t>074-84-5501</t>
  </si>
  <si>
    <t>057-86-3392</t>
  </si>
  <si>
    <t>074-44-8093</t>
  </si>
  <si>
    <t>092-74-6769</t>
  </si>
  <si>
    <t>258-48-2676</t>
  </si>
  <si>
    <t>130-94-8030</t>
  </si>
  <si>
    <t>111-58-7232</t>
  </si>
  <si>
    <t>053-80-5989</t>
  </si>
  <si>
    <t>109-64-3895</t>
  </si>
  <si>
    <t>099-56-3458</t>
  </si>
  <si>
    <t>057-92-6427</t>
  </si>
  <si>
    <t>071-62-6669</t>
  </si>
  <si>
    <t>071-60-1415</t>
  </si>
  <si>
    <t>143-96-6319</t>
  </si>
  <si>
    <t>454-33-4555</t>
  </si>
  <si>
    <t>102-50-9783</t>
  </si>
  <si>
    <t>226-31-6509</t>
  </si>
  <si>
    <t>100-62-4852</t>
  </si>
  <si>
    <t>048-08-6305</t>
  </si>
  <si>
    <t>070-58-0175</t>
  </si>
  <si>
    <t>062-54-8575</t>
  </si>
  <si>
    <t>062-72-4938</t>
  </si>
  <si>
    <t>582-90-7731</t>
  </si>
  <si>
    <t>120-54-8259</t>
  </si>
  <si>
    <t>147-55-5616</t>
  </si>
  <si>
    <t>260-11-0246</t>
  </si>
  <si>
    <t>595-43-4951</t>
  </si>
  <si>
    <t>247-52-3269</t>
  </si>
  <si>
    <t>078-58-6555</t>
  </si>
  <si>
    <t>124-40-5187</t>
  </si>
  <si>
    <t>104-58-3968</t>
  </si>
  <si>
    <t>112-54-6268</t>
  </si>
  <si>
    <t>132-60-9482</t>
  </si>
  <si>
    <t>119-84-0712</t>
  </si>
  <si>
    <t>580-31-0661</t>
  </si>
  <si>
    <t>070-56-8409</t>
  </si>
  <si>
    <t>086-70-8663</t>
  </si>
  <si>
    <t>090-44-9186</t>
  </si>
  <si>
    <t>101-58-8993</t>
  </si>
  <si>
    <t>122-74-5303</t>
  </si>
  <si>
    <t>062-86-0887</t>
  </si>
  <si>
    <t>062-68-2973</t>
  </si>
  <si>
    <t>134-64-7978</t>
  </si>
  <si>
    <t>116-46-3306</t>
  </si>
  <si>
    <t>078-72-1568</t>
  </si>
  <si>
    <t>119-76-4606</t>
  </si>
  <si>
    <t>061-62-0039</t>
  </si>
  <si>
    <t>084-62-9813</t>
  </si>
  <si>
    <t>750-84-6060</t>
  </si>
  <si>
    <t>106-48-1386</t>
  </si>
  <si>
    <t>129-64-2047</t>
  </si>
  <si>
    <t>091-64-9908</t>
  </si>
  <si>
    <t>000-00-0194</t>
  </si>
  <si>
    <t>134-64-5979</t>
  </si>
  <si>
    <t>000-00-7706</t>
  </si>
  <si>
    <t>590-20-6989</t>
  </si>
  <si>
    <t>114-64-8527</t>
  </si>
  <si>
    <t>110-64-1450</t>
  </si>
  <si>
    <t>114-78-7110</t>
  </si>
  <si>
    <t>096-70-8922</t>
  </si>
  <si>
    <t>104-52-1182</t>
  </si>
  <si>
    <t>085-58-3440</t>
  </si>
  <si>
    <t>065-72-4767</t>
  </si>
  <si>
    <t>099-58-5178</t>
  </si>
  <si>
    <t>219-68-5532</t>
  </si>
  <si>
    <t>055-62-1077</t>
  </si>
  <si>
    <t>777-76-4829</t>
  </si>
  <si>
    <t>852-76-1521</t>
  </si>
  <si>
    <t>108-52-5724</t>
  </si>
  <si>
    <t>058-62-5714</t>
  </si>
  <si>
    <t>022-96-7935</t>
  </si>
  <si>
    <t>090-68-1494</t>
  </si>
  <si>
    <t>000-00-9117</t>
  </si>
  <si>
    <t>108-52-1632</t>
  </si>
  <si>
    <t>117-68-8378</t>
  </si>
  <si>
    <t>584-08-3286</t>
  </si>
  <si>
    <t>056-70-7366</t>
  </si>
  <si>
    <t>069-58-7163</t>
  </si>
  <si>
    <t>080-58-3640</t>
  </si>
  <si>
    <t>015-54-1988</t>
  </si>
  <si>
    <t>100-70-0187</t>
  </si>
  <si>
    <t>087-52-4590</t>
  </si>
  <si>
    <t>132-56-6630</t>
  </si>
  <si>
    <t>066-50-7724</t>
  </si>
  <si>
    <t>077-88-4499</t>
  </si>
  <si>
    <t>116-58-4432</t>
  </si>
  <si>
    <t>120-58-2859</t>
  </si>
  <si>
    <t>101-44-8258</t>
  </si>
  <si>
    <t>100-58-4358</t>
  </si>
  <si>
    <t>116-46-4135</t>
  </si>
  <si>
    <t>426-65-1711</t>
  </si>
  <si>
    <t>889-52-8774</t>
  </si>
  <si>
    <t>063-82-3048</t>
  </si>
  <si>
    <t>128-48-3852</t>
  </si>
  <si>
    <t>077-54-6495</t>
  </si>
  <si>
    <t>000-00-9899</t>
  </si>
  <si>
    <t>098-46-7329</t>
  </si>
  <si>
    <t>063-58-5850</t>
  </si>
  <si>
    <t>128-69-5223</t>
  </si>
  <si>
    <t>011-23-8306</t>
  </si>
  <si>
    <t>115-90-3854</t>
  </si>
  <si>
    <t>584-83-3050</t>
  </si>
  <si>
    <t>000-00-0000</t>
  </si>
  <si>
    <t>000-00-7216</t>
  </si>
  <si>
    <t>115-80-4883</t>
  </si>
  <si>
    <t>067-86-0285</t>
  </si>
  <si>
    <t>062-66-3461</t>
  </si>
  <si>
    <t>094-34-3967</t>
  </si>
  <si>
    <t>078-97-3803</t>
  </si>
  <si>
    <t>085-98-2513</t>
  </si>
  <si>
    <t>091-54-3687</t>
  </si>
  <si>
    <t>112-86-8260</t>
  </si>
  <si>
    <t>112-62-8145</t>
  </si>
  <si>
    <t>102-96-2766</t>
  </si>
  <si>
    <t>081-54-5854</t>
  </si>
  <si>
    <t>089-70-5408</t>
  </si>
  <si>
    <t>134-60-7166</t>
  </si>
  <si>
    <t>085-60-5786</t>
  </si>
  <si>
    <t>117-52-6002</t>
  </si>
  <si>
    <t>109-66-5370</t>
  </si>
  <si>
    <t>096-58-7540</t>
  </si>
  <si>
    <t>796-05-7637</t>
  </si>
  <si>
    <t>133-76-7477</t>
  </si>
  <si>
    <t>071-82-2485</t>
  </si>
  <si>
    <t>069-64-6705</t>
  </si>
  <si>
    <t>099-52-3398</t>
  </si>
  <si>
    <t>486-80-1423</t>
  </si>
  <si>
    <t>088-58-0738</t>
  </si>
  <si>
    <t>244-25-2337</t>
  </si>
  <si>
    <t>074-56-1705</t>
  </si>
  <si>
    <t>098-54-7485</t>
  </si>
  <si>
    <t>110-74-6096</t>
  </si>
  <si>
    <t>106-50-6651</t>
  </si>
  <si>
    <t>110-62-9080</t>
  </si>
  <si>
    <t>061-50-8237</t>
  </si>
  <si>
    <t>068-58-6529</t>
  </si>
  <si>
    <t>223-56-2337</t>
  </si>
  <si>
    <t>065-58-4797</t>
  </si>
  <si>
    <t>107-68-7200</t>
  </si>
  <si>
    <t>117-64-7816</t>
  </si>
  <si>
    <t>133-66-5736</t>
  </si>
  <si>
    <t>080-70-7528</t>
  </si>
  <si>
    <t>121-90-2362</t>
  </si>
  <si>
    <t>099-48-9821</t>
  </si>
  <si>
    <t>122-62-1904</t>
  </si>
  <si>
    <t>053-56-8145</t>
  </si>
  <si>
    <t>123-64-8395</t>
  </si>
  <si>
    <t>063-68-3845</t>
  </si>
  <si>
    <t>078-60-5540</t>
  </si>
  <si>
    <t>050-56-4783</t>
  </si>
  <si>
    <t>053-46-7743</t>
  </si>
  <si>
    <t>000-00-1732</t>
  </si>
  <si>
    <t>094-56-3931</t>
  </si>
  <si>
    <t>000-00-2145</t>
  </si>
  <si>
    <t>079-72-5016</t>
  </si>
  <si>
    <t>059-58-9894</t>
  </si>
  <si>
    <t>130-56-4357</t>
  </si>
  <si>
    <t>108-66-3887</t>
  </si>
  <si>
    <t>584-59-1535</t>
  </si>
  <si>
    <t>081-60-5318</t>
  </si>
  <si>
    <t>000-00-1190</t>
  </si>
  <si>
    <t>108-62-6552</t>
  </si>
  <si>
    <t>125-48-8175</t>
  </si>
  <si>
    <t>074-74-9186</t>
  </si>
  <si>
    <t>260-39-2242</t>
  </si>
  <si>
    <t>056-76-1407</t>
  </si>
  <si>
    <t>000-00-9077</t>
  </si>
  <si>
    <t>092-64-4012</t>
  </si>
  <si>
    <t>122-60-2936</t>
  </si>
  <si>
    <t>092-68-6271</t>
  </si>
  <si>
    <t>062-64-7952</t>
  </si>
  <si>
    <t>581-15-9658</t>
  </si>
  <si>
    <t>119-48-1492</t>
  </si>
  <si>
    <t>122-62-6836</t>
  </si>
  <si>
    <t>127-70-9989</t>
  </si>
  <si>
    <t>085-58-9145</t>
  </si>
  <si>
    <t>107-68-4705</t>
  </si>
  <si>
    <t>418-19-6544</t>
  </si>
  <si>
    <t>147-68-2593</t>
  </si>
  <si>
    <t>102-66-9527</t>
  </si>
  <si>
    <t>133-56-6462</t>
  </si>
  <si>
    <t>070-58-4215</t>
  </si>
  <si>
    <t>085-02-7666</t>
  </si>
  <si>
    <t>122-92-9571</t>
  </si>
  <si>
    <t>073-56-9098</t>
  </si>
  <si>
    <t>103-84-2067</t>
  </si>
  <si>
    <t>093-76-7413</t>
  </si>
  <si>
    <t>121-76-1885</t>
  </si>
  <si>
    <t>054-76-3437</t>
  </si>
  <si>
    <t>000-00-0889</t>
  </si>
  <si>
    <t>037-64-0677</t>
  </si>
  <si>
    <t>449-94-2903</t>
  </si>
  <si>
    <t>089-46-4138</t>
  </si>
  <si>
    <t>111-46-5927</t>
  </si>
  <si>
    <t>243-19-2394</t>
  </si>
  <si>
    <t>061-88-1092</t>
  </si>
  <si>
    <t>580-31-6801</t>
  </si>
  <si>
    <t>119-72-0141</t>
  </si>
  <si>
    <t>091-52-0807</t>
  </si>
  <si>
    <t>580-16-7661</t>
  </si>
  <si>
    <t>110-80-3549</t>
  </si>
  <si>
    <t>368-98-8464</t>
  </si>
  <si>
    <t>100-46-9791</t>
  </si>
  <si>
    <t>106-32-1676</t>
  </si>
  <si>
    <t>056-62-8785</t>
  </si>
  <si>
    <t>116-54-1124</t>
  </si>
  <si>
    <t>066-54-2135</t>
  </si>
  <si>
    <t>057-54-9162</t>
  </si>
  <si>
    <t>096-36-3603</t>
  </si>
  <si>
    <t>125-40-4339</t>
  </si>
  <si>
    <t>729-12-9609</t>
  </si>
  <si>
    <t>087-48-3083</t>
  </si>
  <si>
    <t>062-58-0161</t>
  </si>
  <si>
    <t>532-19-6104</t>
  </si>
  <si>
    <t>099-52-9805</t>
  </si>
  <si>
    <t>099-44-7045</t>
  </si>
  <si>
    <t>078-68-2786</t>
  </si>
  <si>
    <t>119-56-0441</t>
  </si>
  <si>
    <t>000-00-9755</t>
  </si>
  <si>
    <t>061-50-6188</t>
  </si>
  <si>
    <t>351-66-8317</t>
  </si>
  <si>
    <t>091-92-7998</t>
  </si>
  <si>
    <t>076-82-6777</t>
  </si>
  <si>
    <t>054-40-6814</t>
  </si>
  <si>
    <t>123-60-1188</t>
  </si>
  <si>
    <t>125-90-1439</t>
  </si>
  <si>
    <t>580-12-6089</t>
  </si>
  <si>
    <t>058-90-0140</t>
  </si>
  <si>
    <t>074-82-6407</t>
  </si>
  <si>
    <t>094-02-9016</t>
  </si>
  <si>
    <t>128-96-0875</t>
  </si>
  <si>
    <t>087-98-5687</t>
  </si>
  <si>
    <t>104-86-4962</t>
  </si>
  <si>
    <t>073-58-2540</t>
  </si>
  <si>
    <t>114-40-3363</t>
  </si>
  <si>
    <t>085-76-7156</t>
  </si>
  <si>
    <t>000-00-9700</t>
  </si>
  <si>
    <t>051-40-7384</t>
  </si>
  <si>
    <t>052-72-7238</t>
  </si>
  <si>
    <t>474-35-5511</t>
  </si>
  <si>
    <t>065-78-4122</t>
  </si>
  <si>
    <t>241-29-4995</t>
  </si>
  <si>
    <t>075-58-4422</t>
  </si>
  <si>
    <t>120-56-5429</t>
  </si>
  <si>
    <t>099-70-0231</t>
  </si>
  <si>
    <t>238-35-3509</t>
  </si>
  <si>
    <t>082-80-3856</t>
  </si>
  <si>
    <t>115-26-6749</t>
  </si>
  <si>
    <t>592-69-3666</t>
  </si>
  <si>
    <t>730-07-8971</t>
  </si>
  <si>
    <t>112-82-1562</t>
  </si>
  <si>
    <t>116-80-8710</t>
  </si>
  <si>
    <t>129-58-7495</t>
  </si>
  <si>
    <t>067-66-8331</t>
  </si>
  <si>
    <t>092-52-8647</t>
  </si>
  <si>
    <t>102-60-4810</t>
  </si>
  <si>
    <t>054-76-5419</t>
  </si>
  <si>
    <t>096-72-7825</t>
  </si>
  <si>
    <t>248-25-9051</t>
  </si>
  <si>
    <t>123-64-6352</t>
  </si>
  <si>
    <t>059-42-2516</t>
  </si>
  <si>
    <t>109-58-6965</t>
  </si>
  <si>
    <t>093-54-1189</t>
  </si>
  <si>
    <t>063-56-7181</t>
  </si>
  <si>
    <t>101-52-2396</t>
  </si>
  <si>
    <t>057-74-4943</t>
  </si>
  <si>
    <t>089-78-8620</t>
  </si>
  <si>
    <t>055-88-7083</t>
  </si>
  <si>
    <t>059-64-8355</t>
  </si>
  <si>
    <t>106-50-3931</t>
  </si>
  <si>
    <t>000-00-0248</t>
  </si>
  <si>
    <t>134-60-5523</t>
  </si>
  <si>
    <t>119-84-0064</t>
  </si>
  <si>
    <t>058-82-8103</t>
  </si>
  <si>
    <t>092-66-0388</t>
  </si>
  <si>
    <t>121-88-3411</t>
  </si>
  <si>
    <t>102-69-2252</t>
  </si>
  <si>
    <t>134-60-9865</t>
  </si>
  <si>
    <t>121-64-2345</t>
  </si>
  <si>
    <t>000-00-6323</t>
  </si>
  <si>
    <t>112-70-1802</t>
  </si>
  <si>
    <t>104-86-6145</t>
  </si>
  <si>
    <t>092-62-9642</t>
  </si>
  <si>
    <t>153-84-8214</t>
  </si>
  <si>
    <t>058-48-5395</t>
  </si>
  <si>
    <t>111-94-3076</t>
  </si>
  <si>
    <t>107-60-8680</t>
  </si>
  <si>
    <t>094-56-5399</t>
  </si>
  <si>
    <t>108-80-0060</t>
  </si>
  <si>
    <t>000-00-4645</t>
  </si>
  <si>
    <t>133-68-1133</t>
  </si>
  <si>
    <t>092-86-5091</t>
  </si>
  <si>
    <t>059-78-5149</t>
  </si>
  <si>
    <t>086-74-1627</t>
  </si>
  <si>
    <t>121-56-4179</t>
  </si>
  <si>
    <t>422-35-1675</t>
  </si>
  <si>
    <t>089-66-5516</t>
  </si>
  <si>
    <t>126-66-9842</t>
  </si>
  <si>
    <t>000-00-3424</t>
  </si>
  <si>
    <t>065-98-7656</t>
  </si>
  <si>
    <t>074-66-7666</t>
  </si>
  <si>
    <t>118-76-8379</t>
  </si>
  <si>
    <t>114-70-4705</t>
  </si>
  <si>
    <t>057-60-6611</t>
  </si>
  <si>
    <t>061-82-7372</t>
  </si>
  <si>
    <t>061-94-2489</t>
  </si>
  <si>
    <t>108-68-1905</t>
  </si>
  <si>
    <t>134-62-9194</t>
  </si>
  <si>
    <t>100-84-7542</t>
  </si>
  <si>
    <t>097-52-9265</t>
  </si>
  <si>
    <t>090-84-3408</t>
  </si>
  <si>
    <t>119-76-9003</t>
  </si>
  <si>
    <t>074-50-5405</t>
  </si>
  <si>
    <t>117-52-5809</t>
  </si>
  <si>
    <t>116-48-9612</t>
  </si>
  <si>
    <t>087-50-0677</t>
  </si>
  <si>
    <t>133-94-2927</t>
  </si>
  <si>
    <t>000-00-0279</t>
  </si>
  <si>
    <t>064-76-6994</t>
  </si>
  <si>
    <t>082-74-2167</t>
  </si>
  <si>
    <t>000-00-5461</t>
  </si>
  <si>
    <t>134-92-0590</t>
  </si>
  <si>
    <t>053-94-7379</t>
  </si>
  <si>
    <t>068-80-3486</t>
  </si>
  <si>
    <t>115-40-5657</t>
  </si>
  <si>
    <t>067-62-1665</t>
  </si>
  <si>
    <t>485-17-2053</t>
  </si>
  <si>
    <t>084-78-2051</t>
  </si>
  <si>
    <t>076-82-2855</t>
  </si>
  <si>
    <t>090-58-0453</t>
  </si>
  <si>
    <t>106-76-9017</t>
  </si>
  <si>
    <t>000-00-6807</t>
  </si>
  <si>
    <t>086-82-4073</t>
  </si>
  <si>
    <t>Rent Stabilized</t>
  </si>
  <si>
    <t>Unregulated</t>
  </si>
  <si>
    <t>Unregulated – Co-Op</t>
  </si>
  <si>
    <t>Other Subsidized Housing</t>
  </si>
  <si>
    <t>Project-based Sec. 8</t>
  </si>
  <si>
    <t>Rent Controlled</t>
  </si>
  <si>
    <t>Low Income Tax Credit</t>
  </si>
  <si>
    <t>HDFC</t>
  </si>
  <si>
    <t>Public Housing/NYCHA</t>
  </si>
  <si>
    <t>Public Housing</t>
  </si>
  <si>
    <t>Section 8</t>
  </si>
  <si>
    <t>LINC</t>
  </si>
  <si>
    <t>FEPS</t>
  </si>
  <si>
    <t>City FEPS</t>
  </si>
  <si>
    <t>DRIE/SCRIE</t>
  </si>
  <si>
    <t>HASA</t>
  </si>
  <si>
    <t>SEPS</t>
  </si>
  <si>
    <t>HUD VASH</t>
  </si>
  <si>
    <t>11/16/2018</t>
  </si>
  <si>
    <t>05/12/2017</t>
  </si>
  <si>
    <t>11/28/2016</t>
  </si>
  <si>
    <t>07/06/2019</t>
  </si>
  <si>
    <t>07/19/2019</t>
  </si>
  <si>
    <t>Income Waiver</t>
  </si>
  <si>
    <t>Zip Code Waiver</t>
  </si>
  <si>
    <t>FJC Waiver</t>
  </si>
  <si>
    <t>English</t>
  </si>
  <si>
    <t>Spanish</t>
  </si>
  <si>
    <t>Arabic</t>
  </si>
  <si>
    <t>Dutch</t>
  </si>
  <si>
    <t>Korean</t>
  </si>
  <si>
    <t>Japanese</t>
  </si>
  <si>
    <t>French Creole</t>
  </si>
  <si>
    <t>French</t>
  </si>
  <si>
    <t>Mandarin</t>
  </si>
  <si>
    <t>Releases are in the attestation folder</t>
  </si>
  <si>
    <t>Compliance is in 18-1879049</t>
  </si>
  <si>
    <t>Compliance in 18-1875994 attestation section</t>
  </si>
  <si>
    <t>Compliance docs in 18-1876259</t>
  </si>
  <si>
    <t>Compliance is in 18-1879056</t>
  </si>
  <si>
    <t>FY19 Compliance upload 18-1878669</t>
  </si>
  <si>
    <t>All compliance forms are uploaded</t>
  </si>
  <si>
    <t>Compliance in 18-1878653</t>
  </si>
  <si>
    <t>DO</t>
  </si>
  <si>
    <t>DO-HH is over 200%</t>
  </si>
  <si>
    <t>DO-Noted that waiver was approved</t>
  </si>
  <si>
    <t>DO-Docs signed and uploaded</t>
  </si>
  <si>
    <t>Upload in compliance folder</t>
  </si>
  <si>
    <t>DO-noted that waiver was approved - Compliance docs in parent file 18-1875098</t>
  </si>
  <si>
    <t>DO-Noted that waiver was approved / Compliance docs located in parent file #18-1874152</t>
  </si>
  <si>
    <t>Release forms can be found in Attestation upload</t>
  </si>
  <si>
    <t>no face to face - could not obtain compliance docs</t>
  </si>
  <si>
    <t>intake/release forms are in Attestation-compliance folder of parent file #19-1887512</t>
  </si>
  <si>
    <t>Intake release forms are in Attestation-compliance folder</t>
  </si>
  <si>
    <t>Compliance Docs located in parent file 18-1880262</t>
  </si>
  <si>
    <t>compliance docs are in attestation folder</t>
  </si>
  <si>
    <t>intake/releases uploaded</t>
  </si>
  <si>
    <t>Releases are uploaded</t>
  </si>
  <si>
    <t>Consent to Release in 19-1893768</t>
  </si>
  <si>
    <t>releases/packet uploaded</t>
  </si>
  <si>
    <t>Advice Only</t>
  </si>
  <si>
    <t>Attestation &amp; Releases are located in parent file #19-1894682</t>
  </si>
  <si>
    <t>need income waiver for TRC</t>
  </si>
  <si>
    <t>Compliance docs located in 19-1887074</t>
  </si>
  <si>
    <t>Unable to get compliance docs from tenant</t>
  </si>
  <si>
    <t>Compliance forms are in 19-1896739</t>
  </si>
  <si>
    <t>Compliance docs located in companion file #19-1896778</t>
  </si>
  <si>
    <t>HRA Release is  in 19-1896750</t>
  </si>
  <si>
    <t>Compliance forms are 19-1896646</t>
  </si>
  <si>
    <t>Client needs income waiver for TRC</t>
  </si>
  <si>
    <t>uploaded in 18-1876925</t>
  </si>
  <si>
    <t>upload in 18-1876799</t>
  </si>
  <si>
    <t>compliance doc in 18-1881489</t>
  </si>
  <si>
    <t>upload in compliance folder</t>
  </si>
  <si>
    <t>HRA Consent form &amp; Attestation located in Parent File 17-1854274</t>
  </si>
  <si>
    <t>upload in 18-1876941</t>
  </si>
  <si>
    <t>upload in 18-1876913</t>
  </si>
  <si>
    <t>upload in 18-1876828</t>
  </si>
  <si>
    <t>upload in 18-1876793</t>
  </si>
  <si>
    <t>Needs income waiver</t>
  </si>
  <si>
    <t>Compliance docs located in parent file # 19-1893312</t>
  </si>
  <si>
    <t>Income waiver needed for building wide affirmative action</t>
  </si>
  <si>
    <t>Income waiver needed for building wide work - Compliance docs located in parent file #19-1898331</t>
  </si>
  <si>
    <t>Income waiver needed - compliance docs located in companion file #19-1898334</t>
  </si>
  <si>
    <t>Income waiver needed for building wide action</t>
  </si>
  <si>
    <t>Compliance docs located in companion file #19-1895283</t>
  </si>
  <si>
    <t>Compliance Docs located in companion file #19-1897431</t>
  </si>
  <si>
    <t>upload in 17-1852920</t>
  </si>
  <si>
    <t>Upload in 17-1852362</t>
  </si>
  <si>
    <t>Upload in 17-1852179</t>
  </si>
  <si>
    <t>Income waiver for bldg</t>
  </si>
  <si>
    <t>Compliance Docs located in parent file #18-1885168</t>
  </si>
  <si>
    <t>Compliance upload 18-1878653</t>
  </si>
  <si>
    <t>comp docs in 18-1879063</t>
  </si>
  <si>
    <t>upload in 18-1879051</t>
  </si>
  <si>
    <t>Compliance upload 18-1878637</t>
  </si>
  <si>
    <t>upload in 18-1879056</t>
  </si>
  <si>
    <t>see 18-1879063 for comp docs</t>
  </si>
  <si>
    <t>Compliance upload 18-1876272</t>
  </si>
  <si>
    <t>Compliance upload 18-1878669</t>
  </si>
  <si>
    <t>Compliance Docs located in parent file #18-1885030</t>
  </si>
  <si>
    <t>compliance docs located in parent file #18-1885168</t>
  </si>
  <si>
    <t>compliance docs located in parent file #18-1885030</t>
  </si>
  <si>
    <t>Compliance Forms are in 19-1896778</t>
  </si>
  <si>
    <t>NO DHCI ; other forms are in 19-1896750</t>
  </si>
  <si>
    <t>Compliance forms are in 19-1896750</t>
  </si>
  <si>
    <t>Compliance forms are in 19-1896646.</t>
  </si>
  <si>
    <t>Compliance forms are in 19-1896646</t>
  </si>
  <si>
    <t>Compliance forms are in 19-1896778</t>
  </si>
  <si>
    <t>Compliance forms can be found in 19-1896646</t>
  </si>
  <si>
    <t>Compliance Forms are in 19-1896739</t>
  </si>
  <si>
    <t>Compliance Forms are in 19-1896646</t>
  </si>
  <si>
    <t>DO-Client signed income form but staff did not sign it</t>
  </si>
  <si>
    <t>comp docs in attestation file</t>
  </si>
  <si>
    <t>compliance docs located in parent file #18-1873030</t>
  </si>
  <si>
    <t>Release in Attestation  file</t>
  </si>
  <si>
    <t>Releases in Attestation File</t>
  </si>
  <si>
    <t>DO-Docs signed and uploaded-File is under the compliance folder as "Attestation"</t>
  </si>
  <si>
    <t>Compliance Docs located in parent file 18-1882438</t>
  </si>
  <si>
    <t>Attestation can be found in 18-1860318</t>
  </si>
  <si>
    <t>Attestation can be found in 18-1860281</t>
  </si>
  <si>
    <t>Attestation can be found in 18-1860276</t>
  </si>
  <si>
    <t>releases and DHCI in 18-1878370</t>
  </si>
  <si>
    <t>compliance docs in Case No: (19-1895470</t>
  </si>
  <si>
    <t>DV victim - in process of applying for citizenship</t>
  </si>
  <si>
    <t>upload in 17-1853915</t>
  </si>
  <si>
    <t>upload in 17-1835050</t>
  </si>
  <si>
    <t>Compliance Docs located in parent file #19-1892341 incl retainer &amp; attestation</t>
  </si>
  <si>
    <t>All releases are uploaded</t>
  </si>
  <si>
    <t>All releases and forms are uploaded</t>
  </si>
  <si>
    <t>Intake release forms are found in Attestation upload</t>
  </si>
  <si>
    <t>DHCI and HRA forms located in #19-1889315 - Retainer located in #18-1856466</t>
  </si>
  <si>
    <t>DHCI &amp; HRA forms located in file # 19-1889304 - Retainer located in file #17-1844625</t>
  </si>
  <si>
    <t>Compliance docs located in file #17-1844623</t>
  </si>
  <si>
    <t>DHCI and HRA forms located in #19-1889312 -  Retainer located in #17-1844626</t>
  </si>
  <si>
    <t>DHCI &amp; HRA forms located in file #19-1889327- Retainer located in file #18-1882438</t>
  </si>
  <si>
    <t>Compliance Docs located in parent file 18-1856466</t>
  </si>
  <si>
    <t>Compliance Docs located in parent file 18-1856516.</t>
  </si>
  <si>
    <t>Compliance Docs located in parent file 17-1844625</t>
  </si>
  <si>
    <t>Compliance Docs located in parent file 17-1844626</t>
  </si>
  <si>
    <t>Upload is in Compliance folder</t>
  </si>
  <si>
    <t>All forms are uploaded</t>
  </si>
  <si>
    <t>DO-We have Income Waiver as per Jim's note</t>
  </si>
  <si>
    <t>Releases are found in the Attestation folder</t>
  </si>
  <si>
    <t>Jim f/u with client re HRA release</t>
  </si>
  <si>
    <t>Client needs an income waiver for TRC. He's 201.76% of FPL with recurring bills and obligations.</t>
  </si>
  <si>
    <t>Compliance forms and all other documents can be found in original case 18-1872177</t>
  </si>
  <si>
    <t>Retainer located in parent file #18-1874883</t>
  </si>
  <si>
    <t>Waiver obtained in parent file 17-1851102 for which this is an offshoot</t>
  </si>
  <si>
    <t>Compliance docs in 19-1887570</t>
  </si>
  <si>
    <t>Compliance Docs found in parent file 18-1878029</t>
  </si>
  <si>
    <t>Waiver obtained re No DHCI required</t>
  </si>
  <si>
    <t>Wavier for APT Facial Recognition. No DHCI required.</t>
  </si>
  <si>
    <t>Wavier for APT Facial Recognition. No DHCI required. Compliance forms are in 19-1897190</t>
  </si>
  <si>
    <t>Building wide waiver obtained for DHCI form</t>
  </si>
  <si>
    <t>Waiver obtained for APT facial recognition group wide initiative - No DHCI required</t>
  </si>
  <si>
    <t>Waiver obtained - No DHCI required</t>
  </si>
  <si>
    <t>Waiver for APT Facial Recognition. No DHCI required.</t>
  </si>
  <si>
    <t>Wavier for APT facial recognition. No DHCI required.</t>
  </si>
  <si>
    <t>Wavier for APt facial recognition. No DHCI required.</t>
  </si>
  <si>
    <t>Wavier for APT Facial recognition. No DHCI required.</t>
  </si>
  <si>
    <t>Wavier for APT Facial Recogniton. No DHCI required.</t>
  </si>
  <si>
    <t>No DHCI required -Waiver obtained for APT facial recognition building wide initiative</t>
  </si>
  <si>
    <t>Waiver obtained for DHCI re APT bldg wide initiative</t>
  </si>
  <si>
    <t>Waiver for APT Facial recognition. No DHCI required.</t>
  </si>
  <si>
    <t>Building wide waiver obtained for DHCI form - Compliance Docs located in Companion file #19-1897400</t>
  </si>
  <si>
    <t>Wavier for APT Facial Recognition.No DHCI required.</t>
  </si>
  <si>
    <t>Building wide waiver obtained for DHCI form - Compliance Docs located in companion file #19-1897406</t>
  </si>
  <si>
    <t>Building wide waiver obtained for DHCI form -Compliance Doc located in companion file #19-1897349</t>
  </si>
  <si>
    <t>Wavier for APT Facial recognition. No DHCI required</t>
  </si>
  <si>
    <t>Wavier for APT Facial Recogniton. No DHCI Required. Income waiver required</t>
  </si>
  <si>
    <t>Wavier for APT Facial recognition.No DHCI required.</t>
  </si>
  <si>
    <t>Building wide waiver obtained for DHCI form -Compliance Docs located in companion file #19-1897393</t>
  </si>
  <si>
    <t>Building wide waiver obtained for DHCI form. Retainer, Attestation &amp; Release located in companion file #19-1897410</t>
  </si>
  <si>
    <t>Need income waiver. Waiver obtained re No DHCI required</t>
  </si>
  <si>
    <t>Waiver for DHCI obtained for facial recognition building wide initiative- Income waiver required</t>
  </si>
  <si>
    <t>No DHCI required -Waiver obtained for APT facial recognition group wide initiative</t>
  </si>
  <si>
    <t>Waiver for no DHCI required</t>
  </si>
  <si>
    <t>Waiver for APT Facial Recognition. DHCI not required.</t>
  </si>
  <si>
    <t>Wavier for APT facial regonition. No DHCI required.</t>
  </si>
  <si>
    <t>Waiver obtained re No DHCI required. Attestation &amp; Release are housed in parent file #19-1891491</t>
  </si>
  <si>
    <t>Waiver obtained re No DHCI required. Attestation &amp; Release are housed in parent file #19-1891507</t>
  </si>
  <si>
    <t>Waiver obtained re No DHCI required.</t>
  </si>
  <si>
    <t>Compliance forms are 19-1897167</t>
  </si>
  <si>
    <t>Building wide waiver obtained for DHCI form - Compliance Docs located in companion file #19-1897528</t>
  </si>
  <si>
    <t>Compliance forms are in LS 19-1901993</t>
  </si>
  <si>
    <t>Compliance forms are in LS 19-1902020</t>
  </si>
  <si>
    <t>Compliance forms are in 19-1902158</t>
  </si>
  <si>
    <t>Compliance forms are in LS 19-1902001</t>
  </si>
  <si>
    <t>Compliance forms are in original LS 19-1890543</t>
  </si>
  <si>
    <t>Compliance forms are in 19-1898251</t>
  </si>
  <si>
    <t>Waiver obtained - No DHCI required Compliance Docs located in parent file #19-1890532</t>
  </si>
  <si>
    <t>Compliance forms are LS 19-1901977</t>
  </si>
  <si>
    <t>Compliance forms are in 19-1902042</t>
  </si>
  <si>
    <t>Compliance Docs located in parent file #18-1886406</t>
  </si>
  <si>
    <t>Waiver obtained re No DHCI required. Attestation &amp; Release are housed in parent file #19-1891662</t>
  </si>
  <si>
    <t>Compliance forms are in 19-1898732</t>
  </si>
  <si>
    <t>Compliance forms are in original LS 19-1892004</t>
  </si>
  <si>
    <t>Compliance forms are in original LS 19-1891991</t>
  </si>
  <si>
    <t>Compliance forms are LS 19-1901986</t>
  </si>
  <si>
    <t>Compliance Docs located in parent file #18-1878029</t>
  </si>
  <si>
    <t>Compliance forms are in original LS 19-1892678</t>
  </si>
  <si>
    <t>Compliance forms are in 19-1897175</t>
  </si>
  <si>
    <t>Compliance forms are in original LS 19-1892650</t>
  </si>
  <si>
    <t>Compliance forms are in 19-1897843</t>
  </si>
  <si>
    <t>Compliance forms are in 19-1897154</t>
  </si>
  <si>
    <t>Compliance forms are in 19-1898956</t>
  </si>
  <si>
    <t>Waiver obtained re No DHCI required. Attestation &amp; Release are housed in parent file #19-1891604</t>
  </si>
  <si>
    <t>Compliance forms are in original LS 19-1892080</t>
  </si>
  <si>
    <t>Compliance forms are in 19-1902026</t>
  </si>
  <si>
    <t>Compliance forms are in 19-1898987</t>
  </si>
  <si>
    <t>Waiver obtained - No DHCI required Compliance Docs located in parent file #19-1890555</t>
  </si>
  <si>
    <t>Compliance forms are in 19-1897702</t>
  </si>
  <si>
    <t>Compliance forms are in original LS 19-1890177</t>
  </si>
  <si>
    <t>Building wide waiver obtained for DHCI form - Compliance Docs located in companion file #19-1897516</t>
  </si>
  <si>
    <t>Compliance forms are in original LS 19-1890585</t>
  </si>
  <si>
    <t>Compliance forms are in 19-1898383</t>
  </si>
  <si>
    <t>Compliance forms are in LS 19-1902048</t>
  </si>
  <si>
    <t>Waiver obtained for DHCI form</t>
  </si>
  <si>
    <t>Compliance Docs located in parent file #18-1886536</t>
  </si>
  <si>
    <t>Compliance Docs located in parent file #19-1887097</t>
  </si>
  <si>
    <t>DHCI waiver obtained for facial recognition group work</t>
  </si>
  <si>
    <t>Waiver obtained - No DHCI required Compliance Docs located in parent file #19-1890630</t>
  </si>
  <si>
    <t>Compliance forms are in 19-1898037</t>
  </si>
  <si>
    <t>Compliance forms are in original LS 19-1892667</t>
  </si>
  <si>
    <t>Compliance Docs located in parent file #18-1886734</t>
  </si>
  <si>
    <t>Building wide waiver obtained for DHCI form - Compliance Docs located in companion file #19-1897518</t>
  </si>
  <si>
    <t>Waiver obtained - No DHCI required Compliance Docs located in parent file #19-1890579</t>
  </si>
  <si>
    <t>Waiver obtained - No DHCI required Compliance Docs located in parent file #19-1890540</t>
  </si>
  <si>
    <t>Waiver obtained re No DHCI required. Attestation &amp; Release are housed in parent file #19-1891635</t>
  </si>
  <si>
    <t>Compliance form are in original LS 19-1890535</t>
  </si>
  <si>
    <t>Compliance Forms are in orginial LS 19-1891925</t>
  </si>
  <si>
    <t>Compliance forms are in 19-1898376</t>
  </si>
  <si>
    <t>Waiver obtained re No DHCI required. Attestation &amp; Release are housed in parent file #19-1891500</t>
  </si>
  <si>
    <t>Compliance forms are in 19-1898022</t>
  </si>
  <si>
    <t>Waiver obtained - No DHCI required Compliance Docs located in parent file #19-1890561</t>
  </si>
  <si>
    <t>Compliance forms are in original LS 18-1886113</t>
  </si>
  <si>
    <t>Building wide waiver obtained for DHCI form - Needs income waiver</t>
  </si>
  <si>
    <t>Compliance forms are in 19-1898976</t>
  </si>
  <si>
    <t>Compliances forms are in original LS 19-1891891</t>
  </si>
  <si>
    <t>Building wide waiver obtained for DHCI form - Compliance docs located in companion file #19-1897609</t>
  </si>
  <si>
    <t>Compliance Forms are in 19-1897205</t>
  </si>
  <si>
    <t>Building wide waiver obtained for DHCI form - Compliance Docs located in companion file #19-1897534</t>
  </si>
  <si>
    <t>Compliance forms are in 19-1898966</t>
  </si>
  <si>
    <t>Waiver obtained re No DHCI required. Attestation &amp; Release are housed in parent file #19-1891580</t>
  </si>
  <si>
    <t>Compliance forms are in 19-1898243</t>
  </si>
  <si>
    <t>Compliance forms are in original LS 19-1892521</t>
  </si>
  <si>
    <t>Waiver obtained re No DHCI required. Attestation &amp; Release are housed in parent file #19-1891565</t>
  </si>
  <si>
    <t>Compliance forms are in original LS 19-1892069</t>
  </si>
  <si>
    <t>Compliance forms are in original LS 19-1892764</t>
  </si>
  <si>
    <t>Income waiver required. DHCI waiver obtained</t>
  </si>
  <si>
    <t>Compliance Forms are in original LS 19-1892761</t>
  </si>
  <si>
    <t>Compliance forms are in 19-1898404</t>
  </si>
  <si>
    <t>Waiver obtained re No DHCI required. Attestation &amp; Release are housed in parent file #19-1891559</t>
  </si>
  <si>
    <t>Compliance forms are in 19-1898848</t>
  </si>
  <si>
    <t>Compliance forms are in original LS 18-1886109</t>
  </si>
  <si>
    <t>Waiver obtained re No DHCI required. Attestation &amp; Release are housed in parent file #19-1891550</t>
  </si>
  <si>
    <t>Compliance forms are in original LS 19-1892641</t>
  </si>
  <si>
    <t>Compliance Forms are in original LS 19-1890584</t>
  </si>
  <si>
    <t>Compliance forms are in 19-1902056</t>
  </si>
  <si>
    <t>Waiver obtained - No DHCI required Compliance Docs located in parent file #19-1890567</t>
  </si>
  <si>
    <t>Compliance Docs located in parent file #18-1886163</t>
  </si>
  <si>
    <t>Compliance forms are in original LS 19-1892850</t>
  </si>
  <si>
    <t>Compliance forms are in 19-1898845</t>
  </si>
  <si>
    <t>Compliance forms are in 19-1898951</t>
  </si>
  <si>
    <t>Compliance forms are in 19-1898982</t>
  </si>
  <si>
    <t>Waiver obtained re No DHCI required. Attestation &amp; Release are housed in parent file #19-1891594</t>
  </si>
  <si>
    <t>Income waiver required. Waiver obtained re No DHCI required.</t>
  </si>
  <si>
    <t>Compliance Forms are in original LS 19-1890628</t>
  </si>
  <si>
    <t>Compliance Forms are in orginial LS 19-1891940</t>
  </si>
  <si>
    <t>Building wide waiver obtained for DHCI form -Compliance Docs located in companion file #19-1897337</t>
  </si>
  <si>
    <t>Compliance forms are in 19-1898368</t>
  </si>
  <si>
    <t>Building wide waiver obtained for DHCI form - Compliance docs located in companion file #19-1897605</t>
  </si>
  <si>
    <t>Waiver obtained re No DHCI required. Attestation &amp; Release are housed in parent file #19-1891541</t>
  </si>
  <si>
    <t>Compliance forms are in original LS 19-1892863</t>
  </si>
  <si>
    <t>DHCI waiver obtained. Need income waiver</t>
  </si>
  <si>
    <t>Waiver obtained re No DHCI required. Attestation &amp; Release are housed in parent file #19-1891586</t>
  </si>
  <si>
    <t>Complaince forms are in original LS 19-1890550</t>
  </si>
  <si>
    <t>Compliance Forms are in original LS 19-1890581</t>
  </si>
  <si>
    <t>Compliance Forms are in original LS 19-1890575</t>
  </si>
  <si>
    <t>Compliance forms ar ein original LS 19-1890587</t>
  </si>
  <si>
    <t>Waiver for No DHCI required - Compliance docs in parent file #19-1893258</t>
  </si>
  <si>
    <t>Compliance Forms are in original LS 19-1891914</t>
  </si>
  <si>
    <t>Compliance forms are in 19-1898394</t>
  </si>
  <si>
    <t>Waiver obtained - No DHCI required Compliance Docs located in parent file #19-1890552</t>
  </si>
  <si>
    <t>Compliance forms are in 19-1898826</t>
  </si>
  <si>
    <t>Compliance forms are in original LS 19-1891983</t>
  </si>
  <si>
    <t>Complaince forms are in original LS 18-1886541</t>
  </si>
  <si>
    <t>Compliance forms are in 19-1898268</t>
  </si>
  <si>
    <t>Compliance forms are in original LS 19-1889442</t>
  </si>
  <si>
    <t>Compliance forms are in 19-1898259</t>
  </si>
  <si>
    <t>Compliance forms are in original LS 19-1892094</t>
  </si>
  <si>
    <t>All compliance forms in companion file #19-1900011</t>
  </si>
  <si>
    <t>All compliance forms and retainer in companion file #19-1899826</t>
  </si>
  <si>
    <t>Compliance docs located in companion file #19-1900103</t>
  </si>
  <si>
    <t>All compliance forms and retainer in companion file #19-1895279</t>
  </si>
  <si>
    <t>Individual action obo client who is part of a building wide action</t>
  </si>
  <si>
    <t>Zip code waiver needed for new case against building wide initiative client</t>
  </si>
  <si>
    <t>Compliance docs located in companion file #18-1880272</t>
  </si>
  <si>
    <t>Waiver obtained for Dukler building wide HP initiative</t>
  </si>
  <si>
    <t>Still needs attestation &amp; Retainer</t>
  </si>
  <si>
    <t>Compliance docs located in companion file #19-1895289</t>
  </si>
  <si>
    <t>Compliance docs located in companion file #19-1899643 - Income waiver as part of building wide initiative.</t>
  </si>
  <si>
    <t>Compliance docs are located in companion file #18-1879255</t>
  </si>
  <si>
    <t>Compliance docs located in companion file #18-1882154</t>
  </si>
  <si>
    <t>Compliance docs located in companion file #18-1884207</t>
  </si>
  <si>
    <t>Compliance docs located in companion file #18-1876512</t>
  </si>
  <si>
    <t>Compliance docs located in companion file #18-1882164</t>
  </si>
  <si>
    <t>Compliance docs located in parent file #18-1876504</t>
  </si>
  <si>
    <t>Client needs income waiver re group rep  - Compliance docs located in companion file #18-1879248</t>
  </si>
  <si>
    <t>Need income waiver - Compliance docs located in companion file #18-1876511</t>
  </si>
  <si>
    <t>Need income waiver - Compliance docs located in companion file #18-1876516</t>
  </si>
  <si>
    <t>Need income waiver  - compliance docs located in file #18-1876938</t>
  </si>
  <si>
    <t>Income Waiver denied on 7/9/19- Compliance docs located in parent file #18-1880271</t>
  </si>
  <si>
    <t>Income waiver needed?</t>
  </si>
  <si>
    <t>Income Waiver denied on 7/9/19</t>
  </si>
  <si>
    <t>Compliance docs located in companion file #19-1899074</t>
  </si>
  <si>
    <t>Compliance docs, incl Attestation, located in companion file #18-1885020</t>
  </si>
  <si>
    <t>Compliance docs in parent file #18-1876080</t>
  </si>
  <si>
    <t>Counsel Assisted in Filing or Refiling of Answer</t>
  </si>
  <si>
    <t>Filed/Argued/Supplemented Dispositive or other Substantive Motion</t>
  </si>
  <si>
    <t>Counsel Assisted in Filing or Refiling of Answer, Filed/Argued/Supplemented Dispositive or other Substantive Motion</t>
  </si>
  <si>
    <t>Counsel Assisted in Filing or Refiling of Answer, Filed/Argued/Supplemented Dispositive or other Substantive Motion, Filed for an Emergency Order to Show Cause</t>
  </si>
  <si>
    <t>Filed for an Emergency Order to Show Cause</t>
  </si>
  <si>
    <t>Case Resolved without Judgment of Eviction Against Client</t>
  </si>
  <si>
    <t>Case Discontinued/Dismissed/Landlord Fails to Prosecute</t>
  </si>
  <si>
    <t>Case Discontinued/Dismissed/Landlord Fails to Prosecute, Obtain Ongoing Rent Subsidy</t>
  </si>
  <si>
    <t>Obtain Ongoing Rent Subsidy</t>
  </si>
  <si>
    <t>Case Discontinued/Dismissed/Landlord Fails to Prosecute, Case Resolved without Judgment of Eviction Against Client, Secured Order or Agreement for Repairs in Apartment/Building</t>
  </si>
  <si>
    <t>Secured Rent Reduction</t>
  </si>
  <si>
    <t>Secured Order or Agreement for Repairs in Apartment/Building, Secured Rent Reduction</t>
  </si>
  <si>
    <t>Case Resolved without Judgment of Eviction Against Client, Other, Secured Order or Agreement for Repairs in Apartment/Building, Secured Rent Abatement, Secured Rent Reduction</t>
  </si>
  <si>
    <t>Secured Order or Agreement for Repairs in Apartment/Building</t>
  </si>
  <si>
    <t>Case Discontinued/Dismissed/Landlord Fails to Prosecute, Case Resolved without Judgment of Eviction Against Client, Obtained Negotiated Buyout, Secured Order or Agreement for Repairs in Apartment/Building</t>
  </si>
  <si>
    <t>Case Discontinued/Dismissed/Landlord Fails to Prosecute, Case Resolved without Judgment of Eviction Against Client, Obtained Negotiated Buyout, Secured 6 Months or Longer in Residence, Secured Order or Agreement for Repairs in Apartment/Building</t>
  </si>
  <si>
    <t>Case Discontinued/Dismissed/Landlord Fails to Prosecute, Case Resolved without Judgment of Eviction Against Client, Obtained Negotiated Buyout, Secured 6 Months or Longer in Residence</t>
  </si>
  <si>
    <t>Obtained Negotiated Buyout</t>
  </si>
  <si>
    <t>Obtained Renewal of Lease</t>
  </si>
  <si>
    <t>Client Required to be Displaced from Residence</t>
  </si>
  <si>
    <t>Client Allowed to Remain in Residence</t>
  </si>
  <si>
    <t>Attorney Withdrew</t>
  </si>
  <si>
    <t>2018-08-13</t>
  </si>
  <si>
    <t>2018-10-25</t>
  </si>
  <si>
    <t>2018-10-11</t>
  </si>
  <si>
    <t>2018-10-02</t>
  </si>
  <si>
    <t>2018-11-29</t>
  </si>
  <si>
    <t>2019-01-22</t>
  </si>
  <si>
    <t>2019-05-17</t>
  </si>
  <si>
    <t>2018-11-15</t>
  </si>
  <si>
    <t>2019-05-21</t>
  </si>
  <si>
    <t>2019-04-30</t>
  </si>
  <si>
    <t>2019-06-18</t>
  </si>
  <si>
    <t>2019-04-25</t>
  </si>
  <si>
    <t>2019-04-04</t>
  </si>
  <si>
    <t>2019-01-14</t>
  </si>
  <si>
    <t>2019-02-28</t>
  </si>
  <si>
    <t>2019-06-28</t>
  </si>
  <si>
    <t>2018-07-30</t>
  </si>
  <si>
    <t>2018-11-28</t>
  </si>
  <si>
    <t>2018-10-29</t>
  </si>
  <si>
    <t>2018-08-08</t>
  </si>
  <si>
    <t>2019-03-12</t>
  </si>
  <si>
    <t>2019-03-14</t>
  </si>
  <si>
    <t>2018-11-30</t>
  </si>
  <si>
    <t>2018-11-16</t>
  </si>
  <si>
    <t>2019-11-05</t>
  </si>
  <si>
    <t>2019-01-30</t>
  </si>
  <si>
    <t>2019-03-11</t>
  </si>
  <si>
    <t>2019-06-26</t>
  </si>
  <si>
    <t>2019-01-24</t>
  </si>
  <si>
    <t>2019-01-31</t>
  </si>
  <si>
    <t>2019-06-02</t>
  </si>
  <si>
    <t>2019-05-06</t>
  </si>
  <si>
    <t>2019-05-01</t>
  </si>
  <si>
    <t>2019-06-27</t>
  </si>
  <si>
    <t>2019-04-29</t>
  </si>
  <si>
    <t>2018-10-15</t>
  </si>
  <si>
    <t>2018-11-14</t>
  </si>
  <si>
    <t>2019-02-25</t>
  </si>
  <si>
    <t>2018-09-28</t>
  </si>
  <si>
    <t>2019-05-14</t>
  </si>
  <si>
    <t>05/10/2019</t>
  </si>
  <si>
    <t>07/11/2019</t>
  </si>
  <si>
    <t>06/16/2019</t>
  </si>
  <si>
    <t>06/26/2019</t>
  </si>
  <si>
    <t>07/15/2019</t>
  </si>
  <si>
    <t>06/07/2019</t>
  </si>
  <si>
    <t>06/11/2019</t>
  </si>
  <si>
    <t>07/12/2019</t>
  </si>
  <si>
    <t>04/26/2019</t>
  </si>
  <si>
    <t>10/19/2018</t>
  </si>
  <si>
    <t>04/20/2019</t>
  </si>
  <si>
    <t>06/19/2018</t>
  </si>
  <si>
    <t>09/13/2018</t>
  </si>
  <si>
    <t>05/04/2018</t>
  </si>
  <si>
    <t>12/05/2017</t>
  </si>
  <si>
    <t>11/06/2018</t>
  </si>
  <si>
    <t>07/03/2019</t>
  </si>
  <si>
    <t>06/18/2018</t>
  </si>
  <si>
    <t>03/19/2018</t>
  </si>
  <si>
    <t>07/05/2019</t>
  </si>
  <si>
    <t>Escobar, Sarah</t>
  </si>
  <si>
    <t>St. Louis, Bianca</t>
  </si>
  <si>
    <t>Ross, Jasmine</t>
  </si>
  <si>
    <t>Morales-Robinson, Ana</t>
  </si>
  <si>
    <t>Wilson-Wieland, Cherille</t>
  </si>
  <si>
    <t>Lane, Diane</t>
  </si>
  <si>
    <t>Frias De Sosa, Yajaira</t>
  </si>
  <si>
    <t>Ortega, Luis</t>
  </si>
  <si>
    <t>Baldova, Maria</t>
  </si>
  <si>
    <t>Pierre, Haenley</t>
  </si>
  <si>
    <t>Yeasmin, Sarzah</t>
  </si>
  <si>
    <t>Wong, Angela</t>
  </si>
  <si>
    <t>Djourab, Atteib</t>
  </si>
  <si>
    <t>Dong, Sean</t>
  </si>
  <si>
    <t>Amponsah, Oheneba</t>
  </si>
  <si>
    <t>Moss, Julieta</t>
  </si>
  <si>
    <t>Johnson, Chantal</t>
  </si>
  <si>
    <t>Landry-Reyes, Jane</t>
  </si>
  <si>
    <t>Hernandez, Marisol</t>
  </si>
  <si>
    <t>Ventura, Alejandro</t>
  </si>
  <si>
    <t>Guzman Velazquez, Leida</t>
  </si>
  <si>
    <t>Villanueva, Anthony</t>
  </si>
  <si>
    <t>St. Marie, Monique</t>
  </si>
  <si>
    <t>Pujols, Isabel</t>
  </si>
  <si>
    <t>Baptiste, Sharon</t>
  </si>
  <si>
    <t>Khanam, Aysha</t>
  </si>
  <si>
    <t>63 Private Landlord/Tenant</t>
  </si>
  <si>
    <t>01 Bankruptcy/Debtor Relief</t>
  </si>
  <si>
    <t>69 Other Housing</t>
  </si>
  <si>
    <t>66 Housing Discrimination</t>
  </si>
  <si>
    <t>71 TANF</t>
  </si>
  <si>
    <t>61 Federally Subsidized Housing</t>
  </si>
  <si>
    <t>64 Public Housing</t>
  </si>
  <si>
    <t>67 Mortgage Foreclosures (Not Predatory Lending/Practices)</t>
  </si>
  <si>
    <t>07 Public Utilities</t>
  </si>
  <si>
    <t>3018 Tenant Rights Coalition (TRC)</t>
  </si>
  <si>
    <t>3011 TRC FJC Initiative</t>
  </si>
  <si>
    <t>Pongnon, Miouly</t>
  </si>
  <si>
    <t>03/20/2018</t>
  </si>
  <si>
    <t>12/12/2016</t>
  </si>
  <si>
    <t>04/26/2018</t>
  </si>
  <si>
    <t>05/11/2018</t>
  </si>
  <si>
    <t>03/27/2017</t>
  </si>
  <si>
    <t>01/24/2017</t>
  </si>
  <si>
    <t>10/19/2017</t>
  </si>
  <si>
    <t>04/17/2017</t>
  </si>
  <si>
    <t>04/17/2018</t>
  </si>
  <si>
    <t>05/29/2015</t>
  </si>
  <si>
    <t>06/01/2015</t>
  </si>
  <si>
    <t>07/13/2015</t>
  </si>
  <si>
    <t>07/18/2018</t>
  </si>
  <si>
    <t>06/20/2018</t>
  </si>
  <si>
    <t>12/28/2017</t>
  </si>
  <si>
    <t>03/27/2018</t>
  </si>
  <si>
    <t>06/12/2018</t>
  </si>
  <si>
    <t>06/14/2018</t>
  </si>
  <si>
    <t>02/27/2018</t>
  </si>
  <si>
    <t>05/27/2017</t>
  </si>
  <si>
    <t>05/18/2018</t>
  </si>
  <si>
    <t>12/05/2016</t>
  </si>
  <si>
    <t>02/10/2017</t>
  </si>
  <si>
    <t>02/05/2018</t>
  </si>
  <si>
    <t>03/09/2018</t>
  </si>
  <si>
    <t>02/01/2017</t>
  </si>
  <si>
    <t>07/03/2018</t>
  </si>
  <si>
    <t>05/17/2018</t>
  </si>
  <si>
    <t>06/11/2018</t>
  </si>
  <si>
    <t>11/21/2017</t>
  </si>
  <si>
    <t>05/23/2018</t>
  </si>
  <si>
    <t>Marquise</t>
  </si>
  <si>
    <t>Steven</t>
  </si>
  <si>
    <t>Connie</t>
  </si>
  <si>
    <t>Diasia</t>
  </si>
  <si>
    <t>Octavia</t>
  </si>
  <si>
    <t>Irma</t>
  </si>
  <si>
    <t>Bruce</t>
  </si>
  <si>
    <t>Edwin</t>
  </si>
  <si>
    <t>Debora</t>
  </si>
  <si>
    <t>Tony</t>
  </si>
  <si>
    <t>Assel</t>
  </si>
  <si>
    <t>Edilma</t>
  </si>
  <si>
    <t>Franscisco</t>
  </si>
  <si>
    <t>Emily</t>
  </si>
  <si>
    <t>Jaycee</t>
  </si>
  <si>
    <t>Eunice</t>
  </si>
  <si>
    <t>Calvin</t>
  </si>
  <si>
    <t>Tara</t>
  </si>
  <si>
    <t>Belkise</t>
  </si>
  <si>
    <t>Marina</t>
  </si>
  <si>
    <t>Sabrena</t>
  </si>
  <si>
    <t>Valerine</t>
  </si>
  <si>
    <t>Bernard</t>
  </si>
  <si>
    <t>Henriette</t>
  </si>
  <si>
    <t>Marcia</t>
  </si>
  <si>
    <t>Marea</t>
  </si>
  <si>
    <t>Lily</t>
  </si>
  <si>
    <t>Akemi</t>
  </si>
  <si>
    <t>Taiwo</t>
  </si>
  <si>
    <t>Morenike</t>
  </si>
  <si>
    <t>Juleen</t>
  </si>
  <si>
    <t>Carlos</t>
  </si>
  <si>
    <t>Ronald</t>
  </si>
  <si>
    <t>Wendy</t>
  </si>
  <si>
    <t>Ralph</t>
  </si>
  <si>
    <t>Shamilia</t>
  </si>
  <si>
    <t>Andrej</t>
  </si>
  <si>
    <t>Cindy</t>
  </si>
  <si>
    <t>Sophia</t>
  </si>
  <si>
    <t>Damary</t>
  </si>
  <si>
    <t>Tyrone</t>
  </si>
  <si>
    <t>Kristen</t>
  </si>
  <si>
    <t>Thyias</t>
  </si>
  <si>
    <t>Julio</t>
  </si>
  <si>
    <t>Misael</t>
  </si>
  <si>
    <t>Renison</t>
  </si>
  <si>
    <t>Sherma</t>
  </si>
  <si>
    <t>Corrine</t>
  </si>
  <si>
    <t>Tiffany</t>
  </si>
  <si>
    <t>Fredy</t>
  </si>
  <si>
    <t>Frantonya</t>
  </si>
  <si>
    <t>Metania</t>
  </si>
  <si>
    <t>Dovear</t>
  </si>
  <si>
    <t>Zakkiyah</t>
  </si>
  <si>
    <t>Hilkia</t>
  </si>
  <si>
    <t>Eva</t>
  </si>
  <si>
    <t>Charles</t>
  </si>
  <si>
    <t>Yonette</t>
  </si>
  <si>
    <t>Clyde</t>
  </si>
  <si>
    <t>Bonnie</t>
  </si>
  <si>
    <t>Adjante</t>
  </si>
  <si>
    <t>Jamel</t>
  </si>
  <si>
    <t>Marcel</t>
  </si>
  <si>
    <t>Faye</t>
  </si>
  <si>
    <t>Caroline</t>
  </si>
  <si>
    <t>Devor</t>
  </si>
  <si>
    <t>Jamiylah</t>
  </si>
  <si>
    <t>Linessa</t>
  </si>
  <si>
    <t>Mariana</t>
  </si>
  <si>
    <t>Chanavia</t>
  </si>
  <si>
    <t>Angellica</t>
  </si>
  <si>
    <t>Victoria</t>
  </si>
  <si>
    <t>Yuriy</t>
  </si>
  <si>
    <t>Yukie</t>
  </si>
  <si>
    <t>Christy</t>
  </si>
  <si>
    <t>Rahiem</t>
  </si>
  <si>
    <t>Joan</t>
  </si>
  <si>
    <t>Salvatore</t>
  </si>
  <si>
    <t>Ayodel</t>
  </si>
  <si>
    <t>Madeline</t>
  </si>
  <si>
    <t>Bertin</t>
  </si>
  <si>
    <t>Gildania</t>
  </si>
  <si>
    <t>Shavarn</t>
  </si>
  <si>
    <t>Manisha</t>
  </si>
  <si>
    <t>Joanne</t>
  </si>
  <si>
    <t>Kashif</t>
  </si>
  <si>
    <t>Cathleen</t>
  </si>
  <si>
    <t>Timothy</t>
  </si>
  <si>
    <t>Diedre</t>
  </si>
  <si>
    <t>Winnifred</t>
  </si>
  <si>
    <t>Destiny</t>
  </si>
  <si>
    <t>Sheniqua</t>
  </si>
  <si>
    <t>Marien</t>
  </si>
  <si>
    <t>Atiya</t>
  </si>
  <si>
    <t>Mark</t>
  </si>
  <si>
    <t>Maurenee</t>
  </si>
  <si>
    <t>Curtis</t>
  </si>
  <si>
    <t>Al</t>
  </si>
  <si>
    <t>Bridges</t>
  </si>
  <si>
    <t>Yolanda</t>
  </si>
  <si>
    <t>Parys</t>
  </si>
  <si>
    <t>Louise</t>
  </si>
  <si>
    <t>Chantal</t>
  </si>
  <si>
    <t>Nastassja</t>
  </si>
  <si>
    <t>Virginia</t>
  </si>
  <si>
    <t>Isha</t>
  </si>
  <si>
    <t>Willy</t>
  </si>
  <si>
    <t>Devora-Orit</t>
  </si>
  <si>
    <t>Malana</t>
  </si>
  <si>
    <t>Kyianna</t>
  </si>
  <si>
    <t>Stefano</t>
  </si>
  <si>
    <t>Leon</t>
  </si>
  <si>
    <t>Keneeda</t>
  </si>
  <si>
    <t>Cavita</t>
  </si>
  <si>
    <t>Madge</t>
  </si>
  <si>
    <t>Tiney</t>
  </si>
  <si>
    <t>Moses</t>
  </si>
  <si>
    <t>Nikisha</t>
  </si>
  <si>
    <t>Ashley</t>
  </si>
  <si>
    <t>Marc</t>
  </si>
  <si>
    <t>Marylin</t>
  </si>
  <si>
    <t>Jenine</t>
  </si>
  <si>
    <t>Nando</t>
  </si>
  <si>
    <t>Semantha</t>
  </si>
  <si>
    <t>Curline</t>
  </si>
  <si>
    <t>Adele</t>
  </si>
  <si>
    <t>Donnie</t>
  </si>
  <si>
    <t>Darrin</t>
  </si>
  <si>
    <t>Patsy</t>
  </si>
  <si>
    <t>Deloris</t>
  </si>
  <si>
    <t>Maurice</t>
  </si>
  <si>
    <t>Kimberly</t>
  </si>
  <si>
    <t>Goug</t>
  </si>
  <si>
    <t>Ayanna</t>
  </si>
  <si>
    <t>Sherika</t>
  </si>
  <si>
    <t>Kaydian</t>
  </si>
  <si>
    <t>Carmel</t>
  </si>
  <si>
    <t>Ofelia</t>
  </si>
  <si>
    <t>Emerson</t>
  </si>
  <si>
    <t>Shirley</t>
  </si>
  <si>
    <t>Markeek</t>
  </si>
  <si>
    <t>Marjeth</t>
  </si>
  <si>
    <t>Odetta</t>
  </si>
  <si>
    <t>Jenaire</t>
  </si>
  <si>
    <t>Felia</t>
  </si>
  <si>
    <t>Karla</t>
  </si>
  <si>
    <t>Rosa</t>
  </si>
  <si>
    <t>Latrice</t>
  </si>
  <si>
    <t>Dawna</t>
  </si>
  <si>
    <t>Jashel</t>
  </si>
  <si>
    <t>Blowe</t>
  </si>
  <si>
    <t>Altman</t>
  </si>
  <si>
    <t>Duncan</t>
  </si>
  <si>
    <t>Peterson</t>
  </si>
  <si>
    <t>McWilliams</t>
  </si>
  <si>
    <t>Arroyo</t>
  </si>
  <si>
    <t>Angus</t>
  </si>
  <si>
    <t>Decarmine</t>
  </si>
  <si>
    <t>Zaldivar</t>
  </si>
  <si>
    <t>Asforis</t>
  </si>
  <si>
    <t>Santana</t>
  </si>
  <si>
    <t>Tillman</t>
  </si>
  <si>
    <t>Lucca</t>
  </si>
  <si>
    <t>Birney</t>
  </si>
  <si>
    <t>Lord</t>
  </si>
  <si>
    <t>Abreu</t>
  </si>
  <si>
    <t>Velez</t>
  </si>
  <si>
    <t>Servil</t>
  </si>
  <si>
    <t>Baez</t>
  </si>
  <si>
    <t>Montero</t>
  </si>
  <si>
    <t>Zetrenne</t>
  </si>
  <si>
    <t>Mcfadden</t>
  </si>
  <si>
    <t>Sherman</t>
  </si>
  <si>
    <t>Carrasquillo</t>
  </si>
  <si>
    <t>Mahon</t>
  </si>
  <si>
    <t>Ferguson</t>
  </si>
  <si>
    <t>Gittens</t>
  </si>
  <si>
    <t>Gomez</t>
  </si>
  <si>
    <t>Eberhart</t>
  </si>
  <si>
    <t>Moss</t>
  </si>
  <si>
    <t>Pariser</t>
  </si>
  <si>
    <t>Tanzil-Onne</t>
  </si>
  <si>
    <t>Miyamoto</t>
  </si>
  <si>
    <t>Gardner</t>
  </si>
  <si>
    <t>Adesina</t>
  </si>
  <si>
    <t>Lambert</t>
  </si>
  <si>
    <t>Alvarez</t>
  </si>
  <si>
    <t>Foy</t>
  </si>
  <si>
    <t>Tranquada</t>
  </si>
  <si>
    <t>Knight</t>
  </si>
  <si>
    <t>McCord</t>
  </si>
  <si>
    <t>Matthews</t>
  </si>
  <si>
    <t>Cruz Lopez</t>
  </si>
  <si>
    <t>Klewicki</t>
  </si>
  <si>
    <t>Ramos</t>
  </si>
  <si>
    <t>Gatling</t>
  </si>
  <si>
    <t>Taylor</t>
  </si>
  <si>
    <t>Bank</t>
  </si>
  <si>
    <t>Marcano</t>
  </si>
  <si>
    <t>Hilario</t>
  </si>
  <si>
    <t>Chavarria</t>
  </si>
  <si>
    <t>Ruzzo</t>
  </si>
  <si>
    <t>Perez</t>
  </si>
  <si>
    <t>Aronowitz</t>
  </si>
  <si>
    <t>Butler</t>
  </si>
  <si>
    <t>Tatum</t>
  </si>
  <si>
    <t>Short</t>
  </si>
  <si>
    <t>Machuca</t>
  </si>
  <si>
    <t>Murray</t>
  </si>
  <si>
    <t>Calhoun</t>
  </si>
  <si>
    <t>Virella</t>
  </si>
  <si>
    <t>Gonda</t>
  </si>
  <si>
    <t>Wooden</t>
  </si>
  <si>
    <t>Parris</t>
  </si>
  <si>
    <t>Reid</t>
  </si>
  <si>
    <t>Ruebenstahl</t>
  </si>
  <si>
    <t>Smoots</t>
  </si>
  <si>
    <t>Wint</t>
  </si>
  <si>
    <t>Joe</t>
  </si>
  <si>
    <t>Pestano</t>
  </si>
  <si>
    <t>Dale</t>
  </si>
  <si>
    <t>Strickland</t>
  </si>
  <si>
    <t>Pearson</t>
  </si>
  <si>
    <t>Douglas</t>
  </si>
  <si>
    <t>Cardena</t>
  </si>
  <si>
    <t>Piedrahita</t>
  </si>
  <si>
    <t>Womble</t>
  </si>
  <si>
    <t>Lyashchenko</t>
  </si>
  <si>
    <t>Robtoy</t>
  </si>
  <si>
    <t>Florio</t>
  </si>
  <si>
    <t>Hinkson</t>
  </si>
  <si>
    <t>Chambers</t>
  </si>
  <si>
    <t>Saglembeni</t>
  </si>
  <si>
    <t>Mercado</t>
  </si>
  <si>
    <t>Osuala</t>
  </si>
  <si>
    <t>Willis</t>
  </si>
  <si>
    <t>Garduno</t>
  </si>
  <si>
    <t>Castillo</t>
  </si>
  <si>
    <t>Canady</t>
  </si>
  <si>
    <t>Gibbs</t>
  </si>
  <si>
    <t>Ashanti</t>
  </si>
  <si>
    <t>Mungin</t>
  </si>
  <si>
    <t>Simpson</t>
  </si>
  <si>
    <t>Weathers</t>
  </si>
  <si>
    <t>Keitt</t>
  </si>
  <si>
    <t>Padilla</t>
  </si>
  <si>
    <t>Medrano</t>
  </si>
  <si>
    <t>Ulysse</t>
  </si>
  <si>
    <t>Dance</t>
  </si>
  <si>
    <t>Cousins</t>
  </si>
  <si>
    <t>Cousin</t>
  </si>
  <si>
    <t>Cheeseboro</t>
  </si>
  <si>
    <t>Montalvo</t>
  </si>
  <si>
    <t>Bryant</t>
  </si>
  <si>
    <t>Epps</t>
  </si>
  <si>
    <t>Grimes</t>
  </si>
  <si>
    <t>Carroll</t>
  </si>
  <si>
    <t>Borrero</t>
  </si>
  <si>
    <t>Jimenez Perez</t>
  </si>
  <si>
    <t>Dotson</t>
  </si>
  <si>
    <t>Pagan</t>
  </si>
  <si>
    <t>Wiggins</t>
  </si>
  <si>
    <t>Ahfor</t>
  </si>
  <si>
    <t>Reese</t>
  </si>
  <si>
    <t>Ackah</t>
  </si>
  <si>
    <t>Ramdial</t>
  </si>
  <si>
    <t>Dawkins</t>
  </si>
  <si>
    <t>Whetstone</t>
  </si>
  <si>
    <t>Henriques</t>
  </si>
  <si>
    <t>Minott</t>
  </si>
  <si>
    <t>Bynes</t>
  </si>
  <si>
    <t>Ladson</t>
  </si>
  <si>
    <t>Mays</t>
  </si>
  <si>
    <t>Paredes</t>
  </si>
  <si>
    <t>Hopeman</t>
  </si>
  <si>
    <t>Cantrell</t>
  </si>
  <si>
    <t>Small</t>
  </si>
  <si>
    <t>Lindsey</t>
  </si>
  <si>
    <t>Vandross</t>
  </si>
  <si>
    <t>Bourne</t>
  </si>
  <si>
    <t>Cohn</t>
  </si>
  <si>
    <t>Hill</t>
  </si>
  <si>
    <t>Freckleton</t>
  </si>
  <si>
    <t>Rios</t>
  </si>
  <si>
    <t>Herndon</t>
  </si>
  <si>
    <t>Leicher</t>
  </si>
  <si>
    <t>Swain</t>
  </si>
  <si>
    <t>Carrington</t>
  </si>
  <si>
    <t>Chery</t>
  </si>
  <si>
    <t>Prince</t>
  </si>
  <si>
    <t>McKenzie</t>
  </si>
  <si>
    <t>Azeez</t>
  </si>
  <si>
    <t>562 Bainbridge St</t>
  </si>
  <si>
    <t>13 Columbus Pl</t>
  </si>
  <si>
    <t>2573 Atlantic Ave</t>
  </si>
  <si>
    <t>2342 Atlantic Ave</t>
  </si>
  <si>
    <t>584 Logan St</t>
  </si>
  <si>
    <t>787 Linwood St</t>
  </si>
  <si>
    <t>580 Bristol St</t>
  </si>
  <si>
    <t>87 E 93rd St</t>
  </si>
  <si>
    <t>1132 Loring Ave</t>
  </si>
  <si>
    <t>44 Euclid Ave</t>
  </si>
  <si>
    <t>802 Miller ave</t>
  </si>
  <si>
    <t>1036 Winthrop St</t>
  </si>
  <si>
    <t>494 Georgia Ave</t>
  </si>
  <si>
    <t>456 Autum Avenue</t>
  </si>
  <si>
    <t>81 Pilling St</t>
  </si>
  <si>
    <t>182 Riverdale Ave</t>
  </si>
  <si>
    <t>481 Lincoln Ave</t>
  </si>
  <si>
    <t>222 Sheridan Ave</t>
  </si>
  <si>
    <t>859 Belmont Ave</t>
  </si>
  <si>
    <t>790 Eldert Ln</t>
  </si>
  <si>
    <t>81 Milford St</t>
  </si>
  <si>
    <t>54 Sunnyside Ave</t>
  </si>
  <si>
    <t>431 New Lots Ave</t>
  </si>
  <si>
    <t>9601 Church ave</t>
  </si>
  <si>
    <t>558 Ridgewood Ave</t>
  </si>
  <si>
    <t>54 Osborn St</t>
  </si>
  <si>
    <t>1749 Linden Blvd</t>
  </si>
  <si>
    <t>1430 Bergen St</t>
  </si>
  <si>
    <t>1083a Prospect Pl</t>
  </si>
  <si>
    <t>243 Kingston Ave</t>
  </si>
  <si>
    <t>955 Crescent St</t>
  </si>
  <si>
    <t>1940 Pacific St</t>
  </si>
  <si>
    <t>206 Newport St</t>
  </si>
  <si>
    <t>244 Sumpter St</t>
  </si>
  <si>
    <t>1206 Bergen St</t>
  </si>
  <si>
    <t>780 Macdonough St</t>
  </si>
  <si>
    <t>63 Hull St</t>
  </si>
  <si>
    <t>501 Hegeman Ave</t>
  </si>
  <si>
    <t>176 Mckinley Ave</t>
  </si>
  <si>
    <t>1370 Eastern Pkwy</t>
  </si>
  <si>
    <t>719 Chauncey St</t>
  </si>
  <si>
    <t>740 Sutter Ave</t>
  </si>
  <si>
    <t>785 Belmont Ave</t>
  </si>
  <si>
    <t>630 Riverdale Ave</t>
  </si>
  <si>
    <t>604 Midwood St</t>
  </si>
  <si>
    <t>1769 Park pl</t>
  </si>
  <si>
    <t>781 Herkimer St</t>
  </si>
  <si>
    <t>96 E 93rd St</t>
  </si>
  <si>
    <t>77 Sheffield Ave</t>
  </si>
  <si>
    <t>205 Sumpter St</t>
  </si>
  <si>
    <t>975 42nd St</t>
  </si>
  <si>
    <t>2180 Fulton St</t>
  </si>
  <si>
    <t>452 53rd St</t>
  </si>
  <si>
    <t>1004 Montgomery st</t>
  </si>
  <si>
    <t>2092 Dean St</t>
  </si>
  <si>
    <t>1429 Carroll St</t>
  </si>
  <si>
    <t>223 Van Siclen Ave</t>
  </si>
  <si>
    <t>163 Madison St</t>
  </si>
  <si>
    <t>1096 President St</t>
  </si>
  <si>
    <t>263 Prospect Park W</t>
  </si>
  <si>
    <t>202a Saratoga Ave</t>
  </si>
  <si>
    <t>566 Parkside Ave</t>
  </si>
  <si>
    <t>47 Menahan St</t>
  </si>
  <si>
    <t>902 47th St</t>
  </si>
  <si>
    <t>575 Herkimer St</t>
  </si>
  <si>
    <t>250 E 93rd St</t>
  </si>
  <si>
    <t>1322 Saint Marks Ave</t>
  </si>
  <si>
    <t>28 Hill St</t>
  </si>
  <si>
    <t>1003 willmohr st</t>
  </si>
  <si>
    <t>731 LInden blvd</t>
  </si>
  <si>
    <t>48 Van Siclen Ave</t>
  </si>
  <si>
    <t>1869 Eastern Pkwy</t>
  </si>
  <si>
    <t>244a Macdougal St</t>
  </si>
  <si>
    <t>1085 Belmont Ave</t>
  </si>
  <si>
    <t>108 Central Ave</t>
  </si>
  <si>
    <t>7022 Ridge Blvd</t>
  </si>
  <si>
    <t>1922 Pacific St</t>
  </si>
  <si>
    <t>913 Belmont Ave</t>
  </si>
  <si>
    <t>2160 dean st</t>
  </si>
  <si>
    <t>301 100th St</t>
  </si>
  <si>
    <t>401 Macon St</t>
  </si>
  <si>
    <t>166 Linwood St</t>
  </si>
  <si>
    <t>1325 Eastern Pkwy</t>
  </si>
  <si>
    <t>274 Forbell St</t>
  </si>
  <si>
    <t>490 Williams Ave</t>
  </si>
  <si>
    <t>1381 Linden Blvd</t>
  </si>
  <si>
    <t>8523 Avenue J</t>
  </si>
  <si>
    <t>1637 Saint Marks Ave</t>
  </si>
  <si>
    <t>1295 Blake Ave</t>
  </si>
  <si>
    <t>30 3rd Ave</t>
  </si>
  <si>
    <t>1132 Halsey St</t>
  </si>
  <si>
    <t>24 Furman Ave</t>
  </si>
  <si>
    <t>961 42nd St</t>
  </si>
  <si>
    <t>656 Howard Ave</t>
  </si>
  <si>
    <t>40 N 4th St</t>
  </si>
  <si>
    <t>699 Pennsylvania Ave</t>
  </si>
  <si>
    <t>820 Ocean Pkwy</t>
  </si>
  <si>
    <t>439A Blake ave</t>
  </si>
  <si>
    <t>331 Etna St</t>
  </si>
  <si>
    <t>1845 Ocean Ave</t>
  </si>
  <si>
    <t>569 Osborn St</t>
  </si>
  <si>
    <t>233 87th St</t>
  </si>
  <si>
    <t>557 E 80th St</t>
  </si>
  <si>
    <t>720 Belmont Ave</t>
  </si>
  <si>
    <t>1462 Bushwick Ave</t>
  </si>
  <si>
    <t>747 Macdonough St</t>
  </si>
  <si>
    <t>94 Chauncey St</t>
  </si>
  <si>
    <t>1149 Elton St</t>
  </si>
  <si>
    <t>2192 Dean St</t>
  </si>
  <si>
    <t>415 Lincoln Ave</t>
  </si>
  <si>
    <t>793 Van Sinderen Ave</t>
  </si>
  <si>
    <t>63 Nichols Ave</t>
  </si>
  <si>
    <t>2044 Bergen St</t>
  </si>
  <si>
    <t>335 Marion St</t>
  </si>
  <si>
    <t>227 Dumont Ave</t>
  </si>
  <si>
    <t>431 Herzl St</t>
  </si>
  <si>
    <t>855 Louisiana Ave</t>
  </si>
  <si>
    <t>234 Newport St</t>
  </si>
  <si>
    <t>202 Amboy St</t>
  </si>
  <si>
    <t>1617 Eastern Pkwy</t>
  </si>
  <si>
    <t>964 Glenmore Ave</t>
  </si>
  <si>
    <t>72 Granite St</t>
  </si>
  <si>
    <t>168 E 93rd St</t>
  </si>
  <si>
    <t>352 Atkins Ave</t>
  </si>
  <si>
    <t>460 Halsey St</t>
  </si>
  <si>
    <t>1940 Pacific st</t>
  </si>
  <si>
    <t>580 Sutter Ave</t>
  </si>
  <si>
    <t>173 Chauncey St</t>
  </si>
  <si>
    <t>294 5th Ave</t>
  </si>
  <si>
    <t>227 Bainbridge St</t>
  </si>
  <si>
    <t>613 Atkins ave</t>
  </si>
  <si>
    <t>661 Osborn St</t>
  </si>
  <si>
    <t>1553 Dekalb Ave</t>
  </si>
  <si>
    <t>85 Bristol St</t>
  </si>
  <si>
    <t>434 Warwick St</t>
  </si>
  <si>
    <t>200 Highland Blvd</t>
  </si>
  <si>
    <t>520 Hegeman Ave</t>
  </si>
  <si>
    <t>127 Mckinley Ave</t>
  </si>
  <si>
    <t>766 Miller Ave</t>
  </si>
  <si>
    <t>624 Howard Ave</t>
  </si>
  <si>
    <t>63 Rockaway Pkwy</t>
  </si>
  <si>
    <t>125 Schroeders Ave</t>
  </si>
  <si>
    <t>1338 Linden Blvd</t>
  </si>
  <si>
    <t>579 Chester St</t>
  </si>
  <si>
    <t>361 New Jersey Ave</t>
  </si>
  <si>
    <t>721 New Jersey Ave</t>
  </si>
  <si>
    <t>1814 Eastern Pkwy</t>
  </si>
  <si>
    <t>894 Thomas S Boyland St</t>
  </si>
  <si>
    <t>258 Macdougal St</t>
  </si>
  <si>
    <t>23 New Lots Ave</t>
  </si>
  <si>
    <t>225 Vanderbilt Avenue</t>
  </si>
  <si>
    <t>1120 Glenmore Ave</t>
  </si>
  <si>
    <t>778 Macdonough St</t>
  </si>
  <si>
    <t>8 Rocaway Aveneu</t>
  </si>
  <si>
    <t>2417 Dean st</t>
  </si>
  <si>
    <t>456 Autumn Ave</t>
  </si>
  <si>
    <t>536 Bristol St</t>
  </si>
  <si>
    <t>704 New Jersey Ave</t>
  </si>
  <si>
    <t>110 Rochester ave</t>
  </si>
  <si>
    <t>2444 Pitkin Ave</t>
  </si>
  <si>
    <t>339 Saratoga Ave</t>
  </si>
  <si>
    <t>654 Jamaica Ave</t>
  </si>
  <si>
    <t>1386 Sutter Ave</t>
  </si>
  <si>
    <t>87 Vermont St</t>
  </si>
  <si>
    <t>157 Saratoga Ave</t>
  </si>
  <si>
    <t>585 Blake Ave</t>
  </si>
  <si>
    <t>294 Ashford St</t>
  </si>
  <si>
    <t>1633 Sterling Pl</t>
  </si>
  <si>
    <t>738 Bradford St</t>
  </si>
  <si>
    <t>511 Williams Ave</t>
  </si>
  <si>
    <t>2157 Pacific St</t>
  </si>
  <si>
    <t>588 Pine St</t>
  </si>
  <si>
    <t>12 Gunther Pl</t>
  </si>
  <si>
    <t>490 Halsey St</t>
  </si>
  <si>
    <t>94 rockaway pkwy</t>
  </si>
  <si>
    <t>425 New Lots Ave</t>
  </si>
  <si>
    <t>436 Cozine Ave</t>
  </si>
  <si>
    <t>226 Grant Ave</t>
  </si>
  <si>
    <t>856 Crescent St</t>
  </si>
  <si>
    <t>224 38 Pitkin Avenue</t>
  </si>
  <si>
    <t>549 Chauncey St</t>
  </si>
  <si>
    <t>1805 Pitkin Ave</t>
  </si>
  <si>
    <t>131 Eldert St</t>
  </si>
  <si>
    <t>461 Dean St</t>
  </si>
  <si>
    <t>364 Stuyvesant Ave</t>
  </si>
  <si>
    <t>108 Rockaway Ave</t>
  </si>
  <si>
    <t>177 Sheffield Ave</t>
  </si>
  <si>
    <t>230 Lott ave</t>
  </si>
  <si>
    <t>179 Riverdale Ave</t>
  </si>
  <si>
    <t>752 Glenmore Ave</t>
  </si>
  <si>
    <t>864 Elton St</t>
  </si>
  <si>
    <t>324 arlington ave</t>
  </si>
  <si>
    <t>Box 7</t>
  </si>
  <si>
    <t>7N</t>
  </si>
  <si>
    <t>G1</t>
  </si>
  <si>
    <t>3rd Floor C</t>
  </si>
  <si>
    <t>A basement</t>
  </si>
  <si>
    <t>13S</t>
  </si>
  <si>
    <t>4-F</t>
  </si>
  <si>
    <t>2b</t>
  </si>
  <si>
    <t>D5C</t>
  </si>
  <si>
    <t>1st FL</t>
  </si>
  <si>
    <t>BB</t>
  </si>
  <si>
    <t>A2</t>
  </si>
  <si>
    <t>1G</t>
  </si>
  <si>
    <t>C4</t>
  </si>
  <si>
    <t>Apt C609</t>
  </si>
  <si>
    <t>1-O</t>
  </si>
  <si>
    <t>Apt. 3</t>
  </si>
  <si>
    <t>Apt A4</t>
  </si>
  <si>
    <t>1st fl</t>
  </si>
  <si>
    <t>Apt A6</t>
  </si>
  <si>
    <t>RC3</t>
  </si>
  <si>
    <t>6 D</t>
  </si>
  <si>
    <t>BSMT</t>
  </si>
  <si>
    <t>F2</t>
  </si>
  <si>
    <t>F-12</t>
  </si>
  <si>
    <t>14T</t>
  </si>
  <si>
    <t>E9</t>
  </si>
  <si>
    <t>D9</t>
  </si>
  <si>
    <t>Apt 3F</t>
  </si>
  <si>
    <t>2-J</t>
  </si>
  <si>
    <t>3 fl</t>
  </si>
  <si>
    <t>6H</t>
  </si>
  <si>
    <t>1 R</t>
  </si>
  <si>
    <t>C</t>
  </si>
  <si>
    <t>Apt 50</t>
  </si>
  <si>
    <t>ground floor</t>
  </si>
  <si>
    <t>5G</t>
  </si>
  <si>
    <t>17K</t>
  </si>
  <si>
    <t>FL 2</t>
  </si>
  <si>
    <t>Apt;. 2E</t>
  </si>
  <si>
    <t>Apt C7</t>
  </si>
  <si>
    <t>9E</t>
  </si>
  <si>
    <t>apt 1</t>
  </si>
  <si>
    <t>8A</t>
  </si>
  <si>
    <t>Apt 2F</t>
  </si>
  <si>
    <t>B 306</t>
  </si>
  <si>
    <t>9A</t>
  </si>
  <si>
    <t>D</t>
  </si>
  <si>
    <t>E</t>
  </si>
  <si>
    <t>LT-093560-18/KI</t>
  </si>
  <si>
    <t>LT-060592-19/KI</t>
  </si>
  <si>
    <t>LT-071682-17/KI</t>
  </si>
  <si>
    <t>0583-10</t>
  </si>
  <si>
    <t>94304/18</t>
  </si>
  <si>
    <t>LT-91030</t>
  </si>
  <si>
    <t>Lt-60627/19</t>
  </si>
  <si>
    <t>LT-023631-18/KI</t>
  </si>
  <si>
    <t>LT-084935-18/KI</t>
  </si>
  <si>
    <t>LT-055186-18/KI</t>
  </si>
  <si>
    <t>LT-09632-18/KI</t>
  </si>
  <si>
    <t>LT-054459-19/KI</t>
  </si>
  <si>
    <t>LT-051880-19/KI</t>
  </si>
  <si>
    <t>LT-063928-19/KI</t>
  </si>
  <si>
    <t>LT-54825-19/KI</t>
  </si>
  <si>
    <t>LT-055196-19/KI</t>
  </si>
  <si>
    <t>LT-069256-19/KI</t>
  </si>
  <si>
    <t>LT-069262-19/KI</t>
  </si>
  <si>
    <t>LT-087846-18/KI</t>
  </si>
  <si>
    <t>LT-092841-18/KI</t>
  </si>
  <si>
    <t>LT-90112-18</t>
  </si>
  <si>
    <t>LT-069535-19/KI</t>
  </si>
  <si>
    <t>LT-069619-18/KI</t>
  </si>
  <si>
    <t>LT-063508-18/KI</t>
  </si>
  <si>
    <t>​LT-064783-18/KI</t>
  </si>
  <si>
    <t>LT-063276-18/KI</t>
  </si>
  <si>
    <t>LT-074957-18/KI</t>
  </si>
  <si>
    <t>LT-70274/18-KI</t>
  </si>
  <si>
    <t>LT-51247-17/KI</t>
  </si>
  <si>
    <t>LT-051852-17/KI</t>
  </si>
  <si>
    <t>LT-074634-18/KI</t>
  </si>
  <si>
    <t>LT-90106-17/KI</t>
  </si>
  <si>
    <t>LT-063216-18/KI</t>
  </si>
  <si>
    <t>LT-090138-14/KI</t>
  </si>
  <si>
    <t>67082/15</t>
  </si>
  <si>
    <t>2013/2015</t>
  </si>
  <si>
    <t>LT-056992-19/KI</t>
  </si>
  <si>
    <t>LT-094943-18/KI</t>
  </si>
  <si>
    <t>LT-069755-19/KI</t>
  </si>
  <si>
    <t>LT-001276-18/KI</t>
  </si>
  <si>
    <t>LT-073359-18/KI</t>
  </si>
  <si>
    <t>LT-006395-18/KI</t>
  </si>
  <si>
    <t>LT-069285-19/KI</t>
  </si>
  <si>
    <t>LT-000422-19/KI</t>
  </si>
  <si>
    <t>Will provide</t>
  </si>
  <si>
    <t>LT-076631-18/KI</t>
  </si>
  <si>
    <t>LT--01875-17/KI</t>
  </si>
  <si>
    <t>LT-067374-17/KI</t>
  </si>
  <si>
    <t>LT-001631-19/KI</t>
  </si>
  <si>
    <t>LT-00027-18/KI</t>
  </si>
  <si>
    <t>LT-062212-17/KI</t>
  </si>
  <si>
    <t>LT-064878-18/KI</t>
  </si>
  <si>
    <t>LT-066296-18/KI</t>
  </si>
  <si>
    <t>LT-068259-19/KI</t>
  </si>
  <si>
    <t>LT-082009-18/KI</t>
  </si>
  <si>
    <t>LT-073557-18/KI</t>
  </si>
  <si>
    <t>LT-092177-18/KI</t>
  </si>
  <si>
    <t>LT-086747-18/KI</t>
  </si>
  <si>
    <t>LT-000202-19/KI</t>
  </si>
  <si>
    <t>LT-093021-15/KI</t>
  </si>
  <si>
    <t>LT-050027-16/KI</t>
  </si>
  <si>
    <t>LT-058175-19/KI</t>
  </si>
  <si>
    <t>LT-094403-17/KI</t>
  </si>
  <si>
    <t>LT-065317-19/KI</t>
  </si>
  <si>
    <t>LT-86994-18/KI</t>
  </si>
  <si>
    <t>LT-066319-19/KI</t>
  </si>
  <si>
    <t>lt 000990/18</t>
  </si>
  <si>
    <t>LT-096303-18/KI</t>
  </si>
  <si>
    <t>None yet</t>
  </si>
  <si>
    <t>LT-71478-18/KI</t>
  </si>
  <si>
    <t>52876/18</t>
  </si>
  <si>
    <t>LT-006001-19/KI</t>
  </si>
  <si>
    <t>65646/19</t>
  </si>
  <si>
    <t>LT-061686-19/KI</t>
  </si>
  <si>
    <t>LT-087793-18/KI</t>
  </si>
  <si>
    <t>LT-083282-18/KI</t>
  </si>
  <si>
    <t>LT-06321118k1</t>
  </si>
  <si>
    <t>LT-079464-17/KI</t>
  </si>
  <si>
    <t>LT-84035-18/KI</t>
  </si>
  <si>
    <t>094314/18</t>
  </si>
  <si>
    <t>LT-092621-18/KI</t>
  </si>
  <si>
    <t>LT-070765-18/KI</t>
  </si>
  <si>
    <t>LT-064714-18/KI</t>
  </si>
  <si>
    <t>LT-080218-18/KI</t>
  </si>
  <si>
    <t>LT-089436-18/KI</t>
  </si>
  <si>
    <t>LT-066271-19/KI</t>
  </si>
  <si>
    <t>LT-054080-19/KI</t>
  </si>
  <si>
    <t>LT66112-19/KI</t>
  </si>
  <si>
    <t>LT-058048-19/KI</t>
  </si>
  <si>
    <t>LT-091251-18/KI</t>
  </si>
  <si>
    <t>LT-059221-19/KI</t>
  </si>
  <si>
    <t>LT-069184-19/KI</t>
  </si>
  <si>
    <t>LT-068439-18/KI</t>
  </si>
  <si>
    <t>Article 78</t>
  </si>
  <si>
    <t>Appeal-Appellate Term</t>
  </si>
  <si>
    <t>HRA ELS Part F Brooklyn</t>
  </si>
  <si>
    <t>7018-Provided full representation in an Income Maintenance matter, but no legal benefit achieved for the client</t>
  </si>
  <si>
    <t>6013-Obtained assistance in development/renovation of affordable housing</t>
  </si>
  <si>
    <t>7013-Obtained non-llitigation advocacy services on an Income Maintenance matter</t>
  </si>
  <si>
    <t>7014-Obtained referral on an Income Maintenance matter</t>
  </si>
  <si>
    <t>10/02/1995</t>
  </si>
  <si>
    <t>08/05/1964</t>
  </si>
  <si>
    <t>10/12/1987</t>
  </si>
  <si>
    <t>07/31/1969</t>
  </si>
  <si>
    <t>12/14/1981</t>
  </si>
  <si>
    <t>07/31/1979</t>
  </si>
  <si>
    <t>11/23/1960</t>
  </si>
  <si>
    <t>11/05/1992</t>
  </si>
  <si>
    <t>01/02/1984</t>
  </si>
  <si>
    <t>02/27/1989</t>
  </si>
  <si>
    <t>04/17/1929</t>
  </si>
  <si>
    <t>09/06/1962</t>
  </si>
  <si>
    <t>01/19/1963</t>
  </si>
  <si>
    <t>05/14/1971</t>
  </si>
  <si>
    <t>08/21/1947</t>
  </si>
  <si>
    <t>07/30/1984</t>
  </si>
  <si>
    <t>02/22/1967</t>
  </si>
  <si>
    <t>02/12/1996</t>
  </si>
  <si>
    <t>06/25/1940</t>
  </si>
  <si>
    <t>08/15/1992</t>
  </si>
  <si>
    <t>05/01/1933</t>
  </si>
  <si>
    <t>03/11/1967</t>
  </si>
  <si>
    <t>07/01/1957</t>
  </si>
  <si>
    <t>09/19/1998</t>
  </si>
  <si>
    <t>06/04/1946</t>
  </si>
  <si>
    <t>12/24/1966</t>
  </si>
  <si>
    <t>05/13/1987</t>
  </si>
  <si>
    <t>03/11/1948</t>
  </si>
  <si>
    <t>01/14/1965</t>
  </si>
  <si>
    <t>08/05/1975</t>
  </si>
  <si>
    <t>11/08/1974</t>
  </si>
  <si>
    <t>03/25/1978</t>
  </si>
  <si>
    <t>01/12/1961</t>
  </si>
  <si>
    <t>10/28/1978</t>
  </si>
  <si>
    <t>09/06/1968</t>
  </si>
  <si>
    <t>12/15/1964</t>
  </si>
  <si>
    <t>10/11/1978</t>
  </si>
  <si>
    <t>10/25/1964</t>
  </si>
  <si>
    <t>08/13/1973</t>
  </si>
  <si>
    <t>11/16/1959</t>
  </si>
  <si>
    <t>12/10/1987</t>
  </si>
  <si>
    <t>05/20/1948</t>
  </si>
  <si>
    <t>01/10/1971</t>
  </si>
  <si>
    <t>04/21/1986</t>
  </si>
  <si>
    <t>07/03/1960</t>
  </si>
  <si>
    <t>12/15/1978</t>
  </si>
  <si>
    <t>08/30/1957</t>
  </si>
  <si>
    <t>04/06/1978</t>
  </si>
  <si>
    <t>08/09/1955</t>
  </si>
  <si>
    <t>01/24/1994</t>
  </si>
  <si>
    <t>07/22/1986</t>
  </si>
  <si>
    <t>09/21/1995</t>
  </si>
  <si>
    <t>07/01/1977</t>
  </si>
  <si>
    <t>06/03/1959</t>
  </si>
  <si>
    <t>02/12/1950</t>
  </si>
  <si>
    <t>04/24/1956</t>
  </si>
  <si>
    <t>02/05/1958</t>
  </si>
  <si>
    <t>10/03/1956</t>
  </si>
  <si>
    <t>12/14/1992</t>
  </si>
  <si>
    <t>01/01/1954</t>
  </si>
  <si>
    <t>01/14/1980</t>
  </si>
  <si>
    <t>02/29/1960</t>
  </si>
  <si>
    <t>02/27/1985</t>
  </si>
  <si>
    <t>02/11/1971</t>
  </si>
  <si>
    <t>09/08/1960</t>
  </si>
  <si>
    <t>11/23/1942</t>
  </si>
  <si>
    <t>02/23/1967</t>
  </si>
  <si>
    <t>12/24/1987</t>
  </si>
  <si>
    <t>05/08/1976</t>
  </si>
  <si>
    <t>11/16/1931</t>
  </si>
  <si>
    <t>06/08/1944</t>
  </si>
  <si>
    <t>01/01/1945</t>
  </si>
  <si>
    <t>12/13/1979</t>
  </si>
  <si>
    <t>06/23/1978</t>
  </si>
  <si>
    <t>04/28/1962</t>
  </si>
  <si>
    <t>09/08/1980</t>
  </si>
  <si>
    <t>07/19/1971</t>
  </si>
  <si>
    <t>12/19/1985</t>
  </si>
  <si>
    <t>01/20/1975</t>
  </si>
  <si>
    <t>02/10/1968</t>
  </si>
  <si>
    <t>01/13/1985</t>
  </si>
  <si>
    <t>06/25/1978</t>
  </si>
  <si>
    <t>04/17/1978</t>
  </si>
  <si>
    <t>02/18/1990</t>
  </si>
  <si>
    <t>02/12/1987</t>
  </si>
  <si>
    <t>04/21/1983</t>
  </si>
  <si>
    <t>01/23/1985</t>
  </si>
  <si>
    <t>01/10/1963</t>
  </si>
  <si>
    <t>12/18/1963</t>
  </si>
  <si>
    <t>12/24/1985</t>
  </si>
  <si>
    <t>10/29/1984</t>
  </si>
  <si>
    <t>09/08/1962</t>
  </si>
  <si>
    <t>08/28/1966</t>
  </si>
  <si>
    <t>12/25/1977</t>
  </si>
  <si>
    <t>03/10/1968</t>
  </si>
  <si>
    <t>11/17/1974</t>
  </si>
  <si>
    <t>12/31/1970</t>
  </si>
  <si>
    <t>10/29/1961</t>
  </si>
  <si>
    <t>09/01/1960</t>
  </si>
  <si>
    <t>02/05/1952</t>
  </si>
  <si>
    <t>09/17/1968</t>
  </si>
  <si>
    <t>11/14/1960</t>
  </si>
  <si>
    <t>06/19/1988</t>
  </si>
  <si>
    <t>11/27/1987</t>
  </si>
  <si>
    <t>08/30/1956</t>
  </si>
  <si>
    <t>03/08/1979</t>
  </si>
  <si>
    <t>04/02/1993</t>
  </si>
  <si>
    <t>07/08/1967</t>
  </si>
  <si>
    <t>12/30/1986</t>
  </si>
  <si>
    <t>09/30/1973</t>
  </si>
  <si>
    <t>09/13/1983</t>
  </si>
  <si>
    <t>03/23/1988</t>
  </si>
  <si>
    <t>01/20/1980</t>
  </si>
  <si>
    <t>08/01/1946</t>
  </si>
  <si>
    <t>12/03/1963</t>
  </si>
  <si>
    <t>07/08/1972</t>
  </si>
  <si>
    <t>05/28/1959</t>
  </si>
  <si>
    <t>11/03/1978</t>
  </si>
  <si>
    <t>06/29/1979</t>
  </si>
  <si>
    <t>02/05/1989</t>
  </si>
  <si>
    <t>03/24/1959</t>
  </si>
  <si>
    <t>09/20/1969</t>
  </si>
  <si>
    <t>06/21/1967</t>
  </si>
  <si>
    <t>01/23/1956</t>
  </si>
  <si>
    <t>06/09/1986</t>
  </si>
  <si>
    <t>02/23/1965</t>
  </si>
  <si>
    <t>05/12/1966</t>
  </si>
  <si>
    <t>01/09/1979</t>
  </si>
  <si>
    <t>03/01/1987</t>
  </si>
  <si>
    <t>12/30/1987</t>
  </si>
  <si>
    <t>12/26/1980</t>
  </si>
  <si>
    <t>06/18/1962</t>
  </si>
  <si>
    <t>08/09/1972</t>
  </si>
  <si>
    <t>08/16/1964</t>
  </si>
  <si>
    <t>07/13/1971</t>
  </si>
  <si>
    <t>07/17/1961</t>
  </si>
  <si>
    <t>04/19/1998</t>
  </si>
  <si>
    <t>07/22/1969</t>
  </si>
  <si>
    <t>10/08/1981</t>
  </si>
  <si>
    <t>03/16/1983</t>
  </si>
  <si>
    <t>11/06/1989</t>
  </si>
  <si>
    <t>09/11/1985</t>
  </si>
  <si>
    <t>10/03/1970</t>
  </si>
  <si>
    <t>08/20/1948</t>
  </si>
  <si>
    <t>02/13/1976</t>
  </si>
  <si>
    <t>12/20/1971</t>
  </si>
  <si>
    <t>02/08/1967</t>
  </si>
  <si>
    <t>03/17/1995</t>
  </si>
  <si>
    <t>06/09/1974</t>
  </si>
  <si>
    <t>09/06/1965</t>
  </si>
  <si>
    <t>12/14/1965</t>
  </si>
  <si>
    <t>04/07/1995</t>
  </si>
  <si>
    <t>02/20/1977</t>
  </si>
  <si>
    <t>10/25/1975</t>
  </si>
  <si>
    <t>04/07/1945</t>
  </si>
  <si>
    <t>05/17/1960</t>
  </si>
  <si>
    <t>04/21/1948</t>
  </si>
  <si>
    <t>12/30/1940</t>
  </si>
  <si>
    <t>12/18/1996</t>
  </si>
  <si>
    <t>08/10/1942</t>
  </si>
  <si>
    <t>01/27/1974</t>
  </si>
  <si>
    <t>06/04/1949</t>
  </si>
  <si>
    <t>08/07/1977</t>
  </si>
  <si>
    <t>07/01/1979</t>
  </si>
  <si>
    <t>05/08/1960</t>
  </si>
  <si>
    <t>10/03/1983</t>
  </si>
  <si>
    <t>06/10/1970</t>
  </si>
  <si>
    <t>01/26/1979</t>
  </si>
  <si>
    <t>02/29/1972</t>
  </si>
  <si>
    <t>07/01/1994</t>
  </si>
  <si>
    <t>05/10/1966</t>
  </si>
  <si>
    <t>03/05/1975</t>
  </si>
  <si>
    <t>02/21/1983</t>
  </si>
  <si>
    <t>04/23/1943</t>
  </si>
  <si>
    <t>12/26/1959</t>
  </si>
  <si>
    <t>12/06/1973</t>
  </si>
  <si>
    <t>12/24/1997</t>
  </si>
  <si>
    <t>01/02/1988</t>
  </si>
  <si>
    <t>05/30/1978</t>
  </si>
  <si>
    <t>11/13/1967</t>
  </si>
  <si>
    <t>10/30/1969</t>
  </si>
  <si>
    <t>12/28/1985</t>
  </si>
  <si>
    <t>01/18/1975</t>
  </si>
  <si>
    <t>07/24/1961</t>
  </si>
  <si>
    <t>04/09/1969</t>
  </si>
  <si>
    <t>09/14/1963</t>
  </si>
  <si>
    <t>08/01/1970</t>
  </si>
  <si>
    <t>11/02/1944</t>
  </si>
  <si>
    <t>01/04/1982</t>
  </si>
  <si>
    <t>04/02/1957</t>
  </si>
  <si>
    <t>05/30/1956</t>
  </si>
  <si>
    <t>07/18/1954</t>
  </si>
  <si>
    <t>12/05/1965</t>
  </si>
  <si>
    <t>03/02/1953</t>
  </si>
  <si>
    <t>07/22/1954</t>
  </si>
  <si>
    <t>09/04/1967</t>
  </si>
  <si>
    <t>10/22/1946</t>
  </si>
  <si>
    <t>10/24/1977</t>
  </si>
  <si>
    <t>04/08/1962</t>
  </si>
  <si>
    <t>12/17/1971</t>
  </si>
  <si>
    <t>12/10/1995</t>
  </si>
  <si>
    <t>07/30/1948</t>
  </si>
  <si>
    <t>02/27/1997</t>
  </si>
  <si>
    <t>04/20/1987</t>
  </si>
  <si>
    <t>02/21/1938</t>
  </si>
  <si>
    <t>04/16/1958</t>
  </si>
  <si>
    <t>11/20/1985</t>
  </si>
  <si>
    <t>11/04/1938</t>
  </si>
  <si>
    <t>05/08/1989</t>
  </si>
  <si>
    <t>09/26/1966</t>
  </si>
  <si>
    <t>09/11/1980</t>
  </si>
  <si>
    <t>05/10/1961</t>
  </si>
  <si>
    <t>11/30/1979</t>
  </si>
  <si>
    <t>10/07/1973</t>
  </si>
  <si>
    <t>11/16/1981</t>
  </si>
  <si>
    <t>10/03/1969</t>
  </si>
  <si>
    <t>03/10/1969</t>
  </si>
  <si>
    <t>12/15/1987</t>
  </si>
  <si>
    <t>07/08/1948</t>
  </si>
  <si>
    <t>01/03/1976</t>
  </si>
  <si>
    <t>07/16/1978</t>
  </si>
  <si>
    <t>12/30/1961</t>
  </si>
  <si>
    <t>05/16/1972</t>
  </si>
  <si>
    <t>05/16/1991</t>
  </si>
  <si>
    <t>10/12/1955</t>
  </si>
  <si>
    <t>245902C</t>
  </si>
  <si>
    <t>1777492 I</t>
  </si>
  <si>
    <t>not avail</t>
  </si>
  <si>
    <t>37432816J</t>
  </si>
  <si>
    <t>2171609HCL</t>
  </si>
  <si>
    <t>004361445C</t>
  </si>
  <si>
    <t>37542346RJ -19</t>
  </si>
  <si>
    <t>WV10058W</t>
  </si>
  <si>
    <t>037140769D</t>
  </si>
  <si>
    <t>37804457-1</t>
  </si>
  <si>
    <t>037305578J</t>
  </si>
  <si>
    <t>00311952H</t>
  </si>
  <si>
    <t>00006715648J</t>
  </si>
  <si>
    <t>zz71239p</t>
  </si>
  <si>
    <t>not provided</t>
  </si>
  <si>
    <t>will provide</t>
  </si>
  <si>
    <t>3018201990B</t>
  </si>
  <si>
    <t>011917778A</t>
  </si>
  <si>
    <t>11754828J</t>
  </si>
  <si>
    <t>UN34332T &amp; 9487156D</t>
  </si>
  <si>
    <t>013634963G</t>
  </si>
  <si>
    <t>YM58233Y</t>
  </si>
  <si>
    <t>ZC08915 H &amp; 35075127</t>
  </si>
  <si>
    <t>4791837 A</t>
  </si>
  <si>
    <t>Will Provide</t>
  </si>
  <si>
    <t>00037415296F</t>
  </si>
  <si>
    <t>17651535B SNA</t>
  </si>
  <si>
    <t>3053082 I</t>
  </si>
  <si>
    <t>037358662H</t>
  </si>
  <si>
    <t>00016194057C</t>
  </si>
  <si>
    <t>00037420860 B</t>
  </si>
  <si>
    <t>Unavailable</t>
  </si>
  <si>
    <t>4119937D</t>
  </si>
  <si>
    <t>XR 013016 E</t>
  </si>
  <si>
    <t>016799417H</t>
  </si>
  <si>
    <t>110-84-2407</t>
  </si>
  <si>
    <t>106-74-4135</t>
  </si>
  <si>
    <t>117-68-5342</t>
  </si>
  <si>
    <t>098-66-4258</t>
  </si>
  <si>
    <t>051-66-8752</t>
  </si>
  <si>
    <t>583-19-8271</t>
  </si>
  <si>
    <t>091-02-7583</t>
  </si>
  <si>
    <t>672-12-1596</t>
  </si>
  <si>
    <t>098-76-5308</t>
  </si>
  <si>
    <t>057-32-3290</t>
  </si>
  <si>
    <t>145-90-8237</t>
  </si>
  <si>
    <t>102-58-1125</t>
  </si>
  <si>
    <t>078-62-5135</t>
  </si>
  <si>
    <t>000-00-5224</t>
  </si>
  <si>
    <t>103-78-5381</t>
  </si>
  <si>
    <t>129-84-3577</t>
  </si>
  <si>
    <t>089-32-1335</t>
  </si>
  <si>
    <t>598-36-2982</t>
  </si>
  <si>
    <t>080-28-2652</t>
  </si>
  <si>
    <t>583-53-9806</t>
  </si>
  <si>
    <t>000-00-5188</t>
  </si>
  <si>
    <t>000-00-7238</t>
  </si>
  <si>
    <t>101-62-6440</t>
  </si>
  <si>
    <t>069-90-4969</t>
  </si>
  <si>
    <t>111-96-6197</t>
  </si>
  <si>
    <t>113-40-0001</t>
  </si>
  <si>
    <t>096-80-3449</t>
  </si>
  <si>
    <t>060-58-0998</t>
  </si>
  <si>
    <t>128-72-1508</t>
  </si>
  <si>
    <t>000-00-9697</t>
  </si>
  <si>
    <t>094-62-9600</t>
  </si>
  <si>
    <t>071-60-6177</t>
  </si>
  <si>
    <t>859-21-5813</t>
  </si>
  <si>
    <t>111-62-8639</t>
  </si>
  <si>
    <t>073-58-8666</t>
  </si>
  <si>
    <t>131-70-0586</t>
  </si>
  <si>
    <t>055-74-3181</t>
  </si>
  <si>
    <t>104-66-4648</t>
  </si>
  <si>
    <t>732-09-4918</t>
  </si>
  <si>
    <t>121-70-9821</t>
  </si>
  <si>
    <t>577-02-8879</t>
  </si>
  <si>
    <t>564-73-0351</t>
  </si>
  <si>
    <t>531-43-5376</t>
  </si>
  <si>
    <t>066-50-6743</t>
  </si>
  <si>
    <t>000-00-5205</t>
  </si>
  <si>
    <t>121-72-9088</t>
  </si>
  <si>
    <t>099-62-5279</t>
  </si>
  <si>
    <t>083-52-1447</t>
  </si>
  <si>
    <t>056-42-0193</t>
  </si>
  <si>
    <t>074-90-8720</t>
  </si>
  <si>
    <t>104-54-1265</t>
  </si>
  <si>
    <t>050-72-6338</t>
  </si>
  <si>
    <t>127-80-5908</t>
  </si>
  <si>
    <t>113-64-6007</t>
  </si>
  <si>
    <t>127-70-1754</t>
  </si>
  <si>
    <t>099-68-6068</t>
  </si>
  <si>
    <t>050-54-7891</t>
  </si>
  <si>
    <t>116-56-9672</t>
  </si>
  <si>
    <t>051-74-6109</t>
  </si>
  <si>
    <t>089-60-0533</t>
  </si>
  <si>
    <t>000-00-7477</t>
  </si>
  <si>
    <t>000-00-1684</t>
  </si>
  <si>
    <t>127-52-2311</t>
  </si>
  <si>
    <t>138-84-1738</t>
  </si>
  <si>
    <t>000-00-7776</t>
  </si>
  <si>
    <t>081-56-8075</t>
  </si>
  <si>
    <t>062-76-6188</t>
  </si>
  <si>
    <t>278-64-6455</t>
  </si>
  <si>
    <t>091-70-6674</t>
  </si>
  <si>
    <t>100-86-9804</t>
  </si>
  <si>
    <t>050-70-4957</t>
  </si>
  <si>
    <t>056-90-0134</t>
  </si>
  <si>
    <t>162-64-2046</t>
  </si>
  <si>
    <t>131-76-7675</t>
  </si>
  <si>
    <t>465-87-1325</t>
  </si>
  <si>
    <t>559-95-7479</t>
  </si>
  <si>
    <t>000-00-0871</t>
  </si>
  <si>
    <t>122-56-0080</t>
  </si>
  <si>
    <t>032-46-0867</t>
  </si>
  <si>
    <t>252-53-2950</t>
  </si>
  <si>
    <t>098-70-9428</t>
  </si>
  <si>
    <t>117-56-5975</t>
  </si>
  <si>
    <t>524-83-6334</t>
  </si>
  <si>
    <t>052-78-6146</t>
  </si>
  <si>
    <t>181-56-4743</t>
  </si>
  <si>
    <t>000-00-9649</t>
  </si>
  <si>
    <t>065-96-1561</t>
  </si>
  <si>
    <t>732-05-5208</t>
  </si>
  <si>
    <t>051-74-0395</t>
  </si>
  <si>
    <t>108-74-8706</t>
  </si>
  <si>
    <t>125-98-9306</t>
  </si>
  <si>
    <t>091-86-3756</t>
  </si>
  <si>
    <t>132-80-0317</t>
  </si>
  <si>
    <t>156-49-6673</t>
  </si>
  <si>
    <t>133-72-8788</t>
  </si>
  <si>
    <t>187-87-6083</t>
  </si>
  <si>
    <t>131-68-2755</t>
  </si>
  <si>
    <t>000-00-4346</t>
  </si>
  <si>
    <t>063-66-2273</t>
  </si>
  <si>
    <t>125-34-8747</t>
  </si>
  <si>
    <t>091-64-5796</t>
  </si>
  <si>
    <t>270-72-4397</t>
  </si>
  <si>
    <t>107-54-6273</t>
  </si>
  <si>
    <t>123-96-3167</t>
  </si>
  <si>
    <t>396-84-0330</t>
  </si>
  <si>
    <t>103-50-9704</t>
  </si>
  <si>
    <t>112-56-5141</t>
  </si>
  <si>
    <t>073-62-5959</t>
  </si>
  <si>
    <t>638-05-1804</t>
  </si>
  <si>
    <t>098-82-4609</t>
  </si>
  <si>
    <t>064-58-1538</t>
  </si>
  <si>
    <t>000-00-3219</t>
  </si>
  <si>
    <t>055-88-0255</t>
  </si>
  <si>
    <t>678-08-5578</t>
  </si>
  <si>
    <t>101-66-9806</t>
  </si>
  <si>
    <t>249-31-7145</t>
  </si>
  <si>
    <t>128-58-9598</t>
  </si>
  <si>
    <t>079-56-7055</t>
  </si>
  <si>
    <t>125-60-1234</t>
  </si>
  <si>
    <t>120-54-1042</t>
  </si>
  <si>
    <t>053-88-9229</t>
  </si>
  <si>
    <t>117-56-3604</t>
  </si>
  <si>
    <t>000-00-7874</t>
  </si>
  <si>
    <t>580-27-5785</t>
  </si>
  <si>
    <t>089-76-7592</t>
  </si>
  <si>
    <t>094-76-4280</t>
  </si>
  <si>
    <t>000-00-2215</t>
  </si>
  <si>
    <t>131-58-0627</t>
  </si>
  <si>
    <t>093-70-5592</t>
  </si>
  <si>
    <t>076-58-8477</t>
  </si>
  <si>
    <t>101-84-3087</t>
  </si>
  <si>
    <t>068-58-6046</t>
  </si>
  <si>
    <t>083-58-0070</t>
  </si>
  <si>
    <t>127-56-0705</t>
  </si>
  <si>
    <t>090-84-8536</t>
  </si>
  <si>
    <t>115-58-8844</t>
  </si>
  <si>
    <t>080-42-5191</t>
  </si>
  <si>
    <t>247-74-2787</t>
  </si>
  <si>
    <t>082-84-0484</t>
  </si>
  <si>
    <t>103-70-6917</t>
  </si>
  <si>
    <t>115-36-7644</t>
  </si>
  <si>
    <t>132-60-7715</t>
  </si>
  <si>
    <t>237-76-0635</t>
  </si>
  <si>
    <t>118-60-3216</t>
  </si>
  <si>
    <t>123-58-9907</t>
  </si>
  <si>
    <t>301-80-3584</t>
  </si>
  <si>
    <t>082-60-0855</t>
  </si>
  <si>
    <t>066-64-1252</t>
  </si>
  <si>
    <t>000-00-8802</t>
  </si>
  <si>
    <t>050-84-9419</t>
  </si>
  <si>
    <t>261-81-0339</t>
  </si>
  <si>
    <t>083-58-7244</t>
  </si>
  <si>
    <t>763-23-3347</t>
  </si>
  <si>
    <t>107-88-7755</t>
  </si>
  <si>
    <t>091-54-4122</t>
  </si>
  <si>
    <t>059-60-1045</t>
  </si>
  <si>
    <t>053-17-4451</t>
  </si>
  <si>
    <t>074-68-4844</t>
  </si>
  <si>
    <t>098-70-7106</t>
  </si>
  <si>
    <t>000-00-1695</t>
  </si>
  <si>
    <t>000-00-3017</t>
  </si>
  <si>
    <t>650-03-8118</t>
  </si>
  <si>
    <t>000-00-8579</t>
  </si>
  <si>
    <t>060-62-4199</t>
  </si>
  <si>
    <t>133-42-4944</t>
  </si>
  <si>
    <t>097-94-9885</t>
  </si>
  <si>
    <t>131-48-1262</t>
  </si>
  <si>
    <t>106-54-6706</t>
  </si>
  <si>
    <t>087-46-8354</t>
  </si>
  <si>
    <t>084-58-5161</t>
  </si>
  <si>
    <t>071-44-5622</t>
  </si>
  <si>
    <t>000-00-1808</t>
  </si>
  <si>
    <t>115-62-1505</t>
  </si>
  <si>
    <t>117-66-3185</t>
  </si>
  <si>
    <t>241-86-9861</t>
  </si>
  <si>
    <t>000-00-5437</t>
  </si>
  <si>
    <t>089-66-5716</t>
  </si>
  <si>
    <t>000-00-2182</t>
  </si>
  <si>
    <t>000-00-8990</t>
  </si>
  <si>
    <t>194-65-4864</t>
  </si>
  <si>
    <t>133-36-8458</t>
  </si>
  <si>
    <t>090-86-4714</t>
  </si>
  <si>
    <t>125-69-0064</t>
  </si>
  <si>
    <t>061-50-8985</t>
  </si>
  <si>
    <t>089-94-7039</t>
  </si>
  <si>
    <t>099-88-6456</t>
  </si>
  <si>
    <t>000-00-2984</t>
  </si>
  <si>
    <t>071-30-9561</t>
  </si>
  <si>
    <t>059-76-2550</t>
  </si>
  <si>
    <t>120-64-8760</t>
  </si>
  <si>
    <t>072-70-3917</t>
  </si>
  <si>
    <t>074-56-9962</t>
  </si>
  <si>
    <t>262-93-0699</t>
  </si>
  <si>
    <t>562-39-4465</t>
  </si>
  <si>
    <t>059-66-4834</t>
  </si>
  <si>
    <t>238-47-0292</t>
  </si>
  <si>
    <t>103-60-1837</t>
  </si>
  <si>
    <t>089-74-7333</t>
  </si>
  <si>
    <t>089-50-1391</t>
  </si>
  <si>
    <t>072-74-1528</t>
  </si>
  <si>
    <t>079-62-1176</t>
  </si>
  <si>
    <t>080-90-9262</t>
  </si>
  <si>
    <t>Unregulated – Other</t>
  </si>
  <si>
    <t>Supportive Housing</t>
  </si>
  <si>
    <t>SOTA</t>
  </si>
  <si>
    <t>HOMETBRA</t>
  </si>
  <si>
    <t>08/04/2017</t>
  </si>
  <si>
    <t>Creole</t>
  </si>
  <si>
    <t xml:space="preserve">Chinese </t>
  </si>
  <si>
    <t>Polish</t>
  </si>
  <si>
    <t>CASE WAS ADVICE VIA PHONE ONLY</t>
  </si>
  <si>
    <t>clientt did not want to sign consent to release</t>
  </si>
  <si>
    <t>Compliance docs located in companion file #19-1901098</t>
  </si>
  <si>
    <t>Need income waiver for client who is part of a building wide initiative.</t>
  </si>
  <si>
    <t>Need income waiver for client who is part of a building wide initiative</t>
  </si>
  <si>
    <t>Need income waiver for client who is a part of building wide initiative</t>
  </si>
  <si>
    <t>Out-of-date forms in 17-1852369</t>
  </si>
  <si>
    <t>We can't find the file.</t>
  </si>
  <si>
    <t>We cannot get forms from client; best efforts made.</t>
  </si>
  <si>
    <t>Compliance and Releases are in Original LS 18-1884173</t>
  </si>
  <si>
    <t>Contacting client for forms</t>
  </si>
  <si>
    <t>Contacting client to get income form ; didn;t need it in elder unit</t>
  </si>
  <si>
    <t>Release in 18-1875487</t>
  </si>
  <si>
    <t>Attestation located on pg 3 of Intake Pkg on pg, section entitled -Intake Questionnaire</t>
  </si>
  <si>
    <t>No Releases or Other Compliance docs</t>
  </si>
  <si>
    <t>Releases in (17-0831758)</t>
  </si>
  <si>
    <t>Need income waiver</t>
  </si>
  <si>
    <t>No physical file</t>
  </si>
  <si>
    <t>Advice only - never met with her in person.</t>
  </si>
  <si>
    <t>Compliance Docs located in parent file #18-1882544</t>
  </si>
  <si>
    <t>Compliance Docs located in parent file #18-1882569</t>
  </si>
  <si>
    <t>Compliance docs not necs for brief advice over phone</t>
  </si>
  <si>
    <t>Need an income waiver. He was part of a building wide initiative that didn't gain traction &amp; reached out to Ivan M for help with this</t>
  </si>
  <si>
    <t>Wavier for facial recognition. No DHCI required.</t>
  </si>
  <si>
    <t>Waiver obtained for DHCI - Waiver required for income</t>
  </si>
  <si>
    <t>Income waiver needed. Wavier for APT Facial Recognition. No DHCI required.</t>
  </si>
  <si>
    <t>Income waiver required. Waiver obtained re DHCI not required</t>
  </si>
  <si>
    <t>Releases &amp; attestation located in companion file #19-1891794</t>
  </si>
  <si>
    <t>Income waiver needed for building wide work. Compliance docs located in companion file #18-1882158</t>
  </si>
  <si>
    <t>Need income waiver - Compliance docs located in companion file #18-1885317</t>
  </si>
  <si>
    <t>Client needs income &amp; zip code waivers - Compliance docs located in companion file #18-1880097</t>
  </si>
  <si>
    <t>never met with client - spoke over the phone for advice &amp; referral</t>
  </si>
  <si>
    <t>Attestation located in Intake Pkg</t>
  </si>
  <si>
    <t>no attestation in file</t>
  </si>
  <si>
    <t>Phone Conf only. No hard copy file / No compliance docs</t>
  </si>
  <si>
    <t>Never met with client as matter was in process of being resolved when she 1st contacted and client did resolve on her own.</t>
  </si>
  <si>
    <t>Never met with client. Advice given over the phone.</t>
  </si>
  <si>
    <t>Never met with client - no compliance docs for advice</t>
  </si>
  <si>
    <t>No compliance docs obtained</t>
  </si>
  <si>
    <t>No compliance Docs - referred out</t>
  </si>
  <si>
    <t>Never met with client as we declined rep on the phone. No docs obtained in this matter.</t>
  </si>
  <si>
    <t>No current intake packet ; client back same advice, no new case</t>
  </si>
  <si>
    <t>2018-12-14</t>
  </si>
  <si>
    <t>05/22/2018</t>
  </si>
  <si>
    <t>04/30/2018</t>
  </si>
  <si>
    <t>06/22/2018</t>
  </si>
  <si>
    <t>01/08/2018</t>
  </si>
  <si>
    <t>05/07/2018</t>
  </si>
  <si>
    <t>06/04/2018</t>
  </si>
  <si>
    <t>04/16/2018</t>
  </si>
  <si>
    <t>02/07/2017</t>
  </si>
  <si>
    <t>Richardson, Ryan</t>
  </si>
  <si>
    <t>Zabizhin, Albert</t>
  </si>
  <si>
    <t>Lopez, Gabriel</t>
  </si>
  <si>
    <t>Nachman, Fraidy</t>
  </si>
  <si>
    <t>Barreda, Catherine</t>
  </si>
  <si>
    <t>Salcedo, Luciris</t>
  </si>
  <si>
    <t>Deolarte, Stephanie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</si>
</sst>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1023"/>
  <sheetViews>
    <sheetView tabSelected="1" workbookViewId="0"/>
  </sheetViews>
  <sheetFormatPr defaultRowHeight="15"/>
  <cols>
    <col min="1" max="1" width="20.7109375" style="1" customWidth="1"/>
  </cols>
  <sheetData>
    <row r="1" spans="1:4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spans="1:46">
      <c r="A2" s="1">
        <f>HYPERLINK("https://lsnyc.legalserver.org/matter/dynamic-profile/view/1863454","18-1863454")</f>
        <v>0</v>
      </c>
      <c r="B2" t="s">
        <v>46</v>
      </c>
      <c r="C2" t="s">
        <v>72</v>
      </c>
      <c r="D2" t="s">
        <v>308</v>
      </c>
      <c r="E2" t="s">
        <v>333</v>
      </c>
      <c r="F2" t="s">
        <v>703</v>
      </c>
      <c r="G2" t="s">
        <v>1353</v>
      </c>
      <c r="H2">
        <v>731</v>
      </c>
      <c r="I2">
        <v>11207</v>
      </c>
      <c r="J2" t="s">
        <v>2002</v>
      </c>
      <c r="K2" t="s">
        <v>2002</v>
      </c>
      <c r="M2" t="s">
        <v>2008</v>
      </c>
      <c r="N2" t="s">
        <v>2413</v>
      </c>
      <c r="O2" t="s">
        <v>2436</v>
      </c>
      <c r="P2" t="s">
        <v>2443</v>
      </c>
      <c r="S2" t="s">
        <v>308</v>
      </c>
      <c r="T2">
        <v>650</v>
      </c>
      <c r="U2" t="s">
        <v>2493</v>
      </c>
      <c r="V2" t="s">
        <v>2513</v>
      </c>
      <c r="W2" t="s">
        <v>2528</v>
      </c>
      <c r="Y2" t="s">
        <v>3308</v>
      </c>
      <c r="Z2">
        <v>3</v>
      </c>
      <c r="AC2">
        <v>5</v>
      </c>
      <c r="AD2">
        <v>1</v>
      </c>
      <c r="AE2">
        <v>0</v>
      </c>
      <c r="AF2">
        <v>64.25</v>
      </c>
      <c r="AI2" t="s">
        <v>3809</v>
      </c>
      <c r="AJ2">
        <v>7800</v>
      </c>
      <c r="AP2">
        <v>0.5</v>
      </c>
      <c r="AQ2" t="s">
        <v>308</v>
      </c>
      <c r="AR2" t="s">
        <v>4184</v>
      </c>
      <c r="AS2" t="s">
        <v>4210</v>
      </c>
      <c r="AT2" t="s">
        <v>4219</v>
      </c>
    </row>
    <row r="3" spans="1:46">
      <c r="A3" s="1">
        <f>HYPERLINK("https://lsnyc.legalserver.org/matter/dynamic-profile/view/1876008","18-1876008")</f>
        <v>0</v>
      </c>
      <c r="B3" t="s">
        <v>46</v>
      </c>
      <c r="C3" t="s">
        <v>73</v>
      </c>
      <c r="E3" t="s">
        <v>334</v>
      </c>
      <c r="F3" t="s">
        <v>849</v>
      </c>
      <c r="G3" t="s">
        <v>1354</v>
      </c>
      <c r="H3" t="s">
        <v>1734</v>
      </c>
      <c r="I3">
        <v>11221</v>
      </c>
      <c r="J3" t="s">
        <v>2002</v>
      </c>
      <c r="K3" t="s">
        <v>2002</v>
      </c>
      <c r="M3" t="s">
        <v>2009</v>
      </c>
      <c r="N3" t="s">
        <v>2414</v>
      </c>
      <c r="O3" t="s">
        <v>2437</v>
      </c>
      <c r="Q3" t="s">
        <v>2002</v>
      </c>
      <c r="S3" t="s">
        <v>96</v>
      </c>
      <c r="T3">
        <v>763</v>
      </c>
      <c r="U3" t="s">
        <v>2494</v>
      </c>
      <c r="W3" t="s">
        <v>2529</v>
      </c>
      <c r="Y3" t="s">
        <v>3309</v>
      </c>
      <c r="Z3">
        <v>12</v>
      </c>
      <c r="AA3" t="s">
        <v>3783</v>
      </c>
      <c r="AB3" t="s">
        <v>2006</v>
      </c>
      <c r="AC3">
        <v>10</v>
      </c>
      <c r="AD3">
        <v>1</v>
      </c>
      <c r="AE3">
        <v>0</v>
      </c>
      <c r="AF3">
        <v>171.33</v>
      </c>
      <c r="AI3" t="s">
        <v>3809</v>
      </c>
      <c r="AJ3">
        <v>20800</v>
      </c>
      <c r="AP3">
        <v>18.6</v>
      </c>
      <c r="AQ3" t="s">
        <v>181</v>
      </c>
      <c r="AR3" t="s">
        <v>4185</v>
      </c>
      <c r="AS3" t="s">
        <v>4210</v>
      </c>
      <c r="AT3" t="s">
        <v>4219</v>
      </c>
    </row>
    <row r="4" spans="1:46">
      <c r="A4" s="1">
        <f>HYPERLINK("https://lsnyc.legalserver.org/matter/dynamic-profile/view/1875900","18-1875900")</f>
        <v>0</v>
      </c>
      <c r="B4" t="s">
        <v>46</v>
      </c>
      <c r="C4" t="s">
        <v>74</v>
      </c>
      <c r="E4" t="s">
        <v>335</v>
      </c>
      <c r="F4" t="s">
        <v>850</v>
      </c>
      <c r="G4" t="s">
        <v>1355</v>
      </c>
      <c r="H4" t="s">
        <v>1735</v>
      </c>
      <c r="I4">
        <v>11237</v>
      </c>
      <c r="J4" t="s">
        <v>2002</v>
      </c>
      <c r="K4" t="s">
        <v>2002</v>
      </c>
      <c r="N4" t="s">
        <v>2415</v>
      </c>
      <c r="Q4" t="s">
        <v>2003</v>
      </c>
      <c r="S4" t="s">
        <v>74</v>
      </c>
      <c r="T4">
        <v>0</v>
      </c>
      <c r="W4" t="s">
        <v>2530</v>
      </c>
      <c r="Z4">
        <v>0</v>
      </c>
      <c r="AC4">
        <v>0</v>
      </c>
      <c r="AD4">
        <v>5</v>
      </c>
      <c r="AE4">
        <v>0</v>
      </c>
      <c r="AF4">
        <v>75.12</v>
      </c>
      <c r="AI4" t="s">
        <v>3809</v>
      </c>
      <c r="AJ4">
        <v>22100</v>
      </c>
      <c r="AK4" t="s">
        <v>3818</v>
      </c>
      <c r="AP4">
        <v>13</v>
      </c>
      <c r="AQ4" t="s">
        <v>240</v>
      </c>
      <c r="AR4" t="s">
        <v>4186</v>
      </c>
      <c r="AS4" t="s">
        <v>4210</v>
      </c>
      <c r="AT4" t="s">
        <v>4219</v>
      </c>
    </row>
    <row r="5" spans="1:46">
      <c r="A5" s="1">
        <f>HYPERLINK("https://lsnyc.legalserver.org/matter/dynamic-profile/view/1887422","19-1887422")</f>
        <v>0</v>
      </c>
      <c r="B5" t="s">
        <v>46</v>
      </c>
      <c r="C5" t="s">
        <v>75</v>
      </c>
      <c r="E5" t="s">
        <v>336</v>
      </c>
      <c r="F5" t="s">
        <v>851</v>
      </c>
      <c r="G5" t="s">
        <v>1356</v>
      </c>
      <c r="H5">
        <v>2</v>
      </c>
      <c r="I5">
        <v>11233</v>
      </c>
      <c r="J5" t="s">
        <v>2002</v>
      </c>
      <c r="K5" t="s">
        <v>2002</v>
      </c>
      <c r="L5" t="s">
        <v>2005</v>
      </c>
      <c r="M5" t="s">
        <v>2010</v>
      </c>
      <c r="N5" t="s">
        <v>2413</v>
      </c>
      <c r="O5" t="s">
        <v>2436</v>
      </c>
      <c r="Q5" t="s">
        <v>2003</v>
      </c>
      <c r="S5" t="s">
        <v>289</v>
      </c>
      <c r="T5">
        <v>0</v>
      </c>
      <c r="W5" t="s">
        <v>2531</v>
      </c>
      <c r="Y5" t="s">
        <v>3310</v>
      </c>
      <c r="Z5">
        <v>2</v>
      </c>
      <c r="AA5" t="s">
        <v>3784</v>
      </c>
      <c r="AB5" t="s">
        <v>2006</v>
      </c>
      <c r="AC5">
        <v>6</v>
      </c>
      <c r="AD5">
        <v>6</v>
      </c>
      <c r="AE5">
        <v>0</v>
      </c>
      <c r="AF5">
        <v>35.57</v>
      </c>
      <c r="AI5" t="s">
        <v>3809</v>
      </c>
      <c r="AJ5">
        <v>12000</v>
      </c>
      <c r="AP5">
        <v>0</v>
      </c>
      <c r="AR5" t="s">
        <v>49</v>
      </c>
      <c r="AS5" t="s">
        <v>4210</v>
      </c>
      <c r="AT5" t="s">
        <v>4219</v>
      </c>
    </row>
    <row r="6" spans="1:46">
      <c r="A6" s="1">
        <f>HYPERLINK("https://lsnyc.legalserver.org/matter/dynamic-profile/view/1895274","19-1895274")</f>
        <v>0</v>
      </c>
      <c r="B6" t="s">
        <v>46</v>
      </c>
      <c r="C6" t="s">
        <v>76</v>
      </c>
      <c r="E6" t="s">
        <v>337</v>
      </c>
      <c r="F6" t="s">
        <v>852</v>
      </c>
      <c r="G6" t="s">
        <v>1357</v>
      </c>
      <c r="H6" t="s">
        <v>1736</v>
      </c>
      <c r="I6">
        <v>11221</v>
      </c>
      <c r="J6" t="s">
        <v>2002</v>
      </c>
      <c r="K6" t="s">
        <v>2002</v>
      </c>
      <c r="N6" t="s">
        <v>2416</v>
      </c>
      <c r="O6" t="s">
        <v>2437</v>
      </c>
      <c r="Q6" t="s">
        <v>2002</v>
      </c>
      <c r="S6" t="s">
        <v>2457</v>
      </c>
      <c r="T6">
        <v>1292.5</v>
      </c>
      <c r="U6" t="s">
        <v>2495</v>
      </c>
      <c r="W6" t="s">
        <v>2532</v>
      </c>
      <c r="Y6" t="s">
        <v>3311</v>
      </c>
      <c r="Z6">
        <v>0</v>
      </c>
      <c r="AB6" t="s">
        <v>2006</v>
      </c>
      <c r="AC6">
        <v>13</v>
      </c>
      <c r="AD6">
        <v>3</v>
      </c>
      <c r="AE6">
        <v>0</v>
      </c>
      <c r="AF6">
        <v>134.08</v>
      </c>
      <c r="AI6" t="s">
        <v>3809</v>
      </c>
      <c r="AJ6">
        <v>28600</v>
      </c>
      <c r="AP6">
        <v>16.2</v>
      </c>
      <c r="AQ6" t="s">
        <v>183</v>
      </c>
      <c r="AR6" t="s">
        <v>49</v>
      </c>
      <c r="AS6" t="s">
        <v>4210</v>
      </c>
      <c r="AT6" t="s">
        <v>4219</v>
      </c>
    </row>
    <row r="7" spans="1:46">
      <c r="A7" s="1">
        <f>HYPERLINK("https://lsnyc.legalserver.org/matter/dynamic-profile/view/1893686","19-1893686")</f>
        <v>0</v>
      </c>
      <c r="B7" t="s">
        <v>46</v>
      </c>
      <c r="C7" t="s">
        <v>77</v>
      </c>
      <c r="E7" t="s">
        <v>338</v>
      </c>
      <c r="F7" t="s">
        <v>853</v>
      </c>
      <c r="G7" t="s">
        <v>1358</v>
      </c>
      <c r="H7" t="s">
        <v>1736</v>
      </c>
      <c r="I7">
        <v>11221</v>
      </c>
      <c r="J7" t="s">
        <v>2002</v>
      </c>
      <c r="K7" t="s">
        <v>2002</v>
      </c>
      <c r="M7" t="s">
        <v>2011</v>
      </c>
      <c r="N7" t="s">
        <v>2415</v>
      </c>
      <c r="O7" t="s">
        <v>2437</v>
      </c>
      <c r="Q7" t="s">
        <v>2003</v>
      </c>
      <c r="R7" t="s">
        <v>2451</v>
      </c>
      <c r="S7" t="s">
        <v>103</v>
      </c>
      <c r="T7">
        <v>1050</v>
      </c>
      <c r="W7" t="s">
        <v>2533</v>
      </c>
      <c r="X7" t="s">
        <v>3160</v>
      </c>
      <c r="Y7" t="s">
        <v>3312</v>
      </c>
      <c r="Z7">
        <v>0</v>
      </c>
      <c r="AA7" t="s">
        <v>3783</v>
      </c>
      <c r="AB7" t="s">
        <v>3793</v>
      </c>
      <c r="AC7">
        <v>15</v>
      </c>
      <c r="AD7">
        <v>2</v>
      </c>
      <c r="AE7">
        <v>0</v>
      </c>
      <c r="AF7">
        <v>49.75</v>
      </c>
      <c r="AJ7">
        <v>8412</v>
      </c>
      <c r="AP7">
        <v>16.5</v>
      </c>
      <c r="AQ7" t="s">
        <v>249</v>
      </c>
      <c r="AR7" t="s">
        <v>4185</v>
      </c>
      <c r="AS7" t="s">
        <v>4210</v>
      </c>
      <c r="AT7" t="s">
        <v>4219</v>
      </c>
    </row>
    <row r="8" spans="1:46">
      <c r="A8" s="1">
        <f>HYPERLINK("https://lsnyc.legalserver.org/matter/dynamic-profile/view/1895340","19-1895340")</f>
        <v>0</v>
      </c>
      <c r="B8" t="s">
        <v>46</v>
      </c>
      <c r="C8" t="s">
        <v>76</v>
      </c>
      <c r="E8" t="s">
        <v>339</v>
      </c>
      <c r="F8" t="s">
        <v>854</v>
      </c>
      <c r="G8" t="s">
        <v>1354</v>
      </c>
      <c r="H8" t="s">
        <v>1737</v>
      </c>
      <c r="I8">
        <v>11221</v>
      </c>
      <c r="J8" t="s">
        <v>2002</v>
      </c>
      <c r="K8" t="s">
        <v>2003</v>
      </c>
      <c r="L8" t="s">
        <v>2005</v>
      </c>
      <c r="N8" t="s">
        <v>2416</v>
      </c>
      <c r="O8" t="s">
        <v>2438</v>
      </c>
      <c r="Q8" t="s">
        <v>2002</v>
      </c>
      <c r="S8" t="s">
        <v>76</v>
      </c>
      <c r="T8">
        <v>834</v>
      </c>
      <c r="U8" t="s">
        <v>2496</v>
      </c>
      <c r="W8" t="s">
        <v>2534</v>
      </c>
      <c r="X8" t="s">
        <v>2006</v>
      </c>
      <c r="Y8" t="s">
        <v>3313</v>
      </c>
      <c r="Z8">
        <v>12</v>
      </c>
      <c r="AA8" t="s">
        <v>3783</v>
      </c>
      <c r="AB8" t="s">
        <v>2006</v>
      </c>
      <c r="AC8">
        <v>26</v>
      </c>
      <c r="AD8">
        <v>5</v>
      </c>
      <c r="AE8">
        <v>2</v>
      </c>
      <c r="AF8">
        <v>133.3</v>
      </c>
      <c r="AI8" t="s">
        <v>3809</v>
      </c>
      <c r="AJ8">
        <v>52000</v>
      </c>
      <c r="AP8">
        <v>3</v>
      </c>
      <c r="AQ8" t="s">
        <v>279</v>
      </c>
      <c r="AR8" t="s">
        <v>4185</v>
      </c>
      <c r="AS8" t="s">
        <v>4211</v>
      </c>
      <c r="AT8" t="s">
        <v>4219</v>
      </c>
    </row>
    <row r="9" spans="1:46">
      <c r="A9" s="1">
        <f>HYPERLINK("https://lsnyc.legalserver.org/matter/dynamic-profile/view/1895320","19-1895320")</f>
        <v>0</v>
      </c>
      <c r="B9" t="s">
        <v>46</v>
      </c>
      <c r="C9" t="s">
        <v>76</v>
      </c>
      <c r="E9" t="s">
        <v>340</v>
      </c>
      <c r="F9" t="s">
        <v>855</v>
      </c>
      <c r="G9" t="s">
        <v>1359</v>
      </c>
      <c r="H9" t="s">
        <v>1737</v>
      </c>
      <c r="I9">
        <v>11221</v>
      </c>
      <c r="J9" t="s">
        <v>2002</v>
      </c>
      <c r="K9" t="s">
        <v>2003</v>
      </c>
      <c r="L9" t="s">
        <v>2005</v>
      </c>
      <c r="N9" t="s">
        <v>2416</v>
      </c>
      <c r="O9" t="s">
        <v>2438</v>
      </c>
      <c r="Q9" t="s">
        <v>2002</v>
      </c>
      <c r="S9" t="s">
        <v>76</v>
      </c>
      <c r="T9">
        <v>790</v>
      </c>
      <c r="U9" t="s">
        <v>2496</v>
      </c>
      <c r="W9" t="s">
        <v>2535</v>
      </c>
      <c r="X9" t="s">
        <v>2006</v>
      </c>
      <c r="Y9" t="s">
        <v>3314</v>
      </c>
      <c r="Z9">
        <v>13</v>
      </c>
      <c r="AA9" t="s">
        <v>3783</v>
      </c>
      <c r="AB9" t="s">
        <v>2006</v>
      </c>
      <c r="AC9">
        <v>20</v>
      </c>
      <c r="AD9">
        <v>1</v>
      </c>
      <c r="AE9">
        <v>0</v>
      </c>
      <c r="AF9">
        <v>150.68</v>
      </c>
      <c r="AI9" t="s">
        <v>3809</v>
      </c>
      <c r="AJ9">
        <v>18820</v>
      </c>
      <c r="AK9" t="s">
        <v>3819</v>
      </c>
      <c r="AP9">
        <v>0</v>
      </c>
      <c r="AR9" t="s">
        <v>4185</v>
      </c>
      <c r="AS9" t="s">
        <v>4211</v>
      </c>
      <c r="AT9" t="s">
        <v>4219</v>
      </c>
    </row>
    <row r="10" spans="1:46">
      <c r="A10" s="1">
        <f>HYPERLINK("https://lsnyc.legalserver.org/matter/dynamic-profile/view/1895385","19-1895385")</f>
        <v>0</v>
      </c>
      <c r="B10" t="s">
        <v>46</v>
      </c>
      <c r="C10" t="s">
        <v>76</v>
      </c>
      <c r="E10" t="s">
        <v>334</v>
      </c>
      <c r="F10" t="s">
        <v>849</v>
      </c>
      <c r="G10" t="s">
        <v>1354</v>
      </c>
      <c r="H10" t="s">
        <v>1734</v>
      </c>
      <c r="I10">
        <v>11221</v>
      </c>
      <c r="J10" t="s">
        <v>2002</v>
      </c>
      <c r="K10" t="s">
        <v>2003</v>
      </c>
      <c r="L10" t="s">
        <v>2005</v>
      </c>
      <c r="N10" t="s">
        <v>2416</v>
      </c>
      <c r="O10" t="s">
        <v>2438</v>
      </c>
      <c r="Q10" t="s">
        <v>2002</v>
      </c>
      <c r="S10" t="s">
        <v>76</v>
      </c>
      <c r="T10">
        <v>763</v>
      </c>
      <c r="U10" t="s">
        <v>2494</v>
      </c>
      <c r="W10" t="s">
        <v>2529</v>
      </c>
      <c r="Y10" t="s">
        <v>3309</v>
      </c>
      <c r="Z10">
        <v>12</v>
      </c>
      <c r="AA10" t="s">
        <v>3783</v>
      </c>
      <c r="AB10" t="s">
        <v>2006</v>
      </c>
      <c r="AC10">
        <v>10</v>
      </c>
      <c r="AD10">
        <v>1</v>
      </c>
      <c r="AE10">
        <v>0</v>
      </c>
      <c r="AF10">
        <v>166.53</v>
      </c>
      <c r="AI10" t="s">
        <v>3809</v>
      </c>
      <c r="AJ10">
        <v>20800</v>
      </c>
      <c r="AK10" t="s">
        <v>3820</v>
      </c>
      <c r="AP10">
        <v>7.5</v>
      </c>
      <c r="AQ10" t="s">
        <v>319</v>
      </c>
      <c r="AR10" t="s">
        <v>4185</v>
      </c>
      <c r="AS10" t="s">
        <v>4211</v>
      </c>
      <c r="AT10" t="s">
        <v>4219</v>
      </c>
    </row>
    <row r="11" spans="1:46">
      <c r="A11" s="1">
        <f>HYPERLINK("https://lsnyc.legalserver.org/matter/dynamic-profile/view/1895315","19-1895315")</f>
        <v>0</v>
      </c>
      <c r="B11" t="s">
        <v>46</v>
      </c>
      <c r="C11" t="s">
        <v>76</v>
      </c>
      <c r="E11" t="s">
        <v>337</v>
      </c>
      <c r="F11" t="s">
        <v>856</v>
      </c>
      <c r="G11" t="s">
        <v>1357</v>
      </c>
      <c r="H11" t="s">
        <v>1736</v>
      </c>
      <c r="I11">
        <v>11221</v>
      </c>
      <c r="J11" t="s">
        <v>2003</v>
      </c>
      <c r="K11" t="s">
        <v>2003</v>
      </c>
      <c r="N11" t="s">
        <v>2416</v>
      </c>
      <c r="O11" t="s">
        <v>2437</v>
      </c>
      <c r="Q11" t="s">
        <v>2002</v>
      </c>
      <c r="S11" t="s">
        <v>76</v>
      </c>
      <c r="T11">
        <v>1292.5</v>
      </c>
      <c r="W11" t="s">
        <v>2532</v>
      </c>
      <c r="Y11" t="s">
        <v>3315</v>
      </c>
      <c r="Z11">
        <v>16</v>
      </c>
      <c r="AA11" t="s">
        <v>3783</v>
      </c>
      <c r="AB11" t="s">
        <v>2006</v>
      </c>
      <c r="AC11">
        <v>10</v>
      </c>
      <c r="AD11">
        <v>2</v>
      </c>
      <c r="AE11">
        <v>0</v>
      </c>
      <c r="AF11">
        <v>184.51</v>
      </c>
      <c r="AI11" t="s">
        <v>3809</v>
      </c>
      <c r="AJ11">
        <v>31200</v>
      </c>
      <c r="AP11">
        <v>10</v>
      </c>
      <c r="AQ11" t="s">
        <v>260</v>
      </c>
      <c r="AR11" t="s">
        <v>4185</v>
      </c>
      <c r="AS11" t="s">
        <v>4210</v>
      </c>
      <c r="AT11" t="s">
        <v>4219</v>
      </c>
    </row>
    <row r="12" spans="1:46">
      <c r="A12" s="1">
        <f>HYPERLINK("https://lsnyc.legalserver.org/matter/dynamic-profile/view/1895371","19-1895371")</f>
        <v>0</v>
      </c>
      <c r="B12" t="s">
        <v>46</v>
      </c>
      <c r="C12" t="s">
        <v>76</v>
      </c>
      <c r="E12" t="s">
        <v>341</v>
      </c>
      <c r="F12" t="s">
        <v>857</v>
      </c>
      <c r="G12" t="s">
        <v>1354</v>
      </c>
      <c r="H12" t="s">
        <v>1738</v>
      </c>
      <c r="I12">
        <v>11221</v>
      </c>
      <c r="J12" t="s">
        <v>2002</v>
      </c>
      <c r="K12" t="s">
        <v>2003</v>
      </c>
      <c r="L12" t="s">
        <v>2005</v>
      </c>
      <c r="N12" t="s">
        <v>2416</v>
      </c>
      <c r="O12" t="s">
        <v>2438</v>
      </c>
      <c r="Q12" t="s">
        <v>2002</v>
      </c>
      <c r="S12" t="s">
        <v>76</v>
      </c>
      <c r="T12">
        <v>880.65</v>
      </c>
      <c r="U12" t="s">
        <v>2496</v>
      </c>
      <c r="W12" t="s">
        <v>2536</v>
      </c>
      <c r="X12" t="s">
        <v>2006</v>
      </c>
      <c r="Y12" t="s">
        <v>3316</v>
      </c>
      <c r="Z12">
        <v>12</v>
      </c>
      <c r="AA12" t="s">
        <v>3783</v>
      </c>
      <c r="AB12" t="s">
        <v>2006</v>
      </c>
      <c r="AC12">
        <v>17</v>
      </c>
      <c r="AD12">
        <v>1</v>
      </c>
      <c r="AE12">
        <v>1</v>
      </c>
      <c r="AF12">
        <v>236.55</v>
      </c>
      <c r="AI12" t="s">
        <v>3809</v>
      </c>
      <c r="AJ12">
        <v>40000</v>
      </c>
      <c r="AK12" t="s">
        <v>3821</v>
      </c>
      <c r="AP12">
        <v>0</v>
      </c>
      <c r="AR12" t="s">
        <v>4185</v>
      </c>
      <c r="AS12" t="s">
        <v>4211</v>
      </c>
      <c r="AT12" t="s">
        <v>4219</v>
      </c>
    </row>
    <row r="13" spans="1:46">
      <c r="A13" s="1">
        <f>HYPERLINK("https://lsnyc.legalserver.org/matter/dynamic-profile/view/1895326","19-1895326")</f>
        <v>0</v>
      </c>
      <c r="B13" t="s">
        <v>46</v>
      </c>
      <c r="C13" t="s">
        <v>76</v>
      </c>
      <c r="E13" t="s">
        <v>342</v>
      </c>
      <c r="F13" t="s">
        <v>858</v>
      </c>
      <c r="G13" t="s">
        <v>1359</v>
      </c>
      <c r="H13" t="s">
        <v>1739</v>
      </c>
      <c r="I13">
        <v>11221</v>
      </c>
      <c r="J13" t="s">
        <v>2002</v>
      </c>
      <c r="K13" t="s">
        <v>2003</v>
      </c>
      <c r="L13" t="s">
        <v>2005</v>
      </c>
      <c r="N13" t="s">
        <v>2416</v>
      </c>
      <c r="O13" t="s">
        <v>2438</v>
      </c>
      <c r="Q13" t="s">
        <v>2002</v>
      </c>
      <c r="S13" t="s">
        <v>76</v>
      </c>
      <c r="T13">
        <v>732</v>
      </c>
      <c r="U13" t="s">
        <v>2496</v>
      </c>
      <c r="W13" t="s">
        <v>2537</v>
      </c>
      <c r="X13" t="s">
        <v>2006</v>
      </c>
      <c r="Y13" t="s">
        <v>3317</v>
      </c>
      <c r="Z13">
        <v>13</v>
      </c>
      <c r="AA13" t="s">
        <v>3783</v>
      </c>
      <c r="AB13" t="s">
        <v>2006</v>
      </c>
      <c r="AC13">
        <v>25</v>
      </c>
      <c r="AD13">
        <v>3</v>
      </c>
      <c r="AE13">
        <v>2</v>
      </c>
      <c r="AF13">
        <v>265.16</v>
      </c>
      <c r="AI13" t="s">
        <v>3809</v>
      </c>
      <c r="AJ13">
        <v>80000</v>
      </c>
      <c r="AK13" t="s">
        <v>3822</v>
      </c>
      <c r="AP13">
        <v>0</v>
      </c>
      <c r="AR13" t="s">
        <v>4185</v>
      </c>
      <c r="AS13" t="s">
        <v>4211</v>
      </c>
      <c r="AT13" t="s">
        <v>4219</v>
      </c>
    </row>
    <row r="14" spans="1:46">
      <c r="A14" s="1">
        <f>HYPERLINK("https://lsnyc.legalserver.org/matter/dynamic-profile/view/1895330","19-1895330")</f>
        <v>0</v>
      </c>
      <c r="B14" t="s">
        <v>46</v>
      </c>
      <c r="C14" t="s">
        <v>76</v>
      </c>
      <c r="E14" t="s">
        <v>343</v>
      </c>
      <c r="F14" t="s">
        <v>859</v>
      </c>
      <c r="G14" t="s">
        <v>1354</v>
      </c>
      <c r="H14" t="s">
        <v>1740</v>
      </c>
      <c r="I14">
        <v>11221</v>
      </c>
      <c r="J14" t="s">
        <v>2002</v>
      </c>
      <c r="K14" t="s">
        <v>2002</v>
      </c>
      <c r="L14" t="s">
        <v>2006</v>
      </c>
      <c r="N14" t="s">
        <v>2416</v>
      </c>
      <c r="O14" t="s">
        <v>2438</v>
      </c>
      <c r="Q14" t="s">
        <v>2002</v>
      </c>
      <c r="S14" t="s">
        <v>76</v>
      </c>
      <c r="T14">
        <v>780</v>
      </c>
      <c r="U14" t="s">
        <v>2496</v>
      </c>
      <c r="W14" t="s">
        <v>2538</v>
      </c>
      <c r="Y14" t="s">
        <v>3318</v>
      </c>
      <c r="Z14">
        <v>12</v>
      </c>
      <c r="AA14" t="s">
        <v>3783</v>
      </c>
      <c r="AB14" t="s">
        <v>2006</v>
      </c>
      <c r="AC14">
        <v>15</v>
      </c>
      <c r="AD14">
        <v>1</v>
      </c>
      <c r="AE14">
        <v>0</v>
      </c>
      <c r="AF14">
        <v>384.31</v>
      </c>
      <c r="AI14" t="s">
        <v>3809</v>
      </c>
      <c r="AJ14">
        <v>48000</v>
      </c>
      <c r="AK14" t="s">
        <v>3823</v>
      </c>
      <c r="AP14">
        <v>0</v>
      </c>
      <c r="AR14" t="s">
        <v>4185</v>
      </c>
      <c r="AS14" t="s">
        <v>4211</v>
      </c>
      <c r="AT14" t="s">
        <v>4219</v>
      </c>
    </row>
    <row r="15" spans="1:46">
      <c r="A15" s="1">
        <f>HYPERLINK("https://lsnyc.legalserver.org/matter/dynamic-profile/view/1895988","19-1895988")</f>
        <v>0</v>
      </c>
      <c r="B15" t="s">
        <v>46</v>
      </c>
      <c r="C15" t="s">
        <v>78</v>
      </c>
      <c r="E15" t="s">
        <v>344</v>
      </c>
      <c r="F15" t="s">
        <v>860</v>
      </c>
      <c r="G15" t="s">
        <v>1360</v>
      </c>
      <c r="H15" t="s">
        <v>1741</v>
      </c>
      <c r="I15">
        <v>11212</v>
      </c>
      <c r="J15" t="s">
        <v>2002</v>
      </c>
      <c r="K15" t="s">
        <v>2002</v>
      </c>
      <c r="M15" t="s">
        <v>2012</v>
      </c>
      <c r="N15" t="s">
        <v>2415</v>
      </c>
      <c r="O15" t="s">
        <v>2437</v>
      </c>
      <c r="S15" t="s">
        <v>290</v>
      </c>
      <c r="T15">
        <v>0</v>
      </c>
      <c r="U15" t="s">
        <v>2497</v>
      </c>
      <c r="W15" t="s">
        <v>2539</v>
      </c>
      <c r="Z15">
        <v>42</v>
      </c>
      <c r="AA15" t="s">
        <v>3783</v>
      </c>
      <c r="AC15">
        <v>0</v>
      </c>
      <c r="AD15">
        <v>2</v>
      </c>
      <c r="AE15">
        <v>2</v>
      </c>
      <c r="AF15">
        <v>170.87</v>
      </c>
      <c r="AI15" t="s">
        <v>3809</v>
      </c>
      <c r="AJ15">
        <v>44000</v>
      </c>
      <c r="AP15">
        <v>15</v>
      </c>
      <c r="AQ15" t="s">
        <v>226</v>
      </c>
      <c r="AR15" t="s">
        <v>49</v>
      </c>
      <c r="AS15" t="s">
        <v>4210</v>
      </c>
      <c r="AT15" t="s">
        <v>4219</v>
      </c>
    </row>
    <row r="16" spans="1:46">
      <c r="A16" s="1">
        <f>HYPERLINK("https://lsnyc.legalserver.org/matter/dynamic-profile/view/1869143","18-1869143")</f>
        <v>0</v>
      </c>
      <c r="B16" t="s">
        <v>47</v>
      </c>
      <c r="C16" t="s">
        <v>79</v>
      </c>
      <c r="D16" t="s">
        <v>104</v>
      </c>
      <c r="E16" t="s">
        <v>345</v>
      </c>
      <c r="F16" t="s">
        <v>861</v>
      </c>
      <c r="G16" t="s">
        <v>1361</v>
      </c>
      <c r="H16" t="s">
        <v>1742</v>
      </c>
      <c r="I16">
        <v>11207</v>
      </c>
      <c r="J16" t="s">
        <v>2002</v>
      </c>
      <c r="K16" t="s">
        <v>2002</v>
      </c>
      <c r="M16" t="s">
        <v>2013</v>
      </c>
      <c r="N16" t="s">
        <v>2415</v>
      </c>
      <c r="O16" t="s">
        <v>2439</v>
      </c>
      <c r="P16" t="s">
        <v>2444</v>
      </c>
      <c r="Q16" t="s">
        <v>2003</v>
      </c>
      <c r="R16" t="s">
        <v>2452</v>
      </c>
      <c r="S16" t="s">
        <v>2458</v>
      </c>
      <c r="T16">
        <v>901</v>
      </c>
      <c r="U16" t="s">
        <v>2498</v>
      </c>
      <c r="V16" t="s">
        <v>2514</v>
      </c>
      <c r="W16" t="s">
        <v>2540</v>
      </c>
      <c r="X16" t="s">
        <v>3161</v>
      </c>
      <c r="Y16" t="s">
        <v>3319</v>
      </c>
      <c r="Z16">
        <v>22</v>
      </c>
      <c r="AA16" t="s">
        <v>2156</v>
      </c>
      <c r="AB16" t="s">
        <v>2006</v>
      </c>
      <c r="AC16">
        <v>5</v>
      </c>
      <c r="AD16">
        <v>1</v>
      </c>
      <c r="AE16">
        <v>0</v>
      </c>
      <c r="AF16">
        <v>85.67</v>
      </c>
      <c r="AI16" t="s">
        <v>3809</v>
      </c>
      <c r="AJ16">
        <v>10400</v>
      </c>
      <c r="AK16" t="s">
        <v>3824</v>
      </c>
      <c r="AP16">
        <v>3.9</v>
      </c>
      <c r="AQ16" t="s">
        <v>227</v>
      </c>
      <c r="AR16" t="s">
        <v>4187</v>
      </c>
      <c r="AS16" t="s">
        <v>4210</v>
      </c>
      <c r="AT16" t="s">
        <v>4219</v>
      </c>
    </row>
    <row r="17" spans="1:46">
      <c r="A17" s="1">
        <f>HYPERLINK("https://lsnyc.legalserver.org/matter/dynamic-profile/view/1874133","18-1874133")</f>
        <v>0</v>
      </c>
      <c r="B17" t="s">
        <v>47</v>
      </c>
      <c r="C17" t="s">
        <v>80</v>
      </c>
      <c r="D17" t="s">
        <v>91</v>
      </c>
      <c r="E17" t="s">
        <v>346</v>
      </c>
      <c r="F17" t="s">
        <v>862</v>
      </c>
      <c r="G17" t="s">
        <v>1362</v>
      </c>
      <c r="I17">
        <v>11233</v>
      </c>
      <c r="J17" t="s">
        <v>2002</v>
      </c>
      <c r="K17" t="s">
        <v>2002</v>
      </c>
      <c r="M17" t="s">
        <v>2014</v>
      </c>
      <c r="N17" t="s">
        <v>2413</v>
      </c>
      <c r="O17" t="s">
        <v>2439</v>
      </c>
      <c r="P17" t="s">
        <v>2444</v>
      </c>
      <c r="Q17" t="s">
        <v>2003</v>
      </c>
      <c r="R17" t="s">
        <v>2451</v>
      </c>
      <c r="S17" t="s">
        <v>204</v>
      </c>
      <c r="T17">
        <v>0</v>
      </c>
      <c r="U17" t="s">
        <v>2493</v>
      </c>
      <c r="V17" t="s">
        <v>2514</v>
      </c>
      <c r="W17" t="s">
        <v>2541</v>
      </c>
      <c r="Y17" t="s">
        <v>3320</v>
      </c>
      <c r="Z17">
        <v>3</v>
      </c>
      <c r="AA17" t="s">
        <v>3784</v>
      </c>
      <c r="AB17" t="s">
        <v>2006</v>
      </c>
      <c r="AC17">
        <v>5</v>
      </c>
      <c r="AD17">
        <v>1</v>
      </c>
      <c r="AE17">
        <v>0</v>
      </c>
      <c r="AF17">
        <v>21.75</v>
      </c>
      <c r="AI17" t="s">
        <v>3809</v>
      </c>
      <c r="AJ17">
        <v>2640</v>
      </c>
      <c r="AM17" t="s">
        <v>2495</v>
      </c>
      <c r="AN17" t="s">
        <v>4121</v>
      </c>
      <c r="AO17" t="s">
        <v>4124</v>
      </c>
      <c r="AP17">
        <v>1.9</v>
      </c>
      <c r="AQ17" t="s">
        <v>199</v>
      </c>
      <c r="AR17" t="s">
        <v>4188</v>
      </c>
      <c r="AS17" t="s">
        <v>4210</v>
      </c>
      <c r="AT17" t="s">
        <v>4219</v>
      </c>
    </row>
    <row r="18" spans="1:46">
      <c r="A18" s="1">
        <f>HYPERLINK("https://lsnyc.legalserver.org/matter/dynamic-profile/view/1877223","18-1877223")</f>
        <v>0</v>
      </c>
      <c r="B18" t="s">
        <v>47</v>
      </c>
      <c r="C18" t="s">
        <v>81</v>
      </c>
      <c r="D18" t="s">
        <v>93</v>
      </c>
      <c r="E18" t="s">
        <v>347</v>
      </c>
      <c r="F18" t="s">
        <v>860</v>
      </c>
      <c r="G18" t="s">
        <v>1363</v>
      </c>
      <c r="H18" t="s">
        <v>1743</v>
      </c>
      <c r="I18">
        <v>11212</v>
      </c>
      <c r="J18" t="s">
        <v>2002</v>
      </c>
      <c r="K18" t="s">
        <v>2002</v>
      </c>
      <c r="M18" t="s">
        <v>2015</v>
      </c>
      <c r="N18" t="s">
        <v>2413</v>
      </c>
      <c r="O18" t="s">
        <v>2436</v>
      </c>
      <c r="P18" t="s">
        <v>2443</v>
      </c>
      <c r="Q18" t="s">
        <v>2003</v>
      </c>
      <c r="R18" t="s">
        <v>2451</v>
      </c>
      <c r="S18" t="s">
        <v>81</v>
      </c>
      <c r="T18">
        <v>840</v>
      </c>
      <c r="U18" t="s">
        <v>2499</v>
      </c>
      <c r="V18" t="s">
        <v>2515</v>
      </c>
      <c r="W18" t="s">
        <v>2542</v>
      </c>
      <c r="Y18" t="s">
        <v>3321</v>
      </c>
      <c r="Z18">
        <v>71</v>
      </c>
      <c r="AA18" t="s">
        <v>3783</v>
      </c>
      <c r="AB18" t="s">
        <v>2006</v>
      </c>
      <c r="AC18">
        <v>3</v>
      </c>
      <c r="AD18">
        <v>1</v>
      </c>
      <c r="AE18">
        <v>0</v>
      </c>
      <c r="AF18">
        <v>235.58</v>
      </c>
      <c r="AG18" t="s">
        <v>3801</v>
      </c>
      <c r="AH18" t="s">
        <v>3806</v>
      </c>
      <c r="AI18" t="s">
        <v>3809</v>
      </c>
      <c r="AJ18">
        <v>28600</v>
      </c>
      <c r="AP18">
        <v>1.8</v>
      </c>
      <c r="AQ18" t="s">
        <v>93</v>
      </c>
      <c r="AR18" t="s">
        <v>4185</v>
      </c>
      <c r="AS18" t="s">
        <v>4210</v>
      </c>
      <c r="AT18" t="s">
        <v>4219</v>
      </c>
    </row>
    <row r="19" spans="1:46">
      <c r="A19" s="1">
        <f>HYPERLINK("https://lsnyc.legalserver.org/matter/dynamic-profile/view/1895335","19-1895335")</f>
        <v>0</v>
      </c>
      <c r="B19" t="s">
        <v>48</v>
      </c>
      <c r="C19" t="s">
        <v>76</v>
      </c>
      <c r="E19" t="s">
        <v>348</v>
      </c>
      <c r="F19" t="s">
        <v>863</v>
      </c>
      <c r="G19" t="s">
        <v>1354</v>
      </c>
      <c r="H19" t="s">
        <v>1744</v>
      </c>
      <c r="I19">
        <v>11221</v>
      </c>
      <c r="J19" t="s">
        <v>2002</v>
      </c>
      <c r="K19" t="s">
        <v>2003</v>
      </c>
      <c r="L19" t="s">
        <v>2005</v>
      </c>
      <c r="N19" t="s">
        <v>2416</v>
      </c>
      <c r="O19" t="s">
        <v>2438</v>
      </c>
      <c r="Q19" t="s">
        <v>2002</v>
      </c>
      <c r="R19" t="s">
        <v>2453</v>
      </c>
      <c r="S19" t="s">
        <v>76</v>
      </c>
      <c r="T19">
        <v>793</v>
      </c>
      <c r="U19" t="s">
        <v>2496</v>
      </c>
      <c r="W19" t="s">
        <v>2543</v>
      </c>
      <c r="X19" t="s">
        <v>2006</v>
      </c>
      <c r="Y19" t="s">
        <v>3322</v>
      </c>
      <c r="Z19">
        <v>12</v>
      </c>
      <c r="AA19" t="s">
        <v>3783</v>
      </c>
      <c r="AB19" t="s">
        <v>2006</v>
      </c>
      <c r="AC19">
        <v>15</v>
      </c>
      <c r="AD19">
        <v>1</v>
      </c>
      <c r="AE19">
        <v>0</v>
      </c>
      <c r="AF19">
        <v>72.86</v>
      </c>
      <c r="AI19" t="s">
        <v>3809</v>
      </c>
      <c r="AJ19">
        <v>9100</v>
      </c>
      <c r="AK19" t="s">
        <v>3825</v>
      </c>
      <c r="AP19">
        <v>5.75</v>
      </c>
      <c r="AQ19" t="s">
        <v>314</v>
      </c>
      <c r="AR19" t="s">
        <v>4185</v>
      </c>
      <c r="AS19" t="s">
        <v>4211</v>
      </c>
      <c r="AT19" t="s">
        <v>4219</v>
      </c>
    </row>
    <row r="20" spans="1:46">
      <c r="A20" s="1">
        <f>HYPERLINK("https://lsnyc.legalserver.org/matter/dynamic-profile/view/1887744","19-1887744")</f>
        <v>0</v>
      </c>
      <c r="B20" t="s">
        <v>49</v>
      </c>
      <c r="C20" t="s">
        <v>82</v>
      </c>
      <c r="D20" t="s">
        <v>288</v>
      </c>
      <c r="E20" t="s">
        <v>349</v>
      </c>
      <c r="F20" t="s">
        <v>864</v>
      </c>
      <c r="G20" t="s">
        <v>1364</v>
      </c>
      <c r="H20" t="s">
        <v>1745</v>
      </c>
      <c r="I20">
        <v>11212</v>
      </c>
      <c r="J20" t="s">
        <v>2002</v>
      </c>
      <c r="K20" t="s">
        <v>2002</v>
      </c>
      <c r="L20" t="s">
        <v>2005</v>
      </c>
      <c r="M20" t="s">
        <v>2016</v>
      </c>
      <c r="N20" t="s">
        <v>2413</v>
      </c>
      <c r="O20" t="s">
        <v>2436</v>
      </c>
      <c r="P20" t="s">
        <v>2443</v>
      </c>
      <c r="Q20" t="s">
        <v>2003</v>
      </c>
      <c r="S20" t="s">
        <v>288</v>
      </c>
      <c r="T20">
        <v>1650</v>
      </c>
      <c r="U20" t="s">
        <v>2500</v>
      </c>
      <c r="V20" t="s">
        <v>2514</v>
      </c>
      <c r="W20" t="s">
        <v>2544</v>
      </c>
      <c r="X20" t="s">
        <v>3162</v>
      </c>
      <c r="Y20" t="s">
        <v>3323</v>
      </c>
      <c r="Z20">
        <v>2</v>
      </c>
      <c r="AA20" t="s">
        <v>3784</v>
      </c>
      <c r="AB20" t="s">
        <v>3794</v>
      </c>
      <c r="AC20">
        <v>2</v>
      </c>
      <c r="AD20">
        <v>1</v>
      </c>
      <c r="AE20">
        <v>2</v>
      </c>
      <c r="AF20">
        <v>60.15</v>
      </c>
      <c r="AI20" t="s">
        <v>3809</v>
      </c>
      <c r="AJ20">
        <v>12500</v>
      </c>
      <c r="AP20">
        <v>0.25</v>
      </c>
      <c r="AQ20" t="s">
        <v>288</v>
      </c>
      <c r="AR20" t="s">
        <v>49</v>
      </c>
      <c r="AS20" t="s">
        <v>4210</v>
      </c>
      <c r="AT20" t="s">
        <v>4219</v>
      </c>
    </row>
    <row r="21" spans="1:46">
      <c r="A21" s="1">
        <f>HYPERLINK("https://lsnyc.legalserver.org/matter/dynamic-profile/view/1892872","19-1892872")</f>
        <v>0</v>
      </c>
      <c r="B21" t="s">
        <v>50</v>
      </c>
      <c r="C21" t="s">
        <v>83</v>
      </c>
      <c r="D21" t="s">
        <v>309</v>
      </c>
      <c r="E21" t="s">
        <v>350</v>
      </c>
      <c r="F21" t="s">
        <v>865</v>
      </c>
      <c r="G21" t="s">
        <v>1365</v>
      </c>
      <c r="H21" t="s">
        <v>1746</v>
      </c>
      <c r="I21">
        <v>11207</v>
      </c>
      <c r="J21" t="s">
        <v>2002</v>
      </c>
      <c r="K21" t="s">
        <v>2002</v>
      </c>
      <c r="L21" t="s">
        <v>2007</v>
      </c>
      <c r="M21" t="s">
        <v>2017</v>
      </c>
      <c r="N21" t="s">
        <v>2415</v>
      </c>
      <c r="O21" t="s">
        <v>2437</v>
      </c>
      <c r="P21" t="s">
        <v>2445</v>
      </c>
      <c r="Q21" t="s">
        <v>2003</v>
      </c>
      <c r="S21" t="s">
        <v>2459</v>
      </c>
      <c r="T21">
        <v>1435</v>
      </c>
      <c r="V21" t="s">
        <v>2516</v>
      </c>
      <c r="W21" t="s">
        <v>2545</v>
      </c>
      <c r="X21">
        <v>9507238</v>
      </c>
      <c r="Y21" t="s">
        <v>3324</v>
      </c>
      <c r="Z21">
        <v>6</v>
      </c>
      <c r="AA21" t="s">
        <v>3783</v>
      </c>
      <c r="AC21">
        <v>7</v>
      </c>
      <c r="AD21">
        <v>1</v>
      </c>
      <c r="AE21">
        <v>4</v>
      </c>
      <c r="AF21">
        <v>10.02</v>
      </c>
      <c r="AI21" t="s">
        <v>3809</v>
      </c>
      <c r="AJ21">
        <v>3024</v>
      </c>
      <c r="AP21">
        <v>36.7</v>
      </c>
      <c r="AQ21" t="s">
        <v>4164</v>
      </c>
      <c r="AR21" t="s">
        <v>49</v>
      </c>
      <c r="AS21" t="s">
        <v>4210</v>
      </c>
      <c r="AT21" t="s">
        <v>4219</v>
      </c>
    </row>
    <row r="22" spans="1:46">
      <c r="A22" s="1">
        <f>HYPERLINK("https://lsnyc.legalserver.org/matter/dynamic-profile/view/1872231","18-1872231")</f>
        <v>0</v>
      </c>
      <c r="B22" t="s">
        <v>50</v>
      </c>
      <c r="C22" t="s">
        <v>84</v>
      </c>
      <c r="D22" t="s">
        <v>156</v>
      </c>
      <c r="E22" t="s">
        <v>351</v>
      </c>
      <c r="F22" t="s">
        <v>866</v>
      </c>
      <c r="G22" t="s">
        <v>1366</v>
      </c>
      <c r="H22" t="s">
        <v>1747</v>
      </c>
      <c r="I22">
        <v>11208</v>
      </c>
      <c r="J22" t="s">
        <v>2002</v>
      </c>
      <c r="K22" t="s">
        <v>2002</v>
      </c>
      <c r="M22" t="s">
        <v>2018</v>
      </c>
      <c r="N22" t="s">
        <v>2413</v>
      </c>
      <c r="O22" t="s">
        <v>2437</v>
      </c>
      <c r="P22" t="s">
        <v>2445</v>
      </c>
      <c r="S22" t="s">
        <v>198</v>
      </c>
      <c r="T22">
        <v>400</v>
      </c>
      <c r="U22" t="s">
        <v>2493</v>
      </c>
      <c r="V22" t="s">
        <v>2516</v>
      </c>
      <c r="W22" t="s">
        <v>2546</v>
      </c>
      <c r="Y22" t="s">
        <v>3325</v>
      </c>
      <c r="Z22">
        <v>9</v>
      </c>
      <c r="AB22" t="s">
        <v>2006</v>
      </c>
      <c r="AC22">
        <v>0</v>
      </c>
      <c r="AD22">
        <v>1</v>
      </c>
      <c r="AE22">
        <v>0</v>
      </c>
      <c r="AF22">
        <v>84.02</v>
      </c>
      <c r="AI22" t="s">
        <v>3809</v>
      </c>
      <c r="AJ22">
        <v>10200</v>
      </c>
      <c r="AK22" t="s">
        <v>3826</v>
      </c>
      <c r="AL22" t="s">
        <v>4102</v>
      </c>
      <c r="AM22" t="s">
        <v>4107</v>
      </c>
      <c r="AN22" t="s">
        <v>4122</v>
      </c>
      <c r="AO22" t="s">
        <v>4125</v>
      </c>
      <c r="AP22">
        <v>53.2</v>
      </c>
      <c r="AQ22" t="s">
        <v>95</v>
      </c>
      <c r="AR22" t="s">
        <v>4189</v>
      </c>
      <c r="AS22" t="s">
        <v>4210</v>
      </c>
      <c r="AT22" t="s">
        <v>4219</v>
      </c>
    </row>
    <row r="23" spans="1:46">
      <c r="A23" s="1">
        <f>HYPERLINK("https://lsnyc.legalserver.org/matter/dynamic-profile/view/1873579","18-1873579")</f>
        <v>0</v>
      </c>
      <c r="B23" t="s">
        <v>50</v>
      </c>
      <c r="C23" t="s">
        <v>85</v>
      </c>
      <c r="D23" t="s">
        <v>74</v>
      </c>
      <c r="E23" t="s">
        <v>352</v>
      </c>
      <c r="F23" t="s">
        <v>867</v>
      </c>
      <c r="G23" t="s">
        <v>1367</v>
      </c>
      <c r="H23" t="s">
        <v>1735</v>
      </c>
      <c r="I23">
        <v>11233</v>
      </c>
      <c r="J23" t="s">
        <v>2002</v>
      </c>
      <c r="K23" t="s">
        <v>2002</v>
      </c>
      <c r="M23" t="s">
        <v>2019</v>
      </c>
      <c r="N23" t="s">
        <v>2413</v>
      </c>
      <c r="O23" t="s">
        <v>2437</v>
      </c>
      <c r="P23" t="s">
        <v>2445</v>
      </c>
      <c r="Q23" t="s">
        <v>2003</v>
      </c>
      <c r="S23" t="s">
        <v>2460</v>
      </c>
      <c r="T23">
        <v>623</v>
      </c>
      <c r="U23" t="s">
        <v>2499</v>
      </c>
      <c r="V23" t="s">
        <v>2516</v>
      </c>
      <c r="W23" t="s">
        <v>2547</v>
      </c>
      <c r="Y23" t="s">
        <v>3326</v>
      </c>
      <c r="Z23">
        <v>6</v>
      </c>
      <c r="AA23" t="s">
        <v>3783</v>
      </c>
      <c r="AB23" t="s">
        <v>2006</v>
      </c>
      <c r="AC23">
        <v>38</v>
      </c>
      <c r="AD23">
        <v>1</v>
      </c>
      <c r="AE23">
        <v>0</v>
      </c>
      <c r="AF23">
        <v>304.78</v>
      </c>
      <c r="AG23" t="s">
        <v>113</v>
      </c>
      <c r="AH23" t="s">
        <v>3806</v>
      </c>
      <c r="AI23" t="s">
        <v>3809</v>
      </c>
      <c r="AJ23">
        <v>37000</v>
      </c>
      <c r="AK23" t="s">
        <v>3827</v>
      </c>
      <c r="AP23">
        <v>54.9</v>
      </c>
      <c r="AQ23" t="s">
        <v>74</v>
      </c>
      <c r="AR23" t="s">
        <v>4185</v>
      </c>
      <c r="AS23" t="s">
        <v>4210</v>
      </c>
      <c r="AT23" t="s">
        <v>4219</v>
      </c>
    </row>
    <row r="24" spans="1:46">
      <c r="A24" s="1">
        <f>HYPERLINK("https://lsnyc.legalserver.org/matter/dynamic-profile/view/1874229","18-1874229")</f>
        <v>0</v>
      </c>
      <c r="B24" t="s">
        <v>50</v>
      </c>
      <c r="C24" t="s">
        <v>86</v>
      </c>
      <c r="D24" t="s">
        <v>309</v>
      </c>
      <c r="E24" t="s">
        <v>353</v>
      </c>
      <c r="F24" t="s">
        <v>868</v>
      </c>
      <c r="G24" t="s">
        <v>1368</v>
      </c>
      <c r="I24">
        <v>11208</v>
      </c>
      <c r="J24" t="s">
        <v>2002</v>
      </c>
      <c r="K24" t="s">
        <v>2004</v>
      </c>
      <c r="L24" t="s">
        <v>2005</v>
      </c>
      <c r="M24" t="s">
        <v>2020</v>
      </c>
      <c r="N24" t="s">
        <v>2413</v>
      </c>
      <c r="O24" t="s">
        <v>2440</v>
      </c>
      <c r="P24" t="s">
        <v>2445</v>
      </c>
      <c r="Q24" t="s">
        <v>2003</v>
      </c>
      <c r="S24" t="s">
        <v>152</v>
      </c>
      <c r="T24">
        <v>0</v>
      </c>
      <c r="V24" t="s">
        <v>2516</v>
      </c>
      <c r="W24" t="s">
        <v>2548</v>
      </c>
      <c r="Z24">
        <v>0</v>
      </c>
      <c r="AC24">
        <v>0</v>
      </c>
      <c r="AD24">
        <v>1</v>
      </c>
      <c r="AE24">
        <v>0</v>
      </c>
      <c r="AF24">
        <v>84.02</v>
      </c>
      <c r="AI24" t="s">
        <v>3809</v>
      </c>
      <c r="AJ24">
        <v>10200</v>
      </c>
      <c r="AP24">
        <v>10.2</v>
      </c>
      <c r="AQ24" t="s">
        <v>191</v>
      </c>
      <c r="AR24" t="s">
        <v>50</v>
      </c>
      <c r="AS24" t="s">
        <v>4210</v>
      </c>
      <c r="AT24" t="s">
        <v>4219</v>
      </c>
    </row>
    <row r="25" spans="1:46">
      <c r="A25" s="1">
        <f>HYPERLINK("https://lsnyc.legalserver.org/matter/dynamic-profile/view/1875098","18-1875098")</f>
        <v>0</v>
      </c>
      <c r="B25" t="s">
        <v>50</v>
      </c>
      <c r="C25" t="s">
        <v>87</v>
      </c>
      <c r="D25" t="s">
        <v>309</v>
      </c>
      <c r="E25" t="s">
        <v>354</v>
      </c>
      <c r="F25" t="s">
        <v>869</v>
      </c>
      <c r="G25" t="s">
        <v>1366</v>
      </c>
      <c r="I25">
        <v>11208</v>
      </c>
      <c r="J25" t="s">
        <v>2002</v>
      </c>
      <c r="K25" t="s">
        <v>2002</v>
      </c>
      <c r="M25" t="s">
        <v>2021</v>
      </c>
      <c r="N25" t="s">
        <v>2413</v>
      </c>
      <c r="O25" t="s">
        <v>2437</v>
      </c>
      <c r="P25" t="s">
        <v>2445</v>
      </c>
      <c r="Q25" t="s">
        <v>2002</v>
      </c>
      <c r="S25" t="s">
        <v>217</v>
      </c>
      <c r="T25">
        <v>0</v>
      </c>
      <c r="V25" t="s">
        <v>2516</v>
      </c>
      <c r="W25" t="s">
        <v>2549</v>
      </c>
      <c r="Y25" t="s">
        <v>3327</v>
      </c>
      <c r="Z25">
        <v>9</v>
      </c>
      <c r="AC25">
        <v>0</v>
      </c>
      <c r="AD25">
        <v>2</v>
      </c>
      <c r="AE25">
        <v>0</v>
      </c>
      <c r="AF25">
        <v>221.14</v>
      </c>
      <c r="AG25" t="s">
        <v>217</v>
      </c>
      <c r="AH25" t="s">
        <v>3806</v>
      </c>
      <c r="AI25" t="s">
        <v>3809</v>
      </c>
      <c r="AJ25">
        <v>36400</v>
      </c>
      <c r="AK25" t="s">
        <v>3828</v>
      </c>
      <c r="AP25">
        <v>5.3</v>
      </c>
      <c r="AQ25" t="s">
        <v>192</v>
      </c>
      <c r="AR25" t="s">
        <v>50</v>
      </c>
      <c r="AS25" t="s">
        <v>4210</v>
      </c>
      <c r="AT25" t="s">
        <v>4219</v>
      </c>
    </row>
    <row r="26" spans="1:46">
      <c r="A26" s="1">
        <f>HYPERLINK("https://lsnyc.legalserver.org/matter/dynamic-profile/view/1874152","18-1874152")</f>
        <v>0</v>
      </c>
      <c r="B26" t="s">
        <v>50</v>
      </c>
      <c r="C26" t="s">
        <v>88</v>
      </c>
      <c r="D26" t="s">
        <v>114</v>
      </c>
      <c r="E26" t="s">
        <v>355</v>
      </c>
      <c r="F26" t="s">
        <v>870</v>
      </c>
      <c r="G26" t="s">
        <v>1366</v>
      </c>
      <c r="I26">
        <v>11208</v>
      </c>
      <c r="J26" t="s">
        <v>2002</v>
      </c>
      <c r="K26" t="s">
        <v>2002</v>
      </c>
      <c r="M26" t="s">
        <v>2018</v>
      </c>
      <c r="N26" t="s">
        <v>2413</v>
      </c>
      <c r="O26" t="s">
        <v>2437</v>
      </c>
      <c r="P26" t="s">
        <v>2445</v>
      </c>
      <c r="Q26" t="s">
        <v>2002</v>
      </c>
      <c r="S26" t="s">
        <v>217</v>
      </c>
      <c r="T26">
        <v>400</v>
      </c>
      <c r="V26" t="s">
        <v>2516</v>
      </c>
      <c r="W26" t="s">
        <v>2550</v>
      </c>
      <c r="Z26">
        <v>0</v>
      </c>
      <c r="AC26">
        <v>3</v>
      </c>
      <c r="AD26">
        <v>1</v>
      </c>
      <c r="AE26">
        <v>0</v>
      </c>
      <c r="AF26">
        <v>288.3</v>
      </c>
      <c r="AG26" t="s">
        <v>217</v>
      </c>
      <c r="AH26" t="s">
        <v>3806</v>
      </c>
      <c r="AJ26">
        <v>35000</v>
      </c>
      <c r="AK26" t="s">
        <v>3828</v>
      </c>
      <c r="AL26" t="s">
        <v>4102</v>
      </c>
      <c r="AM26" t="s">
        <v>4107</v>
      </c>
      <c r="AN26" t="s">
        <v>4122</v>
      </c>
      <c r="AO26" t="s">
        <v>4126</v>
      </c>
      <c r="AP26">
        <v>2.9</v>
      </c>
      <c r="AQ26" t="s">
        <v>175</v>
      </c>
      <c r="AR26" t="s">
        <v>50</v>
      </c>
      <c r="AS26" t="s">
        <v>4210</v>
      </c>
      <c r="AT26" t="s">
        <v>4219</v>
      </c>
    </row>
    <row r="27" spans="1:46">
      <c r="A27" s="1">
        <f>HYPERLINK("https://lsnyc.legalserver.org/matter/dynamic-profile/view/1875239","18-1875239")</f>
        <v>0</v>
      </c>
      <c r="B27" t="s">
        <v>50</v>
      </c>
      <c r="C27" t="s">
        <v>89</v>
      </c>
      <c r="D27" t="s">
        <v>74</v>
      </c>
      <c r="E27" t="s">
        <v>356</v>
      </c>
      <c r="F27" t="s">
        <v>871</v>
      </c>
      <c r="G27" t="s">
        <v>1367</v>
      </c>
      <c r="H27" t="s">
        <v>1748</v>
      </c>
      <c r="I27">
        <v>11233</v>
      </c>
      <c r="J27" t="s">
        <v>2002</v>
      </c>
      <c r="K27" t="s">
        <v>2002</v>
      </c>
      <c r="M27" t="s">
        <v>2022</v>
      </c>
      <c r="N27" t="s">
        <v>2413</v>
      </c>
      <c r="O27" t="s">
        <v>2437</v>
      </c>
      <c r="P27" t="s">
        <v>2445</v>
      </c>
      <c r="Q27" t="s">
        <v>2002</v>
      </c>
      <c r="R27" t="s">
        <v>2451</v>
      </c>
      <c r="S27" t="s">
        <v>89</v>
      </c>
      <c r="T27">
        <v>1290</v>
      </c>
      <c r="U27" t="s">
        <v>2501</v>
      </c>
      <c r="V27" t="s">
        <v>2516</v>
      </c>
      <c r="W27" t="s">
        <v>2551</v>
      </c>
      <c r="X27" t="s">
        <v>3163</v>
      </c>
      <c r="Y27" t="s">
        <v>3328</v>
      </c>
      <c r="Z27">
        <v>6</v>
      </c>
      <c r="AA27" t="s">
        <v>3783</v>
      </c>
      <c r="AB27" t="s">
        <v>3795</v>
      </c>
      <c r="AC27">
        <v>13</v>
      </c>
      <c r="AD27">
        <v>3</v>
      </c>
      <c r="AE27">
        <v>4</v>
      </c>
      <c r="AF27">
        <v>81.98</v>
      </c>
      <c r="AI27" t="s">
        <v>3809</v>
      </c>
      <c r="AJ27">
        <v>31200</v>
      </c>
      <c r="AN27" t="s">
        <v>4122</v>
      </c>
      <c r="AO27" t="s">
        <v>4127</v>
      </c>
      <c r="AP27">
        <v>13.05</v>
      </c>
      <c r="AQ27" t="s">
        <v>74</v>
      </c>
      <c r="AR27" t="s">
        <v>4185</v>
      </c>
      <c r="AS27" t="s">
        <v>4210</v>
      </c>
      <c r="AT27" t="s">
        <v>4219</v>
      </c>
    </row>
    <row r="28" spans="1:46">
      <c r="A28" s="1">
        <f>HYPERLINK("https://lsnyc.legalserver.org/matter/dynamic-profile/view/1877829","18-1877829")</f>
        <v>0</v>
      </c>
      <c r="B28" t="s">
        <v>50</v>
      </c>
      <c r="C28" t="s">
        <v>90</v>
      </c>
      <c r="D28" t="s">
        <v>74</v>
      </c>
      <c r="E28" t="s">
        <v>357</v>
      </c>
      <c r="F28" t="s">
        <v>872</v>
      </c>
      <c r="G28" t="s">
        <v>1367</v>
      </c>
      <c r="H28" t="s">
        <v>1749</v>
      </c>
      <c r="I28">
        <v>11233</v>
      </c>
      <c r="J28" t="s">
        <v>2002</v>
      </c>
      <c r="K28" t="s">
        <v>2002</v>
      </c>
      <c r="M28" t="s">
        <v>2023</v>
      </c>
      <c r="N28" t="s">
        <v>2413</v>
      </c>
      <c r="O28" t="s">
        <v>2437</v>
      </c>
      <c r="P28" t="s">
        <v>2445</v>
      </c>
      <c r="Q28" t="s">
        <v>2002</v>
      </c>
      <c r="R28" t="s">
        <v>2451</v>
      </c>
      <c r="S28" t="s">
        <v>90</v>
      </c>
      <c r="T28">
        <v>1300</v>
      </c>
      <c r="U28" t="s">
        <v>2495</v>
      </c>
      <c r="V28" t="s">
        <v>2516</v>
      </c>
      <c r="W28" t="s">
        <v>2552</v>
      </c>
      <c r="Y28" t="s">
        <v>3329</v>
      </c>
      <c r="Z28">
        <v>6</v>
      </c>
      <c r="AA28" t="s">
        <v>3783</v>
      </c>
      <c r="AB28" t="s">
        <v>3796</v>
      </c>
      <c r="AC28">
        <v>1</v>
      </c>
      <c r="AD28">
        <v>1</v>
      </c>
      <c r="AE28">
        <v>2</v>
      </c>
      <c r="AF28">
        <v>90.84</v>
      </c>
      <c r="AI28" t="s">
        <v>2495</v>
      </c>
      <c r="AJ28">
        <v>18876</v>
      </c>
      <c r="AN28" t="s">
        <v>4122</v>
      </c>
      <c r="AO28" t="s">
        <v>4127</v>
      </c>
      <c r="AP28">
        <v>8.699999999999999</v>
      </c>
      <c r="AQ28" t="s">
        <v>74</v>
      </c>
      <c r="AR28" t="s">
        <v>4185</v>
      </c>
      <c r="AS28" t="s">
        <v>4210</v>
      </c>
      <c r="AT28" t="s">
        <v>4219</v>
      </c>
    </row>
    <row r="29" spans="1:46">
      <c r="A29" s="1">
        <f>HYPERLINK("https://lsnyc.legalserver.org/matter/dynamic-profile/view/1877136","18-1877136")</f>
        <v>0</v>
      </c>
      <c r="B29" t="s">
        <v>50</v>
      </c>
      <c r="C29" t="s">
        <v>91</v>
      </c>
      <c r="D29" t="s">
        <v>74</v>
      </c>
      <c r="E29" t="s">
        <v>358</v>
      </c>
      <c r="F29" t="s">
        <v>873</v>
      </c>
      <c r="G29" t="s">
        <v>1367</v>
      </c>
      <c r="H29" t="s">
        <v>1750</v>
      </c>
      <c r="I29">
        <v>11233</v>
      </c>
      <c r="J29" t="s">
        <v>2002</v>
      </c>
      <c r="K29" t="s">
        <v>2002</v>
      </c>
      <c r="M29" t="s">
        <v>2024</v>
      </c>
      <c r="N29" t="s">
        <v>2413</v>
      </c>
      <c r="O29" t="s">
        <v>2437</v>
      </c>
      <c r="P29" t="s">
        <v>2445</v>
      </c>
      <c r="Q29" t="s">
        <v>2002</v>
      </c>
      <c r="R29" t="s">
        <v>2451</v>
      </c>
      <c r="S29" t="s">
        <v>91</v>
      </c>
      <c r="T29">
        <v>594.33</v>
      </c>
      <c r="U29" t="s">
        <v>2495</v>
      </c>
      <c r="V29" t="s">
        <v>2516</v>
      </c>
      <c r="W29" t="s">
        <v>2553</v>
      </c>
      <c r="Y29" t="s">
        <v>3330</v>
      </c>
      <c r="Z29">
        <v>6</v>
      </c>
      <c r="AA29" t="s">
        <v>3783</v>
      </c>
      <c r="AC29">
        <v>42</v>
      </c>
      <c r="AD29">
        <v>2</v>
      </c>
      <c r="AE29">
        <v>1</v>
      </c>
      <c r="AF29">
        <v>241.83</v>
      </c>
      <c r="AI29" t="s">
        <v>3809</v>
      </c>
      <c r="AJ29">
        <v>50252.28</v>
      </c>
      <c r="AN29" t="s">
        <v>4122</v>
      </c>
      <c r="AO29" t="s">
        <v>4127</v>
      </c>
      <c r="AP29">
        <v>6</v>
      </c>
      <c r="AQ29" t="s">
        <v>74</v>
      </c>
      <c r="AR29" t="s">
        <v>50</v>
      </c>
      <c r="AS29" t="s">
        <v>4210</v>
      </c>
      <c r="AT29" t="s">
        <v>4219</v>
      </c>
    </row>
    <row r="30" spans="1:46">
      <c r="A30" s="1">
        <f>HYPERLINK("https://lsnyc.legalserver.org/matter/dynamic-profile/view/1878374","18-1878374")</f>
        <v>0</v>
      </c>
      <c r="B30" t="s">
        <v>50</v>
      </c>
      <c r="C30" t="s">
        <v>92</v>
      </c>
      <c r="E30" t="s">
        <v>359</v>
      </c>
      <c r="F30" t="s">
        <v>874</v>
      </c>
      <c r="G30" t="s">
        <v>1369</v>
      </c>
      <c r="H30" t="s">
        <v>1751</v>
      </c>
      <c r="I30">
        <v>11212</v>
      </c>
      <c r="J30" t="s">
        <v>2002</v>
      </c>
      <c r="K30" t="s">
        <v>2002</v>
      </c>
      <c r="N30" t="s">
        <v>2417</v>
      </c>
      <c r="O30" t="s">
        <v>2436</v>
      </c>
      <c r="S30" t="s">
        <v>229</v>
      </c>
      <c r="T30">
        <v>1300</v>
      </c>
      <c r="U30" t="s">
        <v>2494</v>
      </c>
      <c r="W30" t="s">
        <v>2554</v>
      </c>
      <c r="Y30" t="s">
        <v>3331</v>
      </c>
      <c r="Z30">
        <v>19</v>
      </c>
      <c r="AA30" t="s">
        <v>3783</v>
      </c>
      <c r="AB30" t="s">
        <v>3793</v>
      </c>
      <c r="AC30">
        <v>15</v>
      </c>
      <c r="AD30">
        <v>2</v>
      </c>
      <c r="AE30">
        <v>0</v>
      </c>
      <c r="AF30">
        <v>55.12</v>
      </c>
      <c r="AI30" t="s">
        <v>3809</v>
      </c>
      <c r="AJ30">
        <v>9072</v>
      </c>
      <c r="AK30" t="s">
        <v>3829</v>
      </c>
      <c r="AP30">
        <v>6.55</v>
      </c>
      <c r="AQ30" t="s">
        <v>184</v>
      </c>
      <c r="AR30" t="s">
        <v>4185</v>
      </c>
      <c r="AS30" t="s">
        <v>4210</v>
      </c>
      <c r="AT30" t="s">
        <v>4219</v>
      </c>
    </row>
    <row r="31" spans="1:46">
      <c r="A31" s="1">
        <f>HYPERLINK("https://lsnyc.legalserver.org/matter/dynamic-profile/view/1879507","18-1879507")</f>
        <v>0</v>
      </c>
      <c r="B31" t="s">
        <v>50</v>
      </c>
      <c r="C31" t="s">
        <v>93</v>
      </c>
      <c r="D31" t="s">
        <v>74</v>
      </c>
      <c r="E31" t="s">
        <v>360</v>
      </c>
      <c r="F31" t="s">
        <v>875</v>
      </c>
      <c r="G31" t="s">
        <v>1367</v>
      </c>
      <c r="H31" t="s">
        <v>1752</v>
      </c>
      <c r="I31">
        <v>11233</v>
      </c>
      <c r="J31" t="s">
        <v>2002</v>
      </c>
      <c r="K31" t="s">
        <v>2003</v>
      </c>
      <c r="M31" t="s">
        <v>2025</v>
      </c>
      <c r="N31" t="s">
        <v>2413</v>
      </c>
      <c r="O31" t="s">
        <v>2437</v>
      </c>
      <c r="P31" t="s">
        <v>2445</v>
      </c>
      <c r="Q31" t="s">
        <v>2002</v>
      </c>
      <c r="R31" t="s">
        <v>2451</v>
      </c>
      <c r="S31" t="s">
        <v>194</v>
      </c>
      <c r="T31">
        <v>1500</v>
      </c>
      <c r="V31" t="s">
        <v>2516</v>
      </c>
      <c r="W31" t="s">
        <v>2555</v>
      </c>
      <c r="Y31" t="s">
        <v>3332</v>
      </c>
      <c r="Z31">
        <v>6</v>
      </c>
      <c r="AA31" t="s">
        <v>3783</v>
      </c>
      <c r="AC31">
        <v>1</v>
      </c>
      <c r="AD31">
        <v>1</v>
      </c>
      <c r="AE31">
        <v>1</v>
      </c>
      <c r="AF31">
        <v>172.67</v>
      </c>
      <c r="AI31" t="s">
        <v>3809</v>
      </c>
      <c r="AJ31">
        <v>28422.12</v>
      </c>
      <c r="AN31" t="s">
        <v>4122</v>
      </c>
      <c r="AO31" t="s">
        <v>4127</v>
      </c>
      <c r="AP31">
        <v>1.2</v>
      </c>
      <c r="AQ31" t="s">
        <v>74</v>
      </c>
      <c r="AR31" t="s">
        <v>50</v>
      </c>
      <c r="AS31" t="s">
        <v>4210</v>
      </c>
      <c r="AT31" t="s">
        <v>4219</v>
      </c>
    </row>
    <row r="32" spans="1:46">
      <c r="A32" s="1">
        <f>HYPERLINK("https://lsnyc.legalserver.org/matter/dynamic-profile/view/1881667","18-1881667")</f>
        <v>0</v>
      </c>
      <c r="B32" t="s">
        <v>50</v>
      </c>
      <c r="C32" t="s">
        <v>94</v>
      </c>
      <c r="E32" t="s">
        <v>361</v>
      </c>
      <c r="F32" t="s">
        <v>876</v>
      </c>
      <c r="G32" t="s">
        <v>1370</v>
      </c>
      <c r="H32">
        <v>201</v>
      </c>
      <c r="I32">
        <v>10025</v>
      </c>
      <c r="J32" t="s">
        <v>2002</v>
      </c>
      <c r="K32" t="s">
        <v>2002</v>
      </c>
      <c r="M32" t="s">
        <v>2026</v>
      </c>
      <c r="N32" t="s">
        <v>2418</v>
      </c>
      <c r="O32" t="s">
        <v>2437</v>
      </c>
      <c r="Q32" t="s">
        <v>2002</v>
      </c>
      <c r="R32" t="s">
        <v>2451</v>
      </c>
      <c r="S32" t="s">
        <v>300</v>
      </c>
      <c r="T32">
        <v>0</v>
      </c>
      <c r="U32" t="s">
        <v>2502</v>
      </c>
      <c r="W32" t="s">
        <v>2556</v>
      </c>
      <c r="Y32" t="s">
        <v>3333</v>
      </c>
      <c r="Z32">
        <v>24</v>
      </c>
      <c r="AA32" t="s">
        <v>3783</v>
      </c>
      <c r="AB32" t="s">
        <v>3794</v>
      </c>
      <c r="AC32">
        <v>0</v>
      </c>
      <c r="AD32">
        <v>2</v>
      </c>
      <c r="AE32">
        <v>0</v>
      </c>
      <c r="AF32">
        <v>187.96</v>
      </c>
      <c r="AH32" t="s">
        <v>3807</v>
      </c>
      <c r="AI32" t="s">
        <v>3809</v>
      </c>
      <c r="AJ32">
        <v>30938</v>
      </c>
      <c r="AK32" t="s">
        <v>3830</v>
      </c>
      <c r="AP32">
        <v>66.09999999999999</v>
      </c>
      <c r="AQ32" t="s">
        <v>321</v>
      </c>
      <c r="AR32" t="s">
        <v>4185</v>
      </c>
      <c r="AS32" t="s">
        <v>4210</v>
      </c>
      <c r="AT32" t="s">
        <v>4219</v>
      </c>
    </row>
    <row r="33" spans="1:46">
      <c r="A33" s="1">
        <f>HYPERLINK("https://lsnyc.legalserver.org/matter/dynamic-profile/view/1893447","19-1893447")</f>
        <v>0</v>
      </c>
      <c r="B33" t="s">
        <v>50</v>
      </c>
      <c r="C33" t="s">
        <v>95</v>
      </c>
      <c r="E33" t="s">
        <v>351</v>
      </c>
      <c r="F33" t="s">
        <v>866</v>
      </c>
      <c r="G33" t="s">
        <v>1366</v>
      </c>
      <c r="H33" t="s">
        <v>1747</v>
      </c>
      <c r="I33">
        <v>11208</v>
      </c>
      <c r="J33" t="s">
        <v>2002</v>
      </c>
      <c r="K33" t="s">
        <v>2002</v>
      </c>
      <c r="N33" t="s">
        <v>2417</v>
      </c>
      <c r="O33" t="s">
        <v>2436</v>
      </c>
      <c r="Q33" t="s">
        <v>2002</v>
      </c>
      <c r="S33" t="s">
        <v>285</v>
      </c>
      <c r="T33">
        <v>400</v>
      </c>
      <c r="U33" t="s">
        <v>2495</v>
      </c>
      <c r="W33" t="s">
        <v>2546</v>
      </c>
      <c r="Y33" t="s">
        <v>3325</v>
      </c>
      <c r="Z33">
        <v>9</v>
      </c>
      <c r="AB33" t="s">
        <v>2006</v>
      </c>
      <c r="AC33">
        <v>0</v>
      </c>
      <c r="AD33">
        <v>1</v>
      </c>
      <c r="AE33">
        <v>0</v>
      </c>
      <c r="AF33">
        <v>81.67</v>
      </c>
      <c r="AI33" t="s">
        <v>3809</v>
      </c>
      <c r="AJ33">
        <v>10200</v>
      </c>
      <c r="AP33">
        <v>6.3</v>
      </c>
      <c r="AQ33" t="s">
        <v>3805</v>
      </c>
      <c r="AR33" t="s">
        <v>49</v>
      </c>
      <c r="AS33" t="s">
        <v>4210</v>
      </c>
      <c r="AT33" t="s">
        <v>4219</v>
      </c>
    </row>
    <row r="34" spans="1:46">
      <c r="A34" s="1">
        <f>HYPERLINK("https://lsnyc.legalserver.org/matter/dynamic-profile/view/1893451","19-1893451")</f>
        <v>0</v>
      </c>
      <c r="B34" t="s">
        <v>50</v>
      </c>
      <c r="C34" t="s">
        <v>95</v>
      </c>
      <c r="E34" t="s">
        <v>353</v>
      </c>
      <c r="F34" t="s">
        <v>868</v>
      </c>
      <c r="G34" t="s">
        <v>1368</v>
      </c>
      <c r="I34">
        <v>11208</v>
      </c>
      <c r="J34" t="s">
        <v>2002</v>
      </c>
      <c r="K34" t="s">
        <v>2002</v>
      </c>
      <c r="N34" t="s">
        <v>2417</v>
      </c>
      <c r="O34" t="s">
        <v>2436</v>
      </c>
      <c r="Q34" t="s">
        <v>2002</v>
      </c>
      <c r="S34" t="s">
        <v>285</v>
      </c>
      <c r="T34">
        <v>0</v>
      </c>
      <c r="W34" t="s">
        <v>2548</v>
      </c>
      <c r="Z34">
        <v>9</v>
      </c>
      <c r="AC34">
        <v>0</v>
      </c>
      <c r="AD34">
        <v>1</v>
      </c>
      <c r="AE34">
        <v>0</v>
      </c>
      <c r="AF34">
        <v>81.67</v>
      </c>
      <c r="AI34" t="s">
        <v>3809</v>
      </c>
      <c r="AJ34">
        <v>10200</v>
      </c>
      <c r="AP34">
        <v>0.5</v>
      </c>
      <c r="AQ34" t="s">
        <v>318</v>
      </c>
      <c r="AR34" t="s">
        <v>49</v>
      </c>
      <c r="AS34" t="s">
        <v>4210</v>
      </c>
      <c r="AT34" t="s">
        <v>4219</v>
      </c>
    </row>
    <row r="35" spans="1:46">
      <c r="A35" s="1">
        <f>HYPERLINK("https://lsnyc.legalserver.org/matter/dynamic-profile/view/1893448","19-1893448")</f>
        <v>0</v>
      </c>
      <c r="B35" t="s">
        <v>50</v>
      </c>
      <c r="C35" t="s">
        <v>95</v>
      </c>
      <c r="E35" t="s">
        <v>354</v>
      </c>
      <c r="F35" t="s">
        <v>869</v>
      </c>
      <c r="G35" t="s">
        <v>1366</v>
      </c>
      <c r="I35">
        <v>11208</v>
      </c>
      <c r="J35" t="s">
        <v>2002</v>
      </c>
      <c r="K35" t="s">
        <v>2002</v>
      </c>
      <c r="N35" t="s">
        <v>2417</v>
      </c>
      <c r="O35" t="s">
        <v>2436</v>
      </c>
      <c r="Q35" t="s">
        <v>2002</v>
      </c>
      <c r="R35" t="s">
        <v>2451</v>
      </c>
      <c r="S35" t="s">
        <v>285</v>
      </c>
      <c r="T35">
        <v>0</v>
      </c>
      <c r="W35" t="s">
        <v>2549</v>
      </c>
      <c r="Y35" t="s">
        <v>3327</v>
      </c>
      <c r="Z35">
        <v>9</v>
      </c>
      <c r="AC35">
        <v>0</v>
      </c>
      <c r="AD35">
        <v>2</v>
      </c>
      <c r="AE35">
        <v>0</v>
      </c>
      <c r="AF35">
        <v>215.26</v>
      </c>
      <c r="AG35" t="s">
        <v>217</v>
      </c>
      <c r="AH35" t="s">
        <v>3806</v>
      </c>
      <c r="AI35" t="s">
        <v>3809</v>
      </c>
      <c r="AJ35">
        <v>36400</v>
      </c>
      <c r="AK35" t="s">
        <v>3831</v>
      </c>
      <c r="AP35">
        <v>0</v>
      </c>
      <c r="AR35" t="s">
        <v>4185</v>
      </c>
      <c r="AS35" t="s">
        <v>4210</v>
      </c>
      <c r="AT35" t="s">
        <v>4219</v>
      </c>
    </row>
    <row r="36" spans="1:46">
      <c r="A36" s="1">
        <f>HYPERLINK("https://lsnyc.legalserver.org/matter/dynamic-profile/view/1893454","19-1893454")</f>
        <v>0</v>
      </c>
      <c r="B36" t="s">
        <v>50</v>
      </c>
      <c r="C36" t="s">
        <v>95</v>
      </c>
      <c r="E36" t="s">
        <v>355</v>
      </c>
      <c r="F36" t="s">
        <v>870</v>
      </c>
      <c r="G36" t="s">
        <v>1366</v>
      </c>
      <c r="I36">
        <v>11208</v>
      </c>
      <c r="J36" t="s">
        <v>2002</v>
      </c>
      <c r="K36" t="s">
        <v>2002</v>
      </c>
      <c r="N36" t="s">
        <v>2417</v>
      </c>
      <c r="O36" t="s">
        <v>2436</v>
      </c>
      <c r="Q36" t="s">
        <v>2002</v>
      </c>
      <c r="R36" t="s">
        <v>2451</v>
      </c>
      <c r="S36" t="s">
        <v>285</v>
      </c>
      <c r="T36">
        <v>400</v>
      </c>
      <c r="W36" t="s">
        <v>2550</v>
      </c>
      <c r="Z36">
        <v>0</v>
      </c>
      <c r="AC36">
        <v>3</v>
      </c>
      <c r="AD36">
        <v>1</v>
      </c>
      <c r="AE36">
        <v>0</v>
      </c>
      <c r="AF36">
        <v>280.22</v>
      </c>
      <c r="AG36" t="s">
        <v>217</v>
      </c>
      <c r="AH36" t="s">
        <v>3806</v>
      </c>
      <c r="AJ36">
        <v>35000</v>
      </c>
      <c r="AK36" t="s">
        <v>3832</v>
      </c>
      <c r="AP36">
        <v>0</v>
      </c>
      <c r="AR36" t="s">
        <v>4185</v>
      </c>
      <c r="AS36" t="s">
        <v>4210</v>
      </c>
      <c r="AT36" t="s">
        <v>4219</v>
      </c>
    </row>
    <row r="37" spans="1:46">
      <c r="A37" s="1">
        <f>HYPERLINK("https://lsnyc.legalserver.org/matter/dynamic-profile/view/1882194","18-1882194")</f>
        <v>0</v>
      </c>
      <c r="B37" t="s">
        <v>50</v>
      </c>
      <c r="C37" t="s">
        <v>96</v>
      </c>
      <c r="E37" t="s">
        <v>352</v>
      </c>
      <c r="F37" t="s">
        <v>867</v>
      </c>
      <c r="G37" t="s">
        <v>1367</v>
      </c>
      <c r="H37" t="s">
        <v>1735</v>
      </c>
      <c r="I37">
        <v>11233</v>
      </c>
      <c r="J37" t="s">
        <v>2002</v>
      </c>
      <c r="K37" t="s">
        <v>2002</v>
      </c>
      <c r="M37" t="s">
        <v>2027</v>
      </c>
      <c r="N37" t="s">
        <v>2417</v>
      </c>
      <c r="O37" t="s">
        <v>2436</v>
      </c>
      <c r="Q37" t="s">
        <v>2002</v>
      </c>
      <c r="R37" t="s">
        <v>2451</v>
      </c>
      <c r="S37" t="s">
        <v>2461</v>
      </c>
      <c r="T37">
        <v>623</v>
      </c>
      <c r="U37" t="s">
        <v>2497</v>
      </c>
      <c r="W37" t="s">
        <v>2547</v>
      </c>
      <c r="X37" t="s">
        <v>2006</v>
      </c>
      <c r="Y37" t="s">
        <v>3326</v>
      </c>
      <c r="Z37">
        <v>6</v>
      </c>
      <c r="AA37" t="s">
        <v>3783</v>
      </c>
      <c r="AB37" t="s">
        <v>2006</v>
      </c>
      <c r="AC37">
        <v>38</v>
      </c>
      <c r="AD37">
        <v>1</v>
      </c>
      <c r="AE37">
        <v>0</v>
      </c>
      <c r="AF37">
        <v>304.78</v>
      </c>
      <c r="AG37" t="s">
        <v>113</v>
      </c>
      <c r="AH37" t="s">
        <v>3806</v>
      </c>
      <c r="AI37" t="s">
        <v>3809</v>
      </c>
      <c r="AJ37">
        <v>37000</v>
      </c>
      <c r="AP37">
        <v>76.90000000000001</v>
      </c>
      <c r="AQ37" t="s">
        <v>309</v>
      </c>
      <c r="AR37" t="s">
        <v>4185</v>
      </c>
      <c r="AS37" t="s">
        <v>4210</v>
      </c>
      <c r="AT37" t="s">
        <v>4219</v>
      </c>
    </row>
    <row r="38" spans="1:46">
      <c r="A38" s="1">
        <f>HYPERLINK("https://lsnyc.legalserver.org/matter/dynamic-profile/view/1885059","18-1885059")</f>
        <v>0</v>
      </c>
      <c r="B38" t="s">
        <v>50</v>
      </c>
      <c r="C38" t="s">
        <v>97</v>
      </c>
      <c r="E38" t="s">
        <v>362</v>
      </c>
      <c r="F38" t="s">
        <v>877</v>
      </c>
      <c r="G38" t="s">
        <v>1371</v>
      </c>
      <c r="H38" t="s">
        <v>1753</v>
      </c>
      <c r="I38">
        <v>11212</v>
      </c>
      <c r="J38" t="s">
        <v>2002</v>
      </c>
      <c r="K38" t="s">
        <v>2002</v>
      </c>
      <c r="M38" t="s">
        <v>2028</v>
      </c>
      <c r="N38" t="s">
        <v>2415</v>
      </c>
      <c r="O38" t="s">
        <v>2437</v>
      </c>
      <c r="Q38" t="s">
        <v>2003</v>
      </c>
      <c r="R38" t="s">
        <v>2451</v>
      </c>
      <c r="S38" t="s">
        <v>97</v>
      </c>
      <c r="T38">
        <v>0</v>
      </c>
      <c r="U38" t="s">
        <v>2496</v>
      </c>
      <c r="W38" t="s">
        <v>2557</v>
      </c>
      <c r="X38" t="s">
        <v>3160</v>
      </c>
      <c r="Y38" t="s">
        <v>3334</v>
      </c>
      <c r="Z38">
        <v>96</v>
      </c>
      <c r="AA38" t="s">
        <v>3783</v>
      </c>
      <c r="AB38" t="s">
        <v>3797</v>
      </c>
      <c r="AC38">
        <v>35</v>
      </c>
      <c r="AD38">
        <v>1</v>
      </c>
      <c r="AE38">
        <v>0</v>
      </c>
      <c r="AF38">
        <v>80.36</v>
      </c>
      <c r="AI38" t="s">
        <v>3809</v>
      </c>
      <c r="AJ38">
        <v>9756</v>
      </c>
      <c r="AK38" t="s">
        <v>3833</v>
      </c>
      <c r="AP38">
        <v>38.2</v>
      </c>
      <c r="AQ38" t="s">
        <v>309</v>
      </c>
      <c r="AR38" t="s">
        <v>4185</v>
      </c>
      <c r="AS38" t="s">
        <v>4210</v>
      </c>
      <c r="AT38" t="s">
        <v>4219</v>
      </c>
    </row>
    <row r="39" spans="1:46">
      <c r="A39" s="1">
        <f>HYPERLINK("https://lsnyc.legalserver.org/matter/dynamic-profile/view/1885320","18-1885320")</f>
        <v>0</v>
      </c>
      <c r="B39" t="s">
        <v>50</v>
      </c>
      <c r="C39" t="s">
        <v>98</v>
      </c>
      <c r="E39" t="s">
        <v>363</v>
      </c>
      <c r="F39" t="s">
        <v>502</v>
      </c>
      <c r="G39" t="s">
        <v>1372</v>
      </c>
      <c r="H39" t="s">
        <v>1737</v>
      </c>
      <c r="I39">
        <v>11212</v>
      </c>
      <c r="J39" t="s">
        <v>2002</v>
      </c>
      <c r="K39" t="s">
        <v>2002</v>
      </c>
      <c r="M39" t="s">
        <v>2029</v>
      </c>
      <c r="N39" t="s">
        <v>2418</v>
      </c>
      <c r="O39" t="s">
        <v>2437</v>
      </c>
      <c r="Q39" t="s">
        <v>2002</v>
      </c>
      <c r="S39" t="s">
        <v>98</v>
      </c>
      <c r="T39">
        <v>0</v>
      </c>
      <c r="W39" t="s">
        <v>2558</v>
      </c>
      <c r="Y39" t="s">
        <v>3335</v>
      </c>
      <c r="Z39">
        <v>36</v>
      </c>
      <c r="AC39">
        <v>0</v>
      </c>
      <c r="AD39">
        <v>2</v>
      </c>
      <c r="AE39">
        <v>0</v>
      </c>
      <c r="AF39">
        <v>85.73999999999999</v>
      </c>
      <c r="AI39" t="s">
        <v>3809</v>
      </c>
      <c r="AJ39">
        <v>14112</v>
      </c>
      <c r="AP39">
        <v>18.7</v>
      </c>
      <c r="AQ39" t="s">
        <v>302</v>
      </c>
      <c r="AR39" t="s">
        <v>4185</v>
      </c>
      <c r="AS39" t="s">
        <v>4210</v>
      </c>
      <c r="AT39" t="s">
        <v>4219</v>
      </c>
    </row>
    <row r="40" spans="1:46">
      <c r="A40" s="1">
        <f>HYPERLINK("https://lsnyc.legalserver.org/matter/dynamic-profile/view/1885771","18-1885771")</f>
        <v>0</v>
      </c>
      <c r="B40" t="s">
        <v>50</v>
      </c>
      <c r="C40" t="s">
        <v>99</v>
      </c>
      <c r="E40" t="s">
        <v>364</v>
      </c>
      <c r="F40" t="s">
        <v>878</v>
      </c>
      <c r="G40" t="s">
        <v>1373</v>
      </c>
      <c r="H40" t="s">
        <v>1754</v>
      </c>
      <c r="I40">
        <v>11238</v>
      </c>
      <c r="J40" t="s">
        <v>2002</v>
      </c>
      <c r="K40" t="s">
        <v>2002</v>
      </c>
      <c r="M40" t="s">
        <v>2027</v>
      </c>
      <c r="N40" t="s">
        <v>2419</v>
      </c>
      <c r="O40" t="s">
        <v>2441</v>
      </c>
      <c r="Q40" t="s">
        <v>2002</v>
      </c>
      <c r="R40" t="s">
        <v>2451</v>
      </c>
      <c r="S40" t="s">
        <v>124</v>
      </c>
      <c r="T40">
        <v>0</v>
      </c>
      <c r="W40" t="s">
        <v>2559</v>
      </c>
      <c r="X40" t="s">
        <v>3160</v>
      </c>
      <c r="Y40" t="s">
        <v>3336</v>
      </c>
      <c r="Z40">
        <v>0</v>
      </c>
      <c r="AA40" t="s">
        <v>3783</v>
      </c>
      <c r="AB40" t="s">
        <v>3796</v>
      </c>
      <c r="AC40">
        <v>0</v>
      </c>
      <c r="AD40">
        <v>1</v>
      </c>
      <c r="AE40">
        <v>1</v>
      </c>
      <c r="AF40">
        <v>41.85</v>
      </c>
      <c r="AI40" t="s">
        <v>3809</v>
      </c>
      <c r="AJ40">
        <v>6888</v>
      </c>
      <c r="AP40">
        <v>39.25</v>
      </c>
      <c r="AQ40" t="s">
        <v>3805</v>
      </c>
      <c r="AR40" t="s">
        <v>4185</v>
      </c>
      <c r="AS40" t="s">
        <v>4210</v>
      </c>
      <c r="AT40" t="s">
        <v>4219</v>
      </c>
    </row>
    <row r="41" spans="1:46">
      <c r="A41" s="1">
        <f>HYPERLINK("https://lsnyc.legalserver.org/matter/dynamic-profile/view/1886583","18-1886583")</f>
        <v>0</v>
      </c>
      <c r="B41" t="s">
        <v>50</v>
      </c>
      <c r="C41" t="s">
        <v>74</v>
      </c>
      <c r="E41" t="s">
        <v>365</v>
      </c>
      <c r="F41" t="s">
        <v>865</v>
      </c>
      <c r="G41" t="s">
        <v>1374</v>
      </c>
      <c r="I41">
        <v>10453</v>
      </c>
      <c r="J41" t="s">
        <v>2002</v>
      </c>
      <c r="K41" t="s">
        <v>2002</v>
      </c>
      <c r="M41" t="s">
        <v>2030</v>
      </c>
      <c r="N41" t="s">
        <v>2418</v>
      </c>
      <c r="O41" t="s">
        <v>2437</v>
      </c>
      <c r="Q41" t="s">
        <v>2003</v>
      </c>
      <c r="S41" t="s">
        <v>131</v>
      </c>
      <c r="T41">
        <v>0</v>
      </c>
      <c r="U41" t="s">
        <v>2495</v>
      </c>
      <c r="W41" t="s">
        <v>2560</v>
      </c>
      <c r="Y41" t="s">
        <v>3337</v>
      </c>
      <c r="Z41">
        <v>28</v>
      </c>
      <c r="AB41" t="s">
        <v>3794</v>
      </c>
      <c r="AC41">
        <v>0</v>
      </c>
      <c r="AD41">
        <v>1</v>
      </c>
      <c r="AE41">
        <v>0</v>
      </c>
      <c r="AF41">
        <v>82.64</v>
      </c>
      <c r="AI41" t="s">
        <v>3809</v>
      </c>
      <c r="AJ41">
        <v>10032</v>
      </c>
      <c r="AP41">
        <v>16.5</v>
      </c>
      <c r="AQ41" t="s">
        <v>171</v>
      </c>
      <c r="AR41" t="s">
        <v>49</v>
      </c>
      <c r="AS41" t="s">
        <v>4210</v>
      </c>
      <c r="AT41" t="s">
        <v>4219</v>
      </c>
    </row>
    <row r="42" spans="1:46">
      <c r="A42" s="1">
        <f>HYPERLINK("https://lsnyc.legalserver.org/matter/dynamic-profile/view/1885782","18-1885782")</f>
        <v>0</v>
      </c>
      <c r="B42" t="s">
        <v>50</v>
      </c>
      <c r="C42" t="s">
        <v>99</v>
      </c>
      <c r="D42" t="s">
        <v>74</v>
      </c>
      <c r="E42" t="s">
        <v>366</v>
      </c>
      <c r="F42" t="s">
        <v>879</v>
      </c>
      <c r="G42" t="s">
        <v>1375</v>
      </c>
      <c r="H42" t="s">
        <v>1755</v>
      </c>
      <c r="I42">
        <v>11217</v>
      </c>
      <c r="J42" t="s">
        <v>2003</v>
      </c>
      <c r="K42" t="s">
        <v>2003</v>
      </c>
      <c r="N42" t="s">
        <v>2417</v>
      </c>
      <c r="O42" t="s">
        <v>2439</v>
      </c>
      <c r="P42" t="s">
        <v>2444</v>
      </c>
      <c r="Q42" t="s">
        <v>2003</v>
      </c>
      <c r="R42" t="s">
        <v>2451</v>
      </c>
      <c r="S42" t="s">
        <v>99</v>
      </c>
      <c r="T42">
        <v>577.6</v>
      </c>
      <c r="U42" t="s">
        <v>2503</v>
      </c>
      <c r="V42" t="s">
        <v>2517</v>
      </c>
      <c r="W42" t="s">
        <v>2561</v>
      </c>
      <c r="X42" t="s">
        <v>2058</v>
      </c>
      <c r="Z42">
        <v>0</v>
      </c>
      <c r="AA42" t="s">
        <v>3785</v>
      </c>
      <c r="AB42" t="s">
        <v>2006</v>
      </c>
      <c r="AC42">
        <v>30</v>
      </c>
      <c r="AD42">
        <v>2</v>
      </c>
      <c r="AE42">
        <v>0</v>
      </c>
      <c r="AF42">
        <v>55.41</v>
      </c>
      <c r="AI42" t="s">
        <v>3809</v>
      </c>
      <c r="AJ42">
        <v>9120</v>
      </c>
      <c r="AK42" t="s">
        <v>3834</v>
      </c>
      <c r="AP42">
        <v>0.6</v>
      </c>
      <c r="AQ42" t="s">
        <v>74</v>
      </c>
      <c r="AR42" t="s">
        <v>4185</v>
      </c>
      <c r="AS42" t="s">
        <v>4210</v>
      </c>
      <c r="AT42" t="s">
        <v>4219</v>
      </c>
    </row>
    <row r="43" spans="1:46">
      <c r="A43" s="1">
        <f>HYPERLINK("https://lsnyc.legalserver.org/matter/dynamic-profile/view/1882204","18-1882204")</f>
        <v>0</v>
      </c>
      <c r="B43" t="s">
        <v>50</v>
      </c>
      <c r="C43" t="s">
        <v>96</v>
      </c>
      <c r="E43" t="s">
        <v>356</v>
      </c>
      <c r="F43" t="s">
        <v>871</v>
      </c>
      <c r="G43" t="s">
        <v>1367</v>
      </c>
      <c r="H43" t="s">
        <v>1748</v>
      </c>
      <c r="I43">
        <v>11233</v>
      </c>
      <c r="J43" t="s">
        <v>2002</v>
      </c>
      <c r="K43" t="s">
        <v>2002</v>
      </c>
      <c r="M43" t="s">
        <v>2027</v>
      </c>
      <c r="N43" t="s">
        <v>2417</v>
      </c>
      <c r="O43" t="s">
        <v>2436</v>
      </c>
      <c r="Q43" t="s">
        <v>2002</v>
      </c>
      <c r="R43" t="s">
        <v>2451</v>
      </c>
      <c r="S43" t="s">
        <v>317</v>
      </c>
      <c r="T43">
        <v>1290</v>
      </c>
      <c r="U43" t="s">
        <v>2497</v>
      </c>
      <c r="W43" t="s">
        <v>2551</v>
      </c>
      <c r="X43" t="s">
        <v>3160</v>
      </c>
      <c r="Y43" t="s">
        <v>3328</v>
      </c>
      <c r="Z43">
        <v>6</v>
      </c>
      <c r="AA43" t="s">
        <v>3783</v>
      </c>
      <c r="AB43" t="s">
        <v>3795</v>
      </c>
      <c r="AC43">
        <v>13</v>
      </c>
      <c r="AD43">
        <v>3</v>
      </c>
      <c r="AE43">
        <v>4</v>
      </c>
      <c r="AF43">
        <v>81.98</v>
      </c>
      <c r="AI43" t="s">
        <v>3809</v>
      </c>
      <c r="AJ43">
        <v>31200</v>
      </c>
      <c r="AP43">
        <v>0.2</v>
      </c>
      <c r="AQ43" t="s">
        <v>117</v>
      </c>
      <c r="AR43" t="s">
        <v>4185</v>
      </c>
      <c r="AS43" t="s">
        <v>4210</v>
      </c>
      <c r="AT43" t="s">
        <v>4219</v>
      </c>
    </row>
    <row r="44" spans="1:46">
      <c r="A44" s="1">
        <f>HYPERLINK("https://lsnyc.legalserver.org/matter/dynamic-profile/view/1887329","19-1887329")</f>
        <v>0</v>
      </c>
      <c r="B44" t="s">
        <v>50</v>
      </c>
      <c r="C44" t="s">
        <v>100</v>
      </c>
      <c r="D44" t="s">
        <v>138</v>
      </c>
      <c r="E44" t="s">
        <v>367</v>
      </c>
      <c r="F44" t="s">
        <v>880</v>
      </c>
      <c r="G44" t="s">
        <v>1376</v>
      </c>
      <c r="H44" t="s">
        <v>1756</v>
      </c>
      <c r="I44">
        <v>11213</v>
      </c>
      <c r="J44" t="s">
        <v>2002</v>
      </c>
      <c r="K44" t="s">
        <v>2002</v>
      </c>
      <c r="N44" t="s">
        <v>2415</v>
      </c>
      <c r="O44" t="s">
        <v>2436</v>
      </c>
      <c r="P44" t="s">
        <v>2444</v>
      </c>
      <c r="Q44" t="s">
        <v>2003</v>
      </c>
      <c r="S44" t="s">
        <v>161</v>
      </c>
      <c r="T44">
        <v>1186</v>
      </c>
      <c r="U44" t="s">
        <v>2495</v>
      </c>
      <c r="V44" t="s">
        <v>2515</v>
      </c>
      <c r="W44" t="s">
        <v>2562</v>
      </c>
      <c r="X44" t="s">
        <v>3164</v>
      </c>
      <c r="Y44" t="s">
        <v>3338</v>
      </c>
      <c r="Z44">
        <v>28</v>
      </c>
      <c r="AA44" t="s">
        <v>3783</v>
      </c>
      <c r="AB44" t="s">
        <v>3797</v>
      </c>
      <c r="AC44">
        <v>31</v>
      </c>
      <c r="AD44">
        <v>2</v>
      </c>
      <c r="AE44">
        <v>0</v>
      </c>
      <c r="AF44">
        <v>43.67</v>
      </c>
      <c r="AI44" t="s">
        <v>3809</v>
      </c>
      <c r="AJ44">
        <v>7188</v>
      </c>
      <c r="AP44">
        <v>0.2</v>
      </c>
      <c r="AQ44" t="s">
        <v>138</v>
      </c>
      <c r="AR44" t="s">
        <v>49</v>
      </c>
      <c r="AS44" t="s">
        <v>4210</v>
      </c>
      <c r="AT44" t="s">
        <v>4219</v>
      </c>
    </row>
    <row r="45" spans="1:46">
      <c r="A45" s="1">
        <f>HYPERLINK("https://lsnyc.legalserver.org/matter/dynamic-profile/view/1886359","18-1886359")</f>
        <v>0</v>
      </c>
      <c r="B45" t="s">
        <v>50</v>
      </c>
      <c r="C45" t="s">
        <v>101</v>
      </c>
      <c r="D45" t="s">
        <v>138</v>
      </c>
      <c r="E45" t="s">
        <v>368</v>
      </c>
      <c r="F45" t="s">
        <v>881</v>
      </c>
      <c r="G45" t="s">
        <v>1377</v>
      </c>
      <c r="H45" t="s">
        <v>1740</v>
      </c>
      <c r="I45">
        <v>11213</v>
      </c>
      <c r="J45" t="s">
        <v>2002</v>
      </c>
      <c r="K45" t="s">
        <v>2002</v>
      </c>
      <c r="M45" t="s">
        <v>2031</v>
      </c>
      <c r="N45" t="s">
        <v>2414</v>
      </c>
      <c r="O45" t="s">
        <v>2436</v>
      </c>
      <c r="P45" t="s">
        <v>2443</v>
      </c>
      <c r="Q45" t="s">
        <v>2003</v>
      </c>
      <c r="S45" t="s">
        <v>161</v>
      </c>
      <c r="T45">
        <v>1500</v>
      </c>
      <c r="U45" t="s">
        <v>2494</v>
      </c>
      <c r="V45" t="s">
        <v>2515</v>
      </c>
      <c r="W45" t="s">
        <v>2563</v>
      </c>
      <c r="Z45">
        <v>4</v>
      </c>
      <c r="AA45" t="s">
        <v>3783</v>
      </c>
      <c r="AC45">
        <v>0</v>
      </c>
      <c r="AD45">
        <v>1</v>
      </c>
      <c r="AE45">
        <v>0</v>
      </c>
      <c r="AF45">
        <v>109.42</v>
      </c>
      <c r="AI45" t="s">
        <v>3809</v>
      </c>
      <c r="AJ45">
        <v>13284</v>
      </c>
      <c r="AP45">
        <v>4.2</v>
      </c>
      <c r="AQ45" t="s">
        <v>138</v>
      </c>
      <c r="AR45" t="s">
        <v>49</v>
      </c>
      <c r="AS45" t="s">
        <v>4210</v>
      </c>
      <c r="AT45" t="s">
        <v>4219</v>
      </c>
    </row>
    <row r="46" spans="1:46">
      <c r="A46" s="1">
        <f>HYPERLINK("https://lsnyc.legalserver.org/matter/dynamic-profile/view/1887343","19-1887343")</f>
        <v>0</v>
      </c>
      <c r="B46" t="s">
        <v>50</v>
      </c>
      <c r="C46" t="s">
        <v>100</v>
      </c>
      <c r="D46" t="s">
        <v>138</v>
      </c>
      <c r="E46" t="s">
        <v>369</v>
      </c>
      <c r="F46" t="s">
        <v>882</v>
      </c>
      <c r="G46" t="s">
        <v>1378</v>
      </c>
      <c r="H46" t="s">
        <v>1757</v>
      </c>
      <c r="I46">
        <v>11238</v>
      </c>
      <c r="J46" t="s">
        <v>2002</v>
      </c>
      <c r="K46" t="s">
        <v>2002</v>
      </c>
      <c r="M46" t="s">
        <v>2027</v>
      </c>
      <c r="N46" t="s">
        <v>2027</v>
      </c>
      <c r="O46" t="s">
        <v>2436</v>
      </c>
      <c r="P46" t="s">
        <v>2443</v>
      </c>
      <c r="Q46" t="s">
        <v>2003</v>
      </c>
      <c r="S46" t="s">
        <v>161</v>
      </c>
      <c r="T46">
        <v>1270.18</v>
      </c>
      <c r="U46" t="s">
        <v>2495</v>
      </c>
      <c r="V46" t="s">
        <v>2514</v>
      </c>
      <c r="W46" t="s">
        <v>2564</v>
      </c>
      <c r="Y46" t="s">
        <v>3339</v>
      </c>
      <c r="Z46">
        <v>14</v>
      </c>
      <c r="AA46" t="s">
        <v>3783</v>
      </c>
      <c r="AB46" t="s">
        <v>2006</v>
      </c>
      <c r="AC46">
        <v>19</v>
      </c>
      <c r="AD46">
        <v>1</v>
      </c>
      <c r="AE46">
        <v>1</v>
      </c>
      <c r="AF46">
        <v>236.94</v>
      </c>
      <c r="AI46" t="s">
        <v>3809</v>
      </c>
      <c r="AJ46">
        <v>39000</v>
      </c>
      <c r="AP46">
        <v>0.1</v>
      </c>
      <c r="AQ46" t="s">
        <v>138</v>
      </c>
      <c r="AR46" t="s">
        <v>49</v>
      </c>
      <c r="AS46" t="s">
        <v>4212</v>
      </c>
      <c r="AT46" t="s">
        <v>4219</v>
      </c>
    </row>
    <row r="47" spans="1:46">
      <c r="A47" s="1">
        <f>HYPERLINK("https://lsnyc.legalserver.org/matter/dynamic-profile/view/1887819","19-1887819")</f>
        <v>0</v>
      </c>
      <c r="B47" t="s">
        <v>50</v>
      </c>
      <c r="C47" t="s">
        <v>82</v>
      </c>
      <c r="D47" t="s">
        <v>180</v>
      </c>
      <c r="E47" t="s">
        <v>370</v>
      </c>
      <c r="F47" t="s">
        <v>883</v>
      </c>
      <c r="G47" t="s">
        <v>1379</v>
      </c>
      <c r="H47" t="s">
        <v>1758</v>
      </c>
      <c r="I47">
        <v>11207</v>
      </c>
      <c r="J47" t="s">
        <v>2002</v>
      </c>
      <c r="K47" t="s">
        <v>2002</v>
      </c>
      <c r="M47" t="s">
        <v>2027</v>
      </c>
      <c r="N47" t="s">
        <v>2417</v>
      </c>
      <c r="O47" t="s">
        <v>2436</v>
      </c>
      <c r="P47" t="s">
        <v>2443</v>
      </c>
      <c r="Q47" t="s">
        <v>2003</v>
      </c>
      <c r="R47" t="s">
        <v>2451</v>
      </c>
      <c r="S47" t="s">
        <v>75</v>
      </c>
      <c r="T47">
        <v>1211</v>
      </c>
      <c r="V47" t="s">
        <v>2515</v>
      </c>
      <c r="W47" t="s">
        <v>2565</v>
      </c>
      <c r="X47" t="s">
        <v>3160</v>
      </c>
      <c r="Y47" t="s">
        <v>3340</v>
      </c>
      <c r="Z47">
        <v>0</v>
      </c>
      <c r="AB47" t="s">
        <v>3798</v>
      </c>
      <c r="AC47">
        <v>11</v>
      </c>
      <c r="AD47">
        <v>2</v>
      </c>
      <c r="AE47">
        <v>0</v>
      </c>
      <c r="AF47">
        <v>57.67</v>
      </c>
      <c r="AI47" t="s">
        <v>3809</v>
      </c>
      <c r="AJ47">
        <v>9492</v>
      </c>
      <c r="AP47">
        <v>32.15</v>
      </c>
      <c r="AQ47" t="s">
        <v>169</v>
      </c>
      <c r="AR47" t="s">
        <v>4185</v>
      </c>
      <c r="AS47" t="s">
        <v>4210</v>
      </c>
      <c r="AT47" t="s">
        <v>4219</v>
      </c>
    </row>
    <row r="48" spans="1:46">
      <c r="A48" s="1">
        <f>HYPERLINK("https://lsnyc.legalserver.org/matter/dynamic-profile/view/1896456","19-1896456")</f>
        <v>0</v>
      </c>
      <c r="B48" t="s">
        <v>50</v>
      </c>
      <c r="C48" t="s">
        <v>102</v>
      </c>
      <c r="E48" t="s">
        <v>361</v>
      </c>
      <c r="F48" t="s">
        <v>876</v>
      </c>
      <c r="G48" t="s">
        <v>1370</v>
      </c>
      <c r="H48">
        <v>201</v>
      </c>
      <c r="I48">
        <v>10025</v>
      </c>
      <c r="J48" t="s">
        <v>2002</v>
      </c>
      <c r="K48" t="s">
        <v>2002</v>
      </c>
      <c r="N48" t="s">
        <v>2420</v>
      </c>
      <c r="O48" t="s">
        <v>2437</v>
      </c>
      <c r="Q48" t="s">
        <v>2003</v>
      </c>
      <c r="R48" t="s">
        <v>2451</v>
      </c>
      <c r="S48" t="s">
        <v>75</v>
      </c>
      <c r="T48">
        <v>0</v>
      </c>
      <c r="W48" t="s">
        <v>2556</v>
      </c>
      <c r="Y48" t="s">
        <v>3333</v>
      </c>
      <c r="Z48">
        <v>0</v>
      </c>
      <c r="AC48">
        <v>0</v>
      </c>
      <c r="AD48">
        <v>2</v>
      </c>
      <c r="AE48">
        <v>0</v>
      </c>
      <c r="AF48">
        <v>61.5</v>
      </c>
      <c r="AI48" t="s">
        <v>3809</v>
      </c>
      <c r="AJ48">
        <v>10400</v>
      </c>
      <c r="AK48" t="s">
        <v>3835</v>
      </c>
      <c r="AP48">
        <v>0</v>
      </c>
      <c r="AR48" t="s">
        <v>4185</v>
      </c>
      <c r="AS48" t="s">
        <v>4210</v>
      </c>
      <c r="AT48" t="s">
        <v>4219</v>
      </c>
    </row>
    <row r="49" spans="1:46">
      <c r="A49" s="1">
        <f>HYPERLINK("https://lsnyc.legalserver.org/matter/dynamic-profile/view/1887512","19-1887512")</f>
        <v>0</v>
      </c>
      <c r="B49" t="s">
        <v>50</v>
      </c>
      <c r="C49" t="s">
        <v>75</v>
      </c>
      <c r="E49" t="s">
        <v>361</v>
      </c>
      <c r="F49" t="s">
        <v>876</v>
      </c>
      <c r="G49" t="s">
        <v>1370</v>
      </c>
      <c r="H49">
        <v>201</v>
      </c>
      <c r="I49">
        <v>10025</v>
      </c>
      <c r="J49" t="s">
        <v>2002</v>
      </c>
      <c r="K49" t="s">
        <v>2002</v>
      </c>
      <c r="N49" t="s">
        <v>2417</v>
      </c>
      <c r="O49" t="s">
        <v>2436</v>
      </c>
      <c r="S49" t="s">
        <v>75</v>
      </c>
      <c r="T49">
        <v>0</v>
      </c>
      <c r="W49" t="s">
        <v>2556</v>
      </c>
      <c r="Y49" t="s">
        <v>3333</v>
      </c>
      <c r="Z49">
        <v>0</v>
      </c>
      <c r="AC49">
        <v>0</v>
      </c>
      <c r="AD49">
        <v>2</v>
      </c>
      <c r="AE49">
        <v>0</v>
      </c>
      <c r="AF49">
        <v>63.18</v>
      </c>
      <c r="AI49" t="s">
        <v>3809</v>
      </c>
      <c r="AJ49">
        <v>10400</v>
      </c>
      <c r="AK49" t="s">
        <v>3836</v>
      </c>
      <c r="AP49">
        <v>9.25</v>
      </c>
      <c r="AQ49" t="s">
        <v>325</v>
      </c>
      <c r="AR49" t="s">
        <v>50</v>
      </c>
      <c r="AS49" t="s">
        <v>4213</v>
      </c>
      <c r="AT49" t="s">
        <v>4219</v>
      </c>
    </row>
    <row r="50" spans="1:46">
      <c r="A50" s="1">
        <f>HYPERLINK("https://lsnyc.legalserver.org/matter/dynamic-profile/view/1892416","19-1892416")</f>
        <v>0</v>
      </c>
      <c r="B50" t="s">
        <v>50</v>
      </c>
      <c r="C50" t="s">
        <v>103</v>
      </c>
      <c r="D50" t="s">
        <v>309</v>
      </c>
      <c r="E50" t="s">
        <v>371</v>
      </c>
      <c r="F50" t="s">
        <v>884</v>
      </c>
      <c r="G50" t="s">
        <v>1380</v>
      </c>
      <c r="H50" t="s">
        <v>1734</v>
      </c>
      <c r="I50">
        <v>11212</v>
      </c>
      <c r="J50" t="s">
        <v>2002</v>
      </c>
      <c r="K50" t="s">
        <v>2002</v>
      </c>
      <c r="M50" t="s">
        <v>2006</v>
      </c>
      <c r="N50" t="s">
        <v>2417</v>
      </c>
      <c r="O50" t="s">
        <v>2439</v>
      </c>
      <c r="P50" t="s">
        <v>2444</v>
      </c>
      <c r="S50" t="s">
        <v>103</v>
      </c>
      <c r="T50">
        <v>0</v>
      </c>
      <c r="V50" t="s">
        <v>2515</v>
      </c>
      <c r="W50" t="s">
        <v>2566</v>
      </c>
      <c r="Z50">
        <v>0</v>
      </c>
      <c r="AB50" t="s">
        <v>2006</v>
      </c>
      <c r="AC50">
        <v>0</v>
      </c>
      <c r="AD50">
        <v>2</v>
      </c>
      <c r="AE50">
        <v>1</v>
      </c>
      <c r="AF50">
        <v>117.21</v>
      </c>
      <c r="AI50" t="s">
        <v>3809</v>
      </c>
      <c r="AJ50">
        <v>25000</v>
      </c>
      <c r="AP50">
        <v>5</v>
      </c>
      <c r="AQ50" t="s">
        <v>290</v>
      </c>
      <c r="AR50" t="s">
        <v>4185</v>
      </c>
      <c r="AS50" t="s">
        <v>4210</v>
      </c>
      <c r="AT50" t="s">
        <v>4219</v>
      </c>
    </row>
    <row r="51" spans="1:46">
      <c r="A51" s="1">
        <f>HYPERLINK("https://lsnyc.legalserver.org/matter/dynamic-profile/view/1875383","18-1875383")</f>
        <v>0</v>
      </c>
      <c r="B51" t="s">
        <v>50</v>
      </c>
      <c r="C51" t="s">
        <v>104</v>
      </c>
      <c r="E51" t="s">
        <v>372</v>
      </c>
      <c r="F51" t="s">
        <v>875</v>
      </c>
      <c r="G51" t="s">
        <v>1367</v>
      </c>
      <c r="H51" t="s">
        <v>1746</v>
      </c>
      <c r="I51">
        <v>11233</v>
      </c>
      <c r="J51" t="s">
        <v>2002</v>
      </c>
      <c r="K51" t="s">
        <v>2002</v>
      </c>
      <c r="M51" t="s">
        <v>2032</v>
      </c>
      <c r="N51" t="s">
        <v>2413</v>
      </c>
      <c r="O51" t="s">
        <v>2437</v>
      </c>
      <c r="Q51" t="s">
        <v>2002</v>
      </c>
      <c r="R51" t="s">
        <v>2451</v>
      </c>
      <c r="S51" t="s">
        <v>251</v>
      </c>
      <c r="T51">
        <v>1328</v>
      </c>
      <c r="U51" t="s">
        <v>2501</v>
      </c>
      <c r="V51" t="s">
        <v>2516</v>
      </c>
      <c r="W51" t="s">
        <v>2567</v>
      </c>
      <c r="Y51" t="s">
        <v>3341</v>
      </c>
      <c r="Z51">
        <v>6</v>
      </c>
      <c r="AA51" t="s">
        <v>3783</v>
      </c>
      <c r="AB51" t="s">
        <v>2006</v>
      </c>
      <c r="AC51">
        <v>5</v>
      </c>
      <c r="AD51">
        <v>1</v>
      </c>
      <c r="AE51">
        <v>0</v>
      </c>
      <c r="AF51">
        <v>234.3</v>
      </c>
      <c r="AI51" t="s">
        <v>3809</v>
      </c>
      <c r="AJ51">
        <v>28444</v>
      </c>
      <c r="AP51">
        <v>7.3</v>
      </c>
      <c r="AQ51" t="s">
        <v>74</v>
      </c>
      <c r="AR51" t="s">
        <v>4185</v>
      </c>
      <c r="AS51" t="s">
        <v>4210</v>
      </c>
      <c r="AT51" t="s">
        <v>4219</v>
      </c>
    </row>
    <row r="52" spans="1:46">
      <c r="A52" s="1">
        <f>HYPERLINK("https://lsnyc.legalserver.org/matter/dynamic-profile/view/1895191","19-1895191")</f>
        <v>0</v>
      </c>
      <c r="B52" t="s">
        <v>50</v>
      </c>
      <c r="C52" t="s">
        <v>105</v>
      </c>
      <c r="E52" t="s">
        <v>362</v>
      </c>
      <c r="F52" t="s">
        <v>877</v>
      </c>
      <c r="G52" t="s">
        <v>1371</v>
      </c>
      <c r="H52" t="s">
        <v>1753</v>
      </c>
      <c r="I52">
        <v>11212</v>
      </c>
      <c r="J52" t="s">
        <v>2002</v>
      </c>
      <c r="K52" t="s">
        <v>2002</v>
      </c>
      <c r="N52" t="s">
        <v>2417</v>
      </c>
      <c r="O52" t="s">
        <v>2436</v>
      </c>
      <c r="Q52" t="s">
        <v>2002</v>
      </c>
      <c r="S52" t="s">
        <v>105</v>
      </c>
      <c r="T52">
        <v>0</v>
      </c>
      <c r="W52" t="s">
        <v>2557</v>
      </c>
      <c r="Y52" t="s">
        <v>3334</v>
      </c>
      <c r="Z52">
        <v>0</v>
      </c>
      <c r="AC52">
        <v>0</v>
      </c>
      <c r="AD52">
        <v>1</v>
      </c>
      <c r="AE52">
        <v>0</v>
      </c>
      <c r="AF52">
        <v>78.11</v>
      </c>
      <c r="AI52" t="s">
        <v>3809</v>
      </c>
      <c r="AJ52">
        <v>9756</v>
      </c>
      <c r="AP52">
        <v>14.2</v>
      </c>
      <c r="AQ52" t="s">
        <v>183</v>
      </c>
      <c r="AR52" t="s">
        <v>50</v>
      </c>
      <c r="AS52" t="s">
        <v>4210</v>
      </c>
      <c r="AT52" t="s">
        <v>4219</v>
      </c>
    </row>
    <row r="53" spans="1:46">
      <c r="A53" s="1">
        <f>HYPERLINK("https://lsnyc.legalserver.org/matter/dynamic-profile/view/1895346","19-1895346")</f>
        <v>0</v>
      </c>
      <c r="B53" t="s">
        <v>50</v>
      </c>
      <c r="C53" t="s">
        <v>76</v>
      </c>
      <c r="E53" t="s">
        <v>359</v>
      </c>
      <c r="F53" t="s">
        <v>874</v>
      </c>
      <c r="G53" t="s">
        <v>1369</v>
      </c>
      <c r="H53" t="s">
        <v>1751</v>
      </c>
      <c r="I53">
        <v>11212</v>
      </c>
      <c r="J53" t="s">
        <v>2002</v>
      </c>
      <c r="K53" t="s">
        <v>2002</v>
      </c>
      <c r="N53" t="s">
        <v>2416</v>
      </c>
      <c r="O53" t="s">
        <v>2438</v>
      </c>
      <c r="Q53" t="s">
        <v>2002</v>
      </c>
      <c r="S53" t="s">
        <v>76</v>
      </c>
      <c r="T53">
        <v>1300</v>
      </c>
      <c r="U53" t="s">
        <v>2494</v>
      </c>
      <c r="W53" t="s">
        <v>2554</v>
      </c>
      <c r="Y53" t="s">
        <v>3331</v>
      </c>
      <c r="Z53">
        <v>19</v>
      </c>
      <c r="AA53" t="s">
        <v>3783</v>
      </c>
      <c r="AB53" t="s">
        <v>3793</v>
      </c>
      <c r="AC53">
        <v>15</v>
      </c>
      <c r="AD53">
        <v>2</v>
      </c>
      <c r="AE53">
        <v>0</v>
      </c>
      <c r="AF53">
        <v>53.65</v>
      </c>
      <c r="AI53" t="s">
        <v>3809</v>
      </c>
      <c r="AJ53">
        <v>9072</v>
      </c>
      <c r="AP53">
        <v>0</v>
      </c>
      <c r="AR53" t="s">
        <v>49</v>
      </c>
      <c r="AS53" t="s">
        <v>4210</v>
      </c>
      <c r="AT53" t="s">
        <v>4219</v>
      </c>
    </row>
    <row r="54" spans="1:46">
      <c r="A54" s="1">
        <f>HYPERLINK("https://lsnyc.legalserver.org/matter/dynamic-profile/view/1896972","19-1896972")</f>
        <v>0</v>
      </c>
      <c r="B54" t="s">
        <v>50</v>
      </c>
      <c r="C54" t="s">
        <v>106</v>
      </c>
      <c r="E54" t="s">
        <v>373</v>
      </c>
      <c r="F54" t="s">
        <v>347</v>
      </c>
      <c r="G54" t="s">
        <v>1381</v>
      </c>
      <c r="H54" t="s">
        <v>1759</v>
      </c>
      <c r="I54">
        <v>11212</v>
      </c>
      <c r="J54" t="s">
        <v>2002</v>
      </c>
      <c r="K54" t="s">
        <v>2003</v>
      </c>
      <c r="L54" t="s">
        <v>2005</v>
      </c>
      <c r="M54" t="s">
        <v>2033</v>
      </c>
      <c r="N54" t="s">
        <v>2413</v>
      </c>
      <c r="O54" t="s">
        <v>2437</v>
      </c>
      <c r="Q54" t="s">
        <v>2003</v>
      </c>
      <c r="R54" t="s">
        <v>2451</v>
      </c>
      <c r="S54" t="s">
        <v>106</v>
      </c>
      <c r="T54">
        <v>1298.3</v>
      </c>
      <c r="U54" t="s">
        <v>2496</v>
      </c>
      <c r="W54" t="s">
        <v>2568</v>
      </c>
      <c r="X54" t="s">
        <v>2006</v>
      </c>
      <c r="Y54" t="s">
        <v>3342</v>
      </c>
      <c r="Z54">
        <v>72</v>
      </c>
      <c r="AA54" t="s">
        <v>3783</v>
      </c>
      <c r="AB54" t="s">
        <v>2006</v>
      </c>
      <c r="AC54">
        <v>11</v>
      </c>
      <c r="AD54">
        <v>3</v>
      </c>
      <c r="AE54">
        <v>0</v>
      </c>
      <c r="AF54">
        <v>281.29</v>
      </c>
      <c r="AG54" t="s">
        <v>314</v>
      </c>
      <c r="AI54" t="s">
        <v>3809</v>
      </c>
      <c r="AJ54">
        <v>60000</v>
      </c>
      <c r="AP54">
        <v>20.7</v>
      </c>
      <c r="AQ54" t="s">
        <v>332</v>
      </c>
      <c r="AR54" t="s">
        <v>4185</v>
      </c>
      <c r="AS54" t="s">
        <v>4210</v>
      </c>
      <c r="AT54" t="s">
        <v>4219</v>
      </c>
    </row>
    <row r="55" spans="1:46">
      <c r="A55" s="1">
        <f>HYPERLINK("https://lsnyc.legalserver.org/matter/dynamic-profile/view/1895285","19-1895285")</f>
        <v>0</v>
      </c>
      <c r="B55" t="s">
        <v>50</v>
      </c>
      <c r="C55" t="s">
        <v>76</v>
      </c>
      <c r="E55" t="s">
        <v>374</v>
      </c>
      <c r="F55" t="s">
        <v>885</v>
      </c>
      <c r="G55" t="s">
        <v>1382</v>
      </c>
      <c r="H55" t="s">
        <v>1754</v>
      </c>
      <c r="I55">
        <v>11212</v>
      </c>
      <c r="J55" t="s">
        <v>2002</v>
      </c>
      <c r="K55" t="s">
        <v>2003</v>
      </c>
      <c r="L55" t="s">
        <v>2005</v>
      </c>
      <c r="M55" t="s">
        <v>2034</v>
      </c>
      <c r="N55" t="s">
        <v>2415</v>
      </c>
      <c r="O55" t="s">
        <v>2437</v>
      </c>
      <c r="Q55" t="s">
        <v>2002</v>
      </c>
      <c r="R55" t="s">
        <v>2451</v>
      </c>
      <c r="S55" t="s">
        <v>273</v>
      </c>
      <c r="T55">
        <v>1283.86</v>
      </c>
      <c r="U55" t="s">
        <v>2494</v>
      </c>
      <c r="W55" t="s">
        <v>2569</v>
      </c>
      <c r="Z55">
        <v>10</v>
      </c>
      <c r="AA55" t="s">
        <v>3783</v>
      </c>
      <c r="AB55" t="s">
        <v>3793</v>
      </c>
      <c r="AC55">
        <v>26</v>
      </c>
      <c r="AD55">
        <v>2</v>
      </c>
      <c r="AE55">
        <v>0</v>
      </c>
      <c r="AF55">
        <v>54.71</v>
      </c>
      <c r="AI55" t="s">
        <v>3809</v>
      </c>
      <c r="AJ55">
        <v>9252</v>
      </c>
      <c r="AP55">
        <v>15.75</v>
      </c>
      <c r="AQ55" t="s">
        <v>314</v>
      </c>
      <c r="AR55" t="s">
        <v>4185</v>
      </c>
      <c r="AS55" t="s">
        <v>4210</v>
      </c>
      <c r="AT55" t="s">
        <v>4219</v>
      </c>
    </row>
    <row r="56" spans="1:46">
      <c r="A56" s="1">
        <f>HYPERLINK("https://lsnyc.legalserver.org/matter/dynamic-profile/view/1902207","19-1902207")</f>
        <v>0</v>
      </c>
      <c r="B56" t="s">
        <v>50</v>
      </c>
      <c r="C56" t="s">
        <v>107</v>
      </c>
      <c r="E56" t="s">
        <v>375</v>
      </c>
      <c r="F56" t="s">
        <v>886</v>
      </c>
      <c r="G56" t="s">
        <v>1383</v>
      </c>
      <c r="H56" t="s">
        <v>1752</v>
      </c>
      <c r="I56">
        <v>11207</v>
      </c>
      <c r="J56" t="s">
        <v>2002</v>
      </c>
      <c r="K56" t="s">
        <v>2004</v>
      </c>
      <c r="L56" t="s">
        <v>2005</v>
      </c>
      <c r="M56" t="s">
        <v>2035</v>
      </c>
      <c r="N56" t="s">
        <v>2415</v>
      </c>
      <c r="O56" t="s">
        <v>2437</v>
      </c>
      <c r="Q56" t="s">
        <v>2003</v>
      </c>
      <c r="R56" t="s">
        <v>2451</v>
      </c>
      <c r="S56" t="s">
        <v>312</v>
      </c>
      <c r="T56">
        <v>1400</v>
      </c>
      <c r="U56" t="s">
        <v>2497</v>
      </c>
      <c r="W56" t="s">
        <v>2570</v>
      </c>
      <c r="X56" t="s">
        <v>3163</v>
      </c>
      <c r="Y56" t="s">
        <v>3343</v>
      </c>
      <c r="Z56">
        <v>6</v>
      </c>
      <c r="AA56" t="s">
        <v>3783</v>
      </c>
      <c r="AB56" t="s">
        <v>2006</v>
      </c>
      <c r="AC56">
        <v>10</v>
      </c>
      <c r="AD56">
        <v>2</v>
      </c>
      <c r="AE56">
        <v>0</v>
      </c>
      <c r="AF56">
        <v>118.37</v>
      </c>
      <c r="AI56" t="s">
        <v>3810</v>
      </c>
      <c r="AJ56">
        <v>20016</v>
      </c>
      <c r="AP56">
        <v>6.5</v>
      </c>
      <c r="AQ56" t="s">
        <v>327</v>
      </c>
      <c r="AR56" t="s">
        <v>4185</v>
      </c>
      <c r="AS56" t="s">
        <v>4210</v>
      </c>
      <c r="AT56" t="s">
        <v>4219</v>
      </c>
    </row>
    <row r="57" spans="1:46">
      <c r="A57" s="1">
        <f>HYPERLINK("https://lsnyc.legalserver.org/matter/dynamic-profile/view/1903231","19-1903231")</f>
        <v>0</v>
      </c>
      <c r="B57" t="s">
        <v>50</v>
      </c>
      <c r="C57" t="s">
        <v>108</v>
      </c>
      <c r="E57" t="s">
        <v>376</v>
      </c>
      <c r="F57" t="s">
        <v>887</v>
      </c>
      <c r="G57" t="s">
        <v>1382</v>
      </c>
      <c r="H57" t="s">
        <v>1760</v>
      </c>
      <c r="I57">
        <v>11212</v>
      </c>
      <c r="J57" t="s">
        <v>2002</v>
      </c>
      <c r="K57" t="s">
        <v>2004</v>
      </c>
      <c r="L57" t="s">
        <v>2005</v>
      </c>
      <c r="M57" t="s">
        <v>2006</v>
      </c>
      <c r="N57" t="s">
        <v>2415</v>
      </c>
      <c r="O57" t="s">
        <v>2437</v>
      </c>
      <c r="Q57" t="s">
        <v>2003</v>
      </c>
      <c r="R57" t="s">
        <v>2451</v>
      </c>
      <c r="S57" t="s">
        <v>323</v>
      </c>
      <c r="T57">
        <v>0</v>
      </c>
      <c r="W57" t="s">
        <v>2571</v>
      </c>
      <c r="X57" t="s">
        <v>2006</v>
      </c>
      <c r="Y57" t="s">
        <v>3344</v>
      </c>
      <c r="Z57">
        <v>0</v>
      </c>
      <c r="AA57" t="s">
        <v>3783</v>
      </c>
      <c r="AB57" t="s">
        <v>2006</v>
      </c>
      <c r="AC57">
        <v>0</v>
      </c>
      <c r="AD57">
        <v>1</v>
      </c>
      <c r="AE57">
        <v>0</v>
      </c>
      <c r="AF57">
        <v>93.19</v>
      </c>
      <c r="AI57" t="s">
        <v>3809</v>
      </c>
      <c r="AJ57">
        <v>11640</v>
      </c>
      <c r="AP57">
        <v>1.5</v>
      </c>
      <c r="AQ57" t="s">
        <v>4165</v>
      </c>
      <c r="AR57" t="s">
        <v>4185</v>
      </c>
      <c r="AS57" t="s">
        <v>4210</v>
      </c>
      <c r="AT57" t="s">
        <v>4219</v>
      </c>
    </row>
    <row r="58" spans="1:46">
      <c r="A58" s="1">
        <f>HYPERLINK("https://lsnyc.legalserver.org/matter/dynamic-profile/view/1869305","18-1869305")</f>
        <v>0</v>
      </c>
      <c r="B58" t="s">
        <v>51</v>
      </c>
      <c r="C58" t="s">
        <v>109</v>
      </c>
      <c r="E58" t="s">
        <v>377</v>
      </c>
      <c r="F58" t="s">
        <v>888</v>
      </c>
      <c r="G58" t="s">
        <v>1384</v>
      </c>
      <c r="H58" t="s">
        <v>1751</v>
      </c>
      <c r="I58">
        <v>11207</v>
      </c>
      <c r="J58" t="s">
        <v>2002</v>
      </c>
      <c r="K58" t="s">
        <v>2002</v>
      </c>
      <c r="M58" t="s">
        <v>2036</v>
      </c>
      <c r="N58" t="s">
        <v>2413</v>
      </c>
      <c r="O58" t="s">
        <v>2437</v>
      </c>
      <c r="Q58" t="s">
        <v>2003</v>
      </c>
      <c r="S58" t="s">
        <v>215</v>
      </c>
      <c r="T58">
        <v>215</v>
      </c>
      <c r="W58" t="s">
        <v>2572</v>
      </c>
      <c r="X58">
        <v>33843008</v>
      </c>
      <c r="Y58" t="s">
        <v>3345</v>
      </c>
      <c r="Z58">
        <v>60</v>
      </c>
      <c r="AA58" t="s">
        <v>3786</v>
      </c>
      <c r="AB58" t="s">
        <v>3793</v>
      </c>
      <c r="AC58">
        <v>20</v>
      </c>
      <c r="AD58">
        <v>1</v>
      </c>
      <c r="AE58">
        <v>0</v>
      </c>
      <c r="AF58">
        <v>11.86</v>
      </c>
      <c r="AI58" t="s">
        <v>3809</v>
      </c>
      <c r="AJ58">
        <v>1440</v>
      </c>
      <c r="AP58">
        <v>59.65</v>
      </c>
      <c r="AQ58" t="s">
        <v>172</v>
      </c>
      <c r="AR58" t="s">
        <v>4185</v>
      </c>
      <c r="AS58" t="s">
        <v>4210</v>
      </c>
      <c r="AT58" t="s">
        <v>4219</v>
      </c>
    </row>
    <row r="59" spans="1:46">
      <c r="A59" s="1">
        <f>HYPERLINK("https://lsnyc.legalserver.org/matter/dynamic-profile/view/1876753","18-1876753")</f>
        <v>0</v>
      </c>
      <c r="B59" t="s">
        <v>51</v>
      </c>
      <c r="C59" t="s">
        <v>110</v>
      </c>
      <c r="E59" t="s">
        <v>378</v>
      </c>
      <c r="F59" t="s">
        <v>889</v>
      </c>
      <c r="G59" t="s">
        <v>1385</v>
      </c>
      <c r="H59">
        <v>2</v>
      </c>
      <c r="I59">
        <v>11208</v>
      </c>
      <c r="J59" t="s">
        <v>2002</v>
      </c>
      <c r="K59" t="s">
        <v>2002</v>
      </c>
      <c r="M59" t="s">
        <v>2037</v>
      </c>
      <c r="N59" t="s">
        <v>2415</v>
      </c>
      <c r="O59" t="s">
        <v>2437</v>
      </c>
      <c r="Q59" t="s">
        <v>2003</v>
      </c>
      <c r="R59" t="s">
        <v>2454</v>
      </c>
      <c r="S59" t="s">
        <v>235</v>
      </c>
      <c r="T59">
        <v>1975</v>
      </c>
      <c r="U59" t="s">
        <v>2500</v>
      </c>
      <c r="W59" t="s">
        <v>2573</v>
      </c>
      <c r="X59" t="s">
        <v>3165</v>
      </c>
      <c r="Y59" t="s">
        <v>3346</v>
      </c>
      <c r="Z59">
        <v>4</v>
      </c>
      <c r="AA59" t="s">
        <v>3784</v>
      </c>
      <c r="AB59" t="s">
        <v>3794</v>
      </c>
      <c r="AC59">
        <v>3</v>
      </c>
      <c r="AD59">
        <v>2</v>
      </c>
      <c r="AE59">
        <v>4</v>
      </c>
      <c r="AF59">
        <v>100.18</v>
      </c>
      <c r="AI59" t="s">
        <v>3809</v>
      </c>
      <c r="AJ59">
        <v>33800</v>
      </c>
      <c r="AP59">
        <v>31.95</v>
      </c>
      <c r="AQ59" t="s">
        <v>77</v>
      </c>
      <c r="AR59" t="s">
        <v>4185</v>
      </c>
      <c r="AS59" t="s">
        <v>4210</v>
      </c>
      <c r="AT59" t="s">
        <v>4219</v>
      </c>
    </row>
    <row r="60" spans="1:46">
      <c r="A60" s="1">
        <f>HYPERLINK("https://lsnyc.legalserver.org/matter/dynamic-profile/view/1878835","18-1878835")</f>
        <v>0</v>
      </c>
      <c r="B60" t="s">
        <v>51</v>
      </c>
      <c r="C60" t="s">
        <v>111</v>
      </c>
      <c r="E60" t="s">
        <v>379</v>
      </c>
      <c r="F60" t="s">
        <v>890</v>
      </c>
      <c r="G60" t="s">
        <v>1386</v>
      </c>
      <c r="H60" t="s">
        <v>1745</v>
      </c>
      <c r="I60">
        <v>11208</v>
      </c>
      <c r="J60" t="s">
        <v>2002</v>
      </c>
      <c r="K60" t="s">
        <v>2002</v>
      </c>
      <c r="M60" t="s">
        <v>2038</v>
      </c>
      <c r="N60" t="s">
        <v>2413</v>
      </c>
      <c r="O60" t="s">
        <v>2437</v>
      </c>
      <c r="Q60" t="s">
        <v>2003</v>
      </c>
      <c r="R60" t="s">
        <v>2451</v>
      </c>
      <c r="S60" t="s">
        <v>111</v>
      </c>
      <c r="T60">
        <v>1956</v>
      </c>
      <c r="U60" t="s">
        <v>2504</v>
      </c>
      <c r="W60" t="s">
        <v>2574</v>
      </c>
      <c r="X60" t="s">
        <v>3166</v>
      </c>
      <c r="Y60" t="s">
        <v>3347</v>
      </c>
      <c r="Z60">
        <v>3</v>
      </c>
      <c r="AA60" t="s">
        <v>3784</v>
      </c>
      <c r="AB60" t="s">
        <v>3796</v>
      </c>
      <c r="AC60">
        <v>1</v>
      </c>
      <c r="AD60">
        <v>1</v>
      </c>
      <c r="AE60">
        <v>4</v>
      </c>
      <c r="AF60">
        <v>47.76</v>
      </c>
      <c r="AI60" t="s">
        <v>3809</v>
      </c>
      <c r="AJ60">
        <v>14050</v>
      </c>
      <c r="AK60" t="s">
        <v>3829</v>
      </c>
      <c r="AP60">
        <v>66.75</v>
      </c>
      <c r="AQ60" t="s">
        <v>303</v>
      </c>
      <c r="AR60" t="s">
        <v>4184</v>
      </c>
      <c r="AS60" t="s">
        <v>4210</v>
      </c>
      <c r="AT60" t="s">
        <v>4219</v>
      </c>
    </row>
    <row r="61" spans="1:46">
      <c r="A61" s="1">
        <f>HYPERLINK("https://lsnyc.legalserver.org/matter/dynamic-profile/view/1879944","18-1879944")</f>
        <v>0</v>
      </c>
      <c r="B61" t="s">
        <v>51</v>
      </c>
      <c r="C61" t="s">
        <v>93</v>
      </c>
      <c r="E61" t="s">
        <v>380</v>
      </c>
      <c r="F61" t="s">
        <v>891</v>
      </c>
      <c r="G61" t="s">
        <v>1387</v>
      </c>
      <c r="H61" t="s">
        <v>1754</v>
      </c>
      <c r="I61">
        <v>11213</v>
      </c>
      <c r="J61" t="s">
        <v>2002</v>
      </c>
      <c r="K61" t="s">
        <v>2002</v>
      </c>
      <c r="M61" t="s">
        <v>2039</v>
      </c>
      <c r="N61" t="s">
        <v>2419</v>
      </c>
      <c r="O61" t="s">
        <v>2437</v>
      </c>
      <c r="Q61" t="s">
        <v>2002</v>
      </c>
      <c r="R61" t="s">
        <v>2451</v>
      </c>
      <c r="S61" t="s">
        <v>93</v>
      </c>
      <c r="T61">
        <v>575</v>
      </c>
      <c r="U61" t="s">
        <v>2495</v>
      </c>
      <c r="W61" t="s">
        <v>2575</v>
      </c>
      <c r="Z61">
        <v>6</v>
      </c>
      <c r="AA61" t="s">
        <v>3783</v>
      </c>
      <c r="AB61" t="s">
        <v>2006</v>
      </c>
      <c r="AC61">
        <v>22</v>
      </c>
      <c r="AD61">
        <v>1</v>
      </c>
      <c r="AE61">
        <v>0</v>
      </c>
      <c r="AF61">
        <v>172.59</v>
      </c>
      <c r="AI61" t="s">
        <v>3809</v>
      </c>
      <c r="AJ61">
        <v>20952</v>
      </c>
      <c r="AP61">
        <v>35.7</v>
      </c>
      <c r="AQ61" t="s">
        <v>329</v>
      </c>
      <c r="AR61" t="s">
        <v>51</v>
      </c>
      <c r="AS61" t="s">
        <v>4210</v>
      </c>
      <c r="AT61" t="s">
        <v>4219</v>
      </c>
    </row>
    <row r="62" spans="1:46">
      <c r="A62" s="1">
        <f>HYPERLINK("https://lsnyc.legalserver.org/matter/dynamic-profile/view/1879875","18-1879875")</f>
        <v>0</v>
      </c>
      <c r="B62" t="s">
        <v>51</v>
      </c>
      <c r="C62" t="s">
        <v>112</v>
      </c>
      <c r="E62" t="s">
        <v>381</v>
      </c>
      <c r="F62" t="s">
        <v>866</v>
      </c>
      <c r="G62" t="s">
        <v>1388</v>
      </c>
      <c r="H62" t="s">
        <v>1761</v>
      </c>
      <c r="I62">
        <v>11212</v>
      </c>
      <c r="J62" t="s">
        <v>2002</v>
      </c>
      <c r="K62" t="s">
        <v>2002</v>
      </c>
      <c r="M62" t="s">
        <v>2040</v>
      </c>
      <c r="O62" t="s">
        <v>2442</v>
      </c>
      <c r="S62" t="s">
        <v>112</v>
      </c>
      <c r="T62">
        <v>2100</v>
      </c>
      <c r="U62" t="s">
        <v>2500</v>
      </c>
      <c r="W62" t="s">
        <v>2576</v>
      </c>
      <c r="X62" t="s">
        <v>3167</v>
      </c>
      <c r="Y62" t="s">
        <v>3348</v>
      </c>
      <c r="Z62">
        <v>6</v>
      </c>
      <c r="AB62" t="s">
        <v>3793</v>
      </c>
      <c r="AC62">
        <v>0</v>
      </c>
      <c r="AD62">
        <v>1</v>
      </c>
      <c r="AE62">
        <v>0</v>
      </c>
      <c r="AF62">
        <v>17.45</v>
      </c>
      <c r="AI62" t="s">
        <v>3809</v>
      </c>
      <c r="AJ62">
        <v>2119</v>
      </c>
      <c r="AP62">
        <v>0.1</v>
      </c>
      <c r="AQ62" t="s">
        <v>112</v>
      </c>
      <c r="AR62" t="s">
        <v>4188</v>
      </c>
      <c r="AS62" t="s">
        <v>4214</v>
      </c>
      <c r="AT62" t="s">
        <v>4219</v>
      </c>
    </row>
    <row r="63" spans="1:46">
      <c r="A63" s="1">
        <f>HYPERLINK("https://lsnyc.legalserver.org/matter/dynamic-profile/view/1880305","18-1880305")</f>
        <v>0</v>
      </c>
      <c r="B63" t="s">
        <v>51</v>
      </c>
      <c r="C63" t="s">
        <v>113</v>
      </c>
      <c r="E63" t="s">
        <v>382</v>
      </c>
      <c r="F63" t="s">
        <v>892</v>
      </c>
      <c r="G63" t="s">
        <v>1389</v>
      </c>
      <c r="H63" t="s">
        <v>1739</v>
      </c>
      <c r="I63">
        <v>11233</v>
      </c>
      <c r="J63" t="s">
        <v>2002</v>
      </c>
      <c r="K63" t="s">
        <v>2002</v>
      </c>
      <c r="M63" t="s">
        <v>2041</v>
      </c>
      <c r="N63" t="s">
        <v>2413</v>
      </c>
      <c r="O63" t="s">
        <v>2437</v>
      </c>
      <c r="Q63" t="s">
        <v>2003</v>
      </c>
      <c r="R63" t="s">
        <v>2451</v>
      </c>
      <c r="S63" t="s">
        <v>113</v>
      </c>
      <c r="T63">
        <v>0</v>
      </c>
      <c r="U63" t="s">
        <v>2500</v>
      </c>
      <c r="W63" t="s">
        <v>2577</v>
      </c>
      <c r="Y63" t="s">
        <v>3349</v>
      </c>
      <c r="Z63">
        <v>30</v>
      </c>
      <c r="AA63" t="s">
        <v>3783</v>
      </c>
      <c r="AB63" t="s">
        <v>3793</v>
      </c>
      <c r="AC63">
        <v>6</v>
      </c>
      <c r="AD63">
        <v>2</v>
      </c>
      <c r="AE63">
        <v>0</v>
      </c>
      <c r="AF63">
        <v>133.29</v>
      </c>
      <c r="AI63" t="s">
        <v>3809</v>
      </c>
      <c r="AJ63">
        <v>21939.36</v>
      </c>
      <c r="AP63">
        <v>67.3</v>
      </c>
      <c r="AQ63" t="s">
        <v>254</v>
      </c>
      <c r="AR63" t="s">
        <v>4190</v>
      </c>
      <c r="AS63" t="s">
        <v>4210</v>
      </c>
      <c r="AT63" t="s">
        <v>4219</v>
      </c>
    </row>
    <row r="64" spans="1:46">
      <c r="A64" s="1">
        <f>HYPERLINK("https://lsnyc.legalserver.org/matter/dynamic-profile/view/1880262","18-1880262")</f>
        <v>0</v>
      </c>
      <c r="B64" t="s">
        <v>51</v>
      </c>
      <c r="C64" t="s">
        <v>114</v>
      </c>
      <c r="D64" t="s">
        <v>310</v>
      </c>
      <c r="E64" t="s">
        <v>383</v>
      </c>
      <c r="F64" t="s">
        <v>770</v>
      </c>
      <c r="G64" t="s">
        <v>1390</v>
      </c>
      <c r="H64" t="s">
        <v>1735</v>
      </c>
      <c r="I64">
        <v>11207</v>
      </c>
      <c r="J64" t="s">
        <v>2002</v>
      </c>
      <c r="K64" t="s">
        <v>2002</v>
      </c>
      <c r="L64" t="s">
        <v>2005</v>
      </c>
      <c r="M64" t="s">
        <v>2042</v>
      </c>
      <c r="N64" t="s">
        <v>2415</v>
      </c>
      <c r="O64" t="s">
        <v>2437</v>
      </c>
      <c r="P64" t="s">
        <v>2446</v>
      </c>
      <c r="Q64" t="s">
        <v>2003</v>
      </c>
      <c r="R64" t="s">
        <v>2451</v>
      </c>
      <c r="S64" t="s">
        <v>328</v>
      </c>
      <c r="T64">
        <v>1136.48</v>
      </c>
      <c r="U64" t="s">
        <v>2495</v>
      </c>
      <c r="V64" t="s">
        <v>2516</v>
      </c>
      <c r="W64" t="s">
        <v>2578</v>
      </c>
      <c r="X64" t="s">
        <v>3168</v>
      </c>
      <c r="Y64" t="s">
        <v>3350</v>
      </c>
      <c r="Z64">
        <v>542</v>
      </c>
      <c r="AA64" t="s">
        <v>3783</v>
      </c>
      <c r="AB64" t="s">
        <v>2006</v>
      </c>
      <c r="AC64">
        <v>34</v>
      </c>
      <c r="AD64">
        <v>2</v>
      </c>
      <c r="AE64">
        <v>0</v>
      </c>
      <c r="AF64">
        <v>21.14</v>
      </c>
      <c r="AI64" t="s">
        <v>3809</v>
      </c>
      <c r="AJ64">
        <v>3480</v>
      </c>
      <c r="AP64">
        <v>7.5</v>
      </c>
      <c r="AQ64" t="s">
        <v>74</v>
      </c>
      <c r="AR64" t="s">
        <v>4185</v>
      </c>
      <c r="AS64" t="s">
        <v>4210</v>
      </c>
      <c r="AT64" t="s">
        <v>4219</v>
      </c>
    </row>
    <row r="65" spans="1:46">
      <c r="A65" s="1">
        <f>HYPERLINK("https://lsnyc.legalserver.org/matter/dynamic-profile/view/1881741","18-1881741")</f>
        <v>0</v>
      </c>
      <c r="B65" t="s">
        <v>51</v>
      </c>
      <c r="C65" t="s">
        <v>115</v>
      </c>
      <c r="D65" t="s">
        <v>289</v>
      </c>
      <c r="E65" t="s">
        <v>384</v>
      </c>
      <c r="F65" t="s">
        <v>893</v>
      </c>
      <c r="G65" t="s">
        <v>1391</v>
      </c>
      <c r="H65">
        <v>1</v>
      </c>
      <c r="I65">
        <v>11233</v>
      </c>
      <c r="J65" t="s">
        <v>2002</v>
      </c>
      <c r="K65" t="s">
        <v>2002</v>
      </c>
      <c r="M65" t="s">
        <v>2043</v>
      </c>
      <c r="N65" t="s">
        <v>2413</v>
      </c>
      <c r="O65" t="s">
        <v>2439</v>
      </c>
      <c r="P65" t="s">
        <v>2444</v>
      </c>
      <c r="Q65" t="s">
        <v>2003</v>
      </c>
      <c r="R65" t="s">
        <v>2454</v>
      </c>
      <c r="S65" t="s">
        <v>156</v>
      </c>
      <c r="T65">
        <v>1500</v>
      </c>
      <c r="U65" t="s">
        <v>2500</v>
      </c>
      <c r="V65" t="s">
        <v>2515</v>
      </c>
      <c r="W65" t="s">
        <v>2579</v>
      </c>
      <c r="Y65" t="s">
        <v>3351</v>
      </c>
      <c r="Z65">
        <v>6</v>
      </c>
      <c r="AB65" t="s">
        <v>2006</v>
      </c>
      <c r="AC65">
        <v>3</v>
      </c>
      <c r="AD65">
        <v>3</v>
      </c>
      <c r="AE65">
        <v>1</v>
      </c>
      <c r="AF65">
        <v>132.3</v>
      </c>
      <c r="AI65" t="s">
        <v>3809</v>
      </c>
      <c r="AJ65">
        <v>33208</v>
      </c>
      <c r="AP65">
        <v>1.9</v>
      </c>
      <c r="AQ65" t="s">
        <v>223</v>
      </c>
      <c r="AR65" t="s">
        <v>4190</v>
      </c>
      <c r="AS65" t="s">
        <v>4210</v>
      </c>
      <c r="AT65" t="s">
        <v>4219</v>
      </c>
    </row>
    <row r="66" spans="1:46">
      <c r="A66" s="1">
        <f>HYPERLINK("https://lsnyc.legalserver.org/matter/dynamic-profile/view/1880263","18-1880263")</f>
        <v>0</v>
      </c>
      <c r="B66" t="s">
        <v>51</v>
      </c>
      <c r="C66" t="s">
        <v>114</v>
      </c>
      <c r="D66" t="s">
        <v>128</v>
      </c>
      <c r="E66" t="s">
        <v>385</v>
      </c>
      <c r="F66" t="s">
        <v>894</v>
      </c>
      <c r="G66" t="s">
        <v>1392</v>
      </c>
      <c r="H66" t="s">
        <v>1762</v>
      </c>
      <c r="I66">
        <v>11239</v>
      </c>
      <c r="J66" t="s">
        <v>2002</v>
      </c>
      <c r="K66" t="s">
        <v>2002</v>
      </c>
      <c r="L66" t="s">
        <v>2005</v>
      </c>
      <c r="N66" t="s">
        <v>2421</v>
      </c>
      <c r="O66" t="s">
        <v>2439</v>
      </c>
      <c r="P66" t="s">
        <v>2444</v>
      </c>
      <c r="Q66" t="s">
        <v>2003</v>
      </c>
      <c r="S66" t="s">
        <v>96</v>
      </c>
      <c r="T66">
        <v>400</v>
      </c>
      <c r="U66" t="s">
        <v>2505</v>
      </c>
      <c r="V66" t="s">
        <v>2515</v>
      </c>
      <c r="W66" t="s">
        <v>2580</v>
      </c>
      <c r="Y66" t="s">
        <v>3352</v>
      </c>
      <c r="Z66">
        <v>17</v>
      </c>
      <c r="AA66" t="s">
        <v>3783</v>
      </c>
      <c r="AC66">
        <v>2</v>
      </c>
      <c r="AD66">
        <v>2</v>
      </c>
      <c r="AE66">
        <v>0</v>
      </c>
      <c r="AF66">
        <v>64.16</v>
      </c>
      <c r="AI66" t="s">
        <v>3809</v>
      </c>
      <c r="AJ66">
        <v>10560</v>
      </c>
      <c r="AP66">
        <v>2.2</v>
      </c>
      <c r="AQ66" t="s">
        <v>328</v>
      </c>
      <c r="AR66" t="s">
        <v>4184</v>
      </c>
      <c r="AS66" t="s">
        <v>4210</v>
      </c>
      <c r="AT66" t="s">
        <v>4219</v>
      </c>
    </row>
    <row r="67" spans="1:46">
      <c r="A67" s="1">
        <f>HYPERLINK("https://lsnyc.legalserver.org/matter/dynamic-profile/view/1879125","18-1879125")</f>
        <v>0</v>
      </c>
      <c r="B67" t="s">
        <v>51</v>
      </c>
      <c r="C67" t="s">
        <v>116</v>
      </c>
      <c r="E67" t="s">
        <v>386</v>
      </c>
      <c r="F67" t="s">
        <v>895</v>
      </c>
      <c r="G67" t="s">
        <v>1393</v>
      </c>
      <c r="H67" t="s">
        <v>1752</v>
      </c>
      <c r="I67">
        <v>11207</v>
      </c>
      <c r="J67" t="s">
        <v>2002</v>
      </c>
      <c r="K67" t="s">
        <v>2002</v>
      </c>
      <c r="L67" t="s">
        <v>2005</v>
      </c>
      <c r="M67" t="s">
        <v>2044</v>
      </c>
      <c r="N67" t="s">
        <v>2415</v>
      </c>
      <c r="O67" t="s">
        <v>2437</v>
      </c>
      <c r="Q67" t="s">
        <v>2003</v>
      </c>
      <c r="R67" t="s">
        <v>2453</v>
      </c>
      <c r="S67" t="s">
        <v>96</v>
      </c>
      <c r="T67">
        <v>1277</v>
      </c>
      <c r="U67" t="s">
        <v>2497</v>
      </c>
      <c r="W67" t="s">
        <v>2581</v>
      </c>
      <c r="X67" t="s">
        <v>3169</v>
      </c>
      <c r="Y67" t="s">
        <v>3353</v>
      </c>
      <c r="Z67">
        <v>6</v>
      </c>
      <c r="AA67" t="s">
        <v>3783</v>
      </c>
      <c r="AB67" t="s">
        <v>3795</v>
      </c>
      <c r="AC67">
        <v>23</v>
      </c>
      <c r="AD67">
        <v>2</v>
      </c>
      <c r="AE67">
        <v>1</v>
      </c>
      <c r="AF67">
        <v>119.63</v>
      </c>
      <c r="AI67" t="s">
        <v>3809</v>
      </c>
      <c r="AJ67">
        <v>24860</v>
      </c>
      <c r="AP67">
        <v>50.6</v>
      </c>
      <c r="AQ67" t="s">
        <v>170</v>
      </c>
      <c r="AR67" t="s">
        <v>4185</v>
      </c>
      <c r="AS67" t="s">
        <v>4210</v>
      </c>
      <c r="AT67" t="s">
        <v>4219</v>
      </c>
    </row>
    <row r="68" spans="1:46">
      <c r="A68" s="1">
        <f>HYPERLINK("https://lsnyc.legalserver.org/matter/dynamic-profile/view/1882800","18-1882800")</f>
        <v>0</v>
      </c>
      <c r="B68" t="s">
        <v>51</v>
      </c>
      <c r="C68" t="s">
        <v>117</v>
      </c>
      <c r="D68" t="s">
        <v>311</v>
      </c>
      <c r="E68" t="s">
        <v>383</v>
      </c>
      <c r="F68" t="s">
        <v>770</v>
      </c>
      <c r="G68" t="s">
        <v>1390</v>
      </c>
      <c r="H68" t="s">
        <v>1735</v>
      </c>
      <c r="I68">
        <v>11207</v>
      </c>
      <c r="J68" t="s">
        <v>2002</v>
      </c>
      <c r="K68" t="s">
        <v>2002</v>
      </c>
      <c r="L68" t="s">
        <v>2005</v>
      </c>
      <c r="M68" t="s">
        <v>2045</v>
      </c>
      <c r="N68" t="s">
        <v>2422</v>
      </c>
      <c r="O68" t="s">
        <v>2441</v>
      </c>
      <c r="P68" t="s">
        <v>2446</v>
      </c>
      <c r="R68" t="s">
        <v>2454</v>
      </c>
      <c r="S68" t="s">
        <v>286</v>
      </c>
      <c r="T68">
        <v>1136.48</v>
      </c>
      <c r="U68" t="s">
        <v>2495</v>
      </c>
      <c r="V68" t="s">
        <v>2518</v>
      </c>
      <c r="W68" t="s">
        <v>2578</v>
      </c>
      <c r="X68" t="s">
        <v>3168</v>
      </c>
      <c r="Y68" t="s">
        <v>3350</v>
      </c>
      <c r="Z68">
        <v>542</v>
      </c>
      <c r="AA68" t="s">
        <v>3783</v>
      </c>
      <c r="AB68" t="s">
        <v>2006</v>
      </c>
      <c r="AC68">
        <v>34</v>
      </c>
      <c r="AD68">
        <v>2</v>
      </c>
      <c r="AE68">
        <v>0</v>
      </c>
      <c r="AF68">
        <v>21.14</v>
      </c>
      <c r="AI68" t="s">
        <v>3809</v>
      </c>
      <c r="AJ68">
        <v>3480</v>
      </c>
      <c r="AK68" t="s">
        <v>3837</v>
      </c>
      <c r="AN68" t="s">
        <v>4122</v>
      </c>
      <c r="AO68" t="s">
        <v>4128</v>
      </c>
      <c r="AP68">
        <v>2.25</v>
      </c>
      <c r="AQ68" t="s">
        <v>311</v>
      </c>
      <c r="AR68" t="s">
        <v>4185</v>
      </c>
      <c r="AS68" t="s">
        <v>4210</v>
      </c>
      <c r="AT68" t="s">
        <v>4219</v>
      </c>
    </row>
    <row r="69" spans="1:46">
      <c r="A69" s="1">
        <f>HYPERLINK("https://lsnyc.legalserver.org/matter/dynamic-profile/view/1883185","18-1883185")</f>
        <v>0</v>
      </c>
      <c r="B69" t="s">
        <v>51</v>
      </c>
      <c r="C69" t="s">
        <v>118</v>
      </c>
      <c r="E69" t="s">
        <v>387</v>
      </c>
      <c r="F69" t="s">
        <v>896</v>
      </c>
      <c r="G69" t="s">
        <v>1394</v>
      </c>
      <c r="H69" t="s">
        <v>1763</v>
      </c>
      <c r="I69">
        <v>11207</v>
      </c>
      <c r="J69" t="s">
        <v>2002</v>
      </c>
      <c r="K69" t="s">
        <v>2002</v>
      </c>
      <c r="M69" t="s">
        <v>2046</v>
      </c>
      <c r="N69" t="s">
        <v>2413</v>
      </c>
      <c r="O69" t="s">
        <v>2437</v>
      </c>
      <c r="Q69" t="s">
        <v>2003</v>
      </c>
      <c r="S69" t="s">
        <v>118</v>
      </c>
      <c r="T69">
        <v>500</v>
      </c>
      <c r="U69" t="s">
        <v>2501</v>
      </c>
      <c r="W69" t="s">
        <v>2582</v>
      </c>
      <c r="Y69" t="s">
        <v>3354</v>
      </c>
      <c r="Z69">
        <v>4</v>
      </c>
      <c r="AA69" t="s">
        <v>3784</v>
      </c>
      <c r="AB69" t="s">
        <v>2006</v>
      </c>
      <c r="AC69">
        <v>1</v>
      </c>
      <c r="AD69">
        <v>1</v>
      </c>
      <c r="AE69">
        <v>0</v>
      </c>
      <c r="AF69">
        <v>0</v>
      </c>
      <c r="AI69" t="s">
        <v>3809</v>
      </c>
      <c r="AJ69">
        <v>0</v>
      </c>
      <c r="AK69" t="s">
        <v>3838</v>
      </c>
      <c r="AP69">
        <v>24.4</v>
      </c>
      <c r="AQ69" t="s">
        <v>245</v>
      </c>
      <c r="AR69" t="s">
        <v>49</v>
      </c>
      <c r="AS69" t="s">
        <v>4210</v>
      </c>
      <c r="AT69" t="s">
        <v>4219</v>
      </c>
    </row>
    <row r="70" spans="1:46">
      <c r="A70" s="1">
        <f>HYPERLINK("https://lsnyc.legalserver.org/matter/dynamic-profile/view/1883131","18-1883131")</f>
        <v>0</v>
      </c>
      <c r="B70" t="s">
        <v>51</v>
      </c>
      <c r="C70" t="s">
        <v>118</v>
      </c>
      <c r="E70" t="s">
        <v>388</v>
      </c>
      <c r="F70" t="s">
        <v>897</v>
      </c>
      <c r="G70" t="s">
        <v>1395</v>
      </c>
      <c r="H70">
        <v>7</v>
      </c>
      <c r="I70">
        <v>11233</v>
      </c>
      <c r="J70" t="s">
        <v>2002</v>
      </c>
      <c r="K70" t="s">
        <v>2002</v>
      </c>
      <c r="M70" t="s">
        <v>2047</v>
      </c>
      <c r="N70" t="s">
        <v>2415</v>
      </c>
      <c r="O70" t="s">
        <v>2437</v>
      </c>
      <c r="Q70" t="s">
        <v>2003</v>
      </c>
      <c r="R70" t="s">
        <v>2451</v>
      </c>
      <c r="S70" t="s">
        <v>118</v>
      </c>
      <c r="T70">
        <v>1473.42</v>
      </c>
      <c r="U70" t="s">
        <v>2497</v>
      </c>
      <c r="W70" t="s">
        <v>2583</v>
      </c>
      <c r="X70" t="s">
        <v>3170</v>
      </c>
      <c r="Y70" t="s">
        <v>3355</v>
      </c>
      <c r="Z70">
        <v>8</v>
      </c>
      <c r="AA70" t="s">
        <v>3783</v>
      </c>
      <c r="AB70" t="s">
        <v>3797</v>
      </c>
      <c r="AC70">
        <v>9</v>
      </c>
      <c r="AD70">
        <v>2</v>
      </c>
      <c r="AE70">
        <v>1</v>
      </c>
      <c r="AF70">
        <v>141.19</v>
      </c>
      <c r="AI70" t="s">
        <v>3809</v>
      </c>
      <c r="AJ70">
        <v>29340</v>
      </c>
      <c r="AK70" t="s">
        <v>3839</v>
      </c>
      <c r="AP70">
        <v>22.5</v>
      </c>
      <c r="AQ70" t="s">
        <v>307</v>
      </c>
      <c r="AR70" t="s">
        <v>4185</v>
      </c>
      <c r="AS70" t="s">
        <v>4210</v>
      </c>
      <c r="AT70" t="s">
        <v>4219</v>
      </c>
    </row>
    <row r="71" spans="1:46">
      <c r="A71" s="1">
        <f>HYPERLINK("https://lsnyc.legalserver.org/matter/dynamic-profile/view/1883253","18-1883253")</f>
        <v>0</v>
      </c>
      <c r="B71" t="s">
        <v>51</v>
      </c>
      <c r="C71" t="s">
        <v>119</v>
      </c>
      <c r="E71" t="s">
        <v>376</v>
      </c>
      <c r="F71" t="s">
        <v>898</v>
      </c>
      <c r="G71" t="s">
        <v>1396</v>
      </c>
      <c r="H71" t="s">
        <v>1760</v>
      </c>
      <c r="I71">
        <v>11233</v>
      </c>
      <c r="J71" t="s">
        <v>2002</v>
      </c>
      <c r="K71" t="s">
        <v>2002</v>
      </c>
      <c r="M71" t="s">
        <v>2048</v>
      </c>
      <c r="N71" t="s">
        <v>2415</v>
      </c>
      <c r="O71" t="s">
        <v>2437</v>
      </c>
      <c r="Q71" t="s">
        <v>2003</v>
      </c>
      <c r="R71" t="s">
        <v>2451</v>
      </c>
      <c r="S71" t="s">
        <v>119</v>
      </c>
      <c r="T71">
        <v>957.15</v>
      </c>
      <c r="U71" t="s">
        <v>2495</v>
      </c>
      <c r="W71" t="s">
        <v>2584</v>
      </c>
      <c r="X71" t="s">
        <v>3171</v>
      </c>
      <c r="Y71" t="s">
        <v>3356</v>
      </c>
      <c r="Z71">
        <v>15</v>
      </c>
      <c r="AA71" t="s">
        <v>2156</v>
      </c>
      <c r="AB71" t="s">
        <v>2006</v>
      </c>
      <c r="AC71">
        <v>25</v>
      </c>
      <c r="AD71">
        <v>1</v>
      </c>
      <c r="AE71">
        <v>0</v>
      </c>
      <c r="AF71">
        <v>72.65000000000001</v>
      </c>
      <c r="AI71" t="s">
        <v>3809</v>
      </c>
      <c r="AJ71">
        <v>8820</v>
      </c>
      <c r="AK71" t="s">
        <v>3838</v>
      </c>
      <c r="AP71">
        <v>15.65</v>
      </c>
      <c r="AQ71" t="s">
        <v>2492</v>
      </c>
      <c r="AR71" t="s">
        <v>4187</v>
      </c>
      <c r="AS71" t="s">
        <v>4210</v>
      </c>
      <c r="AT71" t="s">
        <v>4219</v>
      </c>
    </row>
    <row r="72" spans="1:46">
      <c r="A72" s="1">
        <f>HYPERLINK("https://lsnyc.legalserver.org/matter/dynamic-profile/view/1883471","18-1883471")</f>
        <v>0</v>
      </c>
      <c r="B72" t="s">
        <v>51</v>
      </c>
      <c r="C72" t="s">
        <v>120</v>
      </c>
      <c r="E72" t="s">
        <v>389</v>
      </c>
      <c r="F72" t="s">
        <v>899</v>
      </c>
      <c r="G72" t="s">
        <v>1397</v>
      </c>
      <c r="H72" t="s">
        <v>1764</v>
      </c>
      <c r="I72">
        <v>11208</v>
      </c>
      <c r="J72" t="s">
        <v>2002</v>
      </c>
      <c r="K72" t="s">
        <v>2002</v>
      </c>
      <c r="M72" t="s">
        <v>2049</v>
      </c>
      <c r="N72" t="s">
        <v>2415</v>
      </c>
      <c r="O72" t="s">
        <v>2437</v>
      </c>
      <c r="S72" t="s">
        <v>234</v>
      </c>
      <c r="T72">
        <v>1375</v>
      </c>
      <c r="U72" t="s">
        <v>2500</v>
      </c>
      <c r="W72" t="s">
        <v>2585</v>
      </c>
      <c r="X72" t="s">
        <v>3172</v>
      </c>
      <c r="Y72" t="s">
        <v>3357</v>
      </c>
      <c r="Z72">
        <v>56</v>
      </c>
      <c r="AA72" t="s">
        <v>3783</v>
      </c>
      <c r="AC72">
        <v>9</v>
      </c>
      <c r="AD72">
        <v>1</v>
      </c>
      <c r="AE72">
        <v>0</v>
      </c>
      <c r="AF72">
        <v>84.70999999999999</v>
      </c>
      <c r="AI72" t="s">
        <v>3809</v>
      </c>
      <c r="AJ72">
        <v>10284</v>
      </c>
      <c r="AK72" t="s">
        <v>3840</v>
      </c>
      <c r="AP72">
        <v>46.4</v>
      </c>
      <c r="AQ72" t="s">
        <v>323</v>
      </c>
      <c r="AR72" t="s">
        <v>4184</v>
      </c>
      <c r="AS72" t="s">
        <v>4210</v>
      </c>
      <c r="AT72" t="s">
        <v>4219</v>
      </c>
    </row>
    <row r="73" spans="1:46">
      <c r="A73" s="1">
        <f>HYPERLINK("https://lsnyc.legalserver.org/matter/dynamic-profile/view/1880006","18-1880006")</f>
        <v>0</v>
      </c>
      <c r="B73" t="s">
        <v>51</v>
      </c>
      <c r="C73" t="s">
        <v>121</v>
      </c>
      <c r="E73" t="s">
        <v>390</v>
      </c>
      <c r="F73" t="s">
        <v>900</v>
      </c>
      <c r="G73" t="s">
        <v>1398</v>
      </c>
      <c r="H73" t="s">
        <v>1765</v>
      </c>
      <c r="I73">
        <v>11212</v>
      </c>
      <c r="J73" t="s">
        <v>2002</v>
      </c>
      <c r="K73" t="s">
        <v>2002</v>
      </c>
      <c r="M73" t="s">
        <v>2050</v>
      </c>
      <c r="N73" t="s">
        <v>2415</v>
      </c>
      <c r="O73" t="s">
        <v>2437</v>
      </c>
      <c r="Q73" t="s">
        <v>2003</v>
      </c>
      <c r="R73" t="s">
        <v>2451</v>
      </c>
      <c r="S73" t="s">
        <v>122</v>
      </c>
      <c r="T73">
        <v>1550</v>
      </c>
      <c r="U73" t="s">
        <v>2497</v>
      </c>
      <c r="W73" t="s">
        <v>2586</v>
      </c>
      <c r="X73" t="s">
        <v>3160</v>
      </c>
      <c r="Y73" t="s">
        <v>3358</v>
      </c>
      <c r="Z73">
        <v>6</v>
      </c>
      <c r="AA73" t="s">
        <v>3783</v>
      </c>
      <c r="AB73" t="s">
        <v>2006</v>
      </c>
      <c r="AC73">
        <v>2</v>
      </c>
      <c r="AD73">
        <v>1</v>
      </c>
      <c r="AE73">
        <v>2</v>
      </c>
      <c r="AF73">
        <v>146.3</v>
      </c>
      <c r="AI73" t="s">
        <v>3809</v>
      </c>
      <c r="AJ73">
        <v>30402</v>
      </c>
      <c r="AP73">
        <v>45.4</v>
      </c>
      <c r="AQ73" t="s">
        <v>2492</v>
      </c>
      <c r="AR73" t="s">
        <v>4185</v>
      </c>
      <c r="AS73" t="s">
        <v>4210</v>
      </c>
      <c r="AT73" t="s">
        <v>4219</v>
      </c>
    </row>
    <row r="74" spans="1:46">
      <c r="A74" s="1">
        <f>HYPERLINK("https://lsnyc.legalserver.org/matter/dynamic-profile/view/1884464","18-1884464")</f>
        <v>0</v>
      </c>
      <c r="B74" t="s">
        <v>51</v>
      </c>
      <c r="C74" t="s">
        <v>122</v>
      </c>
      <c r="E74" t="s">
        <v>391</v>
      </c>
      <c r="F74" t="s">
        <v>901</v>
      </c>
      <c r="G74" t="s">
        <v>1399</v>
      </c>
      <c r="H74" t="s">
        <v>1766</v>
      </c>
      <c r="I74">
        <v>11233</v>
      </c>
      <c r="J74" t="s">
        <v>2002</v>
      </c>
      <c r="K74" t="s">
        <v>2002</v>
      </c>
      <c r="M74" t="s">
        <v>2051</v>
      </c>
      <c r="N74" t="s">
        <v>2415</v>
      </c>
      <c r="O74" t="s">
        <v>2437</v>
      </c>
      <c r="Q74" t="s">
        <v>2003</v>
      </c>
      <c r="R74" t="s">
        <v>2451</v>
      </c>
      <c r="S74" t="s">
        <v>122</v>
      </c>
      <c r="T74">
        <v>2050</v>
      </c>
      <c r="U74" t="s">
        <v>2501</v>
      </c>
      <c r="W74" t="s">
        <v>2587</v>
      </c>
      <c r="X74" t="s">
        <v>2006</v>
      </c>
      <c r="Y74" t="s">
        <v>3359</v>
      </c>
      <c r="Z74">
        <v>6</v>
      </c>
      <c r="AA74" t="s">
        <v>3783</v>
      </c>
      <c r="AB74" t="s">
        <v>2006</v>
      </c>
      <c r="AC74">
        <v>0</v>
      </c>
      <c r="AD74">
        <v>1</v>
      </c>
      <c r="AE74">
        <v>0</v>
      </c>
      <c r="AF74">
        <v>306.43</v>
      </c>
      <c r="AG74" t="s">
        <v>279</v>
      </c>
      <c r="AH74" t="s">
        <v>3806</v>
      </c>
      <c r="AI74" t="s">
        <v>3809</v>
      </c>
      <c r="AJ74">
        <v>37200</v>
      </c>
      <c r="AK74" t="s">
        <v>3838</v>
      </c>
      <c r="AP74">
        <v>48.7</v>
      </c>
      <c r="AQ74" t="s">
        <v>182</v>
      </c>
      <c r="AR74" t="s">
        <v>4191</v>
      </c>
      <c r="AS74" t="s">
        <v>4210</v>
      </c>
      <c r="AT74" t="s">
        <v>4219</v>
      </c>
    </row>
    <row r="75" spans="1:46">
      <c r="A75" s="1">
        <f>HYPERLINK("https://lsnyc.legalserver.org/matter/dynamic-profile/view/1878682","18-1878682")</f>
        <v>0</v>
      </c>
      <c r="B75" t="s">
        <v>51</v>
      </c>
      <c r="C75" t="s">
        <v>123</v>
      </c>
      <c r="E75" t="s">
        <v>392</v>
      </c>
      <c r="F75" t="s">
        <v>902</v>
      </c>
      <c r="G75" t="s">
        <v>1400</v>
      </c>
      <c r="H75">
        <v>1</v>
      </c>
      <c r="I75">
        <v>11208</v>
      </c>
      <c r="J75" t="s">
        <v>2002</v>
      </c>
      <c r="K75" t="s">
        <v>2003</v>
      </c>
      <c r="L75" t="s">
        <v>2007</v>
      </c>
      <c r="M75" t="s">
        <v>2052</v>
      </c>
      <c r="N75" t="s">
        <v>2415</v>
      </c>
      <c r="O75" t="s">
        <v>2437</v>
      </c>
      <c r="Q75" t="s">
        <v>2003</v>
      </c>
      <c r="R75" t="s">
        <v>2451</v>
      </c>
      <c r="S75" t="s">
        <v>2461</v>
      </c>
      <c r="T75">
        <v>1956</v>
      </c>
      <c r="U75" t="s">
        <v>2501</v>
      </c>
      <c r="V75" t="s">
        <v>2516</v>
      </c>
      <c r="W75" t="s">
        <v>2588</v>
      </c>
      <c r="X75" t="s">
        <v>3173</v>
      </c>
      <c r="Y75" t="s">
        <v>3360</v>
      </c>
      <c r="Z75">
        <v>4</v>
      </c>
      <c r="AA75" t="s">
        <v>3784</v>
      </c>
      <c r="AB75" t="s">
        <v>3794</v>
      </c>
      <c r="AC75">
        <v>3</v>
      </c>
      <c r="AD75">
        <v>2</v>
      </c>
      <c r="AE75">
        <v>3</v>
      </c>
      <c r="AF75">
        <v>74.23999999999999</v>
      </c>
      <c r="AI75" t="s">
        <v>3809</v>
      </c>
      <c r="AJ75">
        <v>21840</v>
      </c>
      <c r="AK75" t="s">
        <v>3841</v>
      </c>
      <c r="AP75">
        <v>13.5</v>
      </c>
      <c r="AQ75" t="s">
        <v>83</v>
      </c>
      <c r="AR75" t="s">
        <v>4185</v>
      </c>
      <c r="AS75" t="s">
        <v>4210</v>
      </c>
      <c r="AT75" t="s">
        <v>4219</v>
      </c>
    </row>
    <row r="76" spans="1:46">
      <c r="A76" s="1">
        <f>HYPERLINK("https://lsnyc.legalserver.org/matter/dynamic-profile/view/1885515","18-1885515")</f>
        <v>0</v>
      </c>
      <c r="B76" t="s">
        <v>51</v>
      </c>
      <c r="C76" t="s">
        <v>124</v>
      </c>
      <c r="D76" t="s">
        <v>128</v>
      </c>
      <c r="E76" t="s">
        <v>393</v>
      </c>
      <c r="F76" t="s">
        <v>903</v>
      </c>
      <c r="G76" t="s">
        <v>1401</v>
      </c>
      <c r="H76" t="s">
        <v>1767</v>
      </c>
      <c r="I76">
        <v>11212</v>
      </c>
      <c r="J76" t="s">
        <v>2002</v>
      </c>
      <c r="K76" t="s">
        <v>2002</v>
      </c>
      <c r="M76" t="s">
        <v>2053</v>
      </c>
      <c r="N76" t="s">
        <v>2415</v>
      </c>
      <c r="O76" t="s">
        <v>2439</v>
      </c>
      <c r="P76" t="s">
        <v>2444</v>
      </c>
      <c r="S76" t="s">
        <v>191</v>
      </c>
      <c r="T76">
        <v>1600</v>
      </c>
      <c r="U76" t="s">
        <v>2500</v>
      </c>
      <c r="V76" t="s">
        <v>2515</v>
      </c>
      <c r="W76" t="s">
        <v>2589</v>
      </c>
      <c r="Y76" t="s">
        <v>3361</v>
      </c>
      <c r="Z76">
        <v>0</v>
      </c>
      <c r="AB76" t="s">
        <v>2495</v>
      </c>
      <c r="AC76">
        <v>8</v>
      </c>
      <c r="AD76">
        <v>1</v>
      </c>
      <c r="AE76">
        <v>1</v>
      </c>
      <c r="AF76">
        <v>79.01000000000001</v>
      </c>
      <c r="AI76" t="s">
        <v>3809</v>
      </c>
      <c r="AJ76">
        <v>13005</v>
      </c>
      <c r="AP76">
        <v>1</v>
      </c>
      <c r="AQ76" t="s">
        <v>237</v>
      </c>
      <c r="AR76" t="s">
        <v>4189</v>
      </c>
      <c r="AS76" t="s">
        <v>4210</v>
      </c>
      <c r="AT76" t="s">
        <v>4219</v>
      </c>
    </row>
    <row r="77" spans="1:46">
      <c r="A77" s="1">
        <f>HYPERLINK("https://lsnyc.legalserver.org/matter/dynamic-profile/view/1883912","18-1883912")</f>
        <v>0</v>
      </c>
      <c r="B77" t="s">
        <v>51</v>
      </c>
      <c r="C77" t="s">
        <v>125</v>
      </c>
      <c r="D77" t="s">
        <v>128</v>
      </c>
      <c r="E77" t="s">
        <v>394</v>
      </c>
      <c r="F77" t="s">
        <v>904</v>
      </c>
      <c r="G77" t="s">
        <v>1402</v>
      </c>
      <c r="H77" t="s">
        <v>1752</v>
      </c>
      <c r="I77">
        <v>11212</v>
      </c>
      <c r="J77" t="s">
        <v>2002</v>
      </c>
      <c r="K77" t="s">
        <v>2002</v>
      </c>
      <c r="M77" t="s">
        <v>2054</v>
      </c>
      <c r="N77" t="s">
        <v>2415</v>
      </c>
      <c r="O77" t="s">
        <v>2439</v>
      </c>
      <c r="P77" t="s">
        <v>2444</v>
      </c>
      <c r="Q77" t="s">
        <v>2003</v>
      </c>
      <c r="R77" t="s">
        <v>2451</v>
      </c>
      <c r="S77" t="s">
        <v>137</v>
      </c>
      <c r="T77">
        <v>1700</v>
      </c>
      <c r="U77" t="s">
        <v>2496</v>
      </c>
      <c r="V77" t="s">
        <v>2515</v>
      </c>
      <c r="W77" t="s">
        <v>2590</v>
      </c>
      <c r="X77" t="s">
        <v>3174</v>
      </c>
      <c r="Y77" t="s">
        <v>3362</v>
      </c>
      <c r="Z77">
        <v>5</v>
      </c>
      <c r="AA77" t="s">
        <v>3784</v>
      </c>
      <c r="AB77" t="s">
        <v>2006</v>
      </c>
      <c r="AC77">
        <v>1</v>
      </c>
      <c r="AD77">
        <v>1</v>
      </c>
      <c r="AE77">
        <v>1</v>
      </c>
      <c r="AF77">
        <v>130.63</v>
      </c>
      <c r="AI77" t="s">
        <v>3809</v>
      </c>
      <c r="AJ77">
        <v>21502</v>
      </c>
      <c r="AP77">
        <v>2.1</v>
      </c>
      <c r="AQ77" t="s">
        <v>137</v>
      </c>
      <c r="AR77" t="s">
        <v>49</v>
      </c>
      <c r="AS77" t="s">
        <v>4210</v>
      </c>
      <c r="AT77" t="s">
        <v>4219</v>
      </c>
    </row>
    <row r="78" spans="1:46">
      <c r="A78" s="1">
        <f>HYPERLINK("https://lsnyc.legalserver.org/matter/dynamic-profile/view/1880901","18-1880901")</f>
        <v>0</v>
      </c>
      <c r="B78" t="s">
        <v>51</v>
      </c>
      <c r="C78" t="s">
        <v>126</v>
      </c>
      <c r="D78" t="s">
        <v>99</v>
      </c>
      <c r="E78" t="s">
        <v>395</v>
      </c>
      <c r="F78" t="s">
        <v>905</v>
      </c>
      <c r="G78" t="s">
        <v>1403</v>
      </c>
      <c r="H78" t="s">
        <v>1768</v>
      </c>
      <c r="I78">
        <v>11207</v>
      </c>
      <c r="J78" t="s">
        <v>2002</v>
      </c>
      <c r="K78" t="s">
        <v>2002</v>
      </c>
      <c r="M78" t="s">
        <v>2055</v>
      </c>
      <c r="N78" t="s">
        <v>2415</v>
      </c>
      <c r="O78" t="s">
        <v>2436</v>
      </c>
      <c r="P78" t="s">
        <v>2443</v>
      </c>
      <c r="Q78" t="s">
        <v>2003</v>
      </c>
      <c r="S78" t="s">
        <v>99</v>
      </c>
      <c r="T78">
        <v>1100</v>
      </c>
      <c r="U78" t="s">
        <v>2502</v>
      </c>
      <c r="V78" t="s">
        <v>2515</v>
      </c>
      <c r="W78" t="s">
        <v>2591</v>
      </c>
      <c r="Y78" t="s">
        <v>3363</v>
      </c>
      <c r="Z78">
        <v>6</v>
      </c>
      <c r="AA78" t="s">
        <v>3783</v>
      </c>
      <c r="AB78" t="s">
        <v>2006</v>
      </c>
      <c r="AC78">
        <v>5</v>
      </c>
      <c r="AD78">
        <v>2</v>
      </c>
      <c r="AE78">
        <v>0</v>
      </c>
      <c r="AF78">
        <v>0</v>
      </c>
      <c r="AI78" t="s">
        <v>3809</v>
      </c>
      <c r="AJ78">
        <v>0</v>
      </c>
      <c r="AP78">
        <v>6.6</v>
      </c>
      <c r="AQ78" t="s">
        <v>267</v>
      </c>
      <c r="AR78" t="s">
        <v>4187</v>
      </c>
      <c r="AS78" t="s">
        <v>4210</v>
      </c>
      <c r="AT78" t="s">
        <v>4219</v>
      </c>
    </row>
    <row r="79" spans="1:46">
      <c r="A79" s="1">
        <f>HYPERLINK("https://lsnyc.legalserver.org/matter/dynamic-profile/view/1882561","18-1882561")</f>
        <v>0</v>
      </c>
      <c r="B79" t="s">
        <v>51</v>
      </c>
      <c r="C79" t="s">
        <v>127</v>
      </c>
      <c r="D79" t="s">
        <v>128</v>
      </c>
      <c r="E79" t="s">
        <v>396</v>
      </c>
      <c r="F79" t="s">
        <v>906</v>
      </c>
      <c r="G79" t="s">
        <v>1404</v>
      </c>
      <c r="H79" t="s">
        <v>1736</v>
      </c>
      <c r="I79">
        <v>11206</v>
      </c>
      <c r="J79" t="s">
        <v>2002</v>
      </c>
      <c r="K79" t="s">
        <v>2002</v>
      </c>
      <c r="M79" t="s">
        <v>2056</v>
      </c>
      <c r="N79" t="s">
        <v>2413</v>
      </c>
      <c r="O79" t="s">
        <v>2439</v>
      </c>
      <c r="P79" t="s">
        <v>2444</v>
      </c>
      <c r="S79" t="s">
        <v>128</v>
      </c>
      <c r="T79">
        <v>1750</v>
      </c>
      <c r="U79" t="s">
        <v>2500</v>
      </c>
      <c r="V79" t="s">
        <v>2515</v>
      </c>
      <c r="W79" t="s">
        <v>2592</v>
      </c>
      <c r="X79" t="s">
        <v>3175</v>
      </c>
      <c r="Y79" t="s">
        <v>3364</v>
      </c>
      <c r="Z79">
        <v>4</v>
      </c>
      <c r="AB79" t="s">
        <v>2006</v>
      </c>
      <c r="AC79">
        <v>11</v>
      </c>
      <c r="AD79">
        <v>3</v>
      </c>
      <c r="AE79">
        <v>9</v>
      </c>
      <c r="AF79">
        <v>45.34</v>
      </c>
      <c r="AI79" t="s">
        <v>3809</v>
      </c>
      <c r="AJ79">
        <v>27048</v>
      </c>
      <c r="AP79">
        <v>2.3</v>
      </c>
      <c r="AQ79" t="s">
        <v>119</v>
      </c>
      <c r="AR79" t="s">
        <v>4188</v>
      </c>
      <c r="AS79" t="s">
        <v>4210</v>
      </c>
      <c r="AT79" t="s">
        <v>4219</v>
      </c>
    </row>
    <row r="80" spans="1:46">
      <c r="A80" s="1">
        <f>HYPERLINK("https://lsnyc.legalserver.org/matter/dynamic-profile/view/1886767","18-1886767")</f>
        <v>0</v>
      </c>
      <c r="B80" t="s">
        <v>51</v>
      </c>
      <c r="C80" t="s">
        <v>128</v>
      </c>
      <c r="E80" t="s">
        <v>397</v>
      </c>
      <c r="F80" t="s">
        <v>907</v>
      </c>
      <c r="G80" t="s">
        <v>1405</v>
      </c>
      <c r="H80" t="s">
        <v>1769</v>
      </c>
      <c r="I80">
        <v>11206</v>
      </c>
      <c r="J80" t="s">
        <v>2002</v>
      </c>
      <c r="K80" t="s">
        <v>2002</v>
      </c>
      <c r="M80" t="s">
        <v>2057</v>
      </c>
      <c r="N80" t="s">
        <v>2415</v>
      </c>
      <c r="O80" t="s">
        <v>2437</v>
      </c>
      <c r="Q80" t="s">
        <v>2003</v>
      </c>
      <c r="S80" t="s">
        <v>128</v>
      </c>
      <c r="T80">
        <v>296</v>
      </c>
      <c r="U80" t="s">
        <v>2497</v>
      </c>
      <c r="W80" t="s">
        <v>2593</v>
      </c>
      <c r="Y80" t="s">
        <v>3365</v>
      </c>
      <c r="Z80">
        <v>272</v>
      </c>
      <c r="AA80" t="s">
        <v>3783</v>
      </c>
      <c r="AB80" t="s">
        <v>3793</v>
      </c>
      <c r="AC80">
        <v>8</v>
      </c>
      <c r="AD80">
        <v>1</v>
      </c>
      <c r="AE80">
        <v>0</v>
      </c>
      <c r="AF80">
        <v>128.5</v>
      </c>
      <c r="AI80" t="s">
        <v>3809</v>
      </c>
      <c r="AJ80">
        <v>15600</v>
      </c>
      <c r="AK80" t="s">
        <v>3838</v>
      </c>
      <c r="AP80">
        <v>24.8</v>
      </c>
      <c r="AQ80" t="s">
        <v>321</v>
      </c>
      <c r="AR80" t="s">
        <v>49</v>
      </c>
      <c r="AS80" t="s">
        <v>4210</v>
      </c>
      <c r="AT80" t="s">
        <v>4219</v>
      </c>
    </row>
    <row r="81" spans="1:46">
      <c r="A81" s="1">
        <f>HYPERLINK("https://lsnyc.legalserver.org/matter/dynamic-profile/view/1886889","19-1886889")</f>
        <v>0</v>
      </c>
      <c r="B81" t="s">
        <v>51</v>
      </c>
      <c r="C81" t="s">
        <v>129</v>
      </c>
      <c r="E81" t="s">
        <v>398</v>
      </c>
      <c r="F81" t="s">
        <v>908</v>
      </c>
      <c r="G81" t="s">
        <v>1406</v>
      </c>
      <c r="I81">
        <v>11212</v>
      </c>
      <c r="J81" t="s">
        <v>2002</v>
      </c>
      <c r="K81" t="s">
        <v>2002</v>
      </c>
      <c r="M81" t="s">
        <v>2058</v>
      </c>
      <c r="O81" t="s">
        <v>2439</v>
      </c>
      <c r="Q81" t="s">
        <v>2003</v>
      </c>
      <c r="R81" t="s">
        <v>2451</v>
      </c>
      <c r="S81" t="s">
        <v>129</v>
      </c>
      <c r="T81">
        <v>1696</v>
      </c>
      <c r="W81" t="s">
        <v>2594</v>
      </c>
      <c r="X81" t="s">
        <v>3176</v>
      </c>
      <c r="Y81" t="s">
        <v>3366</v>
      </c>
      <c r="Z81">
        <v>0</v>
      </c>
      <c r="AA81" t="s">
        <v>3787</v>
      </c>
      <c r="AB81" t="s">
        <v>3793</v>
      </c>
      <c r="AC81">
        <v>1</v>
      </c>
      <c r="AD81">
        <v>2</v>
      </c>
      <c r="AE81">
        <v>1</v>
      </c>
      <c r="AF81">
        <v>21.9</v>
      </c>
      <c r="AI81" t="s">
        <v>3809</v>
      </c>
      <c r="AJ81">
        <v>4550</v>
      </c>
      <c r="AK81" t="s">
        <v>3838</v>
      </c>
      <c r="AP81">
        <v>2</v>
      </c>
      <c r="AQ81" t="s">
        <v>130</v>
      </c>
      <c r="AR81" t="s">
        <v>4185</v>
      </c>
      <c r="AS81" t="s">
        <v>4210</v>
      </c>
      <c r="AT81" t="s">
        <v>4219</v>
      </c>
    </row>
    <row r="82" spans="1:46">
      <c r="A82" s="1">
        <f>HYPERLINK("https://lsnyc.legalserver.org/matter/dynamic-profile/view/1887122","19-1887122")</f>
        <v>0</v>
      </c>
      <c r="B82" t="s">
        <v>51</v>
      </c>
      <c r="C82" t="s">
        <v>130</v>
      </c>
      <c r="E82" t="s">
        <v>399</v>
      </c>
      <c r="F82" t="s">
        <v>909</v>
      </c>
      <c r="G82" t="s">
        <v>1407</v>
      </c>
      <c r="I82">
        <v>11233</v>
      </c>
      <c r="J82" t="s">
        <v>2002</v>
      </c>
      <c r="K82" t="s">
        <v>2002</v>
      </c>
      <c r="L82" t="s">
        <v>2005</v>
      </c>
      <c r="M82" t="s">
        <v>2059</v>
      </c>
      <c r="N82" t="s">
        <v>2413</v>
      </c>
      <c r="O82" t="s">
        <v>2437</v>
      </c>
      <c r="Q82" t="s">
        <v>2003</v>
      </c>
      <c r="R82" t="s">
        <v>2451</v>
      </c>
      <c r="S82" t="s">
        <v>135</v>
      </c>
      <c r="T82">
        <v>525</v>
      </c>
      <c r="U82" t="s">
        <v>2501</v>
      </c>
      <c r="W82" t="s">
        <v>2595</v>
      </c>
      <c r="X82" t="s">
        <v>2006</v>
      </c>
      <c r="Y82" t="s">
        <v>3367</v>
      </c>
      <c r="Z82">
        <v>3</v>
      </c>
      <c r="AA82" t="s">
        <v>3784</v>
      </c>
      <c r="AB82" t="s">
        <v>2006</v>
      </c>
      <c r="AC82">
        <v>12</v>
      </c>
      <c r="AD82">
        <v>1</v>
      </c>
      <c r="AE82">
        <v>0</v>
      </c>
      <c r="AF82">
        <v>0</v>
      </c>
      <c r="AI82" t="s">
        <v>3809</v>
      </c>
      <c r="AJ82">
        <v>0</v>
      </c>
      <c r="AP82">
        <v>93.8</v>
      </c>
      <c r="AQ82" t="s">
        <v>4166</v>
      </c>
      <c r="AR82" t="s">
        <v>49</v>
      </c>
      <c r="AS82" t="s">
        <v>4210</v>
      </c>
      <c r="AT82" t="s">
        <v>4219</v>
      </c>
    </row>
    <row r="83" spans="1:46">
      <c r="A83" s="1">
        <f>HYPERLINK("https://lsnyc.legalserver.org/matter/dynamic-profile/view/1885583","18-1885583")</f>
        <v>0</v>
      </c>
      <c r="B83" t="s">
        <v>51</v>
      </c>
      <c r="C83" t="s">
        <v>131</v>
      </c>
      <c r="E83" t="s">
        <v>400</v>
      </c>
      <c r="F83" t="s">
        <v>910</v>
      </c>
      <c r="G83" t="s">
        <v>1408</v>
      </c>
      <c r="H83" t="s">
        <v>1760</v>
      </c>
      <c r="I83">
        <v>11233</v>
      </c>
      <c r="J83" t="s">
        <v>2002</v>
      </c>
      <c r="K83" t="s">
        <v>2002</v>
      </c>
      <c r="M83" t="s">
        <v>2060</v>
      </c>
      <c r="N83" t="s">
        <v>2415</v>
      </c>
      <c r="O83" t="s">
        <v>2437</v>
      </c>
      <c r="Q83" t="s">
        <v>2003</v>
      </c>
      <c r="S83" t="s">
        <v>2462</v>
      </c>
      <c r="T83">
        <v>619</v>
      </c>
      <c r="U83" t="s">
        <v>2497</v>
      </c>
      <c r="W83" t="s">
        <v>2596</v>
      </c>
      <c r="X83" t="s">
        <v>3177</v>
      </c>
      <c r="Y83" t="s">
        <v>3368</v>
      </c>
      <c r="Z83">
        <v>34</v>
      </c>
      <c r="AA83" t="s">
        <v>3783</v>
      </c>
      <c r="AB83" t="s">
        <v>2006</v>
      </c>
      <c r="AC83">
        <v>6</v>
      </c>
      <c r="AD83">
        <v>1</v>
      </c>
      <c r="AE83">
        <v>0</v>
      </c>
      <c r="AF83">
        <v>28.67</v>
      </c>
      <c r="AI83" t="s">
        <v>3809</v>
      </c>
      <c r="AJ83">
        <v>3480</v>
      </c>
      <c r="AP83">
        <v>26.5</v>
      </c>
      <c r="AQ83" t="s">
        <v>326</v>
      </c>
      <c r="AR83" t="s">
        <v>49</v>
      </c>
      <c r="AS83" t="s">
        <v>4210</v>
      </c>
      <c r="AT83" t="s">
        <v>4219</v>
      </c>
    </row>
    <row r="84" spans="1:46">
      <c r="A84" s="1">
        <f>HYPERLINK("https://lsnyc.legalserver.org/matter/dynamic-profile/view/1889007","19-1889007")</f>
        <v>0</v>
      </c>
      <c r="B84" t="s">
        <v>51</v>
      </c>
      <c r="C84" t="s">
        <v>132</v>
      </c>
      <c r="E84" t="s">
        <v>401</v>
      </c>
      <c r="F84" t="s">
        <v>911</v>
      </c>
      <c r="G84" t="s">
        <v>1409</v>
      </c>
      <c r="H84">
        <v>4</v>
      </c>
      <c r="I84">
        <v>11233</v>
      </c>
      <c r="J84" t="s">
        <v>2002</v>
      </c>
      <c r="K84" t="s">
        <v>2002</v>
      </c>
      <c r="M84" t="s">
        <v>2061</v>
      </c>
      <c r="N84" t="s">
        <v>2413</v>
      </c>
      <c r="O84" t="s">
        <v>2442</v>
      </c>
      <c r="Q84" t="s">
        <v>2003</v>
      </c>
      <c r="S84" t="s">
        <v>289</v>
      </c>
      <c r="T84">
        <v>1823</v>
      </c>
      <c r="U84" t="s">
        <v>2501</v>
      </c>
      <c r="W84" t="s">
        <v>2597</v>
      </c>
      <c r="Y84" t="s">
        <v>3369</v>
      </c>
      <c r="Z84">
        <v>8</v>
      </c>
      <c r="AA84" t="s">
        <v>3783</v>
      </c>
      <c r="AB84" t="s">
        <v>3793</v>
      </c>
      <c r="AC84">
        <v>10</v>
      </c>
      <c r="AD84">
        <v>1</v>
      </c>
      <c r="AE84">
        <v>2</v>
      </c>
      <c r="AF84">
        <v>103.14</v>
      </c>
      <c r="AI84" t="s">
        <v>3809</v>
      </c>
      <c r="AJ84">
        <v>22000</v>
      </c>
      <c r="AP84">
        <v>0</v>
      </c>
      <c r="AR84" t="s">
        <v>49</v>
      </c>
      <c r="AS84" t="s">
        <v>4210</v>
      </c>
      <c r="AT84" t="s">
        <v>4219</v>
      </c>
    </row>
    <row r="85" spans="1:46">
      <c r="A85" s="1">
        <f>HYPERLINK("https://lsnyc.legalserver.org/matter/dynamic-profile/view/1889595","19-1889595")</f>
        <v>0</v>
      </c>
      <c r="B85" t="s">
        <v>51</v>
      </c>
      <c r="C85" t="s">
        <v>133</v>
      </c>
      <c r="D85" t="s">
        <v>102</v>
      </c>
      <c r="E85" t="s">
        <v>402</v>
      </c>
      <c r="F85" t="s">
        <v>912</v>
      </c>
      <c r="G85" t="s">
        <v>1410</v>
      </c>
      <c r="H85">
        <v>3</v>
      </c>
      <c r="I85">
        <v>11233</v>
      </c>
      <c r="J85" t="s">
        <v>2002</v>
      </c>
      <c r="K85" t="s">
        <v>2002</v>
      </c>
      <c r="L85" t="s">
        <v>2005</v>
      </c>
      <c r="M85" t="s">
        <v>2062</v>
      </c>
      <c r="N85" t="s">
        <v>2413</v>
      </c>
      <c r="O85" t="s">
        <v>2436</v>
      </c>
      <c r="P85" t="s">
        <v>2443</v>
      </c>
      <c r="Q85" t="s">
        <v>2003</v>
      </c>
      <c r="R85" t="s">
        <v>2455</v>
      </c>
      <c r="S85" t="s">
        <v>133</v>
      </c>
      <c r="T85">
        <v>0</v>
      </c>
      <c r="U85" t="s">
        <v>2505</v>
      </c>
      <c r="V85" t="s">
        <v>2516</v>
      </c>
      <c r="W85" t="s">
        <v>2598</v>
      </c>
      <c r="Y85" t="s">
        <v>3370</v>
      </c>
      <c r="Z85">
        <v>3</v>
      </c>
      <c r="AA85" t="s">
        <v>3788</v>
      </c>
      <c r="AC85">
        <v>13</v>
      </c>
      <c r="AD85">
        <v>2</v>
      </c>
      <c r="AE85">
        <v>1</v>
      </c>
      <c r="AF85">
        <v>0</v>
      </c>
      <c r="AI85" t="s">
        <v>3809</v>
      </c>
      <c r="AJ85">
        <v>0</v>
      </c>
      <c r="AP85">
        <v>1.5</v>
      </c>
      <c r="AQ85" t="s">
        <v>133</v>
      </c>
      <c r="AR85" t="s">
        <v>4184</v>
      </c>
      <c r="AS85" t="s">
        <v>4210</v>
      </c>
      <c r="AT85" t="s">
        <v>4219</v>
      </c>
    </row>
    <row r="86" spans="1:46">
      <c r="A86" s="1">
        <f>HYPERLINK("https://lsnyc.legalserver.org/matter/dynamic-profile/view/1889601","19-1889601")</f>
        <v>0</v>
      </c>
      <c r="B86" t="s">
        <v>51</v>
      </c>
      <c r="C86" t="s">
        <v>133</v>
      </c>
      <c r="E86" t="s">
        <v>403</v>
      </c>
      <c r="F86" t="s">
        <v>913</v>
      </c>
      <c r="G86" t="s">
        <v>1411</v>
      </c>
      <c r="H86" t="s">
        <v>1764</v>
      </c>
      <c r="I86">
        <v>11239</v>
      </c>
      <c r="J86" t="s">
        <v>2002</v>
      </c>
      <c r="K86" t="s">
        <v>2004</v>
      </c>
      <c r="L86" t="s">
        <v>2005</v>
      </c>
      <c r="M86" t="s">
        <v>2063</v>
      </c>
      <c r="N86" t="s">
        <v>2415</v>
      </c>
      <c r="O86" t="s">
        <v>2439</v>
      </c>
      <c r="S86" t="s">
        <v>133</v>
      </c>
      <c r="T86">
        <v>1480</v>
      </c>
      <c r="U86" t="s">
        <v>2496</v>
      </c>
      <c r="W86" t="s">
        <v>2599</v>
      </c>
      <c r="X86" t="s">
        <v>3178</v>
      </c>
      <c r="Y86" t="s">
        <v>3371</v>
      </c>
      <c r="Z86">
        <v>60</v>
      </c>
      <c r="AA86" t="s">
        <v>2156</v>
      </c>
      <c r="AC86">
        <v>11</v>
      </c>
      <c r="AD86">
        <v>2</v>
      </c>
      <c r="AE86">
        <v>0</v>
      </c>
      <c r="AF86">
        <v>419.87</v>
      </c>
      <c r="AG86" t="s">
        <v>3802</v>
      </c>
      <c r="AH86" t="s">
        <v>3806</v>
      </c>
      <c r="AI86" t="s">
        <v>3809</v>
      </c>
      <c r="AJ86">
        <v>71000</v>
      </c>
      <c r="AP86">
        <v>1.5</v>
      </c>
      <c r="AQ86" t="s">
        <v>133</v>
      </c>
      <c r="AR86" t="s">
        <v>4184</v>
      </c>
      <c r="AS86" t="s">
        <v>4210</v>
      </c>
      <c r="AT86" t="s">
        <v>4219</v>
      </c>
    </row>
    <row r="87" spans="1:46">
      <c r="A87" s="1">
        <f>HYPERLINK("https://lsnyc.legalserver.org/matter/dynamic-profile/view/1879864","18-1879864")</f>
        <v>0</v>
      </c>
      <c r="B87" t="s">
        <v>51</v>
      </c>
      <c r="C87" t="s">
        <v>112</v>
      </c>
      <c r="E87" t="s">
        <v>381</v>
      </c>
      <c r="F87" t="s">
        <v>866</v>
      </c>
      <c r="G87" t="s">
        <v>1388</v>
      </c>
      <c r="H87" t="s">
        <v>1761</v>
      </c>
      <c r="I87">
        <v>11212</v>
      </c>
      <c r="J87" t="s">
        <v>2002</v>
      </c>
      <c r="K87" t="s">
        <v>2002</v>
      </c>
      <c r="M87" t="s">
        <v>2040</v>
      </c>
      <c r="N87" t="s">
        <v>2415</v>
      </c>
      <c r="O87" t="s">
        <v>2437</v>
      </c>
      <c r="R87" t="s">
        <v>2451</v>
      </c>
      <c r="S87" t="s">
        <v>287</v>
      </c>
      <c r="T87">
        <v>2100</v>
      </c>
      <c r="U87" t="s">
        <v>2500</v>
      </c>
      <c r="W87" t="s">
        <v>2576</v>
      </c>
      <c r="X87" t="s">
        <v>3167</v>
      </c>
      <c r="Y87" t="s">
        <v>3348</v>
      </c>
      <c r="Z87">
        <v>6</v>
      </c>
      <c r="AA87" t="s">
        <v>3787</v>
      </c>
      <c r="AB87" t="s">
        <v>3793</v>
      </c>
      <c r="AC87">
        <v>0</v>
      </c>
      <c r="AD87">
        <v>1</v>
      </c>
      <c r="AE87">
        <v>0</v>
      </c>
      <c r="AF87">
        <v>17.45</v>
      </c>
      <c r="AI87" t="s">
        <v>3809</v>
      </c>
      <c r="AJ87">
        <v>2119</v>
      </c>
      <c r="AP87">
        <v>7.3</v>
      </c>
      <c r="AQ87" t="s">
        <v>145</v>
      </c>
      <c r="AR87" t="s">
        <v>4188</v>
      </c>
      <c r="AS87" t="s">
        <v>4210</v>
      </c>
      <c r="AT87" t="s">
        <v>4219</v>
      </c>
    </row>
    <row r="88" spans="1:46">
      <c r="A88" s="1">
        <f>HYPERLINK("https://lsnyc.legalserver.org/matter/dynamic-profile/view/1889330","19-1889330")</f>
        <v>0</v>
      </c>
      <c r="B88" t="s">
        <v>51</v>
      </c>
      <c r="C88" t="s">
        <v>134</v>
      </c>
      <c r="E88" t="s">
        <v>404</v>
      </c>
      <c r="F88" t="s">
        <v>914</v>
      </c>
      <c r="G88" t="s">
        <v>1412</v>
      </c>
      <c r="H88" t="s">
        <v>1770</v>
      </c>
      <c r="I88">
        <v>11220</v>
      </c>
      <c r="J88" t="s">
        <v>2002</v>
      </c>
      <c r="K88" t="s">
        <v>2002</v>
      </c>
      <c r="L88" t="s">
        <v>2005</v>
      </c>
      <c r="M88" t="s">
        <v>2064</v>
      </c>
      <c r="N88" t="s">
        <v>2413</v>
      </c>
      <c r="O88" t="s">
        <v>2437</v>
      </c>
      <c r="Q88" t="s">
        <v>2003</v>
      </c>
      <c r="R88" t="s">
        <v>2451</v>
      </c>
      <c r="S88" t="s">
        <v>179</v>
      </c>
      <c r="T88">
        <v>1176</v>
      </c>
      <c r="U88" t="s">
        <v>2506</v>
      </c>
      <c r="W88" t="s">
        <v>2600</v>
      </c>
      <c r="X88" t="s">
        <v>3179</v>
      </c>
      <c r="Y88" t="s">
        <v>3372</v>
      </c>
      <c r="Z88">
        <v>11</v>
      </c>
      <c r="AA88" t="s">
        <v>2156</v>
      </c>
      <c r="AC88">
        <v>14</v>
      </c>
      <c r="AD88">
        <v>1</v>
      </c>
      <c r="AE88">
        <v>4</v>
      </c>
      <c r="AF88">
        <v>57.08</v>
      </c>
      <c r="AG88" t="s">
        <v>3803</v>
      </c>
      <c r="AH88" t="s">
        <v>3808</v>
      </c>
      <c r="AI88" t="s">
        <v>3811</v>
      </c>
      <c r="AJ88">
        <v>17220</v>
      </c>
      <c r="AP88">
        <v>20</v>
      </c>
      <c r="AQ88" t="s">
        <v>4167</v>
      </c>
      <c r="AR88" t="s">
        <v>4185</v>
      </c>
      <c r="AS88" t="s">
        <v>4210</v>
      </c>
      <c r="AT88" t="s">
        <v>4220</v>
      </c>
    </row>
    <row r="89" spans="1:46">
      <c r="A89" s="1">
        <f>HYPERLINK("https://lsnyc.legalserver.org/matter/dynamic-profile/view/1892359","19-1892359")</f>
        <v>0</v>
      </c>
      <c r="B89" t="s">
        <v>51</v>
      </c>
      <c r="C89" t="s">
        <v>103</v>
      </c>
      <c r="E89" t="s">
        <v>405</v>
      </c>
      <c r="F89" t="s">
        <v>915</v>
      </c>
      <c r="G89" t="s">
        <v>1413</v>
      </c>
      <c r="H89">
        <v>1</v>
      </c>
      <c r="I89">
        <v>11208</v>
      </c>
      <c r="J89" t="s">
        <v>2002</v>
      </c>
      <c r="K89" t="s">
        <v>2002</v>
      </c>
      <c r="M89" t="s">
        <v>2065</v>
      </c>
      <c r="N89" t="s">
        <v>2413</v>
      </c>
      <c r="O89" t="s">
        <v>2437</v>
      </c>
      <c r="Q89" t="s">
        <v>2003</v>
      </c>
      <c r="S89" t="s">
        <v>282</v>
      </c>
      <c r="T89">
        <v>1268</v>
      </c>
      <c r="U89" t="s">
        <v>2500</v>
      </c>
      <c r="W89" t="s">
        <v>2601</v>
      </c>
      <c r="X89" t="s">
        <v>3180</v>
      </c>
      <c r="Z89">
        <v>3</v>
      </c>
      <c r="AA89" t="s">
        <v>3784</v>
      </c>
      <c r="AB89" t="s">
        <v>3794</v>
      </c>
      <c r="AC89">
        <v>1</v>
      </c>
      <c r="AD89">
        <v>1</v>
      </c>
      <c r="AE89">
        <v>0</v>
      </c>
      <c r="AF89">
        <v>87.43000000000001</v>
      </c>
      <c r="AI89" t="s">
        <v>3809</v>
      </c>
      <c r="AJ89">
        <v>10920</v>
      </c>
      <c r="AP89">
        <v>42.1</v>
      </c>
      <c r="AQ89" t="s">
        <v>182</v>
      </c>
      <c r="AR89" t="s">
        <v>49</v>
      </c>
      <c r="AS89" t="s">
        <v>4210</v>
      </c>
      <c r="AT89" t="s">
        <v>4219</v>
      </c>
    </row>
    <row r="90" spans="1:46">
      <c r="A90" s="1">
        <f>HYPERLINK("https://lsnyc.legalserver.org/matter/dynamic-profile/view/1887398","19-1887398")</f>
        <v>0</v>
      </c>
      <c r="B90" t="s">
        <v>51</v>
      </c>
      <c r="C90" t="s">
        <v>82</v>
      </c>
      <c r="E90" t="s">
        <v>406</v>
      </c>
      <c r="F90" t="s">
        <v>863</v>
      </c>
      <c r="G90" t="s">
        <v>1414</v>
      </c>
      <c r="H90">
        <v>2</v>
      </c>
      <c r="I90">
        <v>11233</v>
      </c>
      <c r="J90" t="s">
        <v>2002</v>
      </c>
      <c r="K90" t="s">
        <v>2002</v>
      </c>
      <c r="M90" t="s">
        <v>2066</v>
      </c>
      <c r="N90" t="s">
        <v>2413</v>
      </c>
      <c r="O90" t="s">
        <v>2437</v>
      </c>
      <c r="Q90" t="s">
        <v>2003</v>
      </c>
      <c r="R90" t="s">
        <v>2451</v>
      </c>
      <c r="S90" t="s">
        <v>103</v>
      </c>
      <c r="T90">
        <v>1187</v>
      </c>
      <c r="U90" t="s">
        <v>2499</v>
      </c>
      <c r="W90" t="s">
        <v>2602</v>
      </c>
      <c r="X90">
        <v>805135</v>
      </c>
      <c r="Y90" t="s">
        <v>3373</v>
      </c>
      <c r="Z90">
        <v>6</v>
      </c>
      <c r="AA90" t="s">
        <v>2156</v>
      </c>
      <c r="AB90" t="s">
        <v>3794</v>
      </c>
      <c r="AC90">
        <v>3</v>
      </c>
      <c r="AD90">
        <v>1</v>
      </c>
      <c r="AE90">
        <v>0</v>
      </c>
      <c r="AF90">
        <v>17.56</v>
      </c>
      <c r="AI90" t="s">
        <v>3809</v>
      </c>
      <c r="AJ90">
        <v>2132</v>
      </c>
      <c r="AK90" t="s">
        <v>3842</v>
      </c>
      <c r="AP90">
        <v>30.7</v>
      </c>
      <c r="AQ90" t="s">
        <v>4168</v>
      </c>
      <c r="AR90" t="s">
        <v>4185</v>
      </c>
      <c r="AS90" t="s">
        <v>4210</v>
      </c>
      <c r="AT90" t="s">
        <v>4219</v>
      </c>
    </row>
    <row r="91" spans="1:46">
      <c r="A91" s="1">
        <f>HYPERLINK("https://lsnyc.legalserver.org/matter/dynamic-profile/view/1886957","19-1886957")</f>
        <v>0</v>
      </c>
      <c r="B91" t="s">
        <v>51</v>
      </c>
      <c r="C91" t="s">
        <v>135</v>
      </c>
      <c r="E91" t="s">
        <v>407</v>
      </c>
      <c r="F91" t="s">
        <v>916</v>
      </c>
      <c r="G91" t="s">
        <v>1415</v>
      </c>
      <c r="H91" t="s">
        <v>1771</v>
      </c>
      <c r="I91">
        <v>11208</v>
      </c>
      <c r="J91" t="s">
        <v>2002</v>
      </c>
      <c r="K91" t="s">
        <v>2002</v>
      </c>
      <c r="M91" t="s">
        <v>2067</v>
      </c>
      <c r="N91" t="s">
        <v>2415</v>
      </c>
      <c r="Q91" t="s">
        <v>2003</v>
      </c>
      <c r="R91" t="s">
        <v>2451</v>
      </c>
      <c r="S91" t="s">
        <v>103</v>
      </c>
      <c r="T91">
        <v>1200</v>
      </c>
      <c r="U91" t="s">
        <v>2501</v>
      </c>
      <c r="W91" t="s">
        <v>2603</v>
      </c>
      <c r="X91" t="s">
        <v>3181</v>
      </c>
      <c r="Y91" t="s">
        <v>3374</v>
      </c>
      <c r="Z91">
        <v>56</v>
      </c>
      <c r="AB91" t="s">
        <v>2495</v>
      </c>
      <c r="AC91">
        <v>1</v>
      </c>
      <c r="AD91">
        <v>1</v>
      </c>
      <c r="AE91">
        <v>0</v>
      </c>
      <c r="AF91">
        <v>19.77</v>
      </c>
      <c r="AI91" t="s">
        <v>3810</v>
      </c>
      <c r="AJ91">
        <v>2400</v>
      </c>
      <c r="AP91">
        <v>0.8</v>
      </c>
      <c r="AQ91" t="s">
        <v>75</v>
      </c>
      <c r="AR91" t="s">
        <v>4185</v>
      </c>
      <c r="AS91" t="s">
        <v>4210</v>
      </c>
      <c r="AT91" t="s">
        <v>4219</v>
      </c>
    </row>
    <row r="92" spans="1:46">
      <c r="A92" s="1">
        <f>HYPERLINK("https://lsnyc.legalserver.org/matter/dynamic-profile/view/1884635","18-1884635")</f>
        <v>0</v>
      </c>
      <c r="B92" t="s">
        <v>51</v>
      </c>
      <c r="C92" t="s">
        <v>136</v>
      </c>
      <c r="E92" t="s">
        <v>408</v>
      </c>
      <c r="F92" t="s">
        <v>917</v>
      </c>
      <c r="G92" t="s">
        <v>1416</v>
      </c>
      <c r="H92" t="s">
        <v>1772</v>
      </c>
      <c r="I92">
        <v>11233</v>
      </c>
      <c r="J92" t="s">
        <v>2002</v>
      </c>
      <c r="K92" t="s">
        <v>2002</v>
      </c>
      <c r="M92" t="s">
        <v>2068</v>
      </c>
      <c r="N92" t="s">
        <v>2415</v>
      </c>
      <c r="O92" t="s">
        <v>2437</v>
      </c>
      <c r="Q92" t="s">
        <v>2003</v>
      </c>
      <c r="R92" t="s">
        <v>2451</v>
      </c>
      <c r="S92" t="s">
        <v>103</v>
      </c>
      <c r="T92">
        <v>530</v>
      </c>
      <c r="U92" t="s">
        <v>2500</v>
      </c>
      <c r="W92" t="s">
        <v>2604</v>
      </c>
      <c r="Y92" t="s">
        <v>3375</v>
      </c>
      <c r="Z92">
        <v>15</v>
      </c>
      <c r="AC92">
        <v>37</v>
      </c>
      <c r="AD92">
        <v>1</v>
      </c>
      <c r="AE92">
        <v>0</v>
      </c>
      <c r="AF92">
        <v>82.54000000000001</v>
      </c>
      <c r="AI92" t="s">
        <v>3809</v>
      </c>
      <c r="AJ92">
        <v>10020</v>
      </c>
      <c r="AP92">
        <v>38</v>
      </c>
      <c r="AQ92" t="s">
        <v>312</v>
      </c>
      <c r="AR92" t="s">
        <v>4190</v>
      </c>
      <c r="AS92" t="s">
        <v>4210</v>
      </c>
      <c r="AT92" t="s">
        <v>4219</v>
      </c>
    </row>
    <row r="93" spans="1:46">
      <c r="A93" s="1">
        <f>HYPERLINK("https://lsnyc.legalserver.org/matter/dynamic-profile/view/1885393","18-1885393")</f>
        <v>0</v>
      </c>
      <c r="B93" t="s">
        <v>51</v>
      </c>
      <c r="C93" t="s">
        <v>137</v>
      </c>
      <c r="E93" t="s">
        <v>409</v>
      </c>
      <c r="F93" t="s">
        <v>918</v>
      </c>
      <c r="G93" t="s">
        <v>1417</v>
      </c>
      <c r="H93">
        <v>2</v>
      </c>
      <c r="I93">
        <v>11233</v>
      </c>
      <c r="J93" t="s">
        <v>2002</v>
      </c>
      <c r="K93" t="s">
        <v>2002</v>
      </c>
      <c r="M93" t="s">
        <v>2069</v>
      </c>
      <c r="N93" t="s">
        <v>2413</v>
      </c>
      <c r="O93" t="s">
        <v>2439</v>
      </c>
      <c r="Q93" t="s">
        <v>2003</v>
      </c>
      <c r="R93" t="s">
        <v>2451</v>
      </c>
      <c r="S93" t="s">
        <v>103</v>
      </c>
      <c r="T93">
        <v>0</v>
      </c>
      <c r="U93" t="s">
        <v>2500</v>
      </c>
      <c r="W93" t="s">
        <v>2605</v>
      </c>
      <c r="X93" t="s">
        <v>3182</v>
      </c>
      <c r="Y93" t="s">
        <v>3376</v>
      </c>
      <c r="Z93">
        <v>2</v>
      </c>
      <c r="AA93" t="s">
        <v>3784</v>
      </c>
      <c r="AB93" t="s">
        <v>2006</v>
      </c>
      <c r="AC93">
        <v>5</v>
      </c>
      <c r="AD93">
        <v>1</v>
      </c>
      <c r="AE93">
        <v>1</v>
      </c>
      <c r="AF93">
        <v>110.57</v>
      </c>
      <c r="AJ93">
        <v>18200</v>
      </c>
      <c r="AP93">
        <v>4.3</v>
      </c>
      <c r="AQ93" t="s">
        <v>164</v>
      </c>
      <c r="AR93" t="s">
        <v>4188</v>
      </c>
      <c r="AS93" t="s">
        <v>4210</v>
      </c>
      <c r="AT93" t="s">
        <v>4219</v>
      </c>
    </row>
    <row r="94" spans="1:46">
      <c r="A94" s="1">
        <f>HYPERLINK("https://lsnyc.legalserver.org/matter/dynamic-profile/view/1887570","19-1887570")</f>
        <v>0</v>
      </c>
      <c r="B94" t="s">
        <v>51</v>
      </c>
      <c r="C94" t="s">
        <v>138</v>
      </c>
      <c r="E94" t="s">
        <v>376</v>
      </c>
      <c r="F94" t="s">
        <v>919</v>
      </c>
      <c r="G94" t="s">
        <v>1418</v>
      </c>
      <c r="H94" t="s">
        <v>1773</v>
      </c>
      <c r="I94">
        <v>11207</v>
      </c>
      <c r="J94" t="s">
        <v>2002</v>
      </c>
      <c r="K94" t="s">
        <v>2002</v>
      </c>
      <c r="L94" t="s">
        <v>2005</v>
      </c>
      <c r="M94" t="s">
        <v>2070</v>
      </c>
      <c r="N94" t="s">
        <v>2415</v>
      </c>
      <c r="O94" t="s">
        <v>2437</v>
      </c>
      <c r="Q94" t="s">
        <v>2003</v>
      </c>
      <c r="R94" t="s">
        <v>2451</v>
      </c>
      <c r="S94" t="s">
        <v>103</v>
      </c>
      <c r="T94">
        <v>1337</v>
      </c>
      <c r="U94" t="s">
        <v>2497</v>
      </c>
      <c r="W94" t="s">
        <v>2606</v>
      </c>
      <c r="X94" t="s">
        <v>3183</v>
      </c>
      <c r="Y94" t="s">
        <v>3377</v>
      </c>
      <c r="Z94">
        <v>25</v>
      </c>
      <c r="AA94" t="s">
        <v>3783</v>
      </c>
      <c r="AB94" t="s">
        <v>3793</v>
      </c>
      <c r="AC94">
        <v>7</v>
      </c>
      <c r="AD94">
        <v>2</v>
      </c>
      <c r="AE94">
        <v>0</v>
      </c>
      <c r="AF94">
        <v>121.51</v>
      </c>
      <c r="AI94" t="s">
        <v>3809</v>
      </c>
      <c r="AJ94">
        <v>20000</v>
      </c>
      <c r="AP94">
        <v>10.6</v>
      </c>
      <c r="AQ94" t="s">
        <v>312</v>
      </c>
      <c r="AR94" t="s">
        <v>4185</v>
      </c>
      <c r="AS94" t="s">
        <v>4210</v>
      </c>
      <c r="AT94" t="s">
        <v>4219</v>
      </c>
    </row>
    <row r="95" spans="1:46">
      <c r="A95" s="1">
        <f>HYPERLINK("https://lsnyc.legalserver.org/matter/dynamic-profile/view/1882511","18-1882511")</f>
        <v>0</v>
      </c>
      <c r="B95" t="s">
        <v>51</v>
      </c>
      <c r="C95" t="s">
        <v>127</v>
      </c>
      <c r="E95" t="s">
        <v>410</v>
      </c>
      <c r="F95" t="s">
        <v>920</v>
      </c>
      <c r="G95" t="s">
        <v>1419</v>
      </c>
      <c r="H95">
        <v>2</v>
      </c>
      <c r="I95">
        <v>11233</v>
      </c>
      <c r="J95" t="s">
        <v>2002</v>
      </c>
      <c r="K95" t="s">
        <v>2002</v>
      </c>
      <c r="L95" t="s">
        <v>2005</v>
      </c>
      <c r="M95" t="s">
        <v>2071</v>
      </c>
      <c r="N95" t="s">
        <v>2415</v>
      </c>
      <c r="O95" t="s">
        <v>2437</v>
      </c>
      <c r="Q95" t="s">
        <v>2003</v>
      </c>
      <c r="R95" t="s">
        <v>2451</v>
      </c>
      <c r="S95" t="s">
        <v>103</v>
      </c>
      <c r="T95">
        <v>1025</v>
      </c>
      <c r="U95" t="s">
        <v>2501</v>
      </c>
      <c r="W95" t="s">
        <v>2607</v>
      </c>
      <c r="X95">
        <v>17593488</v>
      </c>
      <c r="Y95" t="s">
        <v>3378</v>
      </c>
      <c r="Z95">
        <v>3</v>
      </c>
      <c r="AA95" t="s">
        <v>3784</v>
      </c>
      <c r="AB95" t="s">
        <v>2006</v>
      </c>
      <c r="AC95">
        <v>8</v>
      </c>
      <c r="AD95">
        <v>3</v>
      </c>
      <c r="AE95">
        <v>0</v>
      </c>
      <c r="AF95">
        <v>190.57</v>
      </c>
      <c r="AI95" t="s">
        <v>3809</v>
      </c>
      <c r="AJ95">
        <v>39600</v>
      </c>
      <c r="AP95">
        <v>30.1</v>
      </c>
      <c r="AQ95" t="s">
        <v>4166</v>
      </c>
      <c r="AR95" t="s">
        <v>4192</v>
      </c>
      <c r="AS95" t="s">
        <v>4210</v>
      </c>
      <c r="AT95" t="s">
        <v>4219</v>
      </c>
    </row>
    <row r="96" spans="1:46">
      <c r="A96" s="1">
        <f>HYPERLINK("https://lsnyc.legalserver.org/matter/dynamic-profile/view/1894682","19-1894682")</f>
        <v>0</v>
      </c>
      <c r="B96" t="s">
        <v>51</v>
      </c>
      <c r="C96" t="s">
        <v>139</v>
      </c>
      <c r="E96" t="s">
        <v>411</v>
      </c>
      <c r="F96" t="s">
        <v>921</v>
      </c>
      <c r="G96" t="s">
        <v>1420</v>
      </c>
      <c r="H96">
        <v>1</v>
      </c>
      <c r="I96">
        <v>11208</v>
      </c>
      <c r="J96" t="s">
        <v>2002</v>
      </c>
      <c r="K96" t="s">
        <v>2002</v>
      </c>
      <c r="L96" t="s">
        <v>2005</v>
      </c>
      <c r="M96" t="s">
        <v>2072</v>
      </c>
      <c r="N96" t="s">
        <v>2413</v>
      </c>
      <c r="O96" t="s">
        <v>2437</v>
      </c>
      <c r="Q96" t="s">
        <v>2003</v>
      </c>
      <c r="R96" t="s">
        <v>2451</v>
      </c>
      <c r="S96" t="s">
        <v>149</v>
      </c>
      <c r="T96">
        <v>1100</v>
      </c>
      <c r="U96" t="s">
        <v>2500</v>
      </c>
      <c r="W96" t="s">
        <v>2608</v>
      </c>
      <c r="X96" t="s">
        <v>3184</v>
      </c>
      <c r="Y96" t="s">
        <v>3379</v>
      </c>
      <c r="Z96">
        <v>3</v>
      </c>
      <c r="AA96" t="s">
        <v>3784</v>
      </c>
      <c r="AB96" t="s">
        <v>2495</v>
      </c>
      <c r="AC96">
        <v>21</v>
      </c>
      <c r="AD96">
        <v>4</v>
      </c>
      <c r="AE96">
        <v>6</v>
      </c>
      <c r="AF96">
        <v>76.67</v>
      </c>
      <c r="AI96" t="s">
        <v>3809</v>
      </c>
      <c r="AJ96">
        <v>40075</v>
      </c>
      <c r="AP96">
        <v>0.5</v>
      </c>
      <c r="AQ96" t="s">
        <v>144</v>
      </c>
      <c r="AR96" t="s">
        <v>49</v>
      </c>
      <c r="AS96" t="s">
        <v>4210</v>
      </c>
      <c r="AT96" t="s">
        <v>4219</v>
      </c>
    </row>
    <row r="97" spans="1:46">
      <c r="A97" s="1">
        <f>HYPERLINK("https://lsnyc.legalserver.org/matter/dynamic-profile/view/1889349","19-1889349")</f>
        <v>0</v>
      </c>
      <c r="B97" t="s">
        <v>51</v>
      </c>
      <c r="C97" t="s">
        <v>134</v>
      </c>
      <c r="E97" t="s">
        <v>412</v>
      </c>
      <c r="F97" t="s">
        <v>922</v>
      </c>
      <c r="G97" t="s">
        <v>1421</v>
      </c>
      <c r="H97" t="s">
        <v>1774</v>
      </c>
      <c r="I97">
        <v>11203</v>
      </c>
      <c r="J97" t="s">
        <v>2002</v>
      </c>
      <c r="K97" t="s">
        <v>2002</v>
      </c>
      <c r="M97" t="s">
        <v>2073</v>
      </c>
      <c r="N97" t="s">
        <v>2413</v>
      </c>
      <c r="O97" t="s">
        <v>2439</v>
      </c>
      <c r="Q97" t="s">
        <v>2003</v>
      </c>
      <c r="R97" t="s">
        <v>2451</v>
      </c>
      <c r="S97" t="s">
        <v>251</v>
      </c>
      <c r="T97">
        <v>2500</v>
      </c>
      <c r="U97" t="s">
        <v>2503</v>
      </c>
      <c r="W97" t="s">
        <v>2609</v>
      </c>
      <c r="X97" t="s">
        <v>2006</v>
      </c>
      <c r="Y97" t="s">
        <v>3380</v>
      </c>
      <c r="Z97">
        <v>2</v>
      </c>
      <c r="AA97" t="s">
        <v>3784</v>
      </c>
      <c r="AB97" t="s">
        <v>2006</v>
      </c>
      <c r="AC97">
        <v>1</v>
      </c>
      <c r="AD97">
        <v>3</v>
      </c>
      <c r="AE97">
        <v>0</v>
      </c>
      <c r="AF97">
        <v>0</v>
      </c>
      <c r="AI97" t="s">
        <v>3809</v>
      </c>
      <c r="AJ97">
        <v>0</v>
      </c>
      <c r="AK97" t="s">
        <v>3843</v>
      </c>
      <c r="AP97">
        <v>0</v>
      </c>
      <c r="AR97" t="s">
        <v>4185</v>
      </c>
      <c r="AS97" t="s">
        <v>4210</v>
      </c>
      <c r="AT97" t="s">
        <v>4219</v>
      </c>
    </row>
    <row r="98" spans="1:46">
      <c r="A98" s="1">
        <f>HYPERLINK("https://lsnyc.legalserver.org/matter/dynamic-profile/view/1896004","19-1896004")</f>
        <v>0</v>
      </c>
      <c r="B98" t="s">
        <v>51</v>
      </c>
      <c r="C98" t="s">
        <v>78</v>
      </c>
      <c r="E98" t="s">
        <v>413</v>
      </c>
      <c r="F98" t="s">
        <v>923</v>
      </c>
      <c r="G98" t="s">
        <v>1397</v>
      </c>
      <c r="H98" t="s">
        <v>1775</v>
      </c>
      <c r="I98">
        <v>11208</v>
      </c>
      <c r="J98" t="s">
        <v>2002</v>
      </c>
      <c r="K98" t="s">
        <v>2002</v>
      </c>
      <c r="L98" t="s">
        <v>2005</v>
      </c>
      <c r="M98" t="s">
        <v>2074</v>
      </c>
      <c r="N98" t="s">
        <v>2415</v>
      </c>
      <c r="O98" t="s">
        <v>2437</v>
      </c>
      <c r="Q98" t="s">
        <v>2003</v>
      </c>
      <c r="R98" t="s">
        <v>2455</v>
      </c>
      <c r="S98" t="s">
        <v>259</v>
      </c>
      <c r="T98">
        <v>150</v>
      </c>
      <c r="U98" t="s">
        <v>2500</v>
      </c>
      <c r="W98" t="s">
        <v>2610</v>
      </c>
      <c r="X98" t="s">
        <v>3185</v>
      </c>
      <c r="Y98" t="s">
        <v>3381</v>
      </c>
      <c r="Z98">
        <v>6</v>
      </c>
      <c r="AA98" t="s">
        <v>3783</v>
      </c>
      <c r="AB98" t="s">
        <v>2006</v>
      </c>
      <c r="AC98">
        <v>5</v>
      </c>
      <c r="AD98">
        <v>1</v>
      </c>
      <c r="AE98">
        <v>0</v>
      </c>
      <c r="AF98">
        <v>17.07</v>
      </c>
      <c r="AI98" t="s">
        <v>3809</v>
      </c>
      <c r="AJ98">
        <v>2132</v>
      </c>
      <c r="AP98">
        <v>13.9</v>
      </c>
      <c r="AQ98" t="s">
        <v>329</v>
      </c>
      <c r="AR98" t="s">
        <v>4184</v>
      </c>
      <c r="AS98" t="s">
        <v>4210</v>
      </c>
      <c r="AT98" t="s">
        <v>4219</v>
      </c>
    </row>
    <row r="99" spans="1:46">
      <c r="A99" s="1">
        <f>HYPERLINK("https://lsnyc.legalserver.org/matter/dynamic-profile/view/1895973","19-1895973")</f>
        <v>0</v>
      </c>
      <c r="B99" t="s">
        <v>51</v>
      </c>
      <c r="C99" t="s">
        <v>78</v>
      </c>
      <c r="E99" t="s">
        <v>414</v>
      </c>
      <c r="F99" t="s">
        <v>924</v>
      </c>
      <c r="G99" t="s">
        <v>1422</v>
      </c>
      <c r="H99" t="s">
        <v>1735</v>
      </c>
      <c r="I99">
        <v>11233</v>
      </c>
      <c r="J99" t="s">
        <v>2002</v>
      </c>
      <c r="K99" t="s">
        <v>2002</v>
      </c>
      <c r="L99" t="s">
        <v>2005</v>
      </c>
      <c r="M99" t="s">
        <v>2075</v>
      </c>
      <c r="N99" t="s">
        <v>2415</v>
      </c>
      <c r="O99" t="s">
        <v>2437</v>
      </c>
      <c r="S99" t="s">
        <v>78</v>
      </c>
      <c r="T99">
        <v>327.05</v>
      </c>
      <c r="U99" t="s">
        <v>2500</v>
      </c>
      <c r="W99" t="s">
        <v>2611</v>
      </c>
      <c r="Y99" t="s">
        <v>3382</v>
      </c>
      <c r="Z99">
        <v>6</v>
      </c>
      <c r="AA99" t="s">
        <v>3788</v>
      </c>
      <c r="AC99">
        <v>44</v>
      </c>
      <c r="AD99">
        <v>1</v>
      </c>
      <c r="AE99">
        <v>0</v>
      </c>
      <c r="AF99">
        <v>144.12</v>
      </c>
      <c r="AI99" t="s">
        <v>3809</v>
      </c>
      <c r="AJ99">
        <v>18000</v>
      </c>
      <c r="AP99">
        <v>8.75</v>
      </c>
      <c r="AQ99" t="s">
        <v>144</v>
      </c>
      <c r="AR99" t="s">
        <v>4184</v>
      </c>
      <c r="AS99" t="s">
        <v>4210</v>
      </c>
      <c r="AT99" t="s">
        <v>4219</v>
      </c>
    </row>
    <row r="100" spans="1:46">
      <c r="A100" s="1">
        <f>HYPERLINK("https://lsnyc.legalserver.org/matter/dynamic-profile/view/1898897","19-1898897")</f>
        <v>0</v>
      </c>
      <c r="B100" t="s">
        <v>51</v>
      </c>
      <c r="C100" t="s">
        <v>140</v>
      </c>
      <c r="E100" t="s">
        <v>415</v>
      </c>
      <c r="F100" t="s">
        <v>925</v>
      </c>
      <c r="G100" t="s">
        <v>1423</v>
      </c>
      <c r="H100" t="s">
        <v>1776</v>
      </c>
      <c r="I100">
        <v>11233</v>
      </c>
      <c r="J100" t="s">
        <v>2002</v>
      </c>
      <c r="K100" t="s">
        <v>2002</v>
      </c>
      <c r="L100" t="s">
        <v>2005</v>
      </c>
      <c r="M100" t="s">
        <v>2076</v>
      </c>
      <c r="N100" t="s">
        <v>2415</v>
      </c>
      <c r="O100" t="s">
        <v>2437</v>
      </c>
      <c r="Q100" t="s">
        <v>2003</v>
      </c>
      <c r="S100" t="s">
        <v>170</v>
      </c>
      <c r="T100">
        <v>850</v>
      </c>
      <c r="U100" t="s">
        <v>2500</v>
      </c>
      <c r="W100" t="s">
        <v>2612</v>
      </c>
      <c r="X100" t="s">
        <v>3186</v>
      </c>
      <c r="Z100">
        <v>107</v>
      </c>
      <c r="AA100" t="s">
        <v>3789</v>
      </c>
      <c r="AC100">
        <v>0</v>
      </c>
      <c r="AD100">
        <v>1</v>
      </c>
      <c r="AE100">
        <v>3</v>
      </c>
      <c r="AF100">
        <v>57.18</v>
      </c>
      <c r="AI100" t="s">
        <v>3809</v>
      </c>
      <c r="AJ100">
        <v>14724</v>
      </c>
      <c r="AP100">
        <v>5.3</v>
      </c>
      <c r="AQ100" t="s">
        <v>4169</v>
      </c>
      <c r="AR100" t="s">
        <v>4189</v>
      </c>
      <c r="AS100" t="s">
        <v>4210</v>
      </c>
      <c r="AT100" t="s">
        <v>4219</v>
      </c>
    </row>
    <row r="101" spans="1:46">
      <c r="A101" s="1">
        <f>HYPERLINK("https://lsnyc.legalserver.org/matter/dynamic-profile/view/1889626","19-1889626")</f>
        <v>0</v>
      </c>
      <c r="B101" t="s">
        <v>51</v>
      </c>
      <c r="C101" t="s">
        <v>133</v>
      </c>
      <c r="E101" t="s">
        <v>416</v>
      </c>
      <c r="F101" t="s">
        <v>926</v>
      </c>
      <c r="G101" t="s">
        <v>1424</v>
      </c>
      <c r="H101" t="s">
        <v>1758</v>
      </c>
      <c r="I101">
        <v>11207</v>
      </c>
      <c r="J101" t="s">
        <v>2002</v>
      </c>
      <c r="K101" t="s">
        <v>2003</v>
      </c>
      <c r="L101" t="s">
        <v>2005</v>
      </c>
      <c r="M101" t="s">
        <v>2077</v>
      </c>
      <c r="N101" t="s">
        <v>2415</v>
      </c>
      <c r="O101" t="s">
        <v>2437</v>
      </c>
      <c r="Q101" t="s">
        <v>2003</v>
      </c>
      <c r="R101" t="s">
        <v>2451</v>
      </c>
      <c r="S101" t="s">
        <v>171</v>
      </c>
      <c r="T101">
        <v>1250</v>
      </c>
      <c r="U101" t="s">
        <v>2497</v>
      </c>
      <c r="W101" t="s">
        <v>2613</v>
      </c>
      <c r="X101" t="s">
        <v>3187</v>
      </c>
      <c r="Y101" t="s">
        <v>3383</v>
      </c>
      <c r="Z101">
        <v>6</v>
      </c>
      <c r="AA101" t="s">
        <v>3783</v>
      </c>
      <c r="AB101" t="s">
        <v>2006</v>
      </c>
      <c r="AC101">
        <v>5</v>
      </c>
      <c r="AD101">
        <v>1</v>
      </c>
      <c r="AE101">
        <v>5</v>
      </c>
      <c r="AF101">
        <v>8.33</v>
      </c>
      <c r="AI101" t="s">
        <v>3809</v>
      </c>
      <c r="AJ101">
        <v>2880</v>
      </c>
      <c r="AP101">
        <v>9.1</v>
      </c>
      <c r="AQ101" t="s">
        <v>272</v>
      </c>
      <c r="AR101" t="s">
        <v>4185</v>
      </c>
      <c r="AS101" t="s">
        <v>4210</v>
      </c>
      <c r="AT101" t="s">
        <v>4219</v>
      </c>
    </row>
    <row r="102" spans="1:46">
      <c r="A102" s="1">
        <f>HYPERLINK("https://lsnyc.legalserver.org/matter/dynamic-profile/view/1892752","19-1892752")</f>
        <v>0</v>
      </c>
      <c r="B102" t="s">
        <v>51</v>
      </c>
      <c r="C102" t="s">
        <v>141</v>
      </c>
      <c r="E102" t="s">
        <v>417</v>
      </c>
      <c r="F102" t="s">
        <v>927</v>
      </c>
      <c r="G102" t="s">
        <v>1425</v>
      </c>
      <c r="H102" t="s">
        <v>1758</v>
      </c>
      <c r="I102">
        <v>11207</v>
      </c>
      <c r="J102" t="s">
        <v>2002</v>
      </c>
      <c r="K102" t="s">
        <v>2004</v>
      </c>
      <c r="L102" t="s">
        <v>2005</v>
      </c>
      <c r="M102" t="s">
        <v>2078</v>
      </c>
      <c r="N102" t="s">
        <v>2415</v>
      </c>
      <c r="O102" t="s">
        <v>2436</v>
      </c>
      <c r="Q102" t="s">
        <v>2003</v>
      </c>
      <c r="S102" t="s">
        <v>171</v>
      </c>
      <c r="T102">
        <v>1900</v>
      </c>
      <c r="U102" t="s">
        <v>2499</v>
      </c>
      <c r="V102" t="s">
        <v>2515</v>
      </c>
      <c r="W102" t="s">
        <v>2614</v>
      </c>
      <c r="Y102" t="s">
        <v>3384</v>
      </c>
      <c r="Z102">
        <v>4</v>
      </c>
      <c r="AA102" t="s">
        <v>3787</v>
      </c>
      <c r="AB102" t="s">
        <v>3793</v>
      </c>
      <c r="AC102">
        <v>4</v>
      </c>
      <c r="AD102">
        <v>1</v>
      </c>
      <c r="AE102">
        <v>2</v>
      </c>
      <c r="AF102">
        <v>14.29</v>
      </c>
      <c r="AI102" t="s">
        <v>3811</v>
      </c>
      <c r="AJ102">
        <v>3048</v>
      </c>
      <c r="AP102">
        <v>2</v>
      </c>
      <c r="AQ102" t="s">
        <v>171</v>
      </c>
      <c r="AR102" t="s">
        <v>4193</v>
      </c>
      <c r="AS102" t="s">
        <v>4210</v>
      </c>
      <c r="AT102" t="s">
        <v>4219</v>
      </c>
    </row>
    <row r="103" spans="1:46">
      <c r="A103" s="1">
        <f>HYPERLINK("https://lsnyc.legalserver.org/matter/dynamic-profile/view/1898772","19-1898772")</f>
        <v>0</v>
      </c>
      <c r="B103" t="s">
        <v>51</v>
      </c>
      <c r="C103" t="s">
        <v>140</v>
      </c>
      <c r="E103" t="s">
        <v>418</v>
      </c>
      <c r="F103" t="s">
        <v>928</v>
      </c>
      <c r="G103" t="s">
        <v>1426</v>
      </c>
      <c r="H103" t="s">
        <v>1744</v>
      </c>
      <c r="I103">
        <v>11233</v>
      </c>
      <c r="J103" t="s">
        <v>2002</v>
      </c>
      <c r="K103" t="s">
        <v>2003</v>
      </c>
      <c r="L103" t="s">
        <v>2005</v>
      </c>
      <c r="M103" t="s">
        <v>2079</v>
      </c>
      <c r="N103" t="s">
        <v>2415</v>
      </c>
      <c r="O103" t="s">
        <v>2437</v>
      </c>
      <c r="Q103" t="s">
        <v>2002</v>
      </c>
      <c r="R103" t="s">
        <v>2451</v>
      </c>
      <c r="S103" t="s">
        <v>171</v>
      </c>
      <c r="T103">
        <v>944</v>
      </c>
      <c r="U103" t="s">
        <v>2507</v>
      </c>
      <c r="W103" t="s">
        <v>2615</v>
      </c>
      <c r="X103" t="s">
        <v>3188</v>
      </c>
      <c r="Y103" t="s">
        <v>3385</v>
      </c>
      <c r="Z103">
        <v>20</v>
      </c>
      <c r="AA103" t="s">
        <v>3783</v>
      </c>
      <c r="AB103" t="s">
        <v>2495</v>
      </c>
      <c r="AC103">
        <v>3</v>
      </c>
      <c r="AD103">
        <v>1</v>
      </c>
      <c r="AE103">
        <v>1</v>
      </c>
      <c r="AF103">
        <v>67.42</v>
      </c>
      <c r="AI103" t="s">
        <v>3809</v>
      </c>
      <c r="AJ103">
        <v>11400</v>
      </c>
      <c r="AP103">
        <v>2.25</v>
      </c>
      <c r="AQ103" t="s">
        <v>260</v>
      </c>
      <c r="AR103" t="s">
        <v>4185</v>
      </c>
      <c r="AS103" t="s">
        <v>4210</v>
      </c>
      <c r="AT103" t="s">
        <v>4219</v>
      </c>
    </row>
    <row r="104" spans="1:46">
      <c r="A104" s="1">
        <f>HYPERLINK("https://lsnyc.legalserver.org/matter/dynamic-profile/view/1893768","19-1893768")</f>
        <v>0</v>
      </c>
      <c r="B104" t="s">
        <v>51</v>
      </c>
      <c r="C104" t="s">
        <v>142</v>
      </c>
      <c r="E104" t="s">
        <v>392</v>
      </c>
      <c r="F104" t="s">
        <v>902</v>
      </c>
      <c r="G104" t="s">
        <v>1400</v>
      </c>
      <c r="H104">
        <v>1</v>
      </c>
      <c r="I104">
        <v>11208</v>
      </c>
      <c r="J104" t="s">
        <v>2002</v>
      </c>
      <c r="K104" t="s">
        <v>2003</v>
      </c>
      <c r="L104" t="s">
        <v>2007</v>
      </c>
      <c r="M104" t="s">
        <v>2080</v>
      </c>
      <c r="N104" t="s">
        <v>2413</v>
      </c>
      <c r="O104" t="s">
        <v>2437</v>
      </c>
      <c r="Q104" t="s">
        <v>2003</v>
      </c>
      <c r="S104" t="s">
        <v>171</v>
      </c>
      <c r="T104">
        <v>1956</v>
      </c>
      <c r="U104" t="s">
        <v>2497</v>
      </c>
      <c r="W104" t="s">
        <v>2588</v>
      </c>
      <c r="X104" t="s">
        <v>3173</v>
      </c>
      <c r="Y104" t="s">
        <v>3360</v>
      </c>
      <c r="Z104">
        <v>4</v>
      </c>
      <c r="AA104" t="s">
        <v>3784</v>
      </c>
      <c r="AB104" t="s">
        <v>3794</v>
      </c>
      <c r="AC104">
        <v>3</v>
      </c>
      <c r="AD104">
        <v>2</v>
      </c>
      <c r="AE104">
        <v>3</v>
      </c>
      <c r="AF104">
        <v>72.39</v>
      </c>
      <c r="AI104" t="s">
        <v>3809</v>
      </c>
      <c r="AJ104">
        <v>21840</v>
      </c>
      <c r="AP104">
        <v>19.3</v>
      </c>
      <c r="AQ104" t="s">
        <v>312</v>
      </c>
      <c r="AR104" t="s">
        <v>49</v>
      </c>
      <c r="AS104" t="s">
        <v>4210</v>
      </c>
      <c r="AT104" t="s">
        <v>4219</v>
      </c>
    </row>
    <row r="105" spans="1:46">
      <c r="A105" s="1">
        <f>HYPERLINK("https://lsnyc.legalserver.org/matter/dynamic-profile/view/1891056","19-1891056")</f>
        <v>0</v>
      </c>
      <c r="B105" t="s">
        <v>51</v>
      </c>
      <c r="C105" t="s">
        <v>143</v>
      </c>
      <c r="E105" t="s">
        <v>419</v>
      </c>
      <c r="F105" t="s">
        <v>347</v>
      </c>
      <c r="G105" t="s">
        <v>1427</v>
      </c>
      <c r="I105">
        <v>11208</v>
      </c>
      <c r="J105" t="s">
        <v>2002</v>
      </c>
      <c r="K105" t="s">
        <v>2003</v>
      </c>
      <c r="L105" t="s">
        <v>2005</v>
      </c>
      <c r="M105" t="s">
        <v>2081</v>
      </c>
      <c r="N105" t="s">
        <v>2413</v>
      </c>
      <c r="O105" t="s">
        <v>2437</v>
      </c>
      <c r="Q105" t="s">
        <v>2003</v>
      </c>
      <c r="R105" t="s">
        <v>2453</v>
      </c>
      <c r="S105" t="s">
        <v>171</v>
      </c>
      <c r="T105">
        <v>1234</v>
      </c>
      <c r="U105" t="s">
        <v>2508</v>
      </c>
      <c r="W105" t="s">
        <v>2616</v>
      </c>
      <c r="Y105" t="s">
        <v>3386</v>
      </c>
      <c r="Z105">
        <v>210</v>
      </c>
      <c r="AB105" t="s">
        <v>2006</v>
      </c>
      <c r="AC105">
        <v>5</v>
      </c>
      <c r="AD105">
        <v>1</v>
      </c>
      <c r="AE105">
        <v>0</v>
      </c>
      <c r="AF105">
        <v>81.67</v>
      </c>
      <c r="AI105" t="s">
        <v>3809</v>
      </c>
      <c r="AJ105">
        <v>10200</v>
      </c>
      <c r="AP105">
        <v>15.7</v>
      </c>
      <c r="AQ105" t="s">
        <v>158</v>
      </c>
      <c r="AR105" t="s">
        <v>49</v>
      </c>
      <c r="AS105" t="s">
        <v>4210</v>
      </c>
      <c r="AT105" t="s">
        <v>4219</v>
      </c>
    </row>
    <row r="106" spans="1:46">
      <c r="A106" s="1">
        <f>HYPERLINK("https://lsnyc.legalserver.org/matter/dynamic-profile/view/1887657","19-1887657")</f>
        <v>0</v>
      </c>
      <c r="B106" t="s">
        <v>51</v>
      </c>
      <c r="C106" t="s">
        <v>138</v>
      </c>
      <c r="E106" t="s">
        <v>420</v>
      </c>
      <c r="F106" t="s">
        <v>929</v>
      </c>
      <c r="G106" t="s">
        <v>1428</v>
      </c>
      <c r="H106" t="s">
        <v>1777</v>
      </c>
      <c r="I106">
        <v>11207</v>
      </c>
      <c r="J106" t="s">
        <v>2003</v>
      </c>
      <c r="K106" t="s">
        <v>2003</v>
      </c>
      <c r="L106" t="s">
        <v>2007</v>
      </c>
      <c r="M106" t="s">
        <v>2082</v>
      </c>
      <c r="N106" t="s">
        <v>2415</v>
      </c>
      <c r="O106" t="s">
        <v>2437</v>
      </c>
      <c r="Q106" t="s">
        <v>2003</v>
      </c>
      <c r="R106" t="s">
        <v>2455</v>
      </c>
      <c r="S106" t="s">
        <v>171</v>
      </c>
      <c r="T106">
        <v>1200</v>
      </c>
      <c r="U106" t="s">
        <v>2500</v>
      </c>
      <c r="W106" t="s">
        <v>2617</v>
      </c>
      <c r="X106" t="s">
        <v>3189</v>
      </c>
      <c r="Y106" t="s">
        <v>3387</v>
      </c>
      <c r="Z106">
        <v>2</v>
      </c>
      <c r="AA106" t="s">
        <v>3784</v>
      </c>
      <c r="AB106" t="s">
        <v>3799</v>
      </c>
      <c r="AC106">
        <v>4</v>
      </c>
      <c r="AD106">
        <v>1</v>
      </c>
      <c r="AE106">
        <v>0</v>
      </c>
      <c r="AF106">
        <v>82.34</v>
      </c>
      <c r="AI106" t="s">
        <v>3809</v>
      </c>
      <c r="AJ106">
        <v>9996</v>
      </c>
      <c r="AP106">
        <v>10.9</v>
      </c>
      <c r="AQ106" t="s">
        <v>262</v>
      </c>
      <c r="AR106" t="s">
        <v>4185</v>
      </c>
      <c r="AS106" t="s">
        <v>4210</v>
      </c>
      <c r="AT106" t="s">
        <v>4219</v>
      </c>
    </row>
    <row r="107" spans="1:46">
      <c r="A107" s="1">
        <f>HYPERLINK("https://lsnyc.legalserver.org/matter/dynamic-profile/view/1896712","19-1896712")</f>
        <v>0</v>
      </c>
      <c r="B107" t="s">
        <v>51</v>
      </c>
      <c r="C107" t="s">
        <v>144</v>
      </c>
      <c r="E107" t="s">
        <v>411</v>
      </c>
      <c r="F107" t="s">
        <v>921</v>
      </c>
      <c r="G107" t="s">
        <v>1420</v>
      </c>
      <c r="H107">
        <v>1</v>
      </c>
      <c r="I107">
        <v>11208</v>
      </c>
      <c r="J107" t="s">
        <v>2002</v>
      </c>
      <c r="K107" t="s">
        <v>2002</v>
      </c>
      <c r="L107" t="s">
        <v>2005</v>
      </c>
      <c r="M107" t="s">
        <v>2083</v>
      </c>
      <c r="N107" t="s">
        <v>2414</v>
      </c>
      <c r="O107" t="s">
        <v>2437</v>
      </c>
      <c r="Q107" t="s">
        <v>2003</v>
      </c>
      <c r="R107" t="s">
        <v>2451</v>
      </c>
      <c r="S107" t="s">
        <v>171</v>
      </c>
      <c r="T107">
        <v>1100</v>
      </c>
      <c r="U107" t="s">
        <v>2500</v>
      </c>
      <c r="W107" t="s">
        <v>2608</v>
      </c>
      <c r="X107" t="s">
        <v>3184</v>
      </c>
      <c r="Y107" t="s">
        <v>3379</v>
      </c>
      <c r="Z107">
        <v>3</v>
      </c>
      <c r="AA107" t="s">
        <v>3784</v>
      </c>
      <c r="AB107" t="s">
        <v>2495</v>
      </c>
      <c r="AC107">
        <v>21</v>
      </c>
      <c r="AD107">
        <v>4</v>
      </c>
      <c r="AE107">
        <v>6</v>
      </c>
      <c r="AF107">
        <v>92.89</v>
      </c>
      <c r="AI107" t="s">
        <v>3809</v>
      </c>
      <c r="AJ107">
        <v>48556</v>
      </c>
      <c r="AK107" t="s">
        <v>3844</v>
      </c>
      <c r="AP107">
        <v>33</v>
      </c>
      <c r="AQ107" t="s">
        <v>4168</v>
      </c>
      <c r="AR107" t="s">
        <v>4185</v>
      </c>
      <c r="AS107" t="s">
        <v>4210</v>
      </c>
      <c r="AT107" t="s">
        <v>4219</v>
      </c>
    </row>
    <row r="108" spans="1:46">
      <c r="A108" s="1">
        <f>HYPERLINK("https://lsnyc.legalserver.org/matter/dynamic-profile/view/1883581","18-1883581")</f>
        <v>0</v>
      </c>
      <c r="B108" t="s">
        <v>51</v>
      </c>
      <c r="C108" t="s">
        <v>145</v>
      </c>
      <c r="E108" t="s">
        <v>421</v>
      </c>
      <c r="F108" t="s">
        <v>930</v>
      </c>
      <c r="G108" t="s">
        <v>1429</v>
      </c>
      <c r="H108">
        <v>212</v>
      </c>
      <c r="I108">
        <v>11239</v>
      </c>
      <c r="J108" t="s">
        <v>2002</v>
      </c>
      <c r="K108" t="s">
        <v>2003</v>
      </c>
      <c r="L108" t="s">
        <v>2005</v>
      </c>
      <c r="M108" t="s">
        <v>2084</v>
      </c>
      <c r="N108" t="s">
        <v>2413</v>
      </c>
      <c r="O108" t="s">
        <v>2437</v>
      </c>
      <c r="Q108" t="s">
        <v>2003</v>
      </c>
      <c r="R108" t="s">
        <v>2451</v>
      </c>
      <c r="S108" t="s">
        <v>171</v>
      </c>
      <c r="T108">
        <v>745</v>
      </c>
      <c r="U108" t="s">
        <v>2499</v>
      </c>
      <c r="W108" t="s">
        <v>2618</v>
      </c>
      <c r="X108" t="s">
        <v>2006</v>
      </c>
      <c r="Y108" t="s">
        <v>3388</v>
      </c>
      <c r="Z108">
        <v>529</v>
      </c>
      <c r="AA108" t="s">
        <v>3783</v>
      </c>
      <c r="AB108" t="s">
        <v>2006</v>
      </c>
      <c r="AC108">
        <v>1</v>
      </c>
      <c r="AD108">
        <v>3</v>
      </c>
      <c r="AE108">
        <v>1</v>
      </c>
      <c r="AF108">
        <v>120.72</v>
      </c>
      <c r="AI108" t="s">
        <v>3809</v>
      </c>
      <c r="AJ108">
        <v>30300</v>
      </c>
      <c r="AP108">
        <v>34.5</v>
      </c>
      <c r="AQ108" t="s">
        <v>184</v>
      </c>
      <c r="AR108" t="s">
        <v>4185</v>
      </c>
      <c r="AS108" t="s">
        <v>4210</v>
      </c>
      <c r="AT108" t="s">
        <v>4219</v>
      </c>
    </row>
    <row r="109" spans="1:46">
      <c r="A109" s="1">
        <f>HYPERLINK("https://lsnyc.legalserver.org/matter/dynamic-profile/view/1893854","19-1893854")</f>
        <v>0</v>
      </c>
      <c r="B109" t="s">
        <v>51</v>
      </c>
      <c r="C109" t="s">
        <v>146</v>
      </c>
      <c r="E109" t="s">
        <v>422</v>
      </c>
      <c r="F109" t="s">
        <v>931</v>
      </c>
      <c r="G109" t="s">
        <v>1430</v>
      </c>
      <c r="H109" t="s">
        <v>1778</v>
      </c>
      <c r="I109">
        <v>11208</v>
      </c>
      <c r="J109" t="s">
        <v>2002</v>
      </c>
      <c r="K109" t="s">
        <v>2003</v>
      </c>
      <c r="L109" t="s">
        <v>2005</v>
      </c>
      <c r="M109" t="s">
        <v>2085</v>
      </c>
      <c r="N109" t="s">
        <v>2415</v>
      </c>
      <c r="O109" t="s">
        <v>2439</v>
      </c>
      <c r="Q109" t="s">
        <v>2003</v>
      </c>
      <c r="S109" t="s">
        <v>171</v>
      </c>
      <c r="T109">
        <v>1550</v>
      </c>
      <c r="W109" t="s">
        <v>2619</v>
      </c>
      <c r="Y109" t="s">
        <v>3389</v>
      </c>
      <c r="Z109">
        <v>2</v>
      </c>
      <c r="AA109" t="s">
        <v>3784</v>
      </c>
      <c r="AB109" t="s">
        <v>2006</v>
      </c>
      <c r="AC109">
        <v>5</v>
      </c>
      <c r="AD109">
        <v>1</v>
      </c>
      <c r="AE109">
        <v>2</v>
      </c>
      <c r="AF109">
        <v>135.96</v>
      </c>
      <c r="AI109" t="s">
        <v>3809</v>
      </c>
      <c r="AJ109">
        <v>29000</v>
      </c>
      <c r="AP109">
        <v>1.3</v>
      </c>
      <c r="AQ109" t="s">
        <v>273</v>
      </c>
      <c r="AR109" t="s">
        <v>49</v>
      </c>
      <c r="AS109" t="s">
        <v>4210</v>
      </c>
      <c r="AT109" t="s">
        <v>4219</v>
      </c>
    </row>
    <row r="110" spans="1:46">
      <c r="A110" s="1">
        <f>HYPERLINK("https://lsnyc.legalserver.org/matter/dynamic-profile/view/1893742","19-1893742")</f>
        <v>0</v>
      </c>
      <c r="B110" t="s">
        <v>51</v>
      </c>
      <c r="C110" t="s">
        <v>142</v>
      </c>
      <c r="E110" t="s">
        <v>423</v>
      </c>
      <c r="F110" t="s">
        <v>932</v>
      </c>
      <c r="G110" t="s">
        <v>1431</v>
      </c>
      <c r="H110" t="s">
        <v>1741</v>
      </c>
      <c r="I110">
        <v>11239</v>
      </c>
      <c r="J110" t="s">
        <v>2002</v>
      </c>
      <c r="K110" t="s">
        <v>2003</v>
      </c>
      <c r="L110" t="s">
        <v>2005</v>
      </c>
      <c r="M110" t="s">
        <v>2086</v>
      </c>
      <c r="N110" t="s">
        <v>2413</v>
      </c>
      <c r="O110" t="s">
        <v>2436</v>
      </c>
      <c r="Q110" t="s">
        <v>2003</v>
      </c>
      <c r="R110" t="s">
        <v>2451</v>
      </c>
      <c r="S110" t="s">
        <v>171</v>
      </c>
      <c r="T110">
        <v>968</v>
      </c>
      <c r="U110" t="s">
        <v>2497</v>
      </c>
      <c r="W110" t="s">
        <v>2620</v>
      </c>
      <c r="Y110" t="s">
        <v>3390</v>
      </c>
      <c r="Z110">
        <v>2229</v>
      </c>
      <c r="AA110" t="s">
        <v>3783</v>
      </c>
      <c r="AB110" t="s">
        <v>2006</v>
      </c>
      <c r="AC110">
        <v>2</v>
      </c>
      <c r="AD110">
        <v>1</v>
      </c>
      <c r="AE110">
        <v>0</v>
      </c>
      <c r="AF110">
        <v>150.24</v>
      </c>
      <c r="AI110" t="s">
        <v>3810</v>
      </c>
      <c r="AJ110">
        <v>18765.24</v>
      </c>
      <c r="AP110">
        <v>1.5</v>
      </c>
      <c r="AQ110" t="s">
        <v>149</v>
      </c>
      <c r="AR110" t="s">
        <v>49</v>
      </c>
      <c r="AS110" t="s">
        <v>4210</v>
      </c>
      <c r="AT110" t="s">
        <v>4219</v>
      </c>
    </row>
    <row r="111" spans="1:46">
      <c r="A111" s="1">
        <f>HYPERLINK("https://lsnyc.legalserver.org/matter/dynamic-profile/view/1896120","19-1896120")</f>
        <v>0</v>
      </c>
      <c r="B111" t="s">
        <v>51</v>
      </c>
      <c r="C111" t="s">
        <v>147</v>
      </c>
      <c r="E111" t="s">
        <v>424</v>
      </c>
      <c r="F111" t="s">
        <v>933</v>
      </c>
      <c r="G111" t="s">
        <v>1432</v>
      </c>
      <c r="H111" t="s">
        <v>1779</v>
      </c>
      <c r="I111">
        <v>11208</v>
      </c>
      <c r="J111" t="s">
        <v>2002</v>
      </c>
      <c r="K111" t="s">
        <v>2003</v>
      </c>
      <c r="L111" t="s">
        <v>2005</v>
      </c>
      <c r="M111" t="s">
        <v>2087</v>
      </c>
      <c r="N111" t="s">
        <v>2415</v>
      </c>
      <c r="O111" t="s">
        <v>2437</v>
      </c>
      <c r="Q111" t="s">
        <v>2003</v>
      </c>
      <c r="R111" t="s">
        <v>2451</v>
      </c>
      <c r="S111" t="s">
        <v>171</v>
      </c>
      <c r="T111">
        <v>859</v>
      </c>
      <c r="U111" t="s">
        <v>2502</v>
      </c>
      <c r="W111" t="s">
        <v>2621</v>
      </c>
      <c r="Y111" t="s">
        <v>3391</v>
      </c>
      <c r="Z111">
        <v>1276</v>
      </c>
      <c r="AA111" t="s">
        <v>3783</v>
      </c>
      <c r="AB111" t="s">
        <v>3793</v>
      </c>
      <c r="AC111">
        <v>2</v>
      </c>
      <c r="AD111">
        <v>1</v>
      </c>
      <c r="AE111">
        <v>0</v>
      </c>
      <c r="AF111">
        <v>176.11</v>
      </c>
      <c r="AI111" t="s">
        <v>3809</v>
      </c>
      <c r="AJ111">
        <v>21996</v>
      </c>
      <c r="AP111">
        <v>5.65</v>
      </c>
      <c r="AQ111" t="s">
        <v>258</v>
      </c>
      <c r="AR111" t="s">
        <v>49</v>
      </c>
      <c r="AS111" t="s">
        <v>4210</v>
      </c>
      <c r="AT111" t="s">
        <v>4219</v>
      </c>
    </row>
    <row r="112" spans="1:46">
      <c r="A112" s="1">
        <f>HYPERLINK("https://lsnyc.legalserver.org/matter/dynamic-profile/view/1899657","19-1899657")</f>
        <v>0</v>
      </c>
      <c r="B112" t="s">
        <v>51</v>
      </c>
      <c r="C112" t="s">
        <v>148</v>
      </c>
      <c r="E112" t="s">
        <v>425</v>
      </c>
      <c r="F112" t="s">
        <v>934</v>
      </c>
      <c r="G112" t="s">
        <v>1433</v>
      </c>
      <c r="H112" t="s">
        <v>1780</v>
      </c>
      <c r="I112">
        <v>11212</v>
      </c>
      <c r="J112" t="s">
        <v>2002</v>
      </c>
      <c r="K112" t="s">
        <v>2004</v>
      </c>
      <c r="L112" t="s">
        <v>2005</v>
      </c>
      <c r="M112" t="s">
        <v>2088</v>
      </c>
      <c r="N112" t="s">
        <v>2415</v>
      </c>
      <c r="O112" t="s">
        <v>2437</v>
      </c>
      <c r="Q112" t="s">
        <v>2003</v>
      </c>
      <c r="R112" t="s">
        <v>2451</v>
      </c>
      <c r="S112" t="s">
        <v>171</v>
      </c>
      <c r="T112">
        <v>1025</v>
      </c>
      <c r="U112" t="s">
        <v>2495</v>
      </c>
      <c r="W112" t="s">
        <v>2622</v>
      </c>
      <c r="Y112" t="s">
        <v>3392</v>
      </c>
      <c r="Z112">
        <v>82</v>
      </c>
      <c r="AB112" t="s">
        <v>3793</v>
      </c>
      <c r="AC112">
        <v>12</v>
      </c>
      <c r="AD112">
        <v>2</v>
      </c>
      <c r="AE112">
        <v>0</v>
      </c>
      <c r="AF112">
        <v>260.2</v>
      </c>
      <c r="AI112" t="s">
        <v>3809</v>
      </c>
      <c r="AJ112">
        <v>44000</v>
      </c>
      <c r="AK112" t="s">
        <v>3845</v>
      </c>
      <c r="AP112">
        <v>1.5</v>
      </c>
      <c r="AQ112" t="s">
        <v>4170</v>
      </c>
      <c r="AR112" t="s">
        <v>49</v>
      </c>
      <c r="AS112" t="s">
        <v>4210</v>
      </c>
      <c r="AT112" t="s">
        <v>4219</v>
      </c>
    </row>
    <row r="113" spans="1:46">
      <c r="A113" s="1">
        <f>HYPERLINK("https://lsnyc.legalserver.org/matter/dynamic-profile/view/1894526","19-1894526")</f>
        <v>0</v>
      </c>
      <c r="B113" t="s">
        <v>51</v>
      </c>
      <c r="C113" t="s">
        <v>149</v>
      </c>
      <c r="E113" t="s">
        <v>426</v>
      </c>
      <c r="F113" t="s">
        <v>935</v>
      </c>
      <c r="G113" t="s">
        <v>1434</v>
      </c>
      <c r="H113" t="s">
        <v>1781</v>
      </c>
      <c r="I113">
        <v>11207</v>
      </c>
      <c r="J113" t="s">
        <v>2002</v>
      </c>
      <c r="K113" t="s">
        <v>2002</v>
      </c>
      <c r="M113" t="s">
        <v>2089</v>
      </c>
      <c r="N113" t="s">
        <v>2415</v>
      </c>
      <c r="O113" t="s">
        <v>2439</v>
      </c>
      <c r="Q113" t="s">
        <v>2003</v>
      </c>
      <c r="S113" t="s">
        <v>171</v>
      </c>
      <c r="T113">
        <v>1400</v>
      </c>
      <c r="W113" t="s">
        <v>2623</v>
      </c>
      <c r="Y113" t="s">
        <v>3393</v>
      </c>
      <c r="Z113">
        <v>0</v>
      </c>
      <c r="AA113" t="s">
        <v>3783</v>
      </c>
      <c r="AB113" t="s">
        <v>2006</v>
      </c>
      <c r="AC113">
        <v>1</v>
      </c>
      <c r="AD113">
        <v>1</v>
      </c>
      <c r="AE113">
        <v>0</v>
      </c>
      <c r="AF113">
        <v>296.24</v>
      </c>
      <c r="AI113" t="s">
        <v>3809</v>
      </c>
      <c r="AJ113">
        <v>37000</v>
      </c>
      <c r="AP113">
        <v>1</v>
      </c>
      <c r="AQ113" t="s">
        <v>290</v>
      </c>
      <c r="AR113" t="s">
        <v>49</v>
      </c>
      <c r="AS113" t="s">
        <v>4210</v>
      </c>
      <c r="AT113" t="s">
        <v>4219</v>
      </c>
    </row>
    <row r="114" spans="1:46">
      <c r="A114" s="1">
        <f>HYPERLINK("https://lsnyc.legalserver.org/matter/dynamic-profile/view/1899003","19-1899003")</f>
        <v>0</v>
      </c>
      <c r="B114" t="s">
        <v>51</v>
      </c>
      <c r="C114" t="s">
        <v>150</v>
      </c>
      <c r="E114" t="s">
        <v>427</v>
      </c>
      <c r="F114" t="s">
        <v>936</v>
      </c>
      <c r="G114" t="s">
        <v>1435</v>
      </c>
      <c r="H114" t="s">
        <v>1778</v>
      </c>
      <c r="I114">
        <v>11208</v>
      </c>
      <c r="J114" t="s">
        <v>2003</v>
      </c>
      <c r="K114" t="s">
        <v>2004</v>
      </c>
      <c r="L114" t="s">
        <v>2007</v>
      </c>
      <c r="M114" t="s">
        <v>2090</v>
      </c>
      <c r="N114" t="s">
        <v>2413</v>
      </c>
      <c r="O114" t="s">
        <v>2436</v>
      </c>
      <c r="Q114" t="s">
        <v>2003</v>
      </c>
      <c r="S114" t="s">
        <v>172</v>
      </c>
      <c r="T114">
        <v>1297</v>
      </c>
      <c r="W114" t="s">
        <v>2624</v>
      </c>
      <c r="X114">
        <v>4798867</v>
      </c>
      <c r="Y114" t="s">
        <v>3394</v>
      </c>
      <c r="Z114">
        <v>2</v>
      </c>
      <c r="AA114" t="s">
        <v>3784</v>
      </c>
      <c r="AB114" t="s">
        <v>3793</v>
      </c>
      <c r="AC114">
        <v>12</v>
      </c>
      <c r="AD114">
        <v>1</v>
      </c>
      <c r="AE114">
        <v>2</v>
      </c>
      <c r="AF114">
        <v>14.18</v>
      </c>
      <c r="AI114" t="s">
        <v>3809</v>
      </c>
      <c r="AJ114">
        <v>3024</v>
      </c>
      <c r="AP114">
        <v>5</v>
      </c>
      <c r="AQ114" t="s">
        <v>309</v>
      </c>
      <c r="AR114" t="s">
        <v>49</v>
      </c>
      <c r="AS114" t="s">
        <v>4210</v>
      </c>
      <c r="AT114" t="s">
        <v>4219</v>
      </c>
    </row>
    <row r="115" spans="1:46">
      <c r="A115" s="1">
        <f>HYPERLINK("https://lsnyc.legalserver.org/matter/dynamic-profile/view/1873030","18-1873030")</f>
        <v>0</v>
      </c>
      <c r="B115" t="s">
        <v>52</v>
      </c>
      <c r="C115" t="s">
        <v>151</v>
      </c>
      <c r="D115" t="s">
        <v>253</v>
      </c>
      <c r="E115" t="s">
        <v>428</v>
      </c>
      <c r="F115" t="s">
        <v>937</v>
      </c>
      <c r="G115" t="s">
        <v>1436</v>
      </c>
      <c r="H115">
        <v>2</v>
      </c>
      <c r="I115">
        <v>11212</v>
      </c>
      <c r="J115" t="s">
        <v>2002</v>
      </c>
      <c r="K115" t="s">
        <v>2002</v>
      </c>
      <c r="M115" t="s">
        <v>2091</v>
      </c>
      <c r="N115" t="s">
        <v>2415</v>
      </c>
      <c r="O115" t="s">
        <v>2437</v>
      </c>
      <c r="P115" t="s">
        <v>2447</v>
      </c>
      <c r="Q115" t="s">
        <v>2003</v>
      </c>
      <c r="S115" t="s">
        <v>151</v>
      </c>
      <c r="T115">
        <v>800</v>
      </c>
      <c r="U115" t="s">
        <v>2496</v>
      </c>
      <c r="V115" t="s">
        <v>2516</v>
      </c>
      <c r="W115" t="s">
        <v>2625</v>
      </c>
      <c r="X115" t="s">
        <v>3190</v>
      </c>
      <c r="Y115" t="s">
        <v>3395</v>
      </c>
      <c r="Z115">
        <v>4</v>
      </c>
      <c r="AA115" t="s">
        <v>3784</v>
      </c>
      <c r="AC115">
        <v>9</v>
      </c>
      <c r="AD115">
        <v>2</v>
      </c>
      <c r="AE115">
        <v>0</v>
      </c>
      <c r="AF115">
        <v>94.05</v>
      </c>
      <c r="AI115" t="s">
        <v>3809</v>
      </c>
      <c r="AJ115">
        <v>15480</v>
      </c>
      <c r="AK115" t="s">
        <v>3830</v>
      </c>
      <c r="AN115" t="s">
        <v>4122</v>
      </c>
      <c r="AO115" t="s">
        <v>4129</v>
      </c>
      <c r="AP115">
        <v>123.43</v>
      </c>
      <c r="AQ115" t="s">
        <v>253</v>
      </c>
      <c r="AR115" t="s">
        <v>4194</v>
      </c>
      <c r="AS115" t="s">
        <v>4210</v>
      </c>
      <c r="AT115" t="s">
        <v>4219</v>
      </c>
    </row>
    <row r="116" spans="1:46">
      <c r="A116" s="1">
        <f>HYPERLINK("https://lsnyc.legalserver.org/matter/dynamic-profile/view/1874553","18-1874553")</f>
        <v>0</v>
      </c>
      <c r="B116" t="s">
        <v>52</v>
      </c>
      <c r="C116" t="s">
        <v>152</v>
      </c>
      <c r="D116" t="s">
        <v>254</v>
      </c>
      <c r="E116" t="s">
        <v>429</v>
      </c>
      <c r="F116" t="s">
        <v>938</v>
      </c>
      <c r="G116" t="s">
        <v>1437</v>
      </c>
      <c r="H116" t="s">
        <v>1758</v>
      </c>
      <c r="I116">
        <v>11208</v>
      </c>
      <c r="J116" t="s">
        <v>2002</v>
      </c>
      <c r="K116" t="s">
        <v>2002</v>
      </c>
      <c r="M116" t="s">
        <v>2092</v>
      </c>
      <c r="N116" t="s">
        <v>2413</v>
      </c>
      <c r="O116" t="s">
        <v>2437</v>
      </c>
      <c r="P116" t="s">
        <v>2445</v>
      </c>
      <c r="Q116" t="s">
        <v>2003</v>
      </c>
      <c r="R116" t="s">
        <v>2451</v>
      </c>
      <c r="S116" t="s">
        <v>73</v>
      </c>
      <c r="T116">
        <v>1650</v>
      </c>
      <c r="U116" t="s">
        <v>2502</v>
      </c>
      <c r="V116" t="s">
        <v>2519</v>
      </c>
      <c r="W116" t="s">
        <v>2626</v>
      </c>
      <c r="X116" t="s">
        <v>3191</v>
      </c>
      <c r="Y116" t="s">
        <v>3396</v>
      </c>
      <c r="Z116">
        <v>4</v>
      </c>
      <c r="AB116" t="s">
        <v>3798</v>
      </c>
      <c r="AC116">
        <v>6</v>
      </c>
      <c r="AD116">
        <v>1</v>
      </c>
      <c r="AE116">
        <v>0</v>
      </c>
      <c r="AF116">
        <v>27.28</v>
      </c>
      <c r="AI116" t="s">
        <v>3809</v>
      </c>
      <c r="AJ116">
        <v>3312</v>
      </c>
      <c r="AN116" t="s">
        <v>4121</v>
      </c>
      <c r="AO116" t="s">
        <v>4130</v>
      </c>
      <c r="AP116">
        <v>47.35</v>
      </c>
      <c r="AQ116" t="s">
        <v>279</v>
      </c>
      <c r="AR116" t="s">
        <v>4193</v>
      </c>
      <c r="AS116" t="s">
        <v>4210</v>
      </c>
      <c r="AT116" t="s">
        <v>4219</v>
      </c>
    </row>
    <row r="117" spans="1:46">
      <c r="A117" s="1">
        <f>HYPERLINK("https://lsnyc.legalserver.org/matter/dynamic-profile/view/1866809","18-1866809")</f>
        <v>0</v>
      </c>
      <c r="B117" t="s">
        <v>52</v>
      </c>
      <c r="C117" t="s">
        <v>153</v>
      </c>
      <c r="D117" t="s">
        <v>128</v>
      </c>
      <c r="E117" t="s">
        <v>430</v>
      </c>
      <c r="F117" t="s">
        <v>939</v>
      </c>
      <c r="G117" t="s">
        <v>1438</v>
      </c>
      <c r="H117" t="s">
        <v>1739</v>
      </c>
      <c r="I117">
        <v>11208</v>
      </c>
      <c r="J117" t="s">
        <v>2002</v>
      </c>
      <c r="K117" t="s">
        <v>2002</v>
      </c>
      <c r="M117" t="s">
        <v>2093</v>
      </c>
      <c r="N117" t="s">
        <v>2413</v>
      </c>
      <c r="O117" t="s">
        <v>2437</v>
      </c>
      <c r="P117" t="s">
        <v>2448</v>
      </c>
      <c r="Q117" t="s">
        <v>2003</v>
      </c>
      <c r="S117" t="s">
        <v>2463</v>
      </c>
      <c r="T117">
        <v>1254</v>
      </c>
      <c r="U117" t="s">
        <v>2502</v>
      </c>
      <c r="V117" t="s">
        <v>2515</v>
      </c>
      <c r="W117" t="s">
        <v>2627</v>
      </c>
      <c r="X117" t="s">
        <v>3192</v>
      </c>
      <c r="Y117" t="s">
        <v>3397</v>
      </c>
      <c r="Z117">
        <v>3</v>
      </c>
      <c r="AA117" t="s">
        <v>2156</v>
      </c>
      <c r="AB117" t="s">
        <v>3793</v>
      </c>
      <c r="AC117">
        <v>10</v>
      </c>
      <c r="AD117">
        <v>2</v>
      </c>
      <c r="AE117">
        <v>1</v>
      </c>
      <c r="AF117">
        <v>0</v>
      </c>
      <c r="AI117" t="s">
        <v>3809</v>
      </c>
      <c r="AJ117">
        <v>0</v>
      </c>
      <c r="AN117" t="s">
        <v>4121</v>
      </c>
      <c r="AO117" t="s">
        <v>4131</v>
      </c>
      <c r="AP117">
        <v>13.86</v>
      </c>
      <c r="AQ117" t="s">
        <v>123</v>
      </c>
      <c r="AR117" t="s">
        <v>4195</v>
      </c>
      <c r="AS117" t="s">
        <v>4210</v>
      </c>
      <c r="AT117" t="s">
        <v>4219</v>
      </c>
    </row>
    <row r="118" spans="1:46">
      <c r="A118" s="1">
        <f>HYPERLINK("https://lsnyc.legalserver.org/matter/dynamic-profile/view/1878761","18-1878761")</f>
        <v>0</v>
      </c>
      <c r="B118" t="s">
        <v>52</v>
      </c>
      <c r="C118" t="s">
        <v>111</v>
      </c>
      <c r="D118" t="s">
        <v>254</v>
      </c>
      <c r="E118" t="s">
        <v>431</v>
      </c>
      <c r="F118" t="s">
        <v>940</v>
      </c>
      <c r="G118" t="s">
        <v>1439</v>
      </c>
      <c r="H118" t="s">
        <v>1735</v>
      </c>
      <c r="I118">
        <v>11233</v>
      </c>
      <c r="J118" t="s">
        <v>2002</v>
      </c>
      <c r="K118" t="s">
        <v>2002</v>
      </c>
      <c r="M118" t="s">
        <v>2094</v>
      </c>
      <c r="N118" t="s">
        <v>2413</v>
      </c>
      <c r="O118" t="s">
        <v>2437</v>
      </c>
      <c r="P118" t="s">
        <v>2445</v>
      </c>
      <c r="Q118" t="s">
        <v>2003</v>
      </c>
      <c r="R118" t="s">
        <v>2455</v>
      </c>
      <c r="S118" t="s">
        <v>111</v>
      </c>
      <c r="T118">
        <v>0</v>
      </c>
      <c r="U118" t="s">
        <v>2500</v>
      </c>
      <c r="V118" t="s">
        <v>2520</v>
      </c>
      <c r="W118" t="s">
        <v>2628</v>
      </c>
      <c r="X118" t="s">
        <v>3193</v>
      </c>
      <c r="Z118">
        <v>48</v>
      </c>
      <c r="AA118" t="s">
        <v>2156</v>
      </c>
      <c r="AB118" t="s">
        <v>3793</v>
      </c>
      <c r="AC118">
        <v>3</v>
      </c>
      <c r="AD118">
        <v>1</v>
      </c>
      <c r="AE118">
        <v>0</v>
      </c>
      <c r="AF118">
        <v>0</v>
      </c>
      <c r="AI118" t="s">
        <v>3809</v>
      </c>
      <c r="AJ118">
        <v>0</v>
      </c>
      <c r="AK118" t="s">
        <v>3829</v>
      </c>
      <c r="AN118" t="s">
        <v>4122</v>
      </c>
      <c r="AO118" t="s">
        <v>4132</v>
      </c>
      <c r="AP118">
        <v>17.15</v>
      </c>
      <c r="AQ118" t="s">
        <v>102</v>
      </c>
      <c r="AR118" t="s">
        <v>4190</v>
      </c>
      <c r="AS118" t="s">
        <v>4210</v>
      </c>
      <c r="AT118" t="s">
        <v>4219</v>
      </c>
    </row>
    <row r="119" spans="1:46">
      <c r="A119" s="1">
        <f>HYPERLINK("https://lsnyc.legalserver.org/matter/dynamic-profile/view/1881386","18-1881386")</f>
        <v>0</v>
      </c>
      <c r="B119" t="s">
        <v>52</v>
      </c>
      <c r="C119" t="s">
        <v>154</v>
      </c>
      <c r="E119" t="s">
        <v>432</v>
      </c>
      <c r="F119" t="s">
        <v>941</v>
      </c>
      <c r="G119" t="s">
        <v>1440</v>
      </c>
      <c r="H119" t="s">
        <v>1748</v>
      </c>
      <c r="I119">
        <v>11233</v>
      </c>
      <c r="J119" t="s">
        <v>2002</v>
      </c>
      <c r="K119" t="s">
        <v>2002</v>
      </c>
      <c r="M119" t="s">
        <v>2095</v>
      </c>
      <c r="N119" t="s">
        <v>2415</v>
      </c>
      <c r="O119" t="s">
        <v>2437</v>
      </c>
      <c r="Q119" t="s">
        <v>2003</v>
      </c>
      <c r="R119" t="s">
        <v>2451</v>
      </c>
      <c r="S119" t="s">
        <v>154</v>
      </c>
      <c r="T119">
        <v>1515</v>
      </c>
      <c r="U119" t="s">
        <v>2500</v>
      </c>
      <c r="W119" t="s">
        <v>2629</v>
      </c>
      <c r="X119" t="s">
        <v>3194</v>
      </c>
      <c r="Y119" t="s">
        <v>3398</v>
      </c>
      <c r="Z119">
        <v>6</v>
      </c>
      <c r="AA119" t="s">
        <v>3783</v>
      </c>
      <c r="AB119" t="s">
        <v>3799</v>
      </c>
      <c r="AC119">
        <v>5</v>
      </c>
      <c r="AD119">
        <v>1</v>
      </c>
      <c r="AE119">
        <v>0</v>
      </c>
      <c r="AF119">
        <v>18.2</v>
      </c>
      <c r="AI119" t="s">
        <v>3809</v>
      </c>
      <c r="AJ119">
        <v>2210</v>
      </c>
      <c r="AK119" t="s">
        <v>3830</v>
      </c>
      <c r="AP119">
        <v>38.25</v>
      </c>
      <c r="AQ119" t="s">
        <v>4171</v>
      </c>
      <c r="AR119" t="s">
        <v>4185</v>
      </c>
      <c r="AS119" t="s">
        <v>4210</v>
      </c>
      <c r="AT119" t="s">
        <v>4219</v>
      </c>
    </row>
    <row r="120" spans="1:46">
      <c r="A120" s="1">
        <f>HYPERLINK("https://lsnyc.legalserver.org/matter/dynamic-profile/view/1888079","19-1888079")</f>
        <v>0</v>
      </c>
      <c r="B120" t="s">
        <v>52</v>
      </c>
      <c r="C120" t="s">
        <v>155</v>
      </c>
      <c r="E120" t="s">
        <v>428</v>
      </c>
      <c r="F120" t="s">
        <v>937</v>
      </c>
      <c r="G120" t="s">
        <v>1436</v>
      </c>
      <c r="H120">
        <v>2</v>
      </c>
      <c r="I120">
        <v>11212</v>
      </c>
      <c r="J120" t="s">
        <v>2002</v>
      </c>
      <c r="K120" t="s">
        <v>2002</v>
      </c>
      <c r="L120" t="s">
        <v>2005</v>
      </c>
      <c r="M120" t="s">
        <v>2096</v>
      </c>
      <c r="N120" t="s">
        <v>2413</v>
      </c>
      <c r="O120" t="s">
        <v>2437</v>
      </c>
      <c r="Q120" t="s">
        <v>2003</v>
      </c>
      <c r="R120" t="s">
        <v>2451</v>
      </c>
      <c r="S120" t="s">
        <v>2461</v>
      </c>
      <c r="T120">
        <v>800</v>
      </c>
      <c r="U120" t="s">
        <v>2497</v>
      </c>
      <c r="W120" t="s">
        <v>2625</v>
      </c>
      <c r="X120" t="s">
        <v>3190</v>
      </c>
      <c r="Y120" t="s">
        <v>3395</v>
      </c>
      <c r="Z120">
        <v>4</v>
      </c>
      <c r="AA120" t="s">
        <v>3784</v>
      </c>
      <c r="AB120" t="s">
        <v>2006</v>
      </c>
      <c r="AC120">
        <v>9</v>
      </c>
      <c r="AD120">
        <v>2</v>
      </c>
      <c r="AE120">
        <v>0</v>
      </c>
      <c r="AF120">
        <v>94.05</v>
      </c>
      <c r="AI120" t="s">
        <v>3809</v>
      </c>
      <c r="AJ120">
        <v>15480</v>
      </c>
      <c r="AK120" t="s">
        <v>3846</v>
      </c>
      <c r="AP120">
        <v>8.800000000000001</v>
      </c>
      <c r="AQ120" t="s">
        <v>318</v>
      </c>
      <c r="AR120" t="s">
        <v>4185</v>
      </c>
      <c r="AS120" t="s">
        <v>4210</v>
      </c>
      <c r="AT120" t="s">
        <v>4219</v>
      </c>
    </row>
    <row r="121" spans="1:46">
      <c r="A121" s="1">
        <f>HYPERLINK("https://lsnyc.legalserver.org/matter/dynamic-profile/view/1885444","18-1885444")</f>
        <v>0</v>
      </c>
      <c r="B121" t="s">
        <v>52</v>
      </c>
      <c r="C121" t="s">
        <v>124</v>
      </c>
      <c r="D121" t="s">
        <v>171</v>
      </c>
      <c r="E121" t="s">
        <v>433</v>
      </c>
      <c r="F121" t="s">
        <v>682</v>
      </c>
      <c r="G121" t="s">
        <v>1441</v>
      </c>
      <c r="H121">
        <v>526</v>
      </c>
      <c r="I121">
        <v>11212</v>
      </c>
      <c r="J121" t="s">
        <v>2002</v>
      </c>
      <c r="K121" t="s">
        <v>2002</v>
      </c>
      <c r="L121" t="s">
        <v>2005</v>
      </c>
      <c r="M121" t="s">
        <v>2027</v>
      </c>
      <c r="N121" t="s">
        <v>2027</v>
      </c>
      <c r="O121" t="s">
        <v>2436</v>
      </c>
      <c r="P121" t="s">
        <v>2443</v>
      </c>
      <c r="Q121" t="s">
        <v>2003</v>
      </c>
      <c r="R121" t="s">
        <v>2451</v>
      </c>
      <c r="S121" t="s">
        <v>161</v>
      </c>
      <c r="T121">
        <v>1273.3</v>
      </c>
      <c r="U121" t="s">
        <v>2497</v>
      </c>
      <c r="V121" t="s">
        <v>2515</v>
      </c>
      <c r="W121" t="s">
        <v>2630</v>
      </c>
      <c r="X121">
        <v>21753438</v>
      </c>
      <c r="Y121" t="s">
        <v>3399</v>
      </c>
      <c r="Z121">
        <v>20</v>
      </c>
      <c r="AA121" t="s">
        <v>3783</v>
      </c>
      <c r="AB121" t="s">
        <v>2006</v>
      </c>
      <c r="AC121">
        <v>19</v>
      </c>
      <c r="AD121">
        <v>1</v>
      </c>
      <c r="AE121">
        <v>0</v>
      </c>
      <c r="AF121">
        <v>94.7</v>
      </c>
      <c r="AI121" t="s">
        <v>3809</v>
      </c>
      <c r="AJ121">
        <v>11496</v>
      </c>
      <c r="AP121">
        <v>1.5</v>
      </c>
      <c r="AQ121" t="s">
        <v>161</v>
      </c>
      <c r="AR121" t="s">
        <v>4196</v>
      </c>
      <c r="AS121" t="s">
        <v>4210</v>
      </c>
      <c r="AT121" t="s">
        <v>4219</v>
      </c>
    </row>
    <row r="122" spans="1:46">
      <c r="A122" s="1">
        <f>HYPERLINK("https://lsnyc.legalserver.org/matter/dynamic-profile/view/1881520","18-1881520")</f>
        <v>0</v>
      </c>
      <c r="B122" t="s">
        <v>52</v>
      </c>
      <c r="C122" t="s">
        <v>156</v>
      </c>
      <c r="D122" t="s">
        <v>254</v>
      </c>
      <c r="E122" t="s">
        <v>434</v>
      </c>
      <c r="F122" t="s">
        <v>882</v>
      </c>
      <c r="G122" t="s">
        <v>1442</v>
      </c>
      <c r="H122" t="s">
        <v>1772</v>
      </c>
      <c r="I122">
        <v>11207</v>
      </c>
      <c r="J122" t="s">
        <v>2002</v>
      </c>
      <c r="K122" t="s">
        <v>2002</v>
      </c>
      <c r="M122" t="s">
        <v>2097</v>
      </c>
      <c r="N122" t="s">
        <v>2415</v>
      </c>
      <c r="O122" t="s">
        <v>2437</v>
      </c>
      <c r="P122" t="s">
        <v>2445</v>
      </c>
      <c r="Q122" t="s">
        <v>2003</v>
      </c>
      <c r="R122" t="s">
        <v>2451</v>
      </c>
      <c r="S122" t="s">
        <v>231</v>
      </c>
      <c r="T122">
        <v>2006</v>
      </c>
      <c r="U122" t="s">
        <v>2497</v>
      </c>
      <c r="V122" t="s">
        <v>2516</v>
      </c>
      <c r="W122" t="s">
        <v>2631</v>
      </c>
      <c r="X122">
        <v>33709173</v>
      </c>
      <c r="Y122" t="s">
        <v>3400</v>
      </c>
      <c r="Z122">
        <v>14</v>
      </c>
      <c r="AA122" t="s">
        <v>3783</v>
      </c>
      <c r="AB122" t="s">
        <v>3794</v>
      </c>
      <c r="AC122">
        <v>3</v>
      </c>
      <c r="AD122">
        <v>3</v>
      </c>
      <c r="AE122">
        <v>2</v>
      </c>
      <c r="AF122">
        <v>61.18</v>
      </c>
      <c r="AI122" t="s">
        <v>3809</v>
      </c>
      <c r="AJ122">
        <v>18000</v>
      </c>
      <c r="AN122" t="s">
        <v>4122</v>
      </c>
      <c r="AO122" t="s">
        <v>4133</v>
      </c>
      <c r="AP122">
        <v>22.1</v>
      </c>
      <c r="AQ122" t="s">
        <v>246</v>
      </c>
      <c r="AR122" t="s">
        <v>4185</v>
      </c>
      <c r="AS122" t="s">
        <v>4210</v>
      </c>
      <c r="AT122" t="s">
        <v>4219</v>
      </c>
    </row>
    <row r="123" spans="1:46">
      <c r="A123" s="1">
        <f>HYPERLINK("https://lsnyc.legalserver.org/matter/dynamic-profile/view/1876401","18-1876401")</f>
        <v>0</v>
      </c>
      <c r="B123" t="s">
        <v>52</v>
      </c>
      <c r="C123" t="s">
        <v>157</v>
      </c>
      <c r="D123" t="s">
        <v>312</v>
      </c>
      <c r="E123" t="s">
        <v>435</v>
      </c>
      <c r="F123" t="s">
        <v>942</v>
      </c>
      <c r="G123" t="s">
        <v>1443</v>
      </c>
      <c r="H123" t="s">
        <v>1782</v>
      </c>
      <c r="I123">
        <v>11233</v>
      </c>
      <c r="J123" t="s">
        <v>2002</v>
      </c>
      <c r="K123" t="s">
        <v>2003</v>
      </c>
      <c r="L123" t="s">
        <v>2005</v>
      </c>
      <c r="M123" t="s">
        <v>2098</v>
      </c>
      <c r="N123" t="s">
        <v>2415</v>
      </c>
      <c r="O123" t="s">
        <v>2437</v>
      </c>
      <c r="P123" t="s">
        <v>2445</v>
      </c>
      <c r="Q123" t="s">
        <v>2003</v>
      </c>
      <c r="R123" t="s">
        <v>2451</v>
      </c>
      <c r="S123" t="s">
        <v>129</v>
      </c>
      <c r="T123">
        <v>1542</v>
      </c>
      <c r="U123" t="s">
        <v>2509</v>
      </c>
      <c r="V123" t="s">
        <v>2516</v>
      </c>
      <c r="W123" t="s">
        <v>2632</v>
      </c>
      <c r="X123" t="s">
        <v>3195</v>
      </c>
      <c r="Y123" t="s">
        <v>3401</v>
      </c>
      <c r="Z123">
        <v>200</v>
      </c>
      <c r="AA123" t="s">
        <v>3783</v>
      </c>
      <c r="AB123" t="s">
        <v>3793</v>
      </c>
      <c r="AC123">
        <v>10</v>
      </c>
      <c r="AD123">
        <v>1</v>
      </c>
      <c r="AE123">
        <v>2</v>
      </c>
      <c r="AF123">
        <v>159.15</v>
      </c>
      <c r="AI123" t="s">
        <v>3809</v>
      </c>
      <c r="AJ123">
        <v>33072</v>
      </c>
      <c r="AM123" t="s">
        <v>4108</v>
      </c>
      <c r="AN123" t="s">
        <v>4122</v>
      </c>
      <c r="AO123" t="s">
        <v>4134</v>
      </c>
      <c r="AP123">
        <v>7.5</v>
      </c>
      <c r="AQ123" t="s">
        <v>311</v>
      </c>
      <c r="AR123" t="s">
        <v>4194</v>
      </c>
      <c r="AS123" t="s">
        <v>4210</v>
      </c>
      <c r="AT123" t="s">
        <v>4219</v>
      </c>
    </row>
    <row r="124" spans="1:46">
      <c r="A124" s="1">
        <f>HYPERLINK("https://lsnyc.legalserver.org/matter/dynamic-profile/view/1902025","19-1902025")</f>
        <v>0</v>
      </c>
      <c r="B124" t="s">
        <v>52</v>
      </c>
      <c r="C124" t="s">
        <v>158</v>
      </c>
      <c r="E124" t="s">
        <v>436</v>
      </c>
      <c r="F124" t="s">
        <v>943</v>
      </c>
      <c r="G124" t="s">
        <v>1407</v>
      </c>
      <c r="H124">
        <v>2</v>
      </c>
      <c r="I124">
        <v>11233</v>
      </c>
      <c r="J124" t="s">
        <v>2002</v>
      </c>
      <c r="K124" t="s">
        <v>2004</v>
      </c>
      <c r="L124" t="s">
        <v>2005</v>
      </c>
      <c r="M124" t="s">
        <v>2099</v>
      </c>
      <c r="N124" t="s">
        <v>2413</v>
      </c>
      <c r="O124" t="s">
        <v>2437</v>
      </c>
      <c r="Q124" t="s">
        <v>2003</v>
      </c>
      <c r="R124" t="s">
        <v>2451</v>
      </c>
      <c r="S124" t="s">
        <v>135</v>
      </c>
      <c r="T124">
        <v>525</v>
      </c>
      <c r="U124" t="s">
        <v>2499</v>
      </c>
      <c r="W124" t="s">
        <v>2633</v>
      </c>
      <c r="X124" t="s">
        <v>2058</v>
      </c>
      <c r="Y124" t="s">
        <v>3402</v>
      </c>
      <c r="Z124">
        <v>8</v>
      </c>
      <c r="AA124" t="s">
        <v>3783</v>
      </c>
      <c r="AB124" t="s">
        <v>2006</v>
      </c>
      <c r="AC124">
        <v>5</v>
      </c>
      <c r="AD124">
        <v>1</v>
      </c>
      <c r="AE124">
        <v>0</v>
      </c>
      <c r="AF124">
        <v>0</v>
      </c>
      <c r="AI124" t="s">
        <v>3809</v>
      </c>
      <c r="AJ124">
        <v>0</v>
      </c>
      <c r="AP124">
        <v>0</v>
      </c>
      <c r="AR124" t="s">
        <v>4185</v>
      </c>
      <c r="AS124" t="s">
        <v>4210</v>
      </c>
      <c r="AT124" t="s">
        <v>4219</v>
      </c>
    </row>
    <row r="125" spans="1:46">
      <c r="A125" s="1">
        <f>HYPERLINK("https://lsnyc.legalserver.org/matter/dynamic-profile/view/1888450","19-1888450")</f>
        <v>0</v>
      </c>
      <c r="B125" t="s">
        <v>52</v>
      </c>
      <c r="C125" t="s">
        <v>159</v>
      </c>
      <c r="D125" t="s">
        <v>254</v>
      </c>
      <c r="E125" t="s">
        <v>427</v>
      </c>
      <c r="F125" t="s">
        <v>944</v>
      </c>
      <c r="G125" t="s">
        <v>1444</v>
      </c>
      <c r="H125" t="s">
        <v>1735</v>
      </c>
      <c r="I125">
        <v>11208</v>
      </c>
      <c r="J125" t="s">
        <v>2002</v>
      </c>
      <c r="K125" t="s">
        <v>2002</v>
      </c>
      <c r="L125" t="s">
        <v>2005</v>
      </c>
      <c r="M125" t="s">
        <v>2100</v>
      </c>
      <c r="N125" t="s">
        <v>2415</v>
      </c>
      <c r="O125" t="s">
        <v>2437</v>
      </c>
      <c r="P125" t="s">
        <v>2445</v>
      </c>
      <c r="Q125" t="s">
        <v>2003</v>
      </c>
      <c r="R125" t="s">
        <v>2451</v>
      </c>
      <c r="S125" t="s">
        <v>233</v>
      </c>
      <c r="T125">
        <v>1408</v>
      </c>
      <c r="U125" t="s">
        <v>2500</v>
      </c>
      <c r="V125" t="s">
        <v>2516</v>
      </c>
      <c r="W125" t="s">
        <v>2634</v>
      </c>
      <c r="Y125" t="s">
        <v>3403</v>
      </c>
      <c r="Z125">
        <v>1276</v>
      </c>
      <c r="AA125" t="s">
        <v>3783</v>
      </c>
      <c r="AB125" t="s">
        <v>2006</v>
      </c>
      <c r="AC125">
        <v>3</v>
      </c>
      <c r="AD125">
        <v>1</v>
      </c>
      <c r="AE125">
        <v>3</v>
      </c>
      <c r="AF125">
        <v>71.70999999999999</v>
      </c>
      <c r="AI125" t="s">
        <v>3809</v>
      </c>
      <c r="AJ125">
        <v>18000</v>
      </c>
      <c r="AN125" t="s">
        <v>4122</v>
      </c>
      <c r="AO125" t="s">
        <v>4133</v>
      </c>
      <c r="AP125">
        <v>21.7</v>
      </c>
      <c r="AQ125" t="s">
        <v>182</v>
      </c>
      <c r="AR125" t="s">
        <v>49</v>
      </c>
      <c r="AS125" t="s">
        <v>4210</v>
      </c>
      <c r="AT125" t="s">
        <v>4219</v>
      </c>
    </row>
    <row r="126" spans="1:46">
      <c r="A126" s="1">
        <f>HYPERLINK("https://lsnyc.legalserver.org/matter/dynamic-profile/view/1887311","19-1887311")</f>
        <v>0</v>
      </c>
      <c r="B126" t="s">
        <v>52</v>
      </c>
      <c r="C126" t="s">
        <v>100</v>
      </c>
      <c r="E126" t="s">
        <v>437</v>
      </c>
      <c r="F126" t="s">
        <v>945</v>
      </c>
      <c r="G126" t="s">
        <v>1445</v>
      </c>
      <c r="H126" t="s">
        <v>1752</v>
      </c>
      <c r="I126">
        <v>11208</v>
      </c>
      <c r="J126" t="s">
        <v>2002</v>
      </c>
      <c r="K126" t="s">
        <v>2003</v>
      </c>
      <c r="L126" t="s">
        <v>2005</v>
      </c>
      <c r="M126" t="s">
        <v>2101</v>
      </c>
      <c r="N126" t="s">
        <v>2415</v>
      </c>
      <c r="O126" t="s">
        <v>2437</v>
      </c>
      <c r="Q126" t="s">
        <v>2003</v>
      </c>
      <c r="R126" t="s">
        <v>2451</v>
      </c>
      <c r="S126" t="s">
        <v>253</v>
      </c>
      <c r="T126">
        <v>300</v>
      </c>
      <c r="U126" t="s">
        <v>2499</v>
      </c>
      <c r="W126" t="s">
        <v>2635</v>
      </c>
      <c r="X126" t="s">
        <v>2006</v>
      </c>
      <c r="Y126" t="s">
        <v>3404</v>
      </c>
      <c r="Z126">
        <v>4</v>
      </c>
      <c r="AA126" t="s">
        <v>3784</v>
      </c>
      <c r="AB126" t="s">
        <v>2006</v>
      </c>
      <c r="AC126">
        <v>2</v>
      </c>
      <c r="AD126">
        <v>1</v>
      </c>
      <c r="AE126">
        <v>0</v>
      </c>
      <c r="AF126">
        <v>0</v>
      </c>
      <c r="AI126" t="s">
        <v>3809</v>
      </c>
      <c r="AJ126">
        <v>0</v>
      </c>
      <c r="AP126">
        <v>62.5</v>
      </c>
      <c r="AQ126" t="s">
        <v>319</v>
      </c>
      <c r="AR126" t="s">
        <v>4197</v>
      </c>
      <c r="AS126" t="s">
        <v>4210</v>
      </c>
      <c r="AT126" t="s">
        <v>4219</v>
      </c>
    </row>
    <row r="127" spans="1:46">
      <c r="A127" s="1">
        <f>HYPERLINK("https://lsnyc.legalserver.org/matter/dynamic-profile/view/1889769","19-1889769")</f>
        <v>0</v>
      </c>
      <c r="B127" t="s">
        <v>52</v>
      </c>
      <c r="C127" t="s">
        <v>160</v>
      </c>
      <c r="E127" t="s">
        <v>398</v>
      </c>
      <c r="F127" t="s">
        <v>946</v>
      </c>
      <c r="G127" t="s">
        <v>1446</v>
      </c>
      <c r="H127" t="s">
        <v>1783</v>
      </c>
      <c r="I127">
        <v>11212</v>
      </c>
      <c r="J127" t="s">
        <v>2002</v>
      </c>
      <c r="K127" t="s">
        <v>2002</v>
      </c>
      <c r="M127" t="s">
        <v>2102</v>
      </c>
      <c r="N127" t="s">
        <v>2415</v>
      </c>
      <c r="O127" t="s">
        <v>2437</v>
      </c>
      <c r="Q127" t="s">
        <v>2003</v>
      </c>
      <c r="S127" t="s">
        <v>133</v>
      </c>
      <c r="T127">
        <v>1268</v>
      </c>
      <c r="U127" t="s">
        <v>2500</v>
      </c>
      <c r="W127" t="s">
        <v>2636</v>
      </c>
      <c r="X127" t="s">
        <v>3196</v>
      </c>
      <c r="Y127" t="s">
        <v>3405</v>
      </c>
      <c r="Z127">
        <v>31</v>
      </c>
      <c r="AA127" t="s">
        <v>3783</v>
      </c>
      <c r="AB127" t="s">
        <v>3794</v>
      </c>
      <c r="AC127">
        <v>2</v>
      </c>
      <c r="AD127">
        <v>2</v>
      </c>
      <c r="AE127">
        <v>0</v>
      </c>
      <c r="AF127">
        <v>0</v>
      </c>
      <c r="AI127" t="s">
        <v>3809</v>
      </c>
      <c r="AJ127">
        <v>0</v>
      </c>
      <c r="AP127">
        <v>17.55</v>
      </c>
      <c r="AQ127" t="s">
        <v>4171</v>
      </c>
      <c r="AR127" t="s">
        <v>49</v>
      </c>
      <c r="AS127" t="s">
        <v>4210</v>
      </c>
      <c r="AT127" t="s">
        <v>4219</v>
      </c>
    </row>
    <row r="128" spans="1:46">
      <c r="A128" s="1">
        <f>HYPERLINK("https://lsnyc.legalserver.org/matter/dynamic-profile/view/1886032","18-1886032")</f>
        <v>0</v>
      </c>
      <c r="B128" t="s">
        <v>52</v>
      </c>
      <c r="C128" t="s">
        <v>161</v>
      </c>
      <c r="E128" t="s">
        <v>438</v>
      </c>
      <c r="F128" t="s">
        <v>947</v>
      </c>
      <c r="G128" t="s">
        <v>1447</v>
      </c>
      <c r="I128">
        <v>11213</v>
      </c>
      <c r="J128" t="s">
        <v>2002</v>
      </c>
      <c r="K128" t="s">
        <v>2002</v>
      </c>
      <c r="N128" t="s">
        <v>2414</v>
      </c>
      <c r="O128" t="s">
        <v>2437</v>
      </c>
      <c r="Q128" t="s">
        <v>2003</v>
      </c>
      <c r="S128" t="s">
        <v>287</v>
      </c>
      <c r="T128">
        <v>551</v>
      </c>
      <c r="W128" t="s">
        <v>2637</v>
      </c>
      <c r="Y128" t="s">
        <v>3406</v>
      </c>
      <c r="Z128">
        <v>6</v>
      </c>
      <c r="AA128" t="s">
        <v>3783</v>
      </c>
      <c r="AB128" t="s">
        <v>2006</v>
      </c>
      <c r="AC128">
        <v>15</v>
      </c>
      <c r="AD128">
        <v>2</v>
      </c>
      <c r="AE128">
        <v>0</v>
      </c>
      <c r="AF128">
        <v>51.03</v>
      </c>
      <c r="AI128" t="s">
        <v>3809</v>
      </c>
      <c r="AJ128">
        <v>8400</v>
      </c>
      <c r="AP128">
        <v>123.05</v>
      </c>
      <c r="AQ128" t="s">
        <v>4164</v>
      </c>
      <c r="AR128" t="s">
        <v>49</v>
      </c>
      <c r="AS128" t="s">
        <v>4210</v>
      </c>
      <c r="AT128" t="s">
        <v>4219</v>
      </c>
    </row>
    <row r="129" spans="1:46">
      <c r="A129" s="1">
        <f>HYPERLINK("https://lsnyc.legalserver.org/matter/dynamic-profile/view/1888717","19-1888717")</f>
        <v>0</v>
      </c>
      <c r="B129" t="s">
        <v>52</v>
      </c>
      <c r="C129" t="s">
        <v>162</v>
      </c>
      <c r="D129" t="s">
        <v>312</v>
      </c>
      <c r="E129" t="s">
        <v>439</v>
      </c>
      <c r="F129" t="s">
        <v>948</v>
      </c>
      <c r="G129" t="s">
        <v>1448</v>
      </c>
      <c r="H129" t="s">
        <v>1758</v>
      </c>
      <c r="I129">
        <v>11207</v>
      </c>
      <c r="J129" t="s">
        <v>2002</v>
      </c>
      <c r="K129" t="s">
        <v>2003</v>
      </c>
      <c r="L129" t="s">
        <v>2005</v>
      </c>
      <c r="M129" t="s">
        <v>2103</v>
      </c>
      <c r="N129" t="s">
        <v>2413</v>
      </c>
      <c r="O129" t="s">
        <v>2439</v>
      </c>
      <c r="P129" t="s">
        <v>2444</v>
      </c>
      <c r="Q129" t="s">
        <v>2003</v>
      </c>
      <c r="R129" t="s">
        <v>2451</v>
      </c>
      <c r="S129" t="s">
        <v>160</v>
      </c>
      <c r="T129">
        <v>1515</v>
      </c>
      <c r="U129" t="s">
        <v>2502</v>
      </c>
      <c r="V129" t="s">
        <v>2515</v>
      </c>
      <c r="W129" t="s">
        <v>2638</v>
      </c>
      <c r="X129" t="s">
        <v>3197</v>
      </c>
      <c r="Y129" t="s">
        <v>3407</v>
      </c>
      <c r="Z129">
        <v>2</v>
      </c>
      <c r="AA129" t="s">
        <v>3784</v>
      </c>
      <c r="AB129" t="s">
        <v>3794</v>
      </c>
      <c r="AC129">
        <v>3</v>
      </c>
      <c r="AD129">
        <v>1</v>
      </c>
      <c r="AE129">
        <v>3</v>
      </c>
      <c r="AF129">
        <v>123.18</v>
      </c>
      <c r="AI129" t="s">
        <v>3809</v>
      </c>
      <c r="AJ129">
        <v>31720</v>
      </c>
      <c r="AP129">
        <v>1.5</v>
      </c>
      <c r="AQ129" t="s">
        <v>160</v>
      </c>
      <c r="AR129" t="s">
        <v>4196</v>
      </c>
      <c r="AS129" t="s">
        <v>4210</v>
      </c>
      <c r="AT129" t="s">
        <v>4219</v>
      </c>
    </row>
    <row r="130" spans="1:46">
      <c r="A130" s="1">
        <f>HYPERLINK("https://lsnyc.legalserver.org/matter/dynamic-profile/view/1902030","19-1902030")</f>
        <v>0</v>
      </c>
      <c r="B130" t="s">
        <v>52</v>
      </c>
      <c r="C130" t="s">
        <v>163</v>
      </c>
      <c r="E130" t="s">
        <v>440</v>
      </c>
      <c r="F130" t="s">
        <v>949</v>
      </c>
      <c r="G130" t="s">
        <v>1449</v>
      </c>
      <c r="H130">
        <v>2</v>
      </c>
      <c r="I130">
        <v>11233</v>
      </c>
      <c r="J130" t="s">
        <v>2002</v>
      </c>
      <c r="K130" t="s">
        <v>2004</v>
      </c>
      <c r="L130" t="s">
        <v>2005</v>
      </c>
      <c r="M130" t="s">
        <v>2104</v>
      </c>
      <c r="N130" t="s">
        <v>2413</v>
      </c>
      <c r="O130" t="s">
        <v>2437</v>
      </c>
      <c r="Q130" t="s">
        <v>2003</v>
      </c>
      <c r="R130" t="s">
        <v>2451</v>
      </c>
      <c r="S130" t="s">
        <v>210</v>
      </c>
      <c r="T130">
        <v>650</v>
      </c>
      <c r="U130" t="s">
        <v>2494</v>
      </c>
      <c r="W130" t="s">
        <v>2639</v>
      </c>
      <c r="X130" t="s">
        <v>2006</v>
      </c>
      <c r="Y130" t="s">
        <v>3408</v>
      </c>
      <c r="Z130">
        <v>6</v>
      </c>
      <c r="AA130" t="s">
        <v>3783</v>
      </c>
      <c r="AB130" t="s">
        <v>2006</v>
      </c>
      <c r="AC130">
        <v>3</v>
      </c>
      <c r="AD130">
        <v>1</v>
      </c>
      <c r="AE130">
        <v>0</v>
      </c>
      <c r="AF130">
        <v>172.94</v>
      </c>
      <c r="AI130" t="s">
        <v>3809</v>
      </c>
      <c r="AJ130">
        <v>21600</v>
      </c>
      <c r="AP130">
        <v>0</v>
      </c>
      <c r="AR130" t="s">
        <v>4185</v>
      </c>
      <c r="AS130" t="s">
        <v>4210</v>
      </c>
      <c r="AT130" t="s">
        <v>4219</v>
      </c>
    </row>
    <row r="131" spans="1:46">
      <c r="A131" s="1">
        <f>HYPERLINK("https://lsnyc.legalserver.org/matter/dynamic-profile/view/1902260","19-1902260")</f>
        <v>0</v>
      </c>
      <c r="B131" t="s">
        <v>52</v>
      </c>
      <c r="C131" t="s">
        <v>107</v>
      </c>
      <c r="E131" t="s">
        <v>441</v>
      </c>
      <c r="F131" t="s">
        <v>950</v>
      </c>
      <c r="G131" t="s">
        <v>1449</v>
      </c>
      <c r="H131" t="s">
        <v>1777</v>
      </c>
      <c r="I131">
        <v>11233</v>
      </c>
      <c r="J131" t="s">
        <v>2003</v>
      </c>
      <c r="K131" t="s">
        <v>2004</v>
      </c>
      <c r="L131" t="s">
        <v>2006</v>
      </c>
      <c r="M131" t="s">
        <v>2105</v>
      </c>
      <c r="N131" t="s">
        <v>2413</v>
      </c>
      <c r="O131" t="s">
        <v>2437</v>
      </c>
      <c r="Q131" t="s">
        <v>2003</v>
      </c>
      <c r="R131" t="s">
        <v>2451</v>
      </c>
      <c r="S131" t="s">
        <v>210</v>
      </c>
      <c r="T131">
        <v>600</v>
      </c>
      <c r="U131" t="s">
        <v>2494</v>
      </c>
      <c r="W131" t="s">
        <v>2640</v>
      </c>
      <c r="X131" t="s">
        <v>2006</v>
      </c>
      <c r="Y131" t="s">
        <v>3409</v>
      </c>
      <c r="Z131">
        <v>6</v>
      </c>
      <c r="AA131" t="s">
        <v>3783</v>
      </c>
      <c r="AB131" t="s">
        <v>2006</v>
      </c>
      <c r="AC131">
        <v>4</v>
      </c>
      <c r="AD131">
        <v>1</v>
      </c>
      <c r="AE131">
        <v>0</v>
      </c>
      <c r="AF131">
        <v>192.15</v>
      </c>
      <c r="AI131" t="s">
        <v>3809</v>
      </c>
      <c r="AJ131">
        <v>24000</v>
      </c>
      <c r="AP131">
        <v>0.2</v>
      </c>
      <c r="AQ131" t="s">
        <v>184</v>
      </c>
      <c r="AR131" t="s">
        <v>4185</v>
      </c>
      <c r="AS131" t="s">
        <v>4210</v>
      </c>
      <c r="AT131" t="s">
        <v>4219</v>
      </c>
    </row>
    <row r="132" spans="1:46">
      <c r="A132" s="1">
        <f>HYPERLINK("https://lsnyc.legalserver.org/matter/dynamic-profile/view/1886968","19-1886968")</f>
        <v>0</v>
      </c>
      <c r="B132" t="s">
        <v>52</v>
      </c>
      <c r="C132" t="s">
        <v>135</v>
      </c>
      <c r="E132" t="s">
        <v>442</v>
      </c>
      <c r="F132" t="s">
        <v>347</v>
      </c>
      <c r="G132" t="s">
        <v>1450</v>
      </c>
      <c r="H132" t="s">
        <v>1753</v>
      </c>
      <c r="I132">
        <v>11208</v>
      </c>
      <c r="J132" t="s">
        <v>2002</v>
      </c>
      <c r="K132" t="s">
        <v>2002</v>
      </c>
      <c r="M132" t="s">
        <v>2106</v>
      </c>
      <c r="N132" t="s">
        <v>2415</v>
      </c>
      <c r="O132" t="s">
        <v>2437</v>
      </c>
      <c r="Q132" t="s">
        <v>2003</v>
      </c>
      <c r="R132" t="s">
        <v>2451</v>
      </c>
      <c r="S132" t="s">
        <v>103</v>
      </c>
      <c r="T132">
        <v>913</v>
      </c>
      <c r="U132" t="s">
        <v>2499</v>
      </c>
      <c r="W132" t="s">
        <v>2641</v>
      </c>
      <c r="X132" t="s">
        <v>2058</v>
      </c>
      <c r="Y132" t="s">
        <v>3410</v>
      </c>
      <c r="Z132">
        <v>64</v>
      </c>
      <c r="AA132" t="s">
        <v>3783</v>
      </c>
      <c r="AB132" t="s">
        <v>2006</v>
      </c>
      <c r="AC132">
        <v>5</v>
      </c>
      <c r="AD132">
        <v>1</v>
      </c>
      <c r="AE132">
        <v>0</v>
      </c>
      <c r="AF132">
        <v>176.47</v>
      </c>
      <c r="AI132" t="s">
        <v>3809</v>
      </c>
      <c r="AJ132">
        <v>21424</v>
      </c>
      <c r="AP132">
        <v>30.4</v>
      </c>
      <c r="AQ132" t="s">
        <v>314</v>
      </c>
      <c r="AR132" t="s">
        <v>4185</v>
      </c>
      <c r="AS132" t="s">
        <v>4210</v>
      </c>
      <c r="AT132" t="s">
        <v>4219</v>
      </c>
    </row>
    <row r="133" spans="1:46">
      <c r="A133" s="1">
        <f>HYPERLINK("https://lsnyc.legalserver.org/matter/dynamic-profile/view/1887611","19-1887611")</f>
        <v>0</v>
      </c>
      <c r="B133" t="s">
        <v>52</v>
      </c>
      <c r="C133" t="s">
        <v>138</v>
      </c>
      <c r="D133" t="s">
        <v>312</v>
      </c>
      <c r="E133" t="s">
        <v>429</v>
      </c>
      <c r="F133" t="s">
        <v>951</v>
      </c>
      <c r="G133" t="s">
        <v>1451</v>
      </c>
      <c r="H133">
        <v>414</v>
      </c>
      <c r="I133">
        <v>11207</v>
      </c>
      <c r="J133" t="s">
        <v>2002</v>
      </c>
      <c r="K133" t="s">
        <v>2002</v>
      </c>
      <c r="L133" t="s">
        <v>2005</v>
      </c>
      <c r="M133" t="s">
        <v>2107</v>
      </c>
      <c r="N133" t="s">
        <v>2415</v>
      </c>
      <c r="O133" t="s">
        <v>2437</v>
      </c>
      <c r="P133" t="s">
        <v>2445</v>
      </c>
      <c r="Q133" t="s">
        <v>2003</v>
      </c>
      <c r="R133" t="s">
        <v>2455</v>
      </c>
      <c r="S133" t="s">
        <v>103</v>
      </c>
      <c r="T133">
        <v>1275</v>
      </c>
      <c r="U133" t="s">
        <v>2500</v>
      </c>
      <c r="V133" t="s">
        <v>2516</v>
      </c>
      <c r="W133" t="s">
        <v>2642</v>
      </c>
      <c r="X133" t="s">
        <v>3198</v>
      </c>
      <c r="Y133" t="s">
        <v>3411</v>
      </c>
      <c r="Z133">
        <v>88</v>
      </c>
      <c r="AA133" t="s">
        <v>3783</v>
      </c>
      <c r="AB133" t="s">
        <v>3795</v>
      </c>
      <c r="AC133">
        <v>1</v>
      </c>
      <c r="AD133">
        <v>3</v>
      </c>
      <c r="AE133">
        <v>1</v>
      </c>
      <c r="AF133">
        <v>240.49</v>
      </c>
      <c r="AG133" t="s">
        <v>279</v>
      </c>
      <c r="AH133" t="s">
        <v>3806</v>
      </c>
      <c r="AI133" t="s">
        <v>3812</v>
      </c>
      <c r="AJ133">
        <v>60364</v>
      </c>
      <c r="AL133" t="s">
        <v>4103</v>
      </c>
      <c r="AM133" t="s">
        <v>4109</v>
      </c>
      <c r="AN133" t="s">
        <v>4122</v>
      </c>
      <c r="AO133" t="s">
        <v>4134</v>
      </c>
      <c r="AP133">
        <v>31.9</v>
      </c>
      <c r="AQ133" t="s">
        <v>246</v>
      </c>
      <c r="AR133" t="s">
        <v>49</v>
      </c>
      <c r="AS133" t="s">
        <v>4210</v>
      </c>
      <c r="AT133" t="s">
        <v>4219</v>
      </c>
    </row>
    <row r="134" spans="1:46">
      <c r="A134" s="1">
        <f>HYPERLINK("https://lsnyc.legalserver.org/matter/dynamic-profile/view/1891533","19-1891533")</f>
        <v>0</v>
      </c>
      <c r="B134" t="s">
        <v>52</v>
      </c>
      <c r="C134" t="s">
        <v>164</v>
      </c>
      <c r="D134" t="s">
        <v>254</v>
      </c>
      <c r="E134" t="s">
        <v>421</v>
      </c>
      <c r="F134" t="s">
        <v>952</v>
      </c>
      <c r="G134" t="s">
        <v>1452</v>
      </c>
      <c r="H134" t="s">
        <v>1746</v>
      </c>
      <c r="I134">
        <v>11233</v>
      </c>
      <c r="J134" t="s">
        <v>2002</v>
      </c>
      <c r="K134" t="s">
        <v>2003</v>
      </c>
      <c r="L134" t="s">
        <v>2005</v>
      </c>
      <c r="M134" t="s">
        <v>2108</v>
      </c>
      <c r="N134" t="s">
        <v>2415</v>
      </c>
      <c r="O134" t="s">
        <v>2436</v>
      </c>
      <c r="P134" t="s">
        <v>2443</v>
      </c>
      <c r="Q134" t="s">
        <v>2003</v>
      </c>
      <c r="R134" t="s">
        <v>2451</v>
      </c>
      <c r="S134" t="s">
        <v>241</v>
      </c>
      <c r="T134">
        <v>1200</v>
      </c>
      <c r="U134" t="s">
        <v>2495</v>
      </c>
      <c r="V134" t="s">
        <v>2515</v>
      </c>
      <c r="W134" t="s">
        <v>2643</v>
      </c>
      <c r="X134" t="s">
        <v>3199</v>
      </c>
      <c r="Y134" t="s">
        <v>3412</v>
      </c>
      <c r="Z134">
        <v>6</v>
      </c>
      <c r="AA134" t="s">
        <v>3783</v>
      </c>
      <c r="AB134" t="s">
        <v>3796</v>
      </c>
      <c r="AC134">
        <v>10</v>
      </c>
      <c r="AD134">
        <v>1</v>
      </c>
      <c r="AE134">
        <v>2</v>
      </c>
      <c r="AF134">
        <v>69.42</v>
      </c>
      <c r="AI134" t="s">
        <v>3809</v>
      </c>
      <c r="AJ134">
        <v>14808</v>
      </c>
      <c r="AP134">
        <v>2.2</v>
      </c>
      <c r="AQ134" t="s">
        <v>2484</v>
      </c>
      <c r="AR134" t="s">
        <v>4196</v>
      </c>
      <c r="AS134" t="s">
        <v>4210</v>
      </c>
      <c r="AT134" t="s">
        <v>4219</v>
      </c>
    </row>
    <row r="135" spans="1:46">
      <c r="A135" s="1">
        <f>HYPERLINK("https://lsnyc.legalserver.org/matter/dynamic-profile/view/1893846","19-1893846")</f>
        <v>0</v>
      </c>
      <c r="B135" t="s">
        <v>52</v>
      </c>
      <c r="C135" t="s">
        <v>142</v>
      </c>
      <c r="D135" t="s">
        <v>254</v>
      </c>
      <c r="E135" t="s">
        <v>443</v>
      </c>
      <c r="F135" t="s">
        <v>953</v>
      </c>
      <c r="G135" t="s">
        <v>1453</v>
      </c>
      <c r="H135" t="s">
        <v>1784</v>
      </c>
      <c r="I135">
        <v>11212</v>
      </c>
      <c r="J135" t="s">
        <v>2002</v>
      </c>
      <c r="K135" t="s">
        <v>2003</v>
      </c>
      <c r="L135" t="s">
        <v>2005</v>
      </c>
      <c r="M135" t="s">
        <v>2109</v>
      </c>
      <c r="N135" t="s">
        <v>2415</v>
      </c>
      <c r="O135" t="s">
        <v>2437</v>
      </c>
      <c r="P135" t="s">
        <v>2445</v>
      </c>
      <c r="Q135" t="s">
        <v>2003</v>
      </c>
      <c r="R135" t="s">
        <v>2451</v>
      </c>
      <c r="S135" t="s">
        <v>331</v>
      </c>
      <c r="T135">
        <v>181</v>
      </c>
      <c r="U135" t="s">
        <v>2497</v>
      </c>
      <c r="V135" t="s">
        <v>2516</v>
      </c>
      <c r="W135" t="s">
        <v>2644</v>
      </c>
      <c r="X135">
        <v>35075127</v>
      </c>
      <c r="Y135" t="s">
        <v>3413</v>
      </c>
      <c r="Z135">
        <v>260</v>
      </c>
      <c r="AA135" t="s">
        <v>3783</v>
      </c>
      <c r="AB135" t="s">
        <v>3793</v>
      </c>
      <c r="AC135">
        <v>39</v>
      </c>
      <c r="AD135">
        <v>1</v>
      </c>
      <c r="AE135">
        <v>0</v>
      </c>
      <c r="AF135">
        <v>74.36</v>
      </c>
      <c r="AI135" t="s">
        <v>3809</v>
      </c>
      <c r="AJ135">
        <v>9288</v>
      </c>
      <c r="AN135" t="s">
        <v>4122</v>
      </c>
      <c r="AO135" t="s">
        <v>4135</v>
      </c>
      <c r="AP135">
        <v>6.8</v>
      </c>
      <c r="AQ135" t="s">
        <v>4172</v>
      </c>
      <c r="AR135" t="s">
        <v>49</v>
      </c>
      <c r="AS135" t="s">
        <v>4210</v>
      </c>
      <c r="AT135" t="s">
        <v>4219</v>
      </c>
    </row>
    <row r="136" spans="1:46">
      <c r="A136" s="1">
        <f>HYPERLINK("https://lsnyc.legalserver.org/matter/dynamic-profile/view/1894369","19-1894369")</f>
        <v>0</v>
      </c>
      <c r="B136" t="s">
        <v>52</v>
      </c>
      <c r="C136" t="s">
        <v>165</v>
      </c>
      <c r="E136" t="s">
        <v>444</v>
      </c>
      <c r="F136" t="s">
        <v>954</v>
      </c>
      <c r="G136" t="s">
        <v>1454</v>
      </c>
      <c r="H136" t="s">
        <v>1785</v>
      </c>
      <c r="I136">
        <v>11231</v>
      </c>
      <c r="J136" t="s">
        <v>2002</v>
      </c>
      <c r="K136" t="s">
        <v>2002</v>
      </c>
      <c r="M136" t="s">
        <v>2110</v>
      </c>
      <c r="N136" t="s">
        <v>2413</v>
      </c>
      <c r="O136" t="s">
        <v>2437</v>
      </c>
      <c r="Q136" t="s">
        <v>2003</v>
      </c>
      <c r="R136" t="s">
        <v>2451</v>
      </c>
      <c r="S136" t="s">
        <v>165</v>
      </c>
      <c r="T136">
        <v>0</v>
      </c>
      <c r="U136" t="s">
        <v>2506</v>
      </c>
      <c r="W136" t="s">
        <v>2645</v>
      </c>
      <c r="X136" t="s">
        <v>2058</v>
      </c>
      <c r="Z136">
        <v>3</v>
      </c>
      <c r="AA136" t="s">
        <v>3784</v>
      </c>
      <c r="AB136" t="s">
        <v>2006</v>
      </c>
      <c r="AC136">
        <v>0</v>
      </c>
      <c r="AD136">
        <v>1</v>
      </c>
      <c r="AE136">
        <v>1</v>
      </c>
      <c r="AF136">
        <v>7.1</v>
      </c>
      <c r="AI136" t="s">
        <v>3813</v>
      </c>
      <c r="AJ136">
        <v>1200</v>
      </c>
      <c r="AL136" t="s">
        <v>4102</v>
      </c>
      <c r="AM136" t="s">
        <v>4108</v>
      </c>
      <c r="AN136" t="s">
        <v>4122</v>
      </c>
      <c r="AO136" t="s">
        <v>4134</v>
      </c>
      <c r="AP136">
        <v>6.6</v>
      </c>
      <c r="AQ136" t="s">
        <v>318</v>
      </c>
      <c r="AR136" t="s">
        <v>49</v>
      </c>
      <c r="AS136" t="s">
        <v>4210</v>
      </c>
      <c r="AT136" t="s">
        <v>4219</v>
      </c>
    </row>
    <row r="137" spans="1:46">
      <c r="A137" s="1">
        <f>HYPERLINK("https://lsnyc.legalserver.org/matter/dynamic-profile/view/1894373","19-1894373")</f>
        <v>0</v>
      </c>
      <c r="B137" t="s">
        <v>52</v>
      </c>
      <c r="C137" t="s">
        <v>165</v>
      </c>
      <c r="E137" t="s">
        <v>444</v>
      </c>
      <c r="F137" t="s">
        <v>954</v>
      </c>
      <c r="G137" t="s">
        <v>1454</v>
      </c>
      <c r="H137" t="s">
        <v>1785</v>
      </c>
      <c r="I137">
        <v>11231</v>
      </c>
      <c r="J137" t="s">
        <v>2002</v>
      </c>
      <c r="K137" t="s">
        <v>2002</v>
      </c>
      <c r="M137" t="s">
        <v>2111</v>
      </c>
      <c r="N137" t="s">
        <v>2413</v>
      </c>
      <c r="O137" t="s">
        <v>2437</v>
      </c>
      <c r="Q137" t="s">
        <v>2003</v>
      </c>
      <c r="R137" t="s">
        <v>2451</v>
      </c>
      <c r="S137" t="s">
        <v>165</v>
      </c>
      <c r="T137">
        <v>0</v>
      </c>
      <c r="U137" t="s">
        <v>2506</v>
      </c>
      <c r="W137" t="s">
        <v>2645</v>
      </c>
      <c r="Z137">
        <v>3</v>
      </c>
      <c r="AA137" t="s">
        <v>3784</v>
      </c>
      <c r="AB137" t="s">
        <v>2006</v>
      </c>
      <c r="AC137">
        <v>0</v>
      </c>
      <c r="AD137">
        <v>1</v>
      </c>
      <c r="AE137">
        <v>1</v>
      </c>
      <c r="AF137">
        <v>7.1</v>
      </c>
      <c r="AI137" t="s">
        <v>3813</v>
      </c>
      <c r="AJ137">
        <v>1200</v>
      </c>
      <c r="AP137">
        <v>34.3</v>
      </c>
      <c r="AQ137" t="s">
        <v>2485</v>
      </c>
      <c r="AR137" t="s">
        <v>49</v>
      </c>
      <c r="AS137" t="s">
        <v>4210</v>
      </c>
      <c r="AT137" t="s">
        <v>4219</v>
      </c>
    </row>
    <row r="138" spans="1:46">
      <c r="A138" s="1">
        <f>HYPERLINK("https://lsnyc.legalserver.org/matter/dynamic-profile/view/1888003","19-1888003")</f>
        <v>0</v>
      </c>
      <c r="B138" t="s">
        <v>52</v>
      </c>
      <c r="C138" t="s">
        <v>166</v>
      </c>
      <c r="D138" t="s">
        <v>312</v>
      </c>
      <c r="E138" t="s">
        <v>444</v>
      </c>
      <c r="F138" t="s">
        <v>954</v>
      </c>
      <c r="G138" t="s">
        <v>1454</v>
      </c>
      <c r="H138" t="s">
        <v>1785</v>
      </c>
      <c r="I138">
        <v>11231</v>
      </c>
      <c r="J138" t="s">
        <v>2002</v>
      </c>
      <c r="K138" t="s">
        <v>2003</v>
      </c>
      <c r="L138" t="s">
        <v>2005</v>
      </c>
      <c r="M138" t="s">
        <v>2112</v>
      </c>
      <c r="N138" t="s">
        <v>2413</v>
      </c>
      <c r="O138" t="s">
        <v>2437</v>
      </c>
      <c r="P138" t="s">
        <v>2445</v>
      </c>
      <c r="Q138" t="s">
        <v>2003</v>
      </c>
      <c r="R138" t="s">
        <v>2451</v>
      </c>
      <c r="S138" t="s">
        <v>165</v>
      </c>
      <c r="T138">
        <v>0</v>
      </c>
      <c r="U138" t="s">
        <v>2506</v>
      </c>
      <c r="V138" t="s">
        <v>2516</v>
      </c>
      <c r="W138" t="s">
        <v>2645</v>
      </c>
      <c r="X138" t="s">
        <v>2058</v>
      </c>
      <c r="Z138">
        <v>3</v>
      </c>
      <c r="AA138" t="s">
        <v>3784</v>
      </c>
      <c r="AB138" t="s">
        <v>2006</v>
      </c>
      <c r="AC138">
        <v>2</v>
      </c>
      <c r="AD138">
        <v>1</v>
      </c>
      <c r="AE138">
        <v>1</v>
      </c>
      <c r="AF138">
        <v>7.29</v>
      </c>
      <c r="AG138" t="s">
        <v>3803</v>
      </c>
      <c r="AH138" t="s">
        <v>3808</v>
      </c>
      <c r="AI138" t="s">
        <v>3813</v>
      </c>
      <c r="AJ138">
        <v>1200</v>
      </c>
      <c r="AL138" t="s">
        <v>4104</v>
      </c>
      <c r="AM138" t="s">
        <v>4108</v>
      </c>
      <c r="AN138" t="s">
        <v>4122</v>
      </c>
      <c r="AO138" t="s">
        <v>4134</v>
      </c>
      <c r="AP138">
        <v>26.2</v>
      </c>
      <c r="AQ138" t="s">
        <v>244</v>
      </c>
      <c r="AR138" t="s">
        <v>49</v>
      </c>
      <c r="AS138" t="s">
        <v>4210</v>
      </c>
      <c r="AT138" t="s">
        <v>4220</v>
      </c>
    </row>
    <row r="139" spans="1:46">
      <c r="A139" s="1">
        <f>HYPERLINK("https://lsnyc.legalserver.org/matter/dynamic-profile/view/1895215","19-1895215")</f>
        <v>0</v>
      </c>
      <c r="B139" t="s">
        <v>52</v>
      </c>
      <c r="C139" t="s">
        <v>105</v>
      </c>
      <c r="D139" t="s">
        <v>313</v>
      </c>
      <c r="E139" t="s">
        <v>445</v>
      </c>
      <c r="F139" t="s">
        <v>955</v>
      </c>
      <c r="G139" t="s">
        <v>1455</v>
      </c>
      <c r="H139" t="s">
        <v>1778</v>
      </c>
      <c r="I139">
        <v>11208</v>
      </c>
      <c r="J139" t="s">
        <v>2002</v>
      </c>
      <c r="K139" t="s">
        <v>2004</v>
      </c>
      <c r="L139" t="s">
        <v>2005</v>
      </c>
      <c r="M139" t="s">
        <v>2113</v>
      </c>
      <c r="N139" t="s">
        <v>2413</v>
      </c>
      <c r="O139" t="s">
        <v>2436</v>
      </c>
      <c r="P139" t="s">
        <v>2443</v>
      </c>
      <c r="Q139" t="s">
        <v>2003</v>
      </c>
      <c r="S139" t="s">
        <v>105</v>
      </c>
      <c r="T139">
        <v>2100</v>
      </c>
      <c r="U139" t="s">
        <v>2501</v>
      </c>
      <c r="V139" t="s">
        <v>2518</v>
      </c>
      <c r="W139" t="s">
        <v>2646</v>
      </c>
      <c r="X139">
        <v>375657841</v>
      </c>
      <c r="Y139" t="s">
        <v>3414</v>
      </c>
      <c r="Z139">
        <v>4</v>
      </c>
      <c r="AA139" t="s">
        <v>2156</v>
      </c>
      <c r="AC139">
        <v>8</v>
      </c>
      <c r="AD139">
        <v>1</v>
      </c>
      <c r="AE139">
        <v>1</v>
      </c>
      <c r="AF139">
        <v>112.36</v>
      </c>
      <c r="AI139" t="s">
        <v>3809</v>
      </c>
      <c r="AJ139">
        <v>19000</v>
      </c>
      <c r="AP139">
        <v>0.7</v>
      </c>
      <c r="AQ139" t="s">
        <v>105</v>
      </c>
      <c r="AR139" t="s">
        <v>4184</v>
      </c>
      <c r="AS139" t="s">
        <v>4210</v>
      </c>
      <c r="AT139" t="s">
        <v>4219</v>
      </c>
    </row>
    <row r="140" spans="1:46">
      <c r="A140" s="1">
        <f>HYPERLINK("https://lsnyc.legalserver.org/matter/dynamic-profile/view/1889505","19-1889505")</f>
        <v>0</v>
      </c>
      <c r="B140" t="s">
        <v>52</v>
      </c>
      <c r="C140" t="s">
        <v>133</v>
      </c>
      <c r="E140" t="s">
        <v>420</v>
      </c>
      <c r="F140" t="s">
        <v>956</v>
      </c>
      <c r="G140" t="s">
        <v>1424</v>
      </c>
      <c r="H140" t="s">
        <v>1765</v>
      </c>
      <c r="I140">
        <v>11207</v>
      </c>
      <c r="J140" t="s">
        <v>2003</v>
      </c>
      <c r="K140" t="s">
        <v>2003</v>
      </c>
      <c r="L140" t="s">
        <v>2007</v>
      </c>
      <c r="M140" t="s">
        <v>2114</v>
      </c>
      <c r="N140" t="s">
        <v>2415</v>
      </c>
      <c r="O140" t="s">
        <v>2437</v>
      </c>
      <c r="Q140" t="s">
        <v>2003</v>
      </c>
      <c r="R140" t="s">
        <v>2451</v>
      </c>
      <c r="S140" t="s">
        <v>181</v>
      </c>
      <c r="T140">
        <v>1250</v>
      </c>
      <c r="U140" t="s">
        <v>2497</v>
      </c>
      <c r="W140" t="s">
        <v>2647</v>
      </c>
      <c r="X140" t="s">
        <v>3200</v>
      </c>
      <c r="Y140" t="s">
        <v>3415</v>
      </c>
      <c r="Z140">
        <v>6</v>
      </c>
      <c r="AA140" t="s">
        <v>3783</v>
      </c>
      <c r="AB140" t="s">
        <v>3795</v>
      </c>
      <c r="AC140">
        <v>4</v>
      </c>
      <c r="AD140">
        <v>1</v>
      </c>
      <c r="AE140">
        <v>0</v>
      </c>
      <c r="AF140">
        <v>72.06</v>
      </c>
      <c r="AI140" t="s">
        <v>3809</v>
      </c>
      <c r="AJ140">
        <v>9000</v>
      </c>
      <c r="AK140" t="s">
        <v>3847</v>
      </c>
      <c r="AM140" t="s">
        <v>4108</v>
      </c>
      <c r="AN140" t="s">
        <v>4122</v>
      </c>
      <c r="AO140" t="s">
        <v>4136</v>
      </c>
      <c r="AP140">
        <v>12.6</v>
      </c>
      <c r="AQ140" t="s">
        <v>318</v>
      </c>
      <c r="AR140" t="s">
        <v>4185</v>
      </c>
      <c r="AS140" t="s">
        <v>4210</v>
      </c>
      <c r="AT140" t="s">
        <v>4219</v>
      </c>
    </row>
    <row r="141" spans="1:46">
      <c r="A141" s="1">
        <f>HYPERLINK("https://lsnyc.legalserver.org/matter/dynamic-profile/view/1900468","19-1900468")</f>
        <v>0</v>
      </c>
      <c r="B141" t="s">
        <v>52</v>
      </c>
      <c r="C141" t="s">
        <v>167</v>
      </c>
      <c r="E141" t="s">
        <v>438</v>
      </c>
      <c r="F141" t="s">
        <v>947</v>
      </c>
      <c r="G141" t="s">
        <v>1447</v>
      </c>
      <c r="H141" t="s">
        <v>1746</v>
      </c>
      <c r="I141">
        <v>11213</v>
      </c>
      <c r="J141" t="s">
        <v>2002</v>
      </c>
      <c r="K141" t="s">
        <v>2004</v>
      </c>
      <c r="L141" t="s">
        <v>2005</v>
      </c>
      <c r="M141" t="s">
        <v>2115</v>
      </c>
      <c r="N141" t="s">
        <v>2415</v>
      </c>
      <c r="O141" t="s">
        <v>2437</v>
      </c>
      <c r="Q141" t="s">
        <v>2003</v>
      </c>
      <c r="R141" t="s">
        <v>2451</v>
      </c>
      <c r="S141" t="s">
        <v>306</v>
      </c>
      <c r="T141">
        <v>551</v>
      </c>
      <c r="U141" t="s">
        <v>2497</v>
      </c>
      <c r="W141" t="s">
        <v>2637</v>
      </c>
      <c r="X141" t="s">
        <v>2058</v>
      </c>
      <c r="Y141" t="s">
        <v>3406</v>
      </c>
      <c r="Z141">
        <v>6</v>
      </c>
      <c r="AA141" t="s">
        <v>3783</v>
      </c>
      <c r="AB141" t="s">
        <v>2006</v>
      </c>
      <c r="AC141">
        <v>15</v>
      </c>
      <c r="AD141">
        <v>2</v>
      </c>
      <c r="AE141">
        <v>0</v>
      </c>
      <c r="AF141">
        <v>49.67</v>
      </c>
      <c r="AI141" t="s">
        <v>3809</v>
      </c>
      <c r="AJ141">
        <v>8400</v>
      </c>
      <c r="AK141" t="s">
        <v>3848</v>
      </c>
      <c r="AP141">
        <v>19.3</v>
      </c>
      <c r="AQ141" t="s">
        <v>4165</v>
      </c>
      <c r="AR141" t="s">
        <v>4185</v>
      </c>
      <c r="AS141" t="s">
        <v>4210</v>
      </c>
      <c r="AT141" t="s">
        <v>4219</v>
      </c>
    </row>
    <row r="142" spans="1:46">
      <c r="A142" s="1">
        <f>HYPERLINK("https://lsnyc.legalserver.org/matter/dynamic-profile/view/1900458","19-1900458")</f>
        <v>0</v>
      </c>
      <c r="B142" t="s">
        <v>52</v>
      </c>
      <c r="C142" t="s">
        <v>167</v>
      </c>
      <c r="E142" t="s">
        <v>446</v>
      </c>
      <c r="F142" t="s">
        <v>957</v>
      </c>
      <c r="G142" t="s">
        <v>1447</v>
      </c>
      <c r="H142" t="s">
        <v>1749</v>
      </c>
      <c r="I142">
        <v>11213</v>
      </c>
      <c r="J142" t="s">
        <v>2002</v>
      </c>
      <c r="K142" t="s">
        <v>2004</v>
      </c>
      <c r="L142" t="s">
        <v>2005</v>
      </c>
      <c r="M142" t="s">
        <v>2116</v>
      </c>
      <c r="N142" t="s">
        <v>2415</v>
      </c>
      <c r="O142" t="s">
        <v>2437</v>
      </c>
      <c r="Q142" t="s">
        <v>2003</v>
      </c>
      <c r="R142" t="s">
        <v>2451</v>
      </c>
      <c r="S142" t="s">
        <v>306</v>
      </c>
      <c r="T142">
        <v>855.86</v>
      </c>
      <c r="U142" t="s">
        <v>2497</v>
      </c>
      <c r="W142" t="s">
        <v>2648</v>
      </c>
      <c r="Z142">
        <v>6</v>
      </c>
      <c r="AA142" t="s">
        <v>3783</v>
      </c>
      <c r="AB142" t="s">
        <v>2006</v>
      </c>
      <c r="AC142">
        <v>26</v>
      </c>
      <c r="AD142">
        <v>1</v>
      </c>
      <c r="AE142">
        <v>1</v>
      </c>
      <c r="AF142">
        <v>52.58</v>
      </c>
      <c r="AI142" t="s">
        <v>3809</v>
      </c>
      <c r="AJ142">
        <v>8892</v>
      </c>
      <c r="AK142" t="s">
        <v>3849</v>
      </c>
      <c r="AP142">
        <v>0.2</v>
      </c>
      <c r="AQ142" t="s">
        <v>172</v>
      </c>
      <c r="AR142" t="s">
        <v>4185</v>
      </c>
      <c r="AS142" t="s">
        <v>4210</v>
      </c>
      <c r="AT142" t="s">
        <v>4219</v>
      </c>
    </row>
    <row r="143" spans="1:46">
      <c r="A143" s="1">
        <f>HYPERLINK("https://lsnyc.legalserver.org/matter/dynamic-profile/view/1900473","19-1900473")</f>
        <v>0</v>
      </c>
      <c r="B143" t="s">
        <v>52</v>
      </c>
      <c r="C143" t="s">
        <v>167</v>
      </c>
      <c r="E143" t="s">
        <v>447</v>
      </c>
      <c r="F143" t="s">
        <v>958</v>
      </c>
      <c r="G143" t="s">
        <v>1447</v>
      </c>
      <c r="H143" t="s">
        <v>1748</v>
      </c>
      <c r="I143">
        <v>11213</v>
      </c>
      <c r="J143" t="s">
        <v>2002</v>
      </c>
      <c r="K143" t="s">
        <v>2004</v>
      </c>
      <c r="L143" t="s">
        <v>2006</v>
      </c>
      <c r="M143" t="s">
        <v>2117</v>
      </c>
      <c r="N143" t="s">
        <v>2415</v>
      </c>
      <c r="O143" t="s">
        <v>2437</v>
      </c>
      <c r="Q143" t="s">
        <v>2003</v>
      </c>
      <c r="R143" t="s">
        <v>2451</v>
      </c>
      <c r="S143" t="s">
        <v>306</v>
      </c>
      <c r="T143">
        <v>719</v>
      </c>
      <c r="U143" t="s">
        <v>2497</v>
      </c>
      <c r="W143" t="s">
        <v>2649</v>
      </c>
      <c r="X143" t="s">
        <v>3163</v>
      </c>
      <c r="Y143" t="s">
        <v>3416</v>
      </c>
      <c r="Z143">
        <v>6</v>
      </c>
      <c r="AA143" t="s">
        <v>3783</v>
      </c>
      <c r="AB143" t="s">
        <v>3796</v>
      </c>
      <c r="AC143">
        <v>22</v>
      </c>
      <c r="AD143">
        <v>5</v>
      </c>
      <c r="AE143">
        <v>1</v>
      </c>
      <c r="AF143">
        <v>112.94</v>
      </c>
      <c r="AI143" t="s">
        <v>3809</v>
      </c>
      <c r="AJ143">
        <v>39066</v>
      </c>
      <c r="AK143" t="s">
        <v>3850</v>
      </c>
      <c r="AP143">
        <v>6.8</v>
      </c>
      <c r="AQ143" t="s">
        <v>172</v>
      </c>
      <c r="AR143" t="s">
        <v>4185</v>
      </c>
      <c r="AS143" t="s">
        <v>4210</v>
      </c>
      <c r="AT143" t="s">
        <v>4219</v>
      </c>
    </row>
    <row r="144" spans="1:46">
      <c r="A144" s="1">
        <f>HYPERLINK("https://lsnyc.legalserver.org/matter/dynamic-profile/view/1900482","19-1900482")</f>
        <v>0</v>
      </c>
      <c r="B144" t="s">
        <v>52</v>
      </c>
      <c r="C144" t="s">
        <v>167</v>
      </c>
      <c r="E144" t="s">
        <v>448</v>
      </c>
      <c r="F144" t="s">
        <v>959</v>
      </c>
      <c r="G144" t="s">
        <v>1447</v>
      </c>
      <c r="H144" t="s">
        <v>1786</v>
      </c>
      <c r="I144">
        <v>11213</v>
      </c>
      <c r="J144" t="s">
        <v>2002</v>
      </c>
      <c r="K144" t="s">
        <v>2004</v>
      </c>
      <c r="L144" t="s">
        <v>2005</v>
      </c>
      <c r="M144" t="s">
        <v>2118</v>
      </c>
      <c r="N144" t="s">
        <v>2415</v>
      </c>
      <c r="O144" t="s">
        <v>2437</v>
      </c>
      <c r="Q144" t="s">
        <v>2003</v>
      </c>
      <c r="R144" t="s">
        <v>2451</v>
      </c>
      <c r="S144" t="s">
        <v>306</v>
      </c>
      <c r="T144">
        <v>540</v>
      </c>
      <c r="U144" t="s">
        <v>2497</v>
      </c>
      <c r="W144" t="s">
        <v>2650</v>
      </c>
      <c r="X144" t="s">
        <v>2006</v>
      </c>
      <c r="Y144" t="s">
        <v>3417</v>
      </c>
      <c r="Z144">
        <v>6</v>
      </c>
      <c r="AA144" t="s">
        <v>3783</v>
      </c>
      <c r="AB144" t="s">
        <v>2006</v>
      </c>
      <c r="AC144">
        <v>18</v>
      </c>
      <c r="AD144">
        <v>1</v>
      </c>
      <c r="AE144">
        <v>0</v>
      </c>
      <c r="AF144">
        <v>512.41</v>
      </c>
      <c r="AI144" t="s">
        <v>3809</v>
      </c>
      <c r="AJ144">
        <v>64000</v>
      </c>
      <c r="AK144" t="s">
        <v>3851</v>
      </c>
      <c r="AP144">
        <v>0.4</v>
      </c>
      <c r="AQ144" t="s">
        <v>256</v>
      </c>
      <c r="AR144" t="s">
        <v>4185</v>
      </c>
      <c r="AS144" t="s">
        <v>4210</v>
      </c>
      <c r="AT144" t="s">
        <v>4219</v>
      </c>
    </row>
    <row r="145" spans="1:46">
      <c r="A145" s="1">
        <f>HYPERLINK("https://lsnyc.legalserver.org/matter/dynamic-profile/view/1897014","19-1897014")</f>
        <v>0</v>
      </c>
      <c r="B145" t="s">
        <v>52</v>
      </c>
      <c r="C145" t="s">
        <v>106</v>
      </c>
      <c r="D145" t="s">
        <v>312</v>
      </c>
      <c r="E145" t="s">
        <v>449</v>
      </c>
      <c r="F145" t="s">
        <v>960</v>
      </c>
      <c r="G145" t="s">
        <v>1456</v>
      </c>
      <c r="H145" t="s">
        <v>1768</v>
      </c>
      <c r="I145">
        <v>11208</v>
      </c>
      <c r="J145" t="s">
        <v>2002</v>
      </c>
      <c r="K145" t="s">
        <v>2003</v>
      </c>
      <c r="L145" t="s">
        <v>2005</v>
      </c>
      <c r="M145" t="s">
        <v>2119</v>
      </c>
      <c r="N145" t="s">
        <v>2415</v>
      </c>
      <c r="O145" t="s">
        <v>2439</v>
      </c>
      <c r="P145" t="s">
        <v>2444</v>
      </c>
      <c r="Q145" t="s">
        <v>2003</v>
      </c>
      <c r="S145" t="s">
        <v>182</v>
      </c>
      <c r="T145">
        <v>2400</v>
      </c>
      <c r="U145" t="s">
        <v>2502</v>
      </c>
      <c r="V145" t="s">
        <v>2515</v>
      </c>
      <c r="W145" t="s">
        <v>2651</v>
      </c>
      <c r="X145" t="s">
        <v>2156</v>
      </c>
      <c r="Y145" t="s">
        <v>3418</v>
      </c>
      <c r="Z145">
        <v>6</v>
      </c>
      <c r="AA145" t="s">
        <v>3783</v>
      </c>
      <c r="AB145" t="s">
        <v>3796</v>
      </c>
      <c r="AC145">
        <v>2</v>
      </c>
      <c r="AD145">
        <v>1</v>
      </c>
      <c r="AE145">
        <v>5</v>
      </c>
      <c r="AF145">
        <v>41.73</v>
      </c>
      <c r="AI145" t="s">
        <v>3809</v>
      </c>
      <c r="AJ145">
        <v>14435.04</v>
      </c>
      <c r="AN145" t="s">
        <v>4123</v>
      </c>
      <c r="AO145" t="s">
        <v>4134</v>
      </c>
      <c r="AP145">
        <v>1.9</v>
      </c>
      <c r="AQ145" t="s">
        <v>249</v>
      </c>
      <c r="AR145" t="s">
        <v>49</v>
      </c>
      <c r="AS145" t="s">
        <v>4210</v>
      </c>
      <c r="AT145" t="s">
        <v>4219</v>
      </c>
    </row>
    <row r="146" spans="1:46">
      <c r="A146" s="1">
        <f>HYPERLINK("https://lsnyc.legalserver.org/matter/dynamic-profile/view/1896514","19-1896514")</f>
        <v>0</v>
      </c>
      <c r="B146" t="s">
        <v>52</v>
      </c>
      <c r="C146" t="s">
        <v>168</v>
      </c>
      <c r="E146" t="s">
        <v>450</v>
      </c>
      <c r="F146" t="s">
        <v>961</v>
      </c>
      <c r="G146" t="s">
        <v>1457</v>
      </c>
      <c r="H146" t="s">
        <v>1778</v>
      </c>
      <c r="I146">
        <v>11208</v>
      </c>
      <c r="J146" t="s">
        <v>2002</v>
      </c>
      <c r="K146" t="s">
        <v>2003</v>
      </c>
      <c r="L146" t="s">
        <v>2005</v>
      </c>
      <c r="M146" t="s">
        <v>2120</v>
      </c>
      <c r="N146" t="s">
        <v>2415</v>
      </c>
      <c r="O146" t="s">
        <v>2437</v>
      </c>
      <c r="Q146" t="s">
        <v>2003</v>
      </c>
      <c r="S146" t="s">
        <v>150</v>
      </c>
      <c r="T146">
        <v>951</v>
      </c>
      <c r="W146" t="s">
        <v>2652</v>
      </c>
      <c r="Y146" t="s">
        <v>3419</v>
      </c>
      <c r="Z146">
        <v>3</v>
      </c>
      <c r="AA146" t="s">
        <v>3784</v>
      </c>
      <c r="AB146" t="s">
        <v>2006</v>
      </c>
      <c r="AC146">
        <v>4</v>
      </c>
      <c r="AD146">
        <v>2</v>
      </c>
      <c r="AE146">
        <v>2</v>
      </c>
      <c r="AF146">
        <v>213.59</v>
      </c>
      <c r="AG146" t="s">
        <v>3804</v>
      </c>
      <c r="AH146" t="s">
        <v>3806</v>
      </c>
      <c r="AI146" t="s">
        <v>3809</v>
      </c>
      <c r="AJ146">
        <v>55000</v>
      </c>
      <c r="AP146">
        <v>29.6</v>
      </c>
      <c r="AQ146" t="s">
        <v>326</v>
      </c>
      <c r="AR146" t="s">
        <v>49</v>
      </c>
      <c r="AS146" t="s">
        <v>4210</v>
      </c>
      <c r="AT146" t="s">
        <v>4219</v>
      </c>
    </row>
    <row r="147" spans="1:46">
      <c r="A147" s="1">
        <f>HYPERLINK("https://lsnyc.legalserver.org/matter/dynamic-profile/view/1897450","19-1897450")</f>
        <v>0</v>
      </c>
      <c r="B147" t="s">
        <v>52</v>
      </c>
      <c r="C147" t="s">
        <v>169</v>
      </c>
      <c r="E147" t="s">
        <v>451</v>
      </c>
      <c r="F147" t="s">
        <v>956</v>
      </c>
      <c r="G147" t="s">
        <v>1458</v>
      </c>
      <c r="H147" t="s">
        <v>1787</v>
      </c>
      <c r="I147">
        <v>11208</v>
      </c>
      <c r="J147" t="s">
        <v>2002</v>
      </c>
      <c r="K147" t="s">
        <v>2003</v>
      </c>
      <c r="L147" t="s">
        <v>2005</v>
      </c>
      <c r="M147" t="s">
        <v>2121</v>
      </c>
      <c r="N147" t="s">
        <v>2413</v>
      </c>
      <c r="O147" t="s">
        <v>2437</v>
      </c>
      <c r="Q147" t="s">
        <v>2003</v>
      </c>
      <c r="R147" t="s">
        <v>2451</v>
      </c>
      <c r="S147" t="s">
        <v>302</v>
      </c>
      <c r="T147">
        <v>1956</v>
      </c>
      <c r="U147" t="s">
        <v>2495</v>
      </c>
      <c r="W147" t="s">
        <v>2653</v>
      </c>
      <c r="X147" t="s">
        <v>3163</v>
      </c>
      <c r="Y147" t="s">
        <v>3420</v>
      </c>
      <c r="Z147">
        <v>3</v>
      </c>
      <c r="AA147" t="s">
        <v>3784</v>
      </c>
      <c r="AB147" t="s">
        <v>3794</v>
      </c>
      <c r="AC147">
        <v>4</v>
      </c>
      <c r="AD147">
        <v>1</v>
      </c>
      <c r="AE147">
        <v>3</v>
      </c>
      <c r="AF147">
        <v>133.28</v>
      </c>
      <c r="AI147" t="s">
        <v>3809</v>
      </c>
      <c r="AJ147">
        <v>34320</v>
      </c>
      <c r="AP147">
        <v>21.15</v>
      </c>
      <c r="AQ147" t="s">
        <v>4171</v>
      </c>
      <c r="AR147" t="s">
        <v>4191</v>
      </c>
      <c r="AS147" t="s">
        <v>4210</v>
      </c>
      <c r="AT147" t="s">
        <v>4219</v>
      </c>
    </row>
    <row r="148" spans="1:46">
      <c r="A148" s="1">
        <f>HYPERLINK("https://lsnyc.legalserver.org/matter/dynamic-profile/view/1899554","19-1899554")</f>
        <v>0</v>
      </c>
      <c r="B148" t="s">
        <v>52</v>
      </c>
      <c r="C148" t="s">
        <v>148</v>
      </c>
      <c r="E148" t="s">
        <v>452</v>
      </c>
      <c r="F148" t="s">
        <v>902</v>
      </c>
      <c r="G148" t="s">
        <v>1459</v>
      </c>
      <c r="H148" t="s">
        <v>1758</v>
      </c>
      <c r="I148">
        <v>11212</v>
      </c>
      <c r="J148" t="s">
        <v>2002</v>
      </c>
      <c r="K148" t="s">
        <v>2004</v>
      </c>
      <c r="L148" t="s">
        <v>2005</v>
      </c>
      <c r="M148" t="s">
        <v>2122</v>
      </c>
      <c r="N148" t="s">
        <v>2415</v>
      </c>
      <c r="O148" t="s">
        <v>2437</v>
      </c>
      <c r="Q148" t="s">
        <v>2003</v>
      </c>
      <c r="R148" t="s">
        <v>2451</v>
      </c>
      <c r="S148" t="s">
        <v>279</v>
      </c>
      <c r="T148">
        <v>1984.35</v>
      </c>
      <c r="U148" t="s">
        <v>2507</v>
      </c>
      <c r="W148" t="s">
        <v>2654</v>
      </c>
      <c r="X148">
        <v>17011970</v>
      </c>
      <c r="Y148" t="s">
        <v>3421</v>
      </c>
      <c r="Z148">
        <v>4</v>
      </c>
      <c r="AA148" t="s">
        <v>3784</v>
      </c>
      <c r="AB148" t="s">
        <v>3794</v>
      </c>
      <c r="AC148">
        <v>3</v>
      </c>
      <c r="AD148">
        <v>1</v>
      </c>
      <c r="AE148">
        <v>4</v>
      </c>
      <c r="AF148">
        <v>39.77</v>
      </c>
      <c r="AI148" t="s">
        <v>3809</v>
      </c>
      <c r="AJ148">
        <v>12000</v>
      </c>
      <c r="AP148">
        <v>34.8</v>
      </c>
      <c r="AQ148" t="s">
        <v>4165</v>
      </c>
      <c r="AR148" t="s">
        <v>4198</v>
      </c>
      <c r="AS148" t="s">
        <v>4210</v>
      </c>
      <c r="AT148" t="s">
        <v>4219</v>
      </c>
    </row>
    <row r="149" spans="1:46">
      <c r="A149" s="1">
        <f>HYPERLINK("https://lsnyc.legalserver.org/matter/dynamic-profile/view/1898528","19-1898528")</f>
        <v>0</v>
      </c>
      <c r="B149" t="s">
        <v>52</v>
      </c>
      <c r="C149" t="s">
        <v>170</v>
      </c>
      <c r="D149" t="s">
        <v>254</v>
      </c>
      <c r="E149" t="s">
        <v>453</v>
      </c>
      <c r="F149" t="s">
        <v>962</v>
      </c>
      <c r="G149" t="s">
        <v>1460</v>
      </c>
      <c r="H149" t="s">
        <v>1788</v>
      </c>
      <c r="I149">
        <v>11208</v>
      </c>
      <c r="J149" t="s">
        <v>2002</v>
      </c>
      <c r="K149" t="s">
        <v>2003</v>
      </c>
      <c r="L149" t="s">
        <v>2005</v>
      </c>
      <c r="M149" t="s">
        <v>2123</v>
      </c>
      <c r="N149" t="s">
        <v>2413</v>
      </c>
      <c r="O149" t="s">
        <v>2436</v>
      </c>
      <c r="P149" t="s">
        <v>2448</v>
      </c>
      <c r="Q149" t="s">
        <v>2003</v>
      </c>
      <c r="R149" t="s">
        <v>2451</v>
      </c>
      <c r="S149" t="s">
        <v>226</v>
      </c>
      <c r="T149">
        <v>1600</v>
      </c>
      <c r="V149" t="s">
        <v>2515</v>
      </c>
      <c r="W149" t="s">
        <v>2655</v>
      </c>
      <c r="Y149" t="s">
        <v>3422</v>
      </c>
      <c r="Z149">
        <v>2</v>
      </c>
      <c r="AA149" t="s">
        <v>3784</v>
      </c>
      <c r="AB149" t="s">
        <v>2006</v>
      </c>
      <c r="AC149">
        <v>11</v>
      </c>
      <c r="AD149">
        <v>2</v>
      </c>
      <c r="AE149">
        <v>1</v>
      </c>
      <c r="AF149">
        <v>234.41</v>
      </c>
      <c r="AI149" t="s">
        <v>3809</v>
      </c>
      <c r="AJ149">
        <v>50000</v>
      </c>
      <c r="AK149" t="s">
        <v>3852</v>
      </c>
      <c r="AP149">
        <v>2</v>
      </c>
      <c r="AQ149" t="s">
        <v>167</v>
      </c>
      <c r="AR149" t="s">
        <v>4185</v>
      </c>
      <c r="AS149" t="s">
        <v>4210</v>
      </c>
      <c r="AT149" t="s">
        <v>4219</v>
      </c>
    </row>
    <row r="150" spans="1:46">
      <c r="A150" s="1">
        <f>HYPERLINK("https://lsnyc.legalserver.org/matter/dynamic-profile/view/1901128","19-1901128")</f>
        <v>0</v>
      </c>
      <c r="B150" t="s">
        <v>52</v>
      </c>
      <c r="C150" t="s">
        <v>171</v>
      </c>
      <c r="D150" t="s">
        <v>171</v>
      </c>
      <c r="E150" t="s">
        <v>454</v>
      </c>
      <c r="F150" t="s">
        <v>963</v>
      </c>
      <c r="G150" t="s">
        <v>1461</v>
      </c>
      <c r="H150">
        <v>1</v>
      </c>
      <c r="I150">
        <v>11207</v>
      </c>
      <c r="J150" t="s">
        <v>2002</v>
      </c>
      <c r="K150" t="s">
        <v>2004</v>
      </c>
      <c r="L150" t="s">
        <v>2005</v>
      </c>
      <c r="M150" t="s">
        <v>2124</v>
      </c>
      <c r="N150" t="s">
        <v>2413</v>
      </c>
      <c r="O150" t="s">
        <v>2439</v>
      </c>
      <c r="P150" t="s">
        <v>2444</v>
      </c>
      <c r="S150" t="s">
        <v>171</v>
      </c>
      <c r="T150">
        <v>557</v>
      </c>
      <c r="U150" t="s">
        <v>2501</v>
      </c>
      <c r="V150" t="s">
        <v>2515</v>
      </c>
      <c r="W150" t="s">
        <v>2656</v>
      </c>
      <c r="X150">
        <v>7956478</v>
      </c>
      <c r="Y150" t="s">
        <v>3423</v>
      </c>
      <c r="Z150">
        <v>3</v>
      </c>
      <c r="AA150" t="s">
        <v>2156</v>
      </c>
      <c r="AB150" t="s">
        <v>3793</v>
      </c>
      <c r="AC150">
        <v>10</v>
      </c>
      <c r="AD150">
        <v>3</v>
      </c>
      <c r="AE150">
        <v>0</v>
      </c>
      <c r="AF150">
        <v>90.12</v>
      </c>
      <c r="AI150" t="s">
        <v>3809</v>
      </c>
      <c r="AJ150">
        <v>19222</v>
      </c>
      <c r="AP150">
        <v>1</v>
      </c>
      <c r="AQ150" t="s">
        <v>171</v>
      </c>
      <c r="AR150" t="s">
        <v>4184</v>
      </c>
      <c r="AS150" t="s">
        <v>4210</v>
      </c>
      <c r="AT150" t="s">
        <v>4219</v>
      </c>
    </row>
    <row r="151" spans="1:46">
      <c r="A151" s="1">
        <f>HYPERLINK("https://lsnyc.legalserver.org/matter/dynamic-profile/view/1901723","19-1901723")</f>
        <v>0</v>
      </c>
      <c r="B151" t="s">
        <v>52</v>
      </c>
      <c r="C151" t="s">
        <v>172</v>
      </c>
      <c r="E151" t="s">
        <v>455</v>
      </c>
      <c r="F151" t="s">
        <v>964</v>
      </c>
      <c r="G151" t="s">
        <v>1462</v>
      </c>
      <c r="H151" t="s">
        <v>1789</v>
      </c>
      <c r="I151">
        <v>11208</v>
      </c>
      <c r="J151" t="s">
        <v>2002</v>
      </c>
      <c r="K151" t="s">
        <v>2004</v>
      </c>
      <c r="L151" t="s">
        <v>2005</v>
      </c>
      <c r="M151" t="s">
        <v>2125</v>
      </c>
      <c r="N151" t="s">
        <v>2415</v>
      </c>
      <c r="O151" t="s">
        <v>2437</v>
      </c>
      <c r="Q151" t="s">
        <v>2003</v>
      </c>
      <c r="R151" t="s">
        <v>2451</v>
      </c>
      <c r="S151" t="s">
        <v>172</v>
      </c>
      <c r="T151">
        <v>875</v>
      </c>
      <c r="U151" t="s">
        <v>2497</v>
      </c>
      <c r="W151" t="s">
        <v>2657</v>
      </c>
      <c r="Y151" t="s">
        <v>3424</v>
      </c>
      <c r="Z151">
        <v>322</v>
      </c>
      <c r="AA151" t="s">
        <v>3783</v>
      </c>
      <c r="AB151" t="s">
        <v>2006</v>
      </c>
      <c r="AC151">
        <v>6</v>
      </c>
      <c r="AD151">
        <v>1</v>
      </c>
      <c r="AE151">
        <v>0</v>
      </c>
      <c r="AF151">
        <v>162.37</v>
      </c>
      <c r="AI151" t="s">
        <v>3809</v>
      </c>
      <c r="AJ151">
        <v>20280</v>
      </c>
      <c r="AP151">
        <v>1.5</v>
      </c>
      <c r="AQ151" t="s">
        <v>108</v>
      </c>
      <c r="AR151" t="s">
        <v>49</v>
      </c>
      <c r="AS151" t="s">
        <v>4210</v>
      </c>
      <c r="AT151" t="s">
        <v>4219</v>
      </c>
    </row>
    <row r="152" spans="1:46">
      <c r="A152" s="1">
        <f>HYPERLINK("https://lsnyc.legalserver.org/matter/dynamic-profile/view/1889415","19-1889415")</f>
        <v>0</v>
      </c>
      <c r="B152" t="s">
        <v>52</v>
      </c>
      <c r="C152" t="s">
        <v>173</v>
      </c>
      <c r="D152" t="s">
        <v>312</v>
      </c>
      <c r="E152" t="s">
        <v>456</v>
      </c>
      <c r="F152" t="s">
        <v>965</v>
      </c>
      <c r="G152" t="s">
        <v>1463</v>
      </c>
      <c r="H152" t="s">
        <v>1745</v>
      </c>
      <c r="I152">
        <v>11208</v>
      </c>
      <c r="J152" t="s">
        <v>2002</v>
      </c>
      <c r="K152" t="s">
        <v>2003</v>
      </c>
      <c r="L152" t="s">
        <v>2005</v>
      </c>
      <c r="M152" t="s">
        <v>2126</v>
      </c>
      <c r="N152" t="s">
        <v>2413</v>
      </c>
      <c r="O152" t="s">
        <v>2439</v>
      </c>
      <c r="P152" t="s">
        <v>2444</v>
      </c>
      <c r="Q152" t="s">
        <v>2003</v>
      </c>
      <c r="S152" t="s">
        <v>172</v>
      </c>
      <c r="T152">
        <v>0</v>
      </c>
      <c r="U152" t="s">
        <v>2501</v>
      </c>
      <c r="V152" t="s">
        <v>2515</v>
      </c>
      <c r="W152" t="s">
        <v>2658</v>
      </c>
      <c r="Y152" t="s">
        <v>3425</v>
      </c>
      <c r="Z152">
        <v>3</v>
      </c>
      <c r="AB152" t="s">
        <v>2006</v>
      </c>
      <c r="AC152">
        <v>1</v>
      </c>
      <c r="AD152">
        <v>2</v>
      </c>
      <c r="AE152">
        <v>0</v>
      </c>
      <c r="AF152">
        <v>2838.56</v>
      </c>
      <c r="AI152" t="s">
        <v>3809</v>
      </c>
      <c r="AJ152">
        <v>480000</v>
      </c>
      <c r="AP152">
        <v>1.1</v>
      </c>
      <c r="AQ152" t="s">
        <v>179</v>
      </c>
      <c r="AR152" t="s">
        <v>49</v>
      </c>
      <c r="AS152" t="s">
        <v>4210</v>
      </c>
      <c r="AT152" t="s">
        <v>4219</v>
      </c>
    </row>
    <row r="153" spans="1:46">
      <c r="A153" s="1">
        <f>HYPERLINK("https://lsnyc.legalserver.org/matter/dynamic-profile/view/1871979","18-1871979")</f>
        <v>0</v>
      </c>
      <c r="B153" t="s">
        <v>53</v>
      </c>
      <c r="C153" t="s">
        <v>174</v>
      </c>
      <c r="E153" t="s">
        <v>457</v>
      </c>
      <c r="F153" t="s">
        <v>966</v>
      </c>
      <c r="G153" t="s">
        <v>1464</v>
      </c>
      <c r="H153" t="s">
        <v>1740</v>
      </c>
      <c r="I153">
        <v>11233</v>
      </c>
      <c r="J153" t="s">
        <v>2002</v>
      </c>
      <c r="K153" t="s">
        <v>2002</v>
      </c>
      <c r="M153" t="s">
        <v>2127</v>
      </c>
      <c r="N153" t="s">
        <v>2413</v>
      </c>
      <c r="O153" t="s">
        <v>2437</v>
      </c>
      <c r="Q153" t="s">
        <v>2003</v>
      </c>
      <c r="R153" t="s">
        <v>2451</v>
      </c>
      <c r="S153" t="s">
        <v>174</v>
      </c>
      <c r="T153">
        <v>650.39</v>
      </c>
      <c r="U153" t="s">
        <v>2497</v>
      </c>
      <c r="W153" t="s">
        <v>2659</v>
      </c>
      <c r="X153" t="s">
        <v>3201</v>
      </c>
      <c r="Y153" t="s">
        <v>3426</v>
      </c>
      <c r="Z153">
        <v>23</v>
      </c>
      <c r="AA153" t="s">
        <v>3783</v>
      </c>
      <c r="AB153" t="s">
        <v>3799</v>
      </c>
      <c r="AC153">
        <v>4</v>
      </c>
      <c r="AD153">
        <v>1</v>
      </c>
      <c r="AE153">
        <v>0</v>
      </c>
      <c r="AF153">
        <v>41.19</v>
      </c>
      <c r="AI153" t="s">
        <v>3809</v>
      </c>
      <c r="AJ153">
        <v>5000</v>
      </c>
      <c r="AP153">
        <v>62.4</v>
      </c>
      <c r="AQ153" t="s">
        <v>309</v>
      </c>
      <c r="AR153" t="s">
        <v>53</v>
      </c>
      <c r="AS153" t="s">
        <v>4210</v>
      </c>
      <c r="AT153" t="s">
        <v>4219</v>
      </c>
    </row>
    <row r="154" spans="1:46">
      <c r="A154" s="1">
        <f>HYPERLINK("https://lsnyc.legalserver.org/matter/dynamic-profile/view/1873617","18-1873617")</f>
        <v>0</v>
      </c>
      <c r="B154" t="s">
        <v>53</v>
      </c>
      <c r="C154" t="s">
        <v>85</v>
      </c>
      <c r="D154" t="s">
        <v>89</v>
      </c>
      <c r="E154" t="s">
        <v>458</v>
      </c>
      <c r="F154" t="s">
        <v>967</v>
      </c>
      <c r="G154" t="s">
        <v>1465</v>
      </c>
      <c r="H154">
        <v>2</v>
      </c>
      <c r="I154">
        <v>11208</v>
      </c>
      <c r="J154" t="s">
        <v>2002</v>
      </c>
      <c r="K154" t="s">
        <v>2002</v>
      </c>
      <c r="M154" t="s">
        <v>2128</v>
      </c>
      <c r="N154" t="s">
        <v>2413</v>
      </c>
      <c r="O154" t="s">
        <v>2439</v>
      </c>
      <c r="P154" t="s">
        <v>2444</v>
      </c>
      <c r="Q154" t="s">
        <v>2003</v>
      </c>
      <c r="S154" t="s">
        <v>308</v>
      </c>
      <c r="T154">
        <v>2000</v>
      </c>
      <c r="U154" t="s">
        <v>2493</v>
      </c>
      <c r="V154" t="s">
        <v>2515</v>
      </c>
      <c r="W154" t="s">
        <v>2660</v>
      </c>
      <c r="X154" t="s">
        <v>3202</v>
      </c>
      <c r="Z154">
        <v>3</v>
      </c>
      <c r="AA154" t="s">
        <v>3784</v>
      </c>
      <c r="AB154" t="s">
        <v>2006</v>
      </c>
      <c r="AC154">
        <v>-1</v>
      </c>
      <c r="AD154">
        <v>2</v>
      </c>
      <c r="AE154">
        <v>2</v>
      </c>
      <c r="AF154">
        <v>107.73</v>
      </c>
      <c r="AI154" t="s">
        <v>3810</v>
      </c>
      <c r="AJ154">
        <v>27040</v>
      </c>
      <c r="AP154">
        <v>11.3</v>
      </c>
      <c r="AQ154" t="s">
        <v>217</v>
      </c>
      <c r="AR154" t="s">
        <v>4190</v>
      </c>
      <c r="AS154" t="s">
        <v>4210</v>
      </c>
      <c r="AT154" t="s">
        <v>4219</v>
      </c>
    </row>
    <row r="155" spans="1:46">
      <c r="A155" s="1">
        <f>HYPERLINK("https://lsnyc.legalserver.org/matter/dynamic-profile/view/1876806","18-1876806")</f>
        <v>0</v>
      </c>
      <c r="B155" t="s">
        <v>53</v>
      </c>
      <c r="C155" t="s">
        <v>110</v>
      </c>
      <c r="E155" t="s">
        <v>459</v>
      </c>
      <c r="F155" t="s">
        <v>968</v>
      </c>
      <c r="G155" t="s">
        <v>1466</v>
      </c>
      <c r="H155" t="s">
        <v>1765</v>
      </c>
      <c r="I155">
        <v>11216</v>
      </c>
      <c r="J155" t="s">
        <v>2002</v>
      </c>
      <c r="K155" t="s">
        <v>2002</v>
      </c>
      <c r="M155" t="s">
        <v>2027</v>
      </c>
      <c r="N155" t="s">
        <v>2027</v>
      </c>
      <c r="O155" t="s">
        <v>2436</v>
      </c>
      <c r="Q155" t="s">
        <v>2002</v>
      </c>
      <c r="S155" t="s">
        <v>152</v>
      </c>
      <c r="T155">
        <v>1350</v>
      </c>
      <c r="U155" t="s">
        <v>2494</v>
      </c>
      <c r="W155" t="s">
        <v>2661</v>
      </c>
      <c r="Y155" t="s">
        <v>3427</v>
      </c>
      <c r="Z155">
        <v>82</v>
      </c>
      <c r="AA155" t="s">
        <v>3783</v>
      </c>
      <c r="AB155" t="s">
        <v>2006</v>
      </c>
      <c r="AC155">
        <v>1</v>
      </c>
      <c r="AD155">
        <v>1</v>
      </c>
      <c r="AE155">
        <v>0</v>
      </c>
      <c r="AF155">
        <v>577.11</v>
      </c>
      <c r="AI155" t="s">
        <v>3809</v>
      </c>
      <c r="AJ155">
        <v>70061</v>
      </c>
      <c r="AK155" t="s">
        <v>3830</v>
      </c>
      <c r="AP155">
        <v>0.1</v>
      </c>
      <c r="AQ155" t="s">
        <v>246</v>
      </c>
      <c r="AR155" t="s">
        <v>4185</v>
      </c>
      <c r="AS155" t="s">
        <v>4210</v>
      </c>
      <c r="AT155" t="s">
        <v>4219</v>
      </c>
    </row>
    <row r="156" spans="1:46">
      <c r="A156" s="1">
        <f>HYPERLINK("https://lsnyc.legalserver.org/matter/dynamic-profile/view/1876389","18-1876389")</f>
        <v>0</v>
      </c>
      <c r="B156" t="s">
        <v>53</v>
      </c>
      <c r="C156" t="s">
        <v>157</v>
      </c>
      <c r="E156" t="s">
        <v>460</v>
      </c>
      <c r="F156" t="s">
        <v>969</v>
      </c>
      <c r="G156" t="s">
        <v>1466</v>
      </c>
      <c r="H156" t="s">
        <v>1790</v>
      </c>
      <c r="I156">
        <v>11216</v>
      </c>
      <c r="J156" t="s">
        <v>2002</v>
      </c>
      <c r="K156" t="s">
        <v>2002</v>
      </c>
      <c r="M156" t="s">
        <v>2129</v>
      </c>
      <c r="N156" t="s">
        <v>2420</v>
      </c>
      <c r="O156" t="s">
        <v>2437</v>
      </c>
      <c r="Q156" t="s">
        <v>2002</v>
      </c>
      <c r="R156" t="s">
        <v>2451</v>
      </c>
      <c r="S156" t="s">
        <v>217</v>
      </c>
      <c r="T156">
        <v>952.42</v>
      </c>
      <c r="U156" t="s">
        <v>2497</v>
      </c>
      <c r="W156" t="s">
        <v>2662</v>
      </c>
      <c r="Y156" t="s">
        <v>3428</v>
      </c>
      <c r="Z156">
        <v>82</v>
      </c>
      <c r="AA156" t="s">
        <v>3783</v>
      </c>
      <c r="AB156" t="s">
        <v>2006</v>
      </c>
      <c r="AC156">
        <v>7</v>
      </c>
      <c r="AD156">
        <v>1</v>
      </c>
      <c r="AE156">
        <v>0</v>
      </c>
      <c r="AF156">
        <v>82.37</v>
      </c>
      <c r="AI156" t="s">
        <v>3809</v>
      </c>
      <c r="AJ156">
        <v>10000</v>
      </c>
      <c r="AK156" t="s">
        <v>3826</v>
      </c>
      <c r="AP156">
        <v>226.85</v>
      </c>
      <c r="AQ156" t="s">
        <v>309</v>
      </c>
      <c r="AR156" t="s">
        <v>53</v>
      </c>
      <c r="AS156" t="s">
        <v>4210</v>
      </c>
      <c r="AT156" t="s">
        <v>4219</v>
      </c>
    </row>
    <row r="157" spans="1:46">
      <c r="A157" s="1">
        <f>HYPERLINK("https://lsnyc.legalserver.org/matter/dynamic-profile/view/1883130","18-1883130")</f>
        <v>0</v>
      </c>
      <c r="B157" t="s">
        <v>53</v>
      </c>
      <c r="C157" t="s">
        <v>118</v>
      </c>
      <c r="E157" t="s">
        <v>460</v>
      </c>
      <c r="F157" t="s">
        <v>969</v>
      </c>
      <c r="G157" t="s">
        <v>1466</v>
      </c>
      <c r="H157" t="s">
        <v>1790</v>
      </c>
      <c r="I157">
        <v>11216</v>
      </c>
      <c r="J157" t="s">
        <v>2002</v>
      </c>
      <c r="K157" t="s">
        <v>2002</v>
      </c>
      <c r="M157" t="s">
        <v>2130</v>
      </c>
      <c r="N157" t="s">
        <v>2414</v>
      </c>
      <c r="O157" t="s">
        <v>2437</v>
      </c>
      <c r="Q157" t="s">
        <v>2003</v>
      </c>
      <c r="R157" t="s">
        <v>2451</v>
      </c>
      <c r="S157" t="s">
        <v>217</v>
      </c>
      <c r="T157">
        <v>952.42</v>
      </c>
      <c r="U157" t="s">
        <v>2497</v>
      </c>
      <c r="W157" t="s">
        <v>2662</v>
      </c>
      <c r="Y157" t="s">
        <v>3428</v>
      </c>
      <c r="Z157">
        <v>82</v>
      </c>
      <c r="AA157" t="s">
        <v>3783</v>
      </c>
      <c r="AB157" t="s">
        <v>2006</v>
      </c>
      <c r="AC157">
        <v>7</v>
      </c>
      <c r="AD157">
        <v>1</v>
      </c>
      <c r="AE157">
        <v>0</v>
      </c>
      <c r="AF157">
        <v>82.37</v>
      </c>
      <c r="AI157" t="s">
        <v>3809</v>
      </c>
      <c r="AJ157">
        <v>10000</v>
      </c>
      <c r="AP157">
        <v>48.3</v>
      </c>
      <c r="AQ157" t="s">
        <v>326</v>
      </c>
      <c r="AR157" t="s">
        <v>49</v>
      </c>
      <c r="AS157" t="s">
        <v>4210</v>
      </c>
      <c r="AT157" t="s">
        <v>4219</v>
      </c>
    </row>
    <row r="158" spans="1:46">
      <c r="A158" s="1">
        <f>HYPERLINK("https://lsnyc.legalserver.org/matter/dynamic-profile/view/1883103","18-1883103")</f>
        <v>0</v>
      </c>
      <c r="B158" t="s">
        <v>53</v>
      </c>
      <c r="C158" t="s">
        <v>118</v>
      </c>
      <c r="E158" t="s">
        <v>460</v>
      </c>
      <c r="F158" t="s">
        <v>969</v>
      </c>
      <c r="G158" t="s">
        <v>1466</v>
      </c>
      <c r="H158" t="s">
        <v>1790</v>
      </c>
      <c r="I158">
        <v>11216</v>
      </c>
      <c r="J158" t="s">
        <v>2002</v>
      </c>
      <c r="K158" t="s">
        <v>2002</v>
      </c>
      <c r="N158" t="s">
        <v>2417</v>
      </c>
      <c r="O158" t="s">
        <v>2436</v>
      </c>
      <c r="Q158" t="s">
        <v>2002</v>
      </c>
      <c r="R158" t="s">
        <v>2451</v>
      </c>
      <c r="S158" t="s">
        <v>217</v>
      </c>
      <c r="T158">
        <v>952.42</v>
      </c>
      <c r="U158" t="s">
        <v>2497</v>
      </c>
      <c r="W158" t="s">
        <v>2662</v>
      </c>
      <c r="Y158" t="s">
        <v>3428</v>
      </c>
      <c r="Z158">
        <v>82</v>
      </c>
      <c r="AA158" t="s">
        <v>3783</v>
      </c>
      <c r="AB158" t="s">
        <v>2006</v>
      </c>
      <c r="AC158">
        <v>7</v>
      </c>
      <c r="AD158">
        <v>1</v>
      </c>
      <c r="AE158">
        <v>0</v>
      </c>
      <c r="AF158">
        <v>82.37</v>
      </c>
      <c r="AI158" t="s">
        <v>3809</v>
      </c>
      <c r="AJ158">
        <v>10000</v>
      </c>
      <c r="AP158">
        <v>0</v>
      </c>
      <c r="AR158" t="s">
        <v>49</v>
      </c>
      <c r="AS158" t="s">
        <v>4210</v>
      </c>
      <c r="AT158" t="s">
        <v>4219</v>
      </c>
    </row>
    <row r="159" spans="1:46">
      <c r="A159" s="1">
        <f>HYPERLINK("https://lsnyc.legalserver.org/matter/dynamic-profile/view/1876941","18-1876941")</f>
        <v>0</v>
      </c>
      <c r="B159" t="s">
        <v>53</v>
      </c>
      <c r="C159" t="s">
        <v>175</v>
      </c>
      <c r="E159" t="s">
        <v>461</v>
      </c>
      <c r="F159" t="s">
        <v>970</v>
      </c>
      <c r="G159" t="s">
        <v>1466</v>
      </c>
      <c r="H159" t="s">
        <v>1791</v>
      </c>
      <c r="I159">
        <v>11216</v>
      </c>
      <c r="J159" t="s">
        <v>2002</v>
      </c>
      <c r="K159" t="s">
        <v>2002</v>
      </c>
      <c r="M159" t="s">
        <v>2027</v>
      </c>
      <c r="N159" t="s">
        <v>2027</v>
      </c>
      <c r="O159" t="s">
        <v>2436</v>
      </c>
      <c r="Q159" t="s">
        <v>2002</v>
      </c>
      <c r="S159" t="s">
        <v>217</v>
      </c>
      <c r="T159">
        <v>2450</v>
      </c>
      <c r="U159" t="s">
        <v>2494</v>
      </c>
      <c r="W159" t="s">
        <v>2663</v>
      </c>
      <c r="Y159" t="s">
        <v>3429</v>
      </c>
      <c r="Z159">
        <v>82</v>
      </c>
      <c r="AA159" t="s">
        <v>3783</v>
      </c>
      <c r="AB159" t="s">
        <v>2006</v>
      </c>
      <c r="AC159">
        <v>3</v>
      </c>
      <c r="AD159">
        <v>1</v>
      </c>
      <c r="AE159">
        <v>0</v>
      </c>
      <c r="AF159">
        <v>1087.31</v>
      </c>
      <c r="AI159" t="s">
        <v>3809</v>
      </c>
      <c r="AJ159">
        <v>132000</v>
      </c>
      <c r="AK159" t="s">
        <v>3829</v>
      </c>
      <c r="AP159">
        <v>0</v>
      </c>
      <c r="AR159" t="s">
        <v>4185</v>
      </c>
      <c r="AS159" t="s">
        <v>4210</v>
      </c>
      <c r="AT159" t="s">
        <v>4219</v>
      </c>
    </row>
    <row r="160" spans="1:46">
      <c r="A160" s="1">
        <f>HYPERLINK("https://lsnyc.legalserver.org/matter/dynamic-profile/view/1876927","18-1876927")</f>
        <v>0</v>
      </c>
      <c r="B160" t="s">
        <v>53</v>
      </c>
      <c r="C160" t="s">
        <v>175</v>
      </c>
      <c r="E160" t="s">
        <v>376</v>
      </c>
      <c r="F160" t="s">
        <v>971</v>
      </c>
      <c r="G160" t="s">
        <v>1466</v>
      </c>
      <c r="H160" t="s">
        <v>1792</v>
      </c>
      <c r="I160">
        <v>11216</v>
      </c>
      <c r="J160" t="s">
        <v>2002</v>
      </c>
      <c r="K160" t="s">
        <v>2002</v>
      </c>
      <c r="N160" t="s">
        <v>2420</v>
      </c>
      <c r="O160" t="s">
        <v>2437</v>
      </c>
      <c r="Q160" t="s">
        <v>2002</v>
      </c>
      <c r="S160" t="s">
        <v>89</v>
      </c>
      <c r="T160">
        <v>1450</v>
      </c>
      <c r="U160" t="s">
        <v>2494</v>
      </c>
      <c r="W160" t="s">
        <v>2664</v>
      </c>
      <c r="Z160">
        <v>82</v>
      </c>
      <c r="AA160" t="s">
        <v>3783</v>
      </c>
      <c r="AB160" t="s">
        <v>2006</v>
      </c>
      <c r="AC160">
        <v>1</v>
      </c>
      <c r="AD160">
        <v>1</v>
      </c>
      <c r="AE160">
        <v>0</v>
      </c>
      <c r="AF160">
        <v>453.05</v>
      </c>
      <c r="AG160" t="s">
        <v>298</v>
      </c>
      <c r="AH160" t="s">
        <v>3806</v>
      </c>
      <c r="AI160" t="s">
        <v>3809</v>
      </c>
      <c r="AJ160">
        <v>55000</v>
      </c>
      <c r="AK160" t="s">
        <v>3853</v>
      </c>
      <c r="AP160">
        <v>0</v>
      </c>
      <c r="AR160" t="s">
        <v>4185</v>
      </c>
      <c r="AS160" t="s">
        <v>4210</v>
      </c>
      <c r="AT160" t="s">
        <v>4219</v>
      </c>
    </row>
    <row r="161" spans="1:46">
      <c r="A161" s="1">
        <f>HYPERLINK("https://lsnyc.legalserver.org/matter/dynamic-profile/view/1876925","18-1876925")</f>
        <v>0</v>
      </c>
      <c r="B161" t="s">
        <v>53</v>
      </c>
      <c r="C161" t="s">
        <v>175</v>
      </c>
      <c r="E161" t="s">
        <v>376</v>
      </c>
      <c r="F161" t="s">
        <v>971</v>
      </c>
      <c r="G161" t="s">
        <v>1466</v>
      </c>
      <c r="H161" t="s">
        <v>1792</v>
      </c>
      <c r="I161">
        <v>11216</v>
      </c>
      <c r="J161" t="s">
        <v>2002</v>
      </c>
      <c r="K161" t="s">
        <v>2002</v>
      </c>
      <c r="N161" t="s">
        <v>2027</v>
      </c>
      <c r="O161" t="s">
        <v>2436</v>
      </c>
      <c r="Q161" t="s">
        <v>2002</v>
      </c>
      <c r="S161" t="s">
        <v>89</v>
      </c>
      <c r="T161">
        <v>1450</v>
      </c>
      <c r="U161" t="s">
        <v>2494</v>
      </c>
      <c r="W161" t="s">
        <v>2664</v>
      </c>
      <c r="Z161">
        <v>82</v>
      </c>
      <c r="AA161" t="s">
        <v>3783</v>
      </c>
      <c r="AB161" t="s">
        <v>2006</v>
      </c>
      <c r="AC161">
        <v>1</v>
      </c>
      <c r="AD161">
        <v>1</v>
      </c>
      <c r="AE161">
        <v>0</v>
      </c>
      <c r="AF161">
        <v>453.05</v>
      </c>
      <c r="AG161" t="s">
        <v>298</v>
      </c>
      <c r="AH161" t="s">
        <v>3806</v>
      </c>
      <c r="AI161" t="s">
        <v>3809</v>
      </c>
      <c r="AJ161">
        <v>55000</v>
      </c>
      <c r="AK161" t="s">
        <v>3829</v>
      </c>
      <c r="AP161">
        <v>0</v>
      </c>
      <c r="AR161" t="s">
        <v>4185</v>
      </c>
      <c r="AS161" t="s">
        <v>4210</v>
      </c>
      <c r="AT161" t="s">
        <v>4219</v>
      </c>
    </row>
    <row r="162" spans="1:46">
      <c r="A162" s="1">
        <f>HYPERLINK("https://lsnyc.legalserver.org/matter/dynamic-profile/view/1879530","18-1879530")</f>
        <v>0</v>
      </c>
      <c r="B162" t="s">
        <v>53</v>
      </c>
      <c r="C162" t="s">
        <v>93</v>
      </c>
      <c r="E162" t="s">
        <v>462</v>
      </c>
      <c r="F162" t="s">
        <v>972</v>
      </c>
      <c r="G162" t="s">
        <v>1466</v>
      </c>
      <c r="H162" t="s">
        <v>1793</v>
      </c>
      <c r="I162">
        <v>11216</v>
      </c>
      <c r="J162" t="s">
        <v>2002</v>
      </c>
      <c r="K162" t="s">
        <v>2002</v>
      </c>
      <c r="M162" t="s">
        <v>2129</v>
      </c>
      <c r="N162" t="s">
        <v>2420</v>
      </c>
      <c r="O162" t="s">
        <v>2437</v>
      </c>
      <c r="Q162" t="s">
        <v>2002</v>
      </c>
      <c r="R162" t="s">
        <v>2451</v>
      </c>
      <c r="S162" t="s">
        <v>104</v>
      </c>
      <c r="T162">
        <v>2200</v>
      </c>
      <c r="U162" t="s">
        <v>2494</v>
      </c>
      <c r="W162" t="s">
        <v>2665</v>
      </c>
      <c r="Y162" t="s">
        <v>3430</v>
      </c>
      <c r="Z162">
        <v>82</v>
      </c>
      <c r="AA162" t="s">
        <v>3783</v>
      </c>
      <c r="AB162" t="s">
        <v>2006</v>
      </c>
      <c r="AC162">
        <v>5</v>
      </c>
      <c r="AD162">
        <v>2</v>
      </c>
      <c r="AE162">
        <v>5</v>
      </c>
      <c r="AF162">
        <v>315.29</v>
      </c>
      <c r="AG162" t="s">
        <v>298</v>
      </c>
      <c r="AH162" t="s">
        <v>3806</v>
      </c>
      <c r="AI162" t="s">
        <v>3809</v>
      </c>
      <c r="AJ162">
        <v>120000</v>
      </c>
      <c r="AK162" t="s">
        <v>3830</v>
      </c>
      <c r="AP162">
        <v>0</v>
      </c>
      <c r="AR162" t="s">
        <v>4185</v>
      </c>
      <c r="AS162" t="s">
        <v>4210</v>
      </c>
      <c r="AT162" t="s">
        <v>4219</v>
      </c>
    </row>
    <row r="163" spans="1:46">
      <c r="A163" s="1">
        <f>HYPERLINK("https://lsnyc.legalserver.org/matter/dynamic-profile/view/1879525","18-1879525")</f>
        <v>0</v>
      </c>
      <c r="B163" t="s">
        <v>53</v>
      </c>
      <c r="C163" t="s">
        <v>93</v>
      </c>
      <c r="E163" t="s">
        <v>462</v>
      </c>
      <c r="F163" t="s">
        <v>972</v>
      </c>
      <c r="G163" t="s">
        <v>1466</v>
      </c>
      <c r="H163" t="s">
        <v>1793</v>
      </c>
      <c r="I163">
        <v>11216</v>
      </c>
      <c r="J163" t="s">
        <v>2002</v>
      </c>
      <c r="K163" t="s">
        <v>2002</v>
      </c>
      <c r="M163" t="s">
        <v>2027</v>
      </c>
      <c r="N163" t="s">
        <v>2417</v>
      </c>
      <c r="O163" t="s">
        <v>2436</v>
      </c>
      <c r="Q163" t="s">
        <v>2002</v>
      </c>
      <c r="S163" t="s">
        <v>104</v>
      </c>
      <c r="T163">
        <v>2200</v>
      </c>
      <c r="U163" t="s">
        <v>2494</v>
      </c>
      <c r="W163" t="s">
        <v>2665</v>
      </c>
      <c r="Y163" t="s">
        <v>3430</v>
      </c>
      <c r="Z163">
        <v>82</v>
      </c>
      <c r="AA163" t="s">
        <v>3783</v>
      </c>
      <c r="AB163" t="s">
        <v>2006</v>
      </c>
      <c r="AC163">
        <v>5</v>
      </c>
      <c r="AD163">
        <v>2</v>
      </c>
      <c r="AE163">
        <v>5</v>
      </c>
      <c r="AF163">
        <v>315.29</v>
      </c>
      <c r="AG163" t="s">
        <v>298</v>
      </c>
      <c r="AH163" t="s">
        <v>3806</v>
      </c>
      <c r="AI163" t="s">
        <v>3809</v>
      </c>
      <c r="AJ163">
        <v>120000</v>
      </c>
      <c r="AK163" t="s">
        <v>3830</v>
      </c>
      <c r="AP163">
        <v>0</v>
      </c>
      <c r="AR163" t="s">
        <v>4185</v>
      </c>
      <c r="AS163" t="s">
        <v>4210</v>
      </c>
      <c r="AT163" t="s">
        <v>4219</v>
      </c>
    </row>
    <row r="164" spans="1:46">
      <c r="A164" s="1">
        <f>HYPERLINK("https://lsnyc.legalserver.org/matter/dynamic-profile/view/1876539","18-1876539")</f>
        <v>0</v>
      </c>
      <c r="B164" t="s">
        <v>53</v>
      </c>
      <c r="C164" t="s">
        <v>176</v>
      </c>
      <c r="E164" t="s">
        <v>463</v>
      </c>
      <c r="F164" t="s">
        <v>973</v>
      </c>
      <c r="G164" t="s">
        <v>1466</v>
      </c>
      <c r="H164" t="s">
        <v>1794</v>
      </c>
      <c r="I164">
        <v>11216</v>
      </c>
      <c r="J164" t="s">
        <v>2002</v>
      </c>
      <c r="K164" t="s">
        <v>2002</v>
      </c>
      <c r="M164" t="s">
        <v>2027</v>
      </c>
      <c r="N164" t="s">
        <v>2027</v>
      </c>
      <c r="O164" t="s">
        <v>2436</v>
      </c>
      <c r="Q164" t="s">
        <v>2002</v>
      </c>
      <c r="S164" t="s">
        <v>2464</v>
      </c>
      <c r="T164">
        <v>2300</v>
      </c>
      <c r="U164" t="s">
        <v>2494</v>
      </c>
      <c r="W164" t="s">
        <v>2666</v>
      </c>
      <c r="Y164" t="s">
        <v>3431</v>
      </c>
      <c r="Z164">
        <v>8</v>
      </c>
      <c r="AA164" t="s">
        <v>3783</v>
      </c>
      <c r="AB164" t="s">
        <v>2006</v>
      </c>
      <c r="AC164">
        <v>2</v>
      </c>
      <c r="AD164">
        <v>2</v>
      </c>
      <c r="AE164">
        <v>2</v>
      </c>
      <c r="AF164">
        <v>537.85</v>
      </c>
      <c r="AG164" t="s">
        <v>298</v>
      </c>
      <c r="AH164" t="s">
        <v>3806</v>
      </c>
      <c r="AI164" t="s">
        <v>3809</v>
      </c>
      <c r="AJ164">
        <v>135000</v>
      </c>
      <c r="AK164" t="s">
        <v>3830</v>
      </c>
      <c r="AP164">
        <v>0</v>
      </c>
      <c r="AR164" t="s">
        <v>4185</v>
      </c>
      <c r="AS164" t="s">
        <v>4210</v>
      </c>
      <c r="AT164" t="s">
        <v>4219</v>
      </c>
    </row>
    <row r="165" spans="1:46">
      <c r="A165" s="1">
        <f>HYPERLINK("https://lsnyc.legalserver.org/matter/dynamic-profile/view/1876567","18-1876567")</f>
        <v>0</v>
      </c>
      <c r="B165" t="s">
        <v>53</v>
      </c>
      <c r="C165" t="s">
        <v>177</v>
      </c>
      <c r="E165" t="s">
        <v>464</v>
      </c>
      <c r="F165" t="s">
        <v>974</v>
      </c>
      <c r="G165" t="s">
        <v>1466</v>
      </c>
      <c r="H165" t="s">
        <v>1794</v>
      </c>
      <c r="I165">
        <v>11216</v>
      </c>
      <c r="J165" t="s">
        <v>2002</v>
      </c>
      <c r="K165" t="s">
        <v>2002</v>
      </c>
      <c r="M165" t="s">
        <v>2027</v>
      </c>
      <c r="N165" t="s">
        <v>2027</v>
      </c>
      <c r="O165" t="s">
        <v>2436</v>
      </c>
      <c r="Q165" t="s">
        <v>2002</v>
      </c>
      <c r="S165" t="s">
        <v>86</v>
      </c>
      <c r="T165">
        <v>2300</v>
      </c>
      <c r="U165" t="s">
        <v>2494</v>
      </c>
      <c r="W165" t="s">
        <v>2667</v>
      </c>
      <c r="Y165" t="s">
        <v>3432</v>
      </c>
      <c r="Z165">
        <v>8</v>
      </c>
      <c r="AA165" t="s">
        <v>3783</v>
      </c>
      <c r="AB165" t="s">
        <v>2006</v>
      </c>
      <c r="AC165">
        <v>2</v>
      </c>
      <c r="AD165">
        <v>2</v>
      </c>
      <c r="AE165">
        <v>0</v>
      </c>
      <c r="AF165">
        <v>212.64</v>
      </c>
      <c r="AG165" t="s">
        <v>298</v>
      </c>
      <c r="AH165" t="s">
        <v>3806</v>
      </c>
      <c r="AI165" t="s">
        <v>3809</v>
      </c>
      <c r="AJ165">
        <v>35000</v>
      </c>
      <c r="AK165" t="s">
        <v>3830</v>
      </c>
      <c r="AP165">
        <v>0</v>
      </c>
      <c r="AR165" t="s">
        <v>4185</v>
      </c>
      <c r="AS165" t="s">
        <v>4210</v>
      </c>
      <c r="AT165" t="s">
        <v>4219</v>
      </c>
    </row>
    <row r="166" spans="1:46">
      <c r="A166" s="1">
        <f>HYPERLINK("https://lsnyc.legalserver.org/matter/dynamic-profile/view/1876591","18-1876591")</f>
        <v>0</v>
      </c>
      <c r="B166" t="s">
        <v>53</v>
      </c>
      <c r="C166" t="s">
        <v>177</v>
      </c>
      <c r="E166" t="s">
        <v>465</v>
      </c>
      <c r="F166" t="s">
        <v>975</v>
      </c>
      <c r="G166" t="s">
        <v>1466</v>
      </c>
      <c r="H166" t="s">
        <v>1795</v>
      </c>
      <c r="I166">
        <v>11216</v>
      </c>
      <c r="J166" t="s">
        <v>2002</v>
      </c>
      <c r="K166" t="s">
        <v>2002</v>
      </c>
      <c r="N166" t="s">
        <v>2420</v>
      </c>
      <c r="O166" t="s">
        <v>2437</v>
      </c>
      <c r="Q166" t="s">
        <v>2002</v>
      </c>
      <c r="S166" t="s">
        <v>86</v>
      </c>
      <c r="T166">
        <v>1500</v>
      </c>
      <c r="U166" t="s">
        <v>2494</v>
      </c>
      <c r="W166" t="s">
        <v>2668</v>
      </c>
      <c r="Z166">
        <v>8</v>
      </c>
      <c r="AA166" t="s">
        <v>3783</v>
      </c>
      <c r="AB166" t="s">
        <v>2006</v>
      </c>
      <c r="AC166">
        <v>1</v>
      </c>
      <c r="AD166">
        <v>1</v>
      </c>
      <c r="AE166">
        <v>0</v>
      </c>
      <c r="AF166">
        <v>576.61</v>
      </c>
      <c r="AI166" t="s">
        <v>3809</v>
      </c>
      <c r="AJ166">
        <v>70000</v>
      </c>
      <c r="AK166" t="s">
        <v>3830</v>
      </c>
      <c r="AP166">
        <v>0</v>
      </c>
      <c r="AR166" t="s">
        <v>4185</v>
      </c>
      <c r="AS166" t="s">
        <v>4210</v>
      </c>
      <c r="AT166" t="s">
        <v>4219</v>
      </c>
    </row>
    <row r="167" spans="1:46">
      <c r="A167" s="1">
        <f>HYPERLINK("https://lsnyc.legalserver.org/matter/dynamic-profile/view/1876587","18-1876587")</f>
        <v>0</v>
      </c>
      <c r="B167" t="s">
        <v>53</v>
      </c>
      <c r="C167" t="s">
        <v>177</v>
      </c>
      <c r="E167" t="s">
        <v>465</v>
      </c>
      <c r="F167" t="s">
        <v>975</v>
      </c>
      <c r="G167" t="s">
        <v>1466</v>
      </c>
      <c r="H167" t="s">
        <v>1795</v>
      </c>
      <c r="I167">
        <v>11216</v>
      </c>
      <c r="J167" t="s">
        <v>2002</v>
      </c>
      <c r="K167" t="s">
        <v>2002</v>
      </c>
      <c r="N167" t="s">
        <v>2027</v>
      </c>
      <c r="O167" t="s">
        <v>2436</v>
      </c>
      <c r="Q167" t="s">
        <v>2002</v>
      </c>
      <c r="S167" t="s">
        <v>86</v>
      </c>
      <c r="T167">
        <v>1500</v>
      </c>
      <c r="U167" t="s">
        <v>2494</v>
      </c>
      <c r="W167" t="s">
        <v>2668</v>
      </c>
      <c r="Z167">
        <v>8</v>
      </c>
      <c r="AA167" t="s">
        <v>3783</v>
      </c>
      <c r="AB167" t="s">
        <v>2006</v>
      </c>
      <c r="AC167">
        <v>1</v>
      </c>
      <c r="AD167">
        <v>1</v>
      </c>
      <c r="AE167">
        <v>0</v>
      </c>
      <c r="AF167">
        <v>576.61</v>
      </c>
      <c r="AI167" t="s">
        <v>3809</v>
      </c>
      <c r="AJ167">
        <v>70000</v>
      </c>
      <c r="AK167" t="s">
        <v>3830</v>
      </c>
      <c r="AP167">
        <v>0</v>
      </c>
      <c r="AR167" t="s">
        <v>4185</v>
      </c>
      <c r="AS167" t="s">
        <v>4210</v>
      </c>
      <c r="AT167" t="s">
        <v>4219</v>
      </c>
    </row>
    <row r="168" spans="1:46">
      <c r="A168" s="1">
        <f>HYPERLINK("https://lsnyc.legalserver.org/matter/dynamic-profile/view/1875568","18-1875568")</f>
        <v>0</v>
      </c>
      <c r="B168" t="s">
        <v>53</v>
      </c>
      <c r="C168" t="s">
        <v>87</v>
      </c>
      <c r="D168" t="s">
        <v>313</v>
      </c>
      <c r="E168" t="s">
        <v>466</v>
      </c>
      <c r="F168" t="s">
        <v>976</v>
      </c>
      <c r="G168" t="s">
        <v>1467</v>
      </c>
      <c r="H168" t="s">
        <v>1796</v>
      </c>
      <c r="I168">
        <v>11221</v>
      </c>
      <c r="J168" t="s">
        <v>2002</v>
      </c>
      <c r="K168" t="s">
        <v>2002</v>
      </c>
      <c r="N168" t="s">
        <v>2417</v>
      </c>
      <c r="O168" t="s">
        <v>2436</v>
      </c>
      <c r="P168" t="s">
        <v>2443</v>
      </c>
      <c r="Q168" t="s">
        <v>2002</v>
      </c>
      <c r="S168" t="s">
        <v>87</v>
      </c>
      <c r="T168">
        <v>168</v>
      </c>
      <c r="U168" t="s">
        <v>2509</v>
      </c>
      <c r="V168" t="s">
        <v>2518</v>
      </c>
      <c r="W168" t="s">
        <v>2669</v>
      </c>
      <c r="Y168" t="s">
        <v>3433</v>
      </c>
      <c r="Z168">
        <v>54</v>
      </c>
      <c r="AA168" t="s">
        <v>3783</v>
      </c>
      <c r="AB168" t="s">
        <v>3793</v>
      </c>
      <c r="AC168">
        <v>13</v>
      </c>
      <c r="AD168">
        <v>1</v>
      </c>
      <c r="AE168">
        <v>0</v>
      </c>
      <c r="AF168">
        <v>79.08</v>
      </c>
      <c r="AI168" t="s">
        <v>3809</v>
      </c>
      <c r="AJ168">
        <v>9600</v>
      </c>
      <c r="AK168" t="s">
        <v>3826</v>
      </c>
      <c r="AP168">
        <v>56</v>
      </c>
      <c r="AQ168" t="s">
        <v>249</v>
      </c>
      <c r="AR168" t="s">
        <v>4199</v>
      </c>
      <c r="AS168" t="s">
        <v>4210</v>
      </c>
      <c r="AT168" t="s">
        <v>4219</v>
      </c>
    </row>
    <row r="169" spans="1:46">
      <c r="A169" s="1">
        <f>HYPERLINK("https://lsnyc.legalserver.org/matter/dynamic-profile/view/1876621","18-1876621")</f>
        <v>0</v>
      </c>
      <c r="B169" t="s">
        <v>53</v>
      </c>
      <c r="C169" t="s">
        <v>177</v>
      </c>
      <c r="E169" t="s">
        <v>467</v>
      </c>
      <c r="F169" t="s">
        <v>977</v>
      </c>
      <c r="G169" t="s">
        <v>1466</v>
      </c>
      <c r="H169" t="s">
        <v>1797</v>
      </c>
      <c r="I169">
        <v>11216</v>
      </c>
      <c r="J169" t="s">
        <v>2002</v>
      </c>
      <c r="K169" t="s">
        <v>2002</v>
      </c>
      <c r="M169" t="s">
        <v>2027</v>
      </c>
      <c r="N169" t="s">
        <v>2027</v>
      </c>
      <c r="O169" t="s">
        <v>2436</v>
      </c>
      <c r="S169" t="s">
        <v>87</v>
      </c>
      <c r="T169">
        <v>2450</v>
      </c>
      <c r="U169" t="s">
        <v>2494</v>
      </c>
      <c r="W169" t="s">
        <v>2670</v>
      </c>
      <c r="Y169" t="s">
        <v>3434</v>
      </c>
      <c r="Z169">
        <v>82</v>
      </c>
      <c r="AA169" t="s">
        <v>3783</v>
      </c>
      <c r="AB169" t="s">
        <v>2006</v>
      </c>
      <c r="AC169">
        <v>1</v>
      </c>
      <c r="AD169">
        <v>1</v>
      </c>
      <c r="AE169">
        <v>0</v>
      </c>
      <c r="AF169">
        <v>373.9</v>
      </c>
      <c r="AG169" t="s">
        <v>298</v>
      </c>
      <c r="AH169" t="s">
        <v>3806</v>
      </c>
      <c r="AI169" t="s">
        <v>3809</v>
      </c>
      <c r="AJ169">
        <v>45392</v>
      </c>
      <c r="AK169" t="s">
        <v>3830</v>
      </c>
      <c r="AP169">
        <v>0</v>
      </c>
      <c r="AR169" t="s">
        <v>4185</v>
      </c>
      <c r="AS169" t="s">
        <v>4210</v>
      </c>
      <c r="AT169" t="s">
        <v>4219</v>
      </c>
    </row>
    <row r="170" spans="1:46">
      <c r="A170" s="1">
        <f>HYPERLINK("https://lsnyc.legalserver.org/matter/dynamic-profile/view/1876812","18-1876812")</f>
        <v>0</v>
      </c>
      <c r="B170" t="s">
        <v>53</v>
      </c>
      <c r="C170" t="s">
        <v>110</v>
      </c>
      <c r="E170" t="s">
        <v>468</v>
      </c>
      <c r="F170" t="s">
        <v>978</v>
      </c>
      <c r="G170" t="s">
        <v>1466</v>
      </c>
      <c r="H170" t="s">
        <v>1780</v>
      </c>
      <c r="I170">
        <v>11216</v>
      </c>
      <c r="J170" t="s">
        <v>2002</v>
      </c>
      <c r="K170" t="s">
        <v>2002</v>
      </c>
      <c r="M170" t="s">
        <v>2027</v>
      </c>
      <c r="N170" t="s">
        <v>2027</v>
      </c>
      <c r="O170" t="s">
        <v>2436</v>
      </c>
      <c r="Q170" t="s">
        <v>2002</v>
      </c>
      <c r="S170" t="s">
        <v>87</v>
      </c>
      <c r="T170">
        <v>2350</v>
      </c>
      <c r="U170" t="s">
        <v>2494</v>
      </c>
      <c r="W170" t="s">
        <v>2671</v>
      </c>
      <c r="Y170" t="s">
        <v>3435</v>
      </c>
      <c r="Z170">
        <v>82</v>
      </c>
      <c r="AA170" t="s">
        <v>3783</v>
      </c>
      <c r="AB170" t="s">
        <v>2006</v>
      </c>
      <c r="AC170">
        <v>4</v>
      </c>
      <c r="AD170">
        <v>2</v>
      </c>
      <c r="AE170">
        <v>2</v>
      </c>
      <c r="AF170">
        <v>378.49</v>
      </c>
      <c r="AG170" t="s">
        <v>298</v>
      </c>
      <c r="AH170" t="s">
        <v>3806</v>
      </c>
      <c r="AI170" t="s">
        <v>3809</v>
      </c>
      <c r="AJ170">
        <v>95000</v>
      </c>
      <c r="AK170" t="s">
        <v>3829</v>
      </c>
      <c r="AP170">
        <v>0</v>
      </c>
      <c r="AR170" t="s">
        <v>4185</v>
      </c>
      <c r="AS170" t="s">
        <v>4210</v>
      </c>
      <c r="AT170" t="s">
        <v>4219</v>
      </c>
    </row>
    <row r="171" spans="1:46">
      <c r="A171" s="1">
        <f>HYPERLINK("https://lsnyc.legalserver.org/matter/dynamic-profile/view/1876913","18-1876913")</f>
        <v>0</v>
      </c>
      <c r="B171" t="s">
        <v>53</v>
      </c>
      <c r="C171" t="s">
        <v>175</v>
      </c>
      <c r="E171" t="s">
        <v>469</v>
      </c>
      <c r="F171" t="s">
        <v>979</v>
      </c>
      <c r="G171" t="s">
        <v>1466</v>
      </c>
      <c r="H171" t="s">
        <v>1798</v>
      </c>
      <c r="I171">
        <v>11216</v>
      </c>
      <c r="J171" t="s">
        <v>2002</v>
      </c>
      <c r="K171" t="s">
        <v>2002</v>
      </c>
      <c r="M171" t="s">
        <v>2027</v>
      </c>
      <c r="N171" t="s">
        <v>2027</v>
      </c>
      <c r="O171" t="s">
        <v>2436</v>
      </c>
      <c r="Q171" t="s">
        <v>2002</v>
      </c>
      <c r="S171" t="s">
        <v>87</v>
      </c>
      <c r="T171">
        <v>2200</v>
      </c>
      <c r="U171" t="s">
        <v>2494</v>
      </c>
      <c r="W171" t="s">
        <v>2672</v>
      </c>
      <c r="Y171" t="s">
        <v>3436</v>
      </c>
      <c r="Z171">
        <v>82</v>
      </c>
      <c r="AA171" t="s">
        <v>3783</v>
      </c>
      <c r="AB171" t="s">
        <v>2006</v>
      </c>
      <c r="AC171">
        <v>1</v>
      </c>
      <c r="AD171">
        <v>1</v>
      </c>
      <c r="AE171">
        <v>0</v>
      </c>
      <c r="AF171">
        <v>494.23</v>
      </c>
      <c r="AG171" t="s">
        <v>298</v>
      </c>
      <c r="AH171" t="s">
        <v>3806</v>
      </c>
      <c r="AI171" t="s">
        <v>3809</v>
      </c>
      <c r="AJ171">
        <v>60000</v>
      </c>
      <c r="AK171" t="s">
        <v>3829</v>
      </c>
      <c r="AP171">
        <v>0</v>
      </c>
      <c r="AR171" t="s">
        <v>4185</v>
      </c>
      <c r="AS171" t="s">
        <v>4210</v>
      </c>
      <c r="AT171" t="s">
        <v>4219</v>
      </c>
    </row>
    <row r="172" spans="1:46">
      <c r="A172" s="1">
        <f>HYPERLINK("https://lsnyc.legalserver.org/matter/dynamic-profile/view/1876766","18-1876766")</f>
        <v>0</v>
      </c>
      <c r="B172" t="s">
        <v>53</v>
      </c>
      <c r="C172" t="s">
        <v>110</v>
      </c>
      <c r="E172" t="s">
        <v>470</v>
      </c>
      <c r="F172" t="s">
        <v>980</v>
      </c>
      <c r="G172" t="s">
        <v>1466</v>
      </c>
      <c r="H172" t="s">
        <v>1797</v>
      </c>
      <c r="I172">
        <v>11216</v>
      </c>
      <c r="J172" t="s">
        <v>2002</v>
      </c>
      <c r="K172" t="s">
        <v>2002</v>
      </c>
      <c r="N172" t="s">
        <v>2420</v>
      </c>
      <c r="O172" t="s">
        <v>2437</v>
      </c>
      <c r="Q172" t="s">
        <v>2002</v>
      </c>
      <c r="S172" t="s">
        <v>87</v>
      </c>
      <c r="T172">
        <v>2450</v>
      </c>
      <c r="U172" t="s">
        <v>2494</v>
      </c>
      <c r="W172" t="s">
        <v>2673</v>
      </c>
      <c r="Z172">
        <v>82</v>
      </c>
      <c r="AA172" t="s">
        <v>3783</v>
      </c>
      <c r="AB172" t="s">
        <v>2006</v>
      </c>
      <c r="AC172">
        <v>1</v>
      </c>
      <c r="AD172">
        <v>1</v>
      </c>
      <c r="AE172">
        <v>0</v>
      </c>
      <c r="AF172">
        <v>535.42</v>
      </c>
      <c r="AG172" t="s">
        <v>298</v>
      </c>
      <c r="AH172" t="s">
        <v>3806</v>
      </c>
      <c r="AI172" t="s">
        <v>3809</v>
      </c>
      <c r="AJ172">
        <v>65000</v>
      </c>
      <c r="AK172" t="s">
        <v>3830</v>
      </c>
      <c r="AP172">
        <v>0</v>
      </c>
      <c r="AR172" t="s">
        <v>4185</v>
      </c>
      <c r="AS172" t="s">
        <v>4210</v>
      </c>
      <c r="AT172" t="s">
        <v>4219</v>
      </c>
    </row>
    <row r="173" spans="1:46">
      <c r="A173" s="1">
        <f>HYPERLINK("https://lsnyc.legalserver.org/matter/dynamic-profile/view/1876749","18-1876749")</f>
        <v>0</v>
      </c>
      <c r="B173" t="s">
        <v>53</v>
      </c>
      <c r="C173" t="s">
        <v>110</v>
      </c>
      <c r="E173" t="s">
        <v>470</v>
      </c>
      <c r="F173" t="s">
        <v>980</v>
      </c>
      <c r="G173" t="s">
        <v>1466</v>
      </c>
      <c r="H173" t="s">
        <v>1797</v>
      </c>
      <c r="I173">
        <v>11216</v>
      </c>
      <c r="J173" t="s">
        <v>2002</v>
      </c>
      <c r="K173" t="s">
        <v>2002</v>
      </c>
      <c r="N173" t="s">
        <v>2027</v>
      </c>
      <c r="O173" t="s">
        <v>2436</v>
      </c>
      <c r="S173" t="s">
        <v>87</v>
      </c>
      <c r="T173">
        <v>2450</v>
      </c>
      <c r="U173" t="s">
        <v>2494</v>
      </c>
      <c r="W173" t="s">
        <v>2673</v>
      </c>
      <c r="Z173">
        <v>82</v>
      </c>
      <c r="AA173" t="s">
        <v>3783</v>
      </c>
      <c r="AB173" t="s">
        <v>2006</v>
      </c>
      <c r="AC173">
        <v>1</v>
      </c>
      <c r="AD173">
        <v>1</v>
      </c>
      <c r="AE173">
        <v>0</v>
      </c>
      <c r="AF173">
        <v>535.42</v>
      </c>
      <c r="AG173" t="s">
        <v>298</v>
      </c>
      <c r="AH173" t="s">
        <v>3806</v>
      </c>
      <c r="AI173" t="s">
        <v>3809</v>
      </c>
      <c r="AJ173">
        <v>65000</v>
      </c>
      <c r="AK173" t="s">
        <v>3830</v>
      </c>
      <c r="AP173">
        <v>0</v>
      </c>
      <c r="AR173" t="s">
        <v>4185</v>
      </c>
      <c r="AS173" t="s">
        <v>4210</v>
      </c>
      <c r="AT173" t="s">
        <v>4219</v>
      </c>
    </row>
    <row r="174" spans="1:46">
      <c r="A174" s="1">
        <f>HYPERLINK("https://lsnyc.legalserver.org/matter/dynamic-profile/view/1876744","18-1876744")</f>
        <v>0</v>
      </c>
      <c r="B174" t="s">
        <v>53</v>
      </c>
      <c r="C174" t="s">
        <v>110</v>
      </c>
      <c r="E174" t="s">
        <v>471</v>
      </c>
      <c r="F174" t="s">
        <v>981</v>
      </c>
      <c r="G174" t="s">
        <v>1466</v>
      </c>
      <c r="H174" t="s">
        <v>1799</v>
      </c>
      <c r="I174">
        <v>11216</v>
      </c>
      <c r="J174" t="s">
        <v>2002</v>
      </c>
      <c r="K174" t="s">
        <v>2002</v>
      </c>
      <c r="M174" t="s">
        <v>2027</v>
      </c>
      <c r="N174" t="s">
        <v>2027</v>
      </c>
      <c r="O174" t="s">
        <v>2436</v>
      </c>
      <c r="S174" t="s">
        <v>87</v>
      </c>
      <c r="T174">
        <v>1575</v>
      </c>
      <c r="U174" t="s">
        <v>2494</v>
      </c>
      <c r="W174" t="s">
        <v>2674</v>
      </c>
      <c r="Y174" t="s">
        <v>3437</v>
      </c>
      <c r="Z174">
        <v>82</v>
      </c>
      <c r="AA174" t="s">
        <v>3783</v>
      </c>
      <c r="AB174" t="s">
        <v>2006</v>
      </c>
      <c r="AC174">
        <v>2</v>
      </c>
      <c r="AD174">
        <v>1</v>
      </c>
      <c r="AE174">
        <v>0</v>
      </c>
      <c r="AF174">
        <v>543.66</v>
      </c>
      <c r="AG174" t="s">
        <v>298</v>
      </c>
      <c r="AH174" t="s">
        <v>3806</v>
      </c>
      <c r="AI174" t="s">
        <v>3809</v>
      </c>
      <c r="AJ174">
        <v>66000</v>
      </c>
      <c r="AK174" t="s">
        <v>3830</v>
      </c>
      <c r="AP174">
        <v>0</v>
      </c>
      <c r="AR174" t="s">
        <v>4185</v>
      </c>
      <c r="AS174" t="s">
        <v>4210</v>
      </c>
      <c r="AT174" t="s">
        <v>4219</v>
      </c>
    </row>
    <row r="175" spans="1:46">
      <c r="A175" s="1">
        <f>HYPERLINK("https://lsnyc.legalserver.org/matter/dynamic-profile/view/1876613","18-1876613")</f>
        <v>0</v>
      </c>
      <c r="B175" t="s">
        <v>53</v>
      </c>
      <c r="C175" t="s">
        <v>177</v>
      </c>
      <c r="E175" t="s">
        <v>431</v>
      </c>
      <c r="F175" t="s">
        <v>982</v>
      </c>
      <c r="G175" t="s">
        <v>1466</v>
      </c>
      <c r="H175" t="s">
        <v>1800</v>
      </c>
      <c r="I175">
        <v>11216</v>
      </c>
      <c r="J175" t="s">
        <v>2002</v>
      </c>
      <c r="K175" t="s">
        <v>2002</v>
      </c>
      <c r="M175" t="s">
        <v>2027</v>
      </c>
      <c r="N175" t="s">
        <v>2027</v>
      </c>
      <c r="O175" t="s">
        <v>2436</v>
      </c>
      <c r="S175" t="s">
        <v>87</v>
      </c>
      <c r="T175">
        <v>2100</v>
      </c>
      <c r="U175" t="s">
        <v>2494</v>
      </c>
      <c r="W175" t="s">
        <v>2675</v>
      </c>
      <c r="Y175" t="s">
        <v>3438</v>
      </c>
      <c r="Z175">
        <v>82</v>
      </c>
      <c r="AA175" t="s">
        <v>3783</v>
      </c>
      <c r="AB175" t="s">
        <v>2006</v>
      </c>
      <c r="AC175">
        <v>4</v>
      </c>
      <c r="AD175">
        <v>2</v>
      </c>
      <c r="AE175">
        <v>0</v>
      </c>
      <c r="AF175">
        <v>543.74</v>
      </c>
      <c r="AI175" t="s">
        <v>3809</v>
      </c>
      <c r="AJ175">
        <v>89500</v>
      </c>
      <c r="AK175" t="s">
        <v>3830</v>
      </c>
      <c r="AP175">
        <v>0</v>
      </c>
      <c r="AR175" t="s">
        <v>4185</v>
      </c>
      <c r="AS175" t="s">
        <v>4210</v>
      </c>
      <c r="AT175" t="s">
        <v>4219</v>
      </c>
    </row>
    <row r="176" spans="1:46">
      <c r="A176" s="1">
        <f>HYPERLINK("https://lsnyc.legalserver.org/matter/dynamic-profile/view/1876602","18-1876602")</f>
        <v>0</v>
      </c>
      <c r="B176" t="s">
        <v>53</v>
      </c>
      <c r="C176" t="s">
        <v>177</v>
      </c>
      <c r="E176" t="s">
        <v>472</v>
      </c>
      <c r="F176" t="s">
        <v>983</v>
      </c>
      <c r="G176" t="s">
        <v>1466</v>
      </c>
      <c r="H176" t="s">
        <v>1800</v>
      </c>
      <c r="I176">
        <v>11216</v>
      </c>
      <c r="J176" t="s">
        <v>2002</v>
      </c>
      <c r="K176" t="s">
        <v>2002</v>
      </c>
      <c r="M176" t="s">
        <v>2027</v>
      </c>
      <c r="N176" t="s">
        <v>2027</v>
      </c>
      <c r="O176" t="s">
        <v>2436</v>
      </c>
      <c r="Q176" t="s">
        <v>2002</v>
      </c>
      <c r="S176" t="s">
        <v>87</v>
      </c>
      <c r="T176">
        <v>2100</v>
      </c>
      <c r="U176" t="s">
        <v>2494</v>
      </c>
      <c r="W176" t="s">
        <v>2676</v>
      </c>
      <c r="Y176" t="s">
        <v>3439</v>
      </c>
      <c r="Z176">
        <v>82</v>
      </c>
      <c r="AA176" t="s">
        <v>3783</v>
      </c>
      <c r="AB176" t="s">
        <v>2006</v>
      </c>
      <c r="AC176">
        <v>4</v>
      </c>
      <c r="AD176">
        <v>2</v>
      </c>
      <c r="AE176">
        <v>0</v>
      </c>
      <c r="AF176">
        <v>546.78</v>
      </c>
      <c r="AI176" t="s">
        <v>3809</v>
      </c>
      <c r="AJ176">
        <v>90000</v>
      </c>
      <c r="AK176" t="s">
        <v>3830</v>
      </c>
      <c r="AP176">
        <v>0</v>
      </c>
      <c r="AR176" t="s">
        <v>4185</v>
      </c>
      <c r="AS176" t="s">
        <v>4210</v>
      </c>
      <c r="AT176" t="s">
        <v>4219</v>
      </c>
    </row>
    <row r="177" spans="1:46">
      <c r="A177" s="1">
        <f>HYPERLINK("https://lsnyc.legalserver.org/matter/dynamic-profile/view/1876837","18-1876837")</f>
        <v>0</v>
      </c>
      <c r="B177" t="s">
        <v>53</v>
      </c>
      <c r="C177" t="s">
        <v>110</v>
      </c>
      <c r="E177" t="s">
        <v>473</v>
      </c>
      <c r="F177" t="s">
        <v>984</v>
      </c>
      <c r="G177" t="s">
        <v>1466</v>
      </c>
      <c r="H177" t="s">
        <v>1798</v>
      </c>
      <c r="I177">
        <v>11216</v>
      </c>
      <c r="J177" t="s">
        <v>2002</v>
      </c>
      <c r="K177" t="s">
        <v>2002</v>
      </c>
      <c r="M177" t="s">
        <v>2027</v>
      </c>
      <c r="N177" t="s">
        <v>2027</v>
      </c>
      <c r="O177" t="s">
        <v>2436</v>
      </c>
      <c r="Q177" t="s">
        <v>2002</v>
      </c>
      <c r="S177" t="s">
        <v>87</v>
      </c>
      <c r="T177">
        <v>2200</v>
      </c>
      <c r="U177" t="s">
        <v>2494</v>
      </c>
      <c r="W177" t="s">
        <v>2677</v>
      </c>
      <c r="Y177" t="s">
        <v>3440</v>
      </c>
      <c r="Z177">
        <v>82</v>
      </c>
      <c r="AA177" t="s">
        <v>3783</v>
      </c>
      <c r="AB177" t="s">
        <v>2006</v>
      </c>
      <c r="AC177">
        <v>1</v>
      </c>
      <c r="AD177">
        <v>1</v>
      </c>
      <c r="AE177">
        <v>0</v>
      </c>
      <c r="AF177">
        <v>568.37</v>
      </c>
      <c r="AI177" t="s">
        <v>3809</v>
      </c>
      <c r="AJ177">
        <v>69000</v>
      </c>
      <c r="AK177" t="s">
        <v>3829</v>
      </c>
      <c r="AP177">
        <v>0</v>
      </c>
      <c r="AR177" t="s">
        <v>4185</v>
      </c>
      <c r="AS177" t="s">
        <v>4210</v>
      </c>
      <c r="AT177" t="s">
        <v>4219</v>
      </c>
    </row>
    <row r="178" spans="1:46">
      <c r="A178" s="1">
        <f>HYPERLINK("https://lsnyc.legalserver.org/matter/dynamic-profile/view/1878074","18-1878074")</f>
        <v>0</v>
      </c>
      <c r="B178" t="s">
        <v>53</v>
      </c>
      <c r="C178" t="s">
        <v>91</v>
      </c>
      <c r="E178" t="s">
        <v>474</v>
      </c>
      <c r="F178" t="s">
        <v>985</v>
      </c>
      <c r="G178" t="s">
        <v>1466</v>
      </c>
      <c r="H178" t="s">
        <v>1801</v>
      </c>
      <c r="I178">
        <v>11216</v>
      </c>
      <c r="J178" t="s">
        <v>2002</v>
      </c>
      <c r="K178" t="s">
        <v>2002</v>
      </c>
      <c r="M178" t="s">
        <v>2027</v>
      </c>
      <c r="N178" t="s">
        <v>2027</v>
      </c>
      <c r="O178" t="s">
        <v>2436</v>
      </c>
      <c r="Q178" t="s">
        <v>2002</v>
      </c>
      <c r="S178" t="s">
        <v>87</v>
      </c>
      <c r="T178">
        <v>2300</v>
      </c>
      <c r="U178" t="s">
        <v>2494</v>
      </c>
      <c r="W178" t="s">
        <v>2678</v>
      </c>
      <c r="Y178" t="s">
        <v>3441</v>
      </c>
      <c r="Z178">
        <v>82</v>
      </c>
      <c r="AA178" t="s">
        <v>3783</v>
      </c>
      <c r="AB178" t="s">
        <v>2006</v>
      </c>
      <c r="AC178">
        <v>3</v>
      </c>
      <c r="AD178">
        <v>2</v>
      </c>
      <c r="AE178">
        <v>0</v>
      </c>
      <c r="AF178">
        <v>607.53</v>
      </c>
      <c r="AI178" t="s">
        <v>3809</v>
      </c>
      <c r="AJ178">
        <v>100000</v>
      </c>
      <c r="AK178" t="s">
        <v>3830</v>
      </c>
      <c r="AP178">
        <v>0</v>
      </c>
      <c r="AR178" t="s">
        <v>4185</v>
      </c>
      <c r="AS178" t="s">
        <v>4210</v>
      </c>
      <c r="AT178" t="s">
        <v>4219</v>
      </c>
    </row>
    <row r="179" spans="1:46">
      <c r="A179" s="1">
        <f>HYPERLINK("https://lsnyc.legalserver.org/matter/dynamic-profile/view/1876918","18-1876918")</f>
        <v>0</v>
      </c>
      <c r="B179" t="s">
        <v>53</v>
      </c>
      <c r="C179" t="s">
        <v>175</v>
      </c>
      <c r="D179" t="s">
        <v>311</v>
      </c>
      <c r="E179" t="s">
        <v>351</v>
      </c>
      <c r="F179" t="s">
        <v>986</v>
      </c>
      <c r="G179" t="s">
        <v>1466</v>
      </c>
      <c r="H179" t="s">
        <v>1735</v>
      </c>
      <c r="I179">
        <v>11216</v>
      </c>
      <c r="J179" t="s">
        <v>2002</v>
      </c>
      <c r="K179" t="s">
        <v>2002</v>
      </c>
      <c r="N179" t="s">
        <v>2027</v>
      </c>
      <c r="O179" t="s">
        <v>2436</v>
      </c>
      <c r="P179" t="s">
        <v>2444</v>
      </c>
      <c r="Q179" t="s">
        <v>2002</v>
      </c>
      <c r="S179" t="s">
        <v>87</v>
      </c>
      <c r="T179">
        <v>1600</v>
      </c>
      <c r="U179" t="s">
        <v>2494</v>
      </c>
      <c r="V179" t="s">
        <v>2515</v>
      </c>
      <c r="W179" t="s">
        <v>2679</v>
      </c>
      <c r="Z179">
        <v>82</v>
      </c>
      <c r="AA179" t="s">
        <v>3783</v>
      </c>
      <c r="AB179" t="s">
        <v>2006</v>
      </c>
      <c r="AC179">
        <v>4</v>
      </c>
      <c r="AD179">
        <v>1</v>
      </c>
      <c r="AE179">
        <v>0</v>
      </c>
      <c r="AF179">
        <v>741.35</v>
      </c>
      <c r="AI179" t="s">
        <v>3809</v>
      </c>
      <c r="AJ179">
        <v>90000</v>
      </c>
      <c r="AP179">
        <v>0.1</v>
      </c>
      <c r="AQ179" t="s">
        <v>311</v>
      </c>
      <c r="AR179" t="s">
        <v>4185</v>
      </c>
      <c r="AS179" t="s">
        <v>4210</v>
      </c>
      <c r="AT179" t="s">
        <v>4219</v>
      </c>
    </row>
    <row r="180" spans="1:46">
      <c r="A180" s="1">
        <f>HYPERLINK("https://lsnyc.legalserver.org/matter/dynamic-profile/view/1876803","18-1876803")</f>
        <v>0</v>
      </c>
      <c r="B180" t="s">
        <v>53</v>
      </c>
      <c r="C180" t="s">
        <v>110</v>
      </c>
      <c r="E180" t="s">
        <v>475</v>
      </c>
      <c r="F180" t="s">
        <v>987</v>
      </c>
      <c r="G180" t="s">
        <v>1466</v>
      </c>
      <c r="H180" t="s">
        <v>1781</v>
      </c>
      <c r="I180">
        <v>11216</v>
      </c>
      <c r="J180" t="s">
        <v>2002</v>
      </c>
      <c r="K180" t="s">
        <v>2002</v>
      </c>
      <c r="N180" t="s">
        <v>2420</v>
      </c>
      <c r="O180" t="s">
        <v>2437</v>
      </c>
      <c r="Q180" t="s">
        <v>2002</v>
      </c>
      <c r="S180" t="s">
        <v>87</v>
      </c>
      <c r="T180">
        <v>1550</v>
      </c>
      <c r="U180" t="s">
        <v>2494</v>
      </c>
      <c r="W180" t="s">
        <v>2680</v>
      </c>
      <c r="Z180">
        <v>82</v>
      </c>
      <c r="AA180" t="s">
        <v>3783</v>
      </c>
      <c r="AB180" t="s">
        <v>2006</v>
      </c>
      <c r="AC180">
        <v>1</v>
      </c>
      <c r="AD180">
        <v>1</v>
      </c>
      <c r="AE180">
        <v>0</v>
      </c>
      <c r="AF180">
        <v>823.72</v>
      </c>
      <c r="AI180" t="s">
        <v>3809</v>
      </c>
      <c r="AJ180">
        <v>100000</v>
      </c>
      <c r="AK180" t="s">
        <v>3854</v>
      </c>
      <c r="AP180">
        <v>0</v>
      </c>
      <c r="AR180" t="s">
        <v>4185</v>
      </c>
      <c r="AS180" t="s">
        <v>4210</v>
      </c>
      <c r="AT180" t="s">
        <v>4219</v>
      </c>
    </row>
    <row r="181" spans="1:46">
      <c r="A181" s="1">
        <f>HYPERLINK("https://lsnyc.legalserver.org/matter/dynamic-profile/view/1876799","18-1876799")</f>
        <v>0</v>
      </c>
      <c r="B181" t="s">
        <v>53</v>
      </c>
      <c r="C181" t="s">
        <v>110</v>
      </c>
      <c r="E181" t="s">
        <v>475</v>
      </c>
      <c r="F181" t="s">
        <v>987</v>
      </c>
      <c r="G181" t="s">
        <v>1466</v>
      </c>
      <c r="H181" t="s">
        <v>1781</v>
      </c>
      <c r="I181">
        <v>11216</v>
      </c>
      <c r="J181" t="s">
        <v>2002</v>
      </c>
      <c r="K181" t="s">
        <v>2002</v>
      </c>
      <c r="N181" t="s">
        <v>2027</v>
      </c>
      <c r="O181" t="s">
        <v>2436</v>
      </c>
      <c r="Q181" t="s">
        <v>2002</v>
      </c>
      <c r="S181" t="s">
        <v>87</v>
      </c>
      <c r="T181">
        <v>1550</v>
      </c>
      <c r="U181" t="s">
        <v>2494</v>
      </c>
      <c r="W181" t="s">
        <v>2680</v>
      </c>
      <c r="Z181">
        <v>82</v>
      </c>
      <c r="AA181" t="s">
        <v>3783</v>
      </c>
      <c r="AB181" t="s">
        <v>2006</v>
      </c>
      <c r="AC181">
        <v>1</v>
      </c>
      <c r="AD181">
        <v>1</v>
      </c>
      <c r="AE181">
        <v>0</v>
      </c>
      <c r="AF181">
        <v>823.72</v>
      </c>
      <c r="AI181" t="s">
        <v>3809</v>
      </c>
      <c r="AJ181">
        <v>100000</v>
      </c>
      <c r="AK181" t="s">
        <v>3829</v>
      </c>
      <c r="AP181">
        <v>0</v>
      </c>
      <c r="AR181" t="s">
        <v>4185</v>
      </c>
      <c r="AS181" t="s">
        <v>4210</v>
      </c>
      <c r="AT181" t="s">
        <v>4219</v>
      </c>
    </row>
    <row r="182" spans="1:46">
      <c r="A182" s="1">
        <f>HYPERLINK("https://lsnyc.legalserver.org/matter/dynamic-profile/view/1876828","18-1876828")</f>
        <v>0</v>
      </c>
      <c r="B182" t="s">
        <v>53</v>
      </c>
      <c r="C182" t="s">
        <v>110</v>
      </c>
      <c r="E182" t="s">
        <v>476</v>
      </c>
      <c r="F182" t="s">
        <v>988</v>
      </c>
      <c r="G182" t="s">
        <v>1466</v>
      </c>
      <c r="H182" t="s">
        <v>1802</v>
      </c>
      <c r="I182">
        <v>11216</v>
      </c>
      <c r="J182" t="s">
        <v>2002</v>
      </c>
      <c r="K182" t="s">
        <v>2002</v>
      </c>
      <c r="M182" t="s">
        <v>2027</v>
      </c>
      <c r="N182" t="s">
        <v>2027</v>
      </c>
      <c r="O182" t="s">
        <v>2436</v>
      </c>
      <c r="Q182" t="s">
        <v>2002</v>
      </c>
      <c r="S182" t="s">
        <v>87</v>
      </c>
      <c r="T182">
        <v>1400</v>
      </c>
      <c r="U182" t="s">
        <v>2494</v>
      </c>
      <c r="W182" t="s">
        <v>2681</v>
      </c>
      <c r="Y182" t="s">
        <v>3442</v>
      </c>
      <c r="Z182">
        <v>82</v>
      </c>
      <c r="AA182" t="s">
        <v>3783</v>
      </c>
      <c r="AB182" t="s">
        <v>2006</v>
      </c>
      <c r="AC182">
        <v>2</v>
      </c>
      <c r="AD182">
        <v>1</v>
      </c>
      <c r="AE182">
        <v>0</v>
      </c>
      <c r="AF182">
        <v>838.59</v>
      </c>
      <c r="AI182" t="s">
        <v>3809</v>
      </c>
      <c r="AJ182">
        <v>101805</v>
      </c>
      <c r="AK182" t="s">
        <v>3829</v>
      </c>
      <c r="AP182">
        <v>0</v>
      </c>
      <c r="AR182" t="s">
        <v>4185</v>
      </c>
      <c r="AS182" t="s">
        <v>4210</v>
      </c>
      <c r="AT182" t="s">
        <v>4219</v>
      </c>
    </row>
    <row r="183" spans="1:46">
      <c r="A183" s="1">
        <f>HYPERLINK("https://lsnyc.legalserver.org/matter/dynamic-profile/view/1876793","18-1876793")</f>
        <v>0</v>
      </c>
      <c r="B183" t="s">
        <v>53</v>
      </c>
      <c r="C183" t="s">
        <v>110</v>
      </c>
      <c r="E183" t="s">
        <v>477</v>
      </c>
      <c r="F183" t="s">
        <v>989</v>
      </c>
      <c r="G183" t="s">
        <v>1466</v>
      </c>
      <c r="H183" t="s">
        <v>1803</v>
      </c>
      <c r="I183">
        <v>11216</v>
      </c>
      <c r="J183" t="s">
        <v>2002</v>
      </c>
      <c r="K183" t="s">
        <v>2002</v>
      </c>
      <c r="M183" t="s">
        <v>2027</v>
      </c>
      <c r="N183" t="s">
        <v>2027</v>
      </c>
      <c r="O183" t="s">
        <v>2436</v>
      </c>
      <c r="Q183" t="s">
        <v>2002</v>
      </c>
      <c r="S183" t="s">
        <v>87</v>
      </c>
      <c r="T183">
        <v>1450</v>
      </c>
      <c r="U183" t="s">
        <v>2494</v>
      </c>
      <c r="W183" t="s">
        <v>2682</v>
      </c>
      <c r="Y183" t="s">
        <v>3443</v>
      </c>
      <c r="Z183">
        <v>82</v>
      </c>
      <c r="AA183" t="s">
        <v>3783</v>
      </c>
      <c r="AB183" t="s">
        <v>2006</v>
      </c>
      <c r="AC183">
        <v>0</v>
      </c>
      <c r="AD183">
        <v>1</v>
      </c>
      <c r="AE183">
        <v>0</v>
      </c>
      <c r="AF183">
        <v>873.15</v>
      </c>
      <c r="AI183" t="s">
        <v>3814</v>
      </c>
      <c r="AJ183">
        <v>106000</v>
      </c>
      <c r="AK183" t="s">
        <v>3829</v>
      </c>
      <c r="AP183">
        <v>0</v>
      </c>
      <c r="AR183" t="s">
        <v>4185</v>
      </c>
      <c r="AS183" t="s">
        <v>4210</v>
      </c>
      <c r="AT183" t="s">
        <v>4219</v>
      </c>
    </row>
    <row r="184" spans="1:46">
      <c r="A184" s="1">
        <f>HYPERLINK("https://lsnyc.legalserver.org/matter/dynamic-profile/view/1876577","18-1876577")</f>
        <v>0</v>
      </c>
      <c r="B184" t="s">
        <v>53</v>
      </c>
      <c r="C184" t="s">
        <v>177</v>
      </c>
      <c r="D184" t="s">
        <v>287</v>
      </c>
      <c r="E184" t="s">
        <v>478</v>
      </c>
      <c r="F184" t="s">
        <v>990</v>
      </c>
      <c r="G184" t="s">
        <v>1466</v>
      </c>
      <c r="H184" t="s">
        <v>1804</v>
      </c>
      <c r="I184">
        <v>11216</v>
      </c>
      <c r="J184" t="s">
        <v>2002</v>
      </c>
      <c r="K184" t="s">
        <v>2002</v>
      </c>
      <c r="M184" t="s">
        <v>2027</v>
      </c>
      <c r="N184" t="s">
        <v>2027</v>
      </c>
      <c r="O184" t="s">
        <v>2436</v>
      </c>
      <c r="P184" t="s">
        <v>2443</v>
      </c>
      <c r="S184" t="s">
        <v>73</v>
      </c>
      <c r="T184">
        <v>1630</v>
      </c>
      <c r="U184" t="s">
        <v>2494</v>
      </c>
      <c r="V184" t="s">
        <v>2515</v>
      </c>
      <c r="W184" t="s">
        <v>2683</v>
      </c>
      <c r="Y184" t="s">
        <v>3444</v>
      </c>
      <c r="Z184">
        <v>8</v>
      </c>
      <c r="AA184" t="s">
        <v>3783</v>
      </c>
      <c r="AB184" t="s">
        <v>2006</v>
      </c>
      <c r="AC184">
        <v>2</v>
      </c>
      <c r="AD184">
        <v>1</v>
      </c>
      <c r="AE184">
        <v>0</v>
      </c>
      <c r="AF184">
        <v>535.42</v>
      </c>
      <c r="AG184" t="s">
        <v>298</v>
      </c>
      <c r="AH184" t="s">
        <v>3806</v>
      </c>
      <c r="AI184" t="s">
        <v>3809</v>
      </c>
      <c r="AJ184">
        <v>65000</v>
      </c>
      <c r="AK184" t="s">
        <v>3830</v>
      </c>
      <c r="AP184">
        <v>0.2</v>
      </c>
      <c r="AQ184" t="s">
        <v>133</v>
      </c>
      <c r="AR184" t="s">
        <v>4185</v>
      </c>
      <c r="AS184" t="s">
        <v>4210</v>
      </c>
      <c r="AT184" t="s">
        <v>4219</v>
      </c>
    </row>
    <row r="185" spans="1:46">
      <c r="A185" s="1">
        <f>HYPERLINK("https://lsnyc.legalserver.org/matter/dynamic-profile/view/1876521","18-1876521")</f>
        <v>0</v>
      </c>
      <c r="B185" t="s">
        <v>53</v>
      </c>
      <c r="C185" t="s">
        <v>176</v>
      </c>
      <c r="D185" t="s">
        <v>128</v>
      </c>
      <c r="E185" t="s">
        <v>479</v>
      </c>
      <c r="F185" t="s">
        <v>940</v>
      </c>
      <c r="G185" t="s">
        <v>1468</v>
      </c>
      <c r="H185" t="s">
        <v>1805</v>
      </c>
      <c r="I185">
        <v>11212</v>
      </c>
      <c r="J185" t="s">
        <v>2002</v>
      </c>
      <c r="K185" t="s">
        <v>2002</v>
      </c>
      <c r="M185" t="s">
        <v>2131</v>
      </c>
      <c r="N185" t="s">
        <v>2423</v>
      </c>
      <c r="O185" t="s">
        <v>2436</v>
      </c>
      <c r="P185" t="s">
        <v>2443</v>
      </c>
      <c r="Q185" t="s">
        <v>2002</v>
      </c>
      <c r="R185" t="s">
        <v>2451</v>
      </c>
      <c r="S185" t="s">
        <v>176</v>
      </c>
      <c r="T185">
        <v>2150</v>
      </c>
      <c r="V185" t="s">
        <v>2521</v>
      </c>
      <c r="W185" t="s">
        <v>2684</v>
      </c>
      <c r="Y185" t="s">
        <v>3445</v>
      </c>
      <c r="Z185">
        <v>35</v>
      </c>
      <c r="AA185" t="s">
        <v>3787</v>
      </c>
      <c r="AB185" t="s">
        <v>3793</v>
      </c>
      <c r="AC185">
        <v>27</v>
      </c>
      <c r="AD185">
        <v>1</v>
      </c>
      <c r="AE185">
        <v>1</v>
      </c>
      <c r="AF185">
        <v>14.37</v>
      </c>
      <c r="AI185" t="s">
        <v>3809</v>
      </c>
      <c r="AJ185">
        <v>2366</v>
      </c>
      <c r="AK185" t="s">
        <v>3826</v>
      </c>
      <c r="AP185">
        <v>2.5</v>
      </c>
      <c r="AQ185" t="s">
        <v>128</v>
      </c>
      <c r="AR185" t="s">
        <v>53</v>
      </c>
      <c r="AS185" t="s">
        <v>4215</v>
      </c>
      <c r="AT185" t="s">
        <v>4219</v>
      </c>
    </row>
    <row r="186" spans="1:46">
      <c r="A186" s="1">
        <f>HYPERLINK("https://lsnyc.legalserver.org/matter/dynamic-profile/view/1876519","18-1876519")</f>
        <v>0</v>
      </c>
      <c r="B186" t="s">
        <v>53</v>
      </c>
      <c r="C186" t="s">
        <v>176</v>
      </c>
      <c r="D186" t="s">
        <v>128</v>
      </c>
      <c r="E186" t="s">
        <v>480</v>
      </c>
      <c r="F186" t="s">
        <v>991</v>
      </c>
      <c r="G186" t="s">
        <v>1468</v>
      </c>
      <c r="H186" t="s">
        <v>1737</v>
      </c>
      <c r="I186">
        <v>11212</v>
      </c>
      <c r="J186" t="s">
        <v>2002</v>
      </c>
      <c r="K186" t="s">
        <v>2002</v>
      </c>
      <c r="M186" t="s">
        <v>2131</v>
      </c>
      <c r="N186" t="s">
        <v>2423</v>
      </c>
      <c r="O186" t="s">
        <v>2440</v>
      </c>
      <c r="P186" t="s">
        <v>2448</v>
      </c>
      <c r="Q186" t="s">
        <v>2002</v>
      </c>
      <c r="R186" t="s">
        <v>2451</v>
      </c>
      <c r="S186" t="s">
        <v>176</v>
      </c>
      <c r="T186">
        <v>2152</v>
      </c>
      <c r="U186" t="s">
        <v>2497</v>
      </c>
      <c r="V186" t="s">
        <v>2521</v>
      </c>
      <c r="W186" t="s">
        <v>2685</v>
      </c>
      <c r="Y186" t="s">
        <v>3446</v>
      </c>
      <c r="Z186">
        <v>35</v>
      </c>
      <c r="AA186" t="s">
        <v>3787</v>
      </c>
      <c r="AB186" t="s">
        <v>3793</v>
      </c>
      <c r="AC186">
        <v>16</v>
      </c>
      <c r="AD186">
        <v>2</v>
      </c>
      <c r="AE186">
        <v>0</v>
      </c>
      <c r="AF186">
        <v>256.38</v>
      </c>
      <c r="AI186" t="s">
        <v>3809</v>
      </c>
      <c r="AJ186">
        <v>42200</v>
      </c>
      <c r="AK186" t="s">
        <v>3826</v>
      </c>
      <c r="AP186">
        <v>23.8</v>
      </c>
      <c r="AQ186" t="s">
        <v>181</v>
      </c>
      <c r="AR186" t="s">
        <v>53</v>
      </c>
      <c r="AS186" t="s">
        <v>4215</v>
      </c>
      <c r="AT186" t="s">
        <v>4219</v>
      </c>
    </row>
    <row r="187" spans="1:46">
      <c r="A187" s="1">
        <f>HYPERLINK("https://lsnyc.legalserver.org/matter/dynamic-profile/view/1878063","18-1878063")</f>
        <v>0</v>
      </c>
      <c r="B187" t="s">
        <v>53</v>
      </c>
      <c r="C187" t="s">
        <v>91</v>
      </c>
      <c r="E187" t="s">
        <v>481</v>
      </c>
      <c r="F187" t="s">
        <v>992</v>
      </c>
      <c r="G187" t="s">
        <v>1466</v>
      </c>
      <c r="H187" t="s">
        <v>1753</v>
      </c>
      <c r="I187">
        <v>11216</v>
      </c>
      <c r="J187" t="s">
        <v>2002</v>
      </c>
      <c r="K187" t="s">
        <v>2002</v>
      </c>
      <c r="M187" t="s">
        <v>2027</v>
      </c>
      <c r="N187" t="s">
        <v>2027</v>
      </c>
      <c r="O187" t="s">
        <v>2436</v>
      </c>
      <c r="S187" t="s">
        <v>110</v>
      </c>
      <c r="T187">
        <v>1390</v>
      </c>
      <c r="U187" t="s">
        <v>2494</v>
      </c>
      <c r="W187" t="s">
        <v>2686</v>
      </c>
      <c r="Y187" t="s">
        <v>3447</v>
      </c>
      <c r="Z187">
        <v>82</v>
      </c>
      <c r="AA187" t="s">
        <v>3783</v>
      </c>
      <c r="AB187" t="s">
        <v>2006</v>
      </c>
      <c r="AC187">
        <v>7</v>
      </c>
      <c r="AD187">
        <v>2</v>
      </c>
      <c r="AE187">
        <v>0</v>
      </c>
      <c r="AF187">
        <v>516.4</v>
      </c>
      <c r="AG187" t="s">
        <v>298</v>
      </c>
      <c r="AH187" t="s">
        <v>3806</v>
      </c>
      <c r="AI187" t="s">
        <v>3809</v>
      </c>
      <c r="AJ187">
        <v>85000</v>
      </c>
      <c r="AK187" t="s">
        <v>3830</v>
      </c>
      <c r="AP187">
        <v>0</v>
      </c>
      <c r="AR187" t="s">
        <v>4185</v>
      </c>
      <c r="AS187" t="s">
        <v>4210</v>
      </c>
      <c r="AT187" t="s">
        <v>4219</v>
      </c>
    </row>
    <row r="188" spans="1:46">
      <c r="A188" s="1">
        <f>HYPERLINK("https://lsnyc.legalserver.org/matter/dynamic-profile/view/1878115","18-1878115")</f>
        <v>0</v>
      </c>
      <c r="B188" t="s">
        <v>53</v>
      </c>
      <c r="C188" t="s">
        <v>91</v>
      </c>
      <c r="E188" t="s">
        <v>482</v>
      </c>
      <c r="F188" t="s">
        <v>993</v>
      </c>
      <c r="G188" t="s">
        <v>1466</v>
      </c>
      <c r="H188" t="s">
        <v>1806</v>
      </c>
      <c r="I188">
        <v>11216</v>
      </c>
      <c r="J188" t="s">
        <v>2002</v>
      </c>
      <c r="K188" t="s">
        <v>2004</v>
      </c>
      <c r="N188" t="s">
        <v>2420</v>
      </c>
      <c r="O188" t="s">
        <v>2437</v>
      </c>
      <c r="Q188" t="s">
        <v>2002</v>
      </c>
      <c r="S188" t="s">
        <v>195</v>
      </c>
      <c r="T188">
        <v>1400</v>
      </c>
      <c r="U188" t="s">
        <v>2494</v>
      </c>
      <c r="W188" t="s">
        <v>2687</v>
      </c>
      <c r="Z188">
        <v>82</v>
      </c>
      <c r="AA188" t="s">
        <v>3788</v>
      </c>
      <c r="AB188" t="s">
        <v>2006</v>
      </c>
      <c r="AC188">
        <v>3</v>
      </c>
      <c r="AD188">
        <v>1</v>
      </c>
      <c r="AE188">
        <v>0</v>
      </c>
      <c r="AF188">
        <v>556.01</v>
      </c>
      <c r="AI188" t="s">
        <v>3809</v>
      </c>
      <c r="AJ188">
        <v>67500</v>
      </c>
      <c r="AP188">
        <v>0</v>
      </c>
      <c r="AR188" t="s">
        <v>4185</v>
      </c>
      <c r="AS188" t="s">
        <v>4210</v>
      </c>
      <c r="AT188" t="s">
        <v>4219</v>
      </c>
    </row>
    <row r="189" spans="1:46">
      <c r="A189" s="1">
        <f>HYPERLINK("https://lsnyc.legalserver.org/matter/dynamic-profile/view/1878112","18-1878112")</f>
        <v>0</v>
      </c>
      <c r="B189" t="s">
        <v>53</v>
      </c>
      <c r="C189" t="s">
        <v>91</v>
      </c>
      <c r="E189" t="s">
        <v>482</v>
      </c>
      <c r="F189" t="s">
        <v>993</v>
      </c>
      <c r="G189" t="s">
        <v>1466</v>
      </c>
      <c r="H189" t="s">
        <v>1806</v>
      </c>
      <c r="I189">
        <v>11216</v>
      </c>
      <c r="J189" t="s">
        <v>2002</v>
      </c>
      <c r="K189" t="s">
        <v>2004</v>
      </c>
      <c r="O189" t="s">
        <v>2436</v>
      </c>
      <c r="Q189" t="s">
        <v>2002</v>
      </c>
      <c r="S189" t="s">
        <v>195</v>
      </c>
      <c r="T189">
        <v>1400</v>
      </c>
      <c r="U189" t="s">
        <v>2494</v>
      </c>
      <c r="W189" t="s">
        <v>2687</v>
      </c>
      <c r="Z189">
        <v>82</v>
      </c>
      <c r="AA189" t="s">
        <v>3783</v>
      </c>
      <c r="AB189" t="s">
        <v>2006</v>
      </c>
      <c r="AC189">
        <v>3</v>
      </c>
      <c r="AD189">
        <v>1</v>
      </c>
      <c r="AE189">
        <v>0</v>
      </c>
      <c r="AF189">
        <v>556.01</v>
      </c>
      <c r="AI189" t="s">
        <v>3809</v>
      </c>
      <c r="AJ189">
        <v>67500</v>
      </c>
      <c r="AK189" t="s">
        <v>2436</v>
      </c>
      <c r="AP189">
        <v>1.7</v>
      </c>
      <c r="AQ189" t="s">
        <v>3805</v>
      </c>
      <c r="AR189" t="s">
        <v>4185</v>
      </c>
      <c r="AS189" t="s">
        <v>4210</v>
      </c>
      <c r="AT189" t="s">
        <v>4219</v>
      </c>
    </row>
    <row r="190" spans="1:46">
      <c r="A190" s="1">
        <f>HYPERLINK("https://lsnyc.legalserver.org/matter/dynamic-profile/view/1880247","18-1880247")</f>
        <v>0</v>
      </c>
      <c r="B190" t="s">
        <v>53</v>
      </c>
      <c r="C190" t="s">
        <v>114</v>
      </c>
      <c r="D190" t="s">
        <v>128</v>
      </c>
      <c r="E190" t="s">
        <v>483</v>
      </c>
      <c r="F190" t="s">
        <v>994</v>
      </c>
      <c r="G190" t="s">
        <v>1468</v>
      </c>
      <c r="H190" t="s">
        <v>1734</v>
      </c>
      <c r="I190">
        <v>11212</v>
      </c>
      <c r="J190" t="s">
        <v>2002</v>
      </c>
      <c r="K190" t="s">
        <v>2002</v>
      </c>
      <c r="M190" t="s">
        <v>2027</v>
      </c>
      <c r="N190" t="s">
        <v>2417</v>
      </c>
      <c r="O190" t="s">
        <v>2436</v>
      </c>
      <c r="P190" t="s">
        <v>2448</v>
      </c>
      <c r="Q190" t="s">
        <v>2002</v>
      </c>
      <c r="R190" t="s">
        <v>2451</v>
      </c>
      <c r="S190" t="s">
        <v>90</v>
      </c>
      <c r="T190">
        <v>2150</v>
      </c>
      <c r="U190" t="s">
        <v>2496</v>
      </c>
      <c r="V190" t="s">
        <v>2521</v>
      </c>
      <c r="W190" t="s">
        <v>2688</v>
      </c>
      <c r="X190" t="s">
        <v>3203</v>
      </c>
      <c r="Y190" t="s">
        <v>3448</v>
      </c>
      <c r="Z190">
        <v>70</v>
      </c>
      <c r="AA190" t="s">
        <v>3787</v>
      </c>
      <c r="AB190" t="s">
        <v>3793</v>
      </c>
      <c r="AC190">
        <v>10</v>
      </c>
      <c r="AD190">
        <v>3</v>
      </c>
      <c r="AE190">
        <v>2</v>
      </c>
      <c r="AF190">
        <v>86.31999999999999</v>
      </c>
      <c r="AI190" t="s">
        <v>3809</v>
      </c>
      <c r="AJ190">
        <v>25396.8</v>
      </c>
      <c r="AP190">
        <v>0.5</v>
      </c>
      <c r="AQ190" t="s">
        <v>128</v>
      </c>
      <c r="AR190" t="s">
        <v>4185</v>
      </c>
      <c r="AS190" t="s">
        <v>4210</v>
      </c>
      <c r="AT190" t="s">
        <v>4219</v>
      </c>
    </row>
    <row r="191" spans="1:46">
      <c r="A191" s="1">
        <f>HYPERLINK("https://lsnyc.legalserver.org/matter/dynamic-profile/view/1878058","18-1878058")</f>
        <v>0</v>
      </c>
      <c r="B191" t="s">
        <v>53</v>
      </c>
      <c r="C191" t="s">
        <v>91</v>
      </c>
      <c r="E191" t="s">
        <v>370</v>
      </c>
      <c r="F191" t="s">
        <v>995</v>
      </c>
      <c r="G191" t="s">
        <v>1466</v>
      </c>
      <c r="H191" t="s">
        <v>1807</v>
      </c>
      <c r="I191">
        <v>11216</v>
      </c>
      <c r="J191" t="s">
        <v>2002</v>
      </c>
      <c r="K191" t="s">
        <v>2002</v>
      </c>
      <c r="N191" t="s">
        <v>2420</v>
      </c>
      <c r="O191" t="s">
        <v>2437</v>
      </c>
      <c r="S191" t="s">
        <v>90</v>
      </c>
      <c r="T191">
        <v>1088</v>
      </c>
      <c r="U191" t="s">
        <v>2494</v>
      </c>
      <c r="W191" t="s">
        <v>2689</v>
      </c>
      <c r="Z191">
        <v>82</v>
      </c>
      <c r="AA191" t="s">
        <v>3783</v>
      </c>
      <c r="AB191" t="s">
        <v>2006</v>
      </c>
      <c r="AC191">
        <v>0</v>
      </c>
      <c r="AD191">
        <v>1</v>
      </c>
      <c r="AE191">
        <v>0</v>
      </c>
      <c r="AF191">
        <v>428.34</v>
      </c>
      <c r="AG191" t="s">
        <v>298</v>
      </c>
      <c r="AH191" t="s">
        <v>3806</v>
      </c>
      <c r="AI191" t="s">
        <v>3809</v>
      </c>
      <c r="AJ191">
        <v>52000</v>
      </c>
      <c r="AK191" t="s">
        <v>3830</v>
      </c>
      <c r="AP191">
        <v>0</v>
      </c>
      <c r="AR191" t="s">
        <v>4185</v>
      </c>
      <c r="AS191" t="s">
        <v>4210</v>
      </c>
      <c r="AT191" t="s">
        <v>4219</v>
      </c>
    </row>
    <row r="192" spans="1:46">
      <c r="A192" s="1">
        <f>HYPERLINK("https://lsnyc.legalserver.org/matter/dynamic-profile/view/1878057","18-1878057")</f>
        <v>0</v>
      </c>
      <c r="B192" t="s">
        <v>53</v>
      </c>
      <c r="C192" t="s">
        <v>91</v>
      </c>
      <c r="E192" t="s">
        <v>370</v>
      </c>
      <c r="F192" t="s">
        <v>995</v>
      </c>
      <c r="G192" t="s">
        <v>1466</v>
      </c>
      <c r="H192" t="s">
        <v>1807</v>
      </c>
      <c r="I192">
        <v>11216</v>
      </c>
      <c r="J192" t="s">
        <v>2002</v>
      </c>
      <c r="K192" t="s">
        <v>2002</v>
      </c>
      <c r="M192" t="s">
        <v>2027</v>
      </c>
      <c r="N192" t="s">
        <v>2417</v>
      </c>
      <c r="O192" t="s">
        <v>2436</v>
      </c>
      <c r="S192" t="s">
        <v>90</v>
      </c>
      <c r="T192">
        <v>1088</v>
      </c>
      <c r="U192" t="s">
        <v>2494</v>
      </c>
      <c r="W192" t="s">
        <v>2689</v>
      </c>
      <c r="Z192">
        <v>82</v>
      </c>
      <c r="AA192" t="s">
        <v>3783</v>
      </c>
      <c r="AB192" t="s">
        <v>2006</v>
      </c>
      <c r="AC192">
        <v>0</v>
      </c>
      <c r="AD192">
        <v>1</v>
      </c>
      <c r="AE192">
        <v>0</v>
      </c>
      <c r="AF192">
        <v>428.34</v>
      </c>
      <c r="AG192" t="s">
        <v>298</v>
      </c>
      <c r="AH192" t="s">
        <v>3806</v>
      </c>
      <c r="AI192" t="s">
        <v>3809</v>
      </c>
      <c r="AJ192">
        <v>52000</v>
      </c>
      <c r="AK192" t="s">
        <v>3830</v>
      </c>
      <c r="AP192">
        <v>0</v>
      </c>
      <c r="AR192" t="s">
        <v>4185</v>
      </c>
      <c r="AS192" t="s">
        <v>4210</v>
      </c>
      <c r="AT192" t="s">
        <v>4219</v>
      </c>
    </row>
    <row r="193" spans="1:46">
      <c r="A193" s="1">
        <f>HYPERLINK("https://lsnyc.legalserver.org/matter/dynamic-profile/view/1881489","18-1881489")</f>
        <v>0</v>
      </c>
      <c r="B193" t="s">
        <v>53</v>
      </c>
      <c r="C193" t="s">
        <v>156</v>
      </c>
      <c r="E193" t="s">
        <v>484</v>
      </c>
      <c r="F193" t="s">
        <v>996</v>
      </c>
      <c r="G193" t="s">
        <v>1466</v>
      </c>
      <c r="H193" t="s">
        <v>1742</v>
      </c>
      <c r="I193">
        <v>11216</v>
      </c>
      <c r="J193" t="s">
        <v>2002</v>
      </c>
      <c r="K193" t="s">
        <v>2002</v>
      </c>
      <c r="M193" t="s">
        <v>2129</v>
      </c>
      <c r="N193" t="s">
        <v>2420</v>
      </c>
      <c r="O193" t="s">
        <v>2437</v>
      </c>
      <c r="Q193" t="s">
        <v>2002</v>
      </c>
      <c r="R193" t="s">
        <v>2451</v>
      </c>
      <c r="S193" t="s">
        <v>114</v>
      </c>
      <c r="T193">
        <v>1650</v>
      </c>
      <c r="U193" t="s">
        <v>2494</v>
      </c>
      <c r="W193" t="s">
        <v>2690</v>
      </c>
      <c r="X193" t="s">
        <v>2058</v>
      </c>
      <c r="Y193" t="s">
        <v>3449</v>
      </c>
      <c r="Z193">
        <v>8</v>
      </c>
      <c r="AA193" t="s">
        <v>3783</v>
      </c>
      <c r="AB193" t="s">
        <v>2006</v>
      </c>
      <c r="AC193">
        <v>1</v>
      </c>
      <c r="AD193">
        <v>1</v>
      </c>
      <c r="AE193">
        <v>0</v>
      </c>
      <c r="AF193">
        <v>82.37</v>
      </c>
      <c r="AI193" t="s">
        <v>3809</v>
      </c>
      <c r="AJ193">
        <v>9999.959999999999</v>
      </c>
      <c r="AK193" t="s">
        <v>3830</v>
      </c>
      <c r="AP193">
        <v>0</v>
      </c>
      <c r="AR193" t="s">
        <v>4185</v>
      </c>
      <c r="AS193" t="s">
        <v>4210</v>
      </c>
      <c r="AT193" t="s">
        <v>4219</v>
      </c>
    </row>
    <row r="194" spans="1:46">
      <c r="A194" s="1">
        <f>HYPERLINK("https://lsnyc.legalserver.org/matter/dynamic-profile/view/1881486","18-1881486")</f>
        <v>0</v>
      </c>
      <c r="B194" t="s">
        <v>53</v>
      </c>
      <c r="C194" t="s">
        <v>156</v>
      </c>
      <c r="E194" t="s">
        <v>484</v>
      </c>
      <c r="F194" t="s">
        <v>996</v>
      </c>
      <c r="G194" t="s">
        <v>1466</v>
      </c>
      <c r="H194" t="s">
        <v>1742</v>
      </c>
      <c r="I194">
        <v>11216</v>
      </c>
      <c r="J194" t="s">
        <v>2002</v>
      </c>
      <c r="K194" t="s">
        <v>2002</v>
      </c>
      <c r="M194" t="s">
        <v>2027</v>
      </c>
      <c r="N194" t="s">
        <v>2027</v>
      </c>
      <c r="O194" t="s">
        <v>2436</v>
      </c>
      <c r="Q194" t="s">
        <v>2002</v>
      </c>
      <c r="R194" t="s">
        <v>2451</v>
      </c>
      <c r="S194" t="s">
        <v>114</v>
      </c>
      <c r="T194">
        <v>1650</v>
      </c>
      <c r="U194" t="s">
        <v>2494</v>
      </c>
      <c r="W194" t="s">
        <v>2690</v>
      </c>
      <c r="X194" t="s">
        <v>2006</v>
      </c>
      <c r="Y194" t="s">
        <v>3449</v>
      </c>
      <c r="Z194">
        <v>8</v>
      </c>
      <c r="AA194" t="s">
        <v>3783</v>
      </c>
      <c r="AB194" t="s">
        <v>2006</v>
      </c>
      <c r="AC194">
        <v>1</v>
      </c>
      <c r="AD194">
        <v>1</v>
      </c>
      <c r="AE194">
        <v>0</v>
      </c>
      <c r="AF194">
        <v>82.37</v>
      </c>
      <c r="AH194" t="s">
        <v>3807</v>
      </c>
      <c r="AI194" t="s">
        <v>3809</v>
      </c>
      <c r="AJ194">
        <v>9999.959999999999</v>
      </c>
      <c r="AK194" t="s">
        <v>3830</v>
      </c>
      <c r="AP194">
        <v>0</v>
      </c>
      <c r="AR194" t="s">
        <v>4185</v>
      </c>
      <c r="AS194" t="s">
        <v>4210</v>
      </c>
      <c r="AT194" t="s">
        <v>4219</v>
      </c>
    </row>
    <row r="195" spans="1:46">
      <c r="A195" s="1">
        <f>HYPERLINK("https://lsnyc.legalserver.org/matter/dynamic-profile/view/1881503","18-1881503")</f>
        <v>0</v>
      </c>
      <c r="B195" t="s">
        <v>53</v>
      </c>
      <c r="C195" t="s">
        <v>156</v>
      </c>
      <c r="E195" t="s">
        <v>485</v>
      </c>
      <c r="F195" t="s">
        <v>355</v>
      </c>
      <c r="G195" t="s">
        <v>1466</v>
      </c>
      <c r="H195" t="s">
        <v>1734</v>
      </c>
      <c r="I195">
        <v>11216</v>
      </c>
      <c r="J195" t="s">
        <v>2002</v>
      </c>
      <c r="K195" t="s">
        <v>2002</v>
      </c>
      <c r="M195" t="s">
        <v>2129</v>
      </c>
      <c r="N195" t="s">
        <v>2420</v>
      </c>
      <c r="O195" t="s">
        <v>2437</v>
      </c>
      <c r="Q195" t="s">
        <v>2002</v>
      </c>
      <c r="R195" t="s">
        <v>2451</v>
      </c>
      <c r="S195" t="s">
        <v>126</v>
      </c>
      <c r="T195">
        <v>1450</v>
      </c>
      <c r="U195" t="s">
        <v>2494</v>
      </c>
      <c r="W195" t="s">
        <v>2691</v>
      </c>
      <c r="X195" t="s">
        <v>2006</v>
      </c>
      <c r="Y195" t="s">
        <v>3450</v>
      </c>
      <c r="Z195">
        <v>8</v>
      </c>
      <c r="AA195" t="s">
        <v>3783</v>
      </c>
      <c r="AB195" t="s">
        <v>2006</v>
      </c>
      <c r="AC195">
        <v>2</v>
      </c>
      <c r="AD195">
        <v>1</v>
      </c>
      <c r="AE195">
        <v>0</v>
      </c>
      <c r="AF195">
        <v>708.4</v>
      </c>
      <c r="AH195" t="s">
        <v>3806</v>
      </c>
      <c r="AI195" t="s">
        <v>3809</v>
      </c>
      <c r="AJ195">
        <v>86000</v>
      </c>
      <c r="AK195" t="s">
        <v>3855</v>
      </c>
      <c r="AP195">
        <v>0</v>
      </c>
      <c r="AR195" t="s">
        <v>4185</v>
      </c>
      <c r="AS195" t="s">
        <v>4210</v>
      </c>
      <c r="AT195" t="s">
        <v>4219</v>
      </c>
    </row>
    <row r="196" spans="1:46">
      <c r="A196" s="1">
        <f>HYPERLINK("https://lsnyc.legalserver.org/matter/dynamic-profile/view/1881496","18-1881496")</f>
        <v>0</v>
      </c>
      <c r="B196" t="s">
        <v>53</v>
      </c>
      <c r="C196" t="s">
        <v>156</v>
      </c>
      <c r="E196" t="s">
        <v>485</v>
      </c>
      <c r="F196" t="s">
        <v>355</v>
      </c>
      <c r="G196" t="s">
        <v>1466</v>
      </c>
      <c r="H196" t="s">
        <v>1734</v>
      </c>
      <c r="I196">
        <v>11216</v>
      </c>
      <c r="J196" t="s">
        <v>2002</v>
      </c>
      <c r="K196" t="s">
        <v>2002</v>
      </c>
      <c r="M196" t="s">
        <v>2027</v>
      </c>
      <c r="N196" t="s">
        <v>2027</v>
      </c>
      <c r="O196" t="s">
        <v>2436</v>
      </c>
      <c r="Q196" t="s">
        <v>2002</v>
      </c>
      <c r="R196" t="s">
        <v>2451</v>
      </c>
      <c r="S196" t="s">
        <v>126</v>
      </c>
      <c r="T196">
        <v>1450</v>
      </c>
      <c r="U196" t="s">
        <v>2494</v>
      </c>
      <c r="W196" t="s">
        <v>2691</v>
      </c>
      <c r="X196" t="s">
        <v>2006</v>
      </c>
      <c r="Y196" t="s">
        <v>3450</v>
      </c>
      <c r="Z196">
        <v>8</v>
      </c>
      <c r="AA196" t="s">
        <v>3783</v>
      </c>
      <c r="AB196" t="s">
        <v>2006</v>
      </c>
      <c r="AC196">
        <v>2</v>
      </c>
      <c r="AD196">
        <v>1</v>
      </c>
      <c r="AE196">
        <v>0</v>
      </c>
      <c r="AF196">
        <v>708.4</v>
      </c>
      <c r="AH196" t="s">
        <v>3806</v>
      </c>
      <c r="AI196" t="s">
        <v>3809</v>
      </c>
      <c r="AJ196">
        <v>86000</v>
      </c>
      <c r="AK196" t="s">
        <v>3856</v>
      </c>
      <c r="AP196">
        <v>0</v>
      </c>
      <c r="AR196" t="s">
        <v>4185</v>
      </c>
      <c r="AS196" t="s">
        <v>4210</v>
      </c>
      <c r="AT196" t="s">
        <v>4219</v>
      </c>
    </row>
    <row r="197" spans="1:46">
      <c r="A197" s="1">
        <f>HYPERLINK("https://lsnyc.legalserver.org/matter/dynamic-profile/view/1889424","19-1889424")</f>
        <v>0</v>
      </c>
      <c r="B197" t="s">
        <v>53</v>
      </c>
      <c r="C197" t="s">
        <v>173</v>
      </c>
      <c r="E197" t="s">
        <v>486</v>
      </c>
      <c r="F197" t="s">
        <v>997</v>
      </c>
      <c r="G197" t="s">
        <v>1469</v>
      </c>
      <c r="H197" t="s">
        <v>1808</v>
      </c>
      <c r="I197">
        <v>11208</v>
      </c>
      <c r="J197" t="s">
        <v>2002</v>
      </c>
      <c r="K197" t="s">
        <v>2002</v>
      </c>
      <c r="L197" t="s">
        <v>2005</v>
      </c>
      <c r="M197" t="s">
        <v>2027</v>
      </c>
      <c r="N197" t="s">
        <v>2424</v>
      </c>
      <c r="O197" t="s">
        <v>2441</v>
      </c>
      <c r="Q197" t="s">
        <v>2003</v>
      </c>
      <c r="R197" t="s">
        <v>2451</v>
      </c>
      <c r="S197" t="s">
        <v>267</v>
      </c>
      <c r="T197">
        <v>1350</v>
      </c>
      <c r="U197" t="s">
        <v>2497</v>
      </c>
      <c r="W197" t="s">
        <v>2692</v>
      </c>
      <c r="X197" t="s">
        <v>3204</v>
      </c>
      <c r="Y197" t="s">
        <v>3451</v>
      </c>
      <c r="Z197">
        <v>15</v>
      </c>
      <c r="AA197" t="s">
        <v>3783</v>
      </c>
      <c r="AB197" t="s">
        <v>2006</v>
      </c>
      <c r="AC197">
        <v>2</v>
      </c>
      <c r="AD197">
        <v>2</v>
      </c>
      <c r="AE197">
        <v>3</v>
      </c>
      <c r="AF197">
        <v>64.43000000000001</v>
      </c>
      <c r="AI197" t="s">
        <v>3809</v>
      </c>
      <c r="AJ197">
        <v>19440</v>
      </c>
      <c r="AK197" t="s">
        <v>3857</v>
      </c>
      <c r="AP197">
        <v>7</v>
      </c>
      <c r="AQ197" t="s">
        <v>309</v>
      </c>
      <c r="AR197" t="s">
        <v>4185</v>
      </c>
      <c r="AS197" t="s">
        <v>4210</v>
      </c>
      <c r="AT197" t="s">
        <v>4219</v>
      </c>
    </row>
    <row r="198" spans="1:46">
      <c r="A198" s="1">
        <f>HYPERLINK("https://lsnyc.legalserver.org/matter/dynamic-profile/view/1878068","18-1878068")</f>
        <v>0</v>
      </c>
      <c r="B198" t="s">
        <v>53</v>
      </c>
      <c r="C198" t="s">
        <v>91</v>
      </c>
      <c r="E198" t="s">
        <v>481</v>
      </c>
      <c r="F198" t="s">
        <v>992</v>
      </c>
      <c r="G198" t="s">
        <v>1466</v>
      </c>
      <c r="H198" t="s">
        <v>1753</v>
      </c>
      <c r="I198">
        <v>11216</v>
      </c>
      <c r="J198" t="s">
        <v>2002</v>
      </c>
      <c r="K198" t="s">
        <v>2002</v>
      </c>
      <c r="M198" t="s">
        <v>2129</v>
      </c>
      <c r="N198" t="s">
        <v>2420</v>
      </c>
      <c r="O198" t="s">
        <v>2437</v>
      </c>
      <c r="S198" t="s">
        <v>2465</v>
      </c>
      <c r="T198">
        <v>1390.98</v>
      </c>
      <c r="U198" t="s">
        <v>2494</v>
      </c>
      <c r="W198" t="s">
        <v>2686</v>
      </c>
      <c r="Y198" t="s">
        <v>3447</v>
      </c>
      <c r="Z198">
        <v>82</v>
      </c>
      <c r="AA198" t="s">
        <v>3783</v>
      </c>
      <c r="AB198" t="s">
        <v>2006</v>
      </c>
      <c r="AC198">
        <v>7</v>
      </c>
      <c r="AD198">
        <v>2</v>
      </c>
      <c r="AE198">
        <v>0</v>
      </c>
      <c r="AF198">
        <v>516.4</v>
      </c>
      <c r="AG198" t="s">
        <v>298</v>
      </c>
      <c r="AH198" t="s">
        <v>3806</v>
      </c>
      <c r="AI198" t="s">
        <v>3809</v>
      </c>
      <c r="AJ198">
        <v>85000</v>
      </c>
      <c r="AK198" t="s">
        <v>3830</v>
      </c>
      <c r="AP198">
        <v>0</v>
      </c>
      <c r="AR198" t="s">
        <v>4185</v>
      </c>
      <c r="AS198" t="s">
        <v>4210</v>
      </c>
      <c r="AT198" t="s">
        <v>4219</v>
      </c>
    </row>
    <row r="199" spans="1:46">
      <c r="A199" s="1">
        <f>HYPERLINK("https://lsnyc.legalserver.org/matter/dynamic-profile/view/1876808","18-1876808")</f>
        <v>0</v>
      </c>
      <c r="B199" t="s">
        <v>53</v>
      </c>
      <c r="C199" t="s">
        <v>110</v>
      </c>
      <c r="E199" t="s">
        <v>459</v>
      </c>
      <c r="F199" t="s">
        <v>968</v>
      </c>
      <c r="G199" t="s">
        <v>1466</v>
      </c>
      <c r="H199" t="s">
        <v>1765</v>
      </c>
      <c r="I199">
        <v>11216</v>
      </c>
      <c r="J199" t="s">
        <v>2002</v>
      </c>
      <c r="K199" t="s">
        <v>2002</v>
      </c>
      <c r="M199" t="s">
        <v>2129</v>
      </c>
      <c r="N199" t="s">
        <v>2420</v>
      </c>
      <c r="O199" t="s">
        <v>2437</v>
      </c>
      <c r="Q199" t="s">
        <v>2002</v>
      </c>
      <c r="S199" t="s">
        <v>2466</v>
      </c>
      <c r="T199">
        <v>1350</v>
      </c>
      <c r="U199" t="s">
        <v>2494</v>
      </c>
      <c r="W199" t="s">
        <v>2661</v>
      </c>
      <c r="Y199" t="s">
        <v>3427</v>
      </c>
      <c r="Z199">
        <v>82</v>
      </c>
      <c r="AA199" t="s">
        <v>3783</v>
      </c>
      <c r="AB199" t="s">
        <v>2006</v>
      </c>
      <c r="AC199">
        <v>1</v>
      </c>
      <c r="AD199">
        <v>1</v>
      </c>
      <c r="AE199">
        <v>0</v>
      </c>
      <c r="AF199">
        <v>577.11</v>
      </c>
      <c r="AI199" t="s">
        <v>3809</v>
      </c>
      <c r="AJ199">
        <v>70061</v>
      </c>
      <c r="AK199" t="s">
        <v>3830</v>
      </c>
      <c r="AP199">
        <v>0</v>
      </c>
      <c r="AR199" t="s">
        <v>4185</v>
      </c>
      <c r="AS199" t="s">
        <v>4210</v>
      </c>
      <c r="AT199" t="s">
        <v>4219</v>
      </c>
    </row>
    <row r="200" spans="1:46">
      <c r="A200" s="1">
        <f>HYPERLINK("https://lsnyc.legalserver.org/matter/dynamic-profile/view/1876947","18-1876947")</f>
        <v>0</v>
      </c>
      <c r="B200" t="s">
        <v>53</v>
      </c>
      <c r="C200" t="s">
        <v>175</v>
      </c>
      <c r="E200" t="s">
        <v>461</v>
      </c>
      <c r="F200" t="s">
        <v>970</v>
      </c>
      <c r="G200" t="s">
        <v>1466</v>
      </c>
      <c r="H200" t="s">
        <v>1791</v>
      </c>
      <c r="I200">
        <v>11216</v>
      </c>
      <c r="J200" t="s">
        <v>2002</v>
      </c>
      <c r="K200" t="s">
        <v>2002</v>
      </c>
      <c r="M200" t="s">
        <v>2129</v>
      </c>
      <c r="N200" t="s">
        <v>2420</v>
      </c>
      <c r="O200" t="s">
        <v>2437</v>
      </c>
      <c r="Q200" t="s">
        <v>2002</v>
      </c>
      <c r="S200" t="s">
        <v>283</v>
      </c>
      <c r="T200">
        <v>2450</v>
      </c>
      <c r="U200" t="s">
        <v>2494</v>
      </c>
      <c r="W200" t="s">
        <v>2663</v>
      </c>
      <c r="Y200" t="s">
        <v>3429</v>
      </c>
      <c r="Z200">
        <v>82</v>
      </c>
      <c r="AA200" t="s">
        <v>3783</v>
      </c>
      <c r="AB200" t="s">
        <v>2006</v>
      </c>
      <c r="AC200">
        <v>3</v>
      </c>
      <c r="AD200">
        <v>1</v>
      </c>
      <c r="AE200">
        <v>0</v>
      </c>
      <c r="AF200">
        <v>1087.31</v>
      </c>
      <c r="AI200" t="s">
        <v>3809</v>
      </c>
      <c r="AJ200">
        <v>132000</v>
      </c>
      <c r="AK200" t="s">
        <v>3858</v>
      </c>
      <c r="AP200">
        <v>0.5</v>
      </c>
      <c r="AQ200" t="s">
        <v>4173</v>
      </c>
      <c r="AR200" t="s">
        <v>4185</v>
      </c>
      <c r="AS200" t="s">
        <v>4210</v>
      </c>
      <c r="AT200" t="s">
        <v>4219</v>
      </c>
    </row>
    <row r="201" spans="1:46">
      <c r="A201" s="1">
        <f>HYPERLINK("https://lsnyc.legalserver.org/matter/dynamic-profile/view/1887315","19-1887315")</f>
        <v>0</v>
      </c>
      <c r="B201" t="s">
        <v>53</v>
      </c>
      <c r="C201" t="s">
        <v>100</v>
      </c>
      <c r="D201" t="s">
        <v>100</v>
      </c>
      <c r="E201" t="s">
        <v>410</v>
      </c>
      <c r="F201" t="s">
        <v>998</v>
      </c>
      <c r="G201" t="s">
        <v>1470</v>
      </c>
      <c r="H201" t="s">
        <v>1759</v>
      </c>
      <c r="I201">
        <v>11238</v>
      </c>
      <c r="J201" t="s">
        <v>2002</v>
      </c>
      <c r="K201" t="s">
        <v>2002</v>
      </c>
      <c r="N201" t="s">
        <v>2414</v>
      </c>
      <c r="O201" t="s">
        <v>2439</v>
      </c>
      <c r="P201" t="s">
        <v>2444</v>
      </c>
      <c r="Q201" t="s">
        <v>2003</v>
      </c>
      <c r="S201" t="s">
        <v>161</v>
      </c>
      <c r="T201">
        <v>938</v>
      </c>
      <c r="U201" t="s">
        <v>2494</v>
      </c>
      <c r="V201" t="s">
        <v>2515</v>
      </c>
      <c r="W201" t="s">
        <v>2693</v>
      </c>
      <c r="Y201" t="s">
        <v>3452</v>
      </c>
      <c r="Z201">
        <v>0</v>
      </c>
      <c r="AB201" t="s">
        <v>2006</v>
      </c>
      <c r="AC201">
        <v>25</v>
      </c>
      <c r="AD201">
        <v>1</v>
      </c>
      <c r="AE201">
        <v>0</v>
      </c>
      <c r="AF201">
        <v>98.84999999999999</v>
      </c>
      <c r="AI201" t="s">
        <v>3809</v>
      </c>
      <c r="AJ201">
        <v>12000</v>
      </c>
      <c r="AP201">
        <v>0.2</v>
      </c>
      <c r="AQ201" t="s">
        <v>100</v>
      </c>
      <c r="AR201" t="s">
        <v>49</v>
      </c>
      <c r="AS201" t="s">
        <v>4210</v>
      </c>
      <c r="AT201" t="s">
        <v>4219</v>
      </c>
    </row>
    <row r="202" spans="1:46">
      <c r="A202" s="1">
        <f>HYPERLINK("https://lsnyc.legalserver.org/matter/dynamic-profile/view/1887309","19-1887309")</f>
        <v>0</v>
      </c>
      <c r="B202" t="s">
        <v>53</v>
      </c>
      <c r="C202" t="s">
        <v>100</v>
      </c>
      <c r="D202" t="s">
        <v>100</v>
      </c>
      <c r="E202" t="s">
        <v>410</v>
      </c>
      <c r="F202" t="s">
        <v>999</v>
      </c>
      <c r="G202" t="s">
        <v>1471</v>
      </c>
      <c r="H202">
        <v>3</v>
      </c>
      <c r="I202">
        <v>11236</v>
      </c>
      <c r="J202" t="s">
        <v>2002</v>
      </c>
      <c r="K202" t="s">
        <v>2002</v>
      </c>
      <c r="M202" t="s">
        <v>2132</v>
      </c>
      <c r="N202" t="s">
        <v>2027</v>
      </c>
      <c r="O202" t="s">
        <v>2439</v>
      </c>
      <c r="P202" t="s">
        <v>2444</v>
      </c>
      <c r="Q202" t="s">
        <v>2003</v>
      </c>
      <c r="S202" t="s">
        <v>161</v>
      </c>
      <c r="T202">
        <v>0</v>
      </c>
      <c r="U202" t="s">
        <v>2494</v>
      </c>
      <c r="V202" t="s">
        <v>2515</v>
      </c>
      <c r="W202" t="s">
        <v>2694</v>
      </c>
      <c r="Y202" t="s">
        <v>3453</v>
      </c>
      <c r="Z202">
        <v>0</v>
      </c>
      <c r="AB202" t="s">
        <v>2006</v>
      </c>
      <c r="AC202">
        <v>1</v>
      </c>
      <c r="AD202">
        <v>1</v>
      </c>
      <c r="AE202">
        <v>1</v>
      </c>
      <c r="AF202">
        <v>200.49</v>
      </c>
      <c r="AI202" t="s">
        <v>3809</v>
      </c>
      <c r="AJ202">
        <v>33000</v>
      </c>
      <c r="AP202">
        <v>0.2</v>
      </c>
      <c r="AQ202" t="s">
        <v>100</v>
      </c>
      <c r="AR202" t="s">
        <v>49</v>
      </c>
      <c r="AS202" t="s">
        <v>4212</v>
      </c>
      <c r="AT202" t="s">
        <v>4219</v>
      </c>
    </row>
    <row r="203" spans="1:46">
      <c r="A203" s="1">
        <f>HYPERLINK("https://lsnyc.legalserver.org/matter/dynamic-profile/view/1886348","18-1886348")</f>
        <v>0</v>
      </c>
      <c r="B203" t="s">
        <v>53</v>
      </c>
      <c r="C203" t="s">
        <v>101</v>
      </c>
      <c r="D203" t="s">
        <v>74</v>
      </c>
      <c r="E203" t="s">
        <v>487</v>
      </c>
      <c r="F203" t="s">
        <v>1000</v>
      </c>
      <c r="G203" t="s">
        <v>1472</v>
      </c>
      <c r="H203" t="s">
        <v>1809</v>
      </c>
      <c r="I203">
        <v>11225</v>
      </c>
      <c r="J203" t="s">
        <v>2002</v>
      </c>
      <c r="K203" t="s">
        <v>2002</v>
      </c>
      <c r="M203" t="s">
        <v>2131</v>
      </c>
      <c r="N203" t="s">
        <v>2027</v>
      </c>
      <c r="O203" t="s">
        <v>2439</v>
      </c>
      <c r="P203" t="s">
        <v>2444</v>
      </c>
      <c r="Q203" t="s">
        <v>2003</v>
      </c>
      <c r="S203" t="s">
        <v>161</v>
      </c>
      <c r="T203">
        <v>1637.8</v>
      </c>
      <c r="U203" t="s">
        <v>2494</v>
      </c>
      <c r="V203" t="s">
        <v>2515</v>
      </c>
      <c r="W203" t="s">
        <v>2695</v>
      </c>
      <c r="Z203">
        <v>75</v>
      </c>
      <c r="AA203" t="s">
        <v>3783</v>
      </c>
      <c r="AB203" t="s">
        <v>2006</v>
      </c>
      <c r="AC203">
        <v>48</v>
      </c>
      <c r="AD203">
        <v>1</v>
      </c>
      <c r="AE203">
        <v>0</v>
      </c>
      <c r="AF203">
        <v>593.08</v>
      </c>
      <c r="AI203" t="s">
        <v>3809</v>
      </c>
      <c r="AJ203">
        <v>72000</v>
      </c>
      <c r="AP203">
        <v>1</v>
      </c>
      <c r="AQ203" t="s">
        <v>74</v>
      </c>
      <c r="AR203" t="s">
        <v>49</v>
      </c>
      <c r="AS203" t="s">
        <v>4210</v>
      </c>
      <c r="AT203" t="s">
        <v>4219</v>
      </c>
    </row>
    <row r="204" spans="1:46">
      <c r="A204" s="1">
        <f>HYPERLINK("https://lsnyc.legalserver.org/matter/dynamic-profile/view/1876541","18-1876541")</f>
        <v>0</v>
      </c>
      <c r="B204" t="s">
        <v>53</v>
      </c>
      <c r="C204" t="s">
        <v>176</v>
      </c>
      <c r="E204" t="s">
        <v>463</v>
      </c>
      <c r="F204" t="s">
        <v>973</v>
      </c>
      <c r="G204" t="s">
        <v>1466</v>
      </c>
      <c r="H204" t="s">
        <v>1794</v>
      </c>
      <c r="I204">
        <v>11216</v>
      </c>
      <c r="J204" t="s">
        <v>2002</v>
      </c>
      <c r="K204" t="s">
        <v>2002</v>
      </c>
      <c r="M204" t="s">
        <v>2129</v>
      </c>
      <c r="N204" t="s">
        <v>2420</v>
      </c>
      <c r="O204" t="s">
        <v>2437</v>
      </c>
      <c r="Q204" t="s">
        <v>2002</v>
      </c>
      <c r="S204" t="s">
        <v>268</v>
      </c>
      <c r="T204">
        <v>2300</v>
      </c>
      <c r="U204" t="s">
        <v>2494</v>
      </c>
      <c r="W204" t="s">
        <v>2666</v>
      </c>
      <c r="Y204" t="s">
        <v>3431</v>
      </c>
      <c r="Z204">
        <v>8</v>
      </c>
      <c r="AA204" t="s">
        <v>3783</v>
      </c>
      <c r="AB204" t="s">
        <v>2006</v>
      </c>
      <c r="AC204">
        <v>2</v>
      </c>
      <c r="AD204">
        <v>2</v>
      </c>
      <c r="AE204">
        <v>0</v>
      </c>
      <c r="AF204">
        <v>820.17</v>
      </c>
      <c r="AG204" t="s">
        <v>298</v>
      </c>
      <c r="AH204" t="s">
        <v>3806</v>
      </c>
      <c r="AI204" t="s">
        <v>3809</v>
      </c>
      <c r="AJ204">
        <v>135000</v>
      </c>
      <c r="AK204" t="s">
        <v>3830</v>
      </c>
      <c r="AP204">
        <v>0</v>
      </c>
      <c r="AR204" t="s">
        <v>4185</v>
      </c>
      <c r="AS204" t="s">
        <v>4210</v>
      </c>
      <c r="AT204" t="s">
        <v>4219</v>
      </c>
    </row>
    <row r="205" spans="1:46">
      <c r="A205" s="1">
        <f>HYPERLINK("https://lsnyc.legalserver.org/matter/dynamic-profile/view/1876570","18-1876570")</f>
        <v>0</v>
      </c>
      <c r="B205" t="s">
        <v>53</v>
      </c>
      <c r="C205" t="s">
        <v>177</v>
      </c>
      <c r="E205" t="s">
        <v>464</v>
      </c>
      <c r="F205" t="s">
        <v>974</v>
      </c>
      <c r="G205" t="s">
        <v>1466</v>
      </c>
      <c r="H205" t="s">
        <v>1794</v>
      </c>
      <c r="I205">
        <v>11216</v>
      </c>
      <c r="J205" t="s">
        <v>2002</v>
      </c>
      <c r="K205" t="s">
        <v>2002</v>
      </c>
      <c r="M205" t="s">
        <v>2129</v>
      </c>
      <c r="N205" t="s">
        <v>2420</v>
      </c>
      <c r="O205" t="s">
        <v>2437</v>
      </c>
      <c r="Q205" t="s">
        <v>2002</v>
      </c>
      <c r="S205" t="s">
        <v>237</v>
      </c>
      <c r="T205">
        <v>2300</v>
      </c>
      <c r="U205" t="s">
        <v>2494</v>
      </c>
      <c r="W205" t="s">
        <v>2667</v>
      </c>
      <c r="Y205" t="s">
        <v>3432</v>
      </c>
      <c r="Z205">
        <v>8</v>
      </c>
      <c r="AA205" t="s">
        <v>3783</v>
      </c>
      <c r="AB205" t="s">
        <v>2006</v>
      </c>
      <c r="AC205">
        <v>2</v>
      </c>
      <c r="AD205">
        <v>2</v>
      </c>
      <c r="AE205">
        <v>0</v>
      </c>
      <c r="AF205">
        <v>212.64</v>
      </c>
      <c r="AG205" t="s">
        <v>298</v>
      </c>
      <c r="AH205" t="s">
        <v>3806</v>
      </c>
      <c r="AI205" t="s">
        <v>3809</v>
      </c>
      <c r="AJ205">
        <v>35000</v>
      </c>
      <c r="AK205" t="s">
        <v>3830</v>
      </c>
      <c r="AP205">
        <v>0</v>
      </c>
      <c r="AR205" t="s">
        <v>4185</v>
      </c>
      <c r="AS205" t="s">
        <v>4210</v>
      </c>
      <c r="AT205" t="s">
        <v>4219</v>
      </c>
    </row>
    <row r="206" spans="1:46">
      <c r="A206" s="1">
        <f>HYPERLINK("https://lsnyc.legalserver.org/matter/dynamic-profile/view/1876630","18-1876630")</f>
        <v>0</v>
      </c>
      <c r="B206" t="s">
        <v>53</v>
      </c>
      <c r="C206" t="s">
        <v>177</v>
      </c>
      <c r="E206" t="s">
        <v>467</v>
      </c>
      <c r="F206" t="s">
        <v>977</v>
      </c>
      <c r="G206" t="s">
        <v>1466</v>
      </c>
      <c r="H206" t="s">
        <v>1797</v>
      </c>
      <c r="I206">
        <v>11216</v>
      </c>
      <c r="J206" t="s">
        <v>2002</v>
      </c>
      <c r="K206" t="s">
        <v>2004</v>
      </c>
      <c r="M206" t="s">
        <v>2129</v>
      </c>
      <c r="N206" t="s">
        <v>2420</v>
      </c>
      <c r="O206" t="s">
        <v>2437</v>
      </c>
      <c r="Q206" t="s">
        <v>2002</v>
      </c>
      <c r="S206" t="s">
        <v>101</v>
      </c>
      <c r="T206">
        <v>2450</v>
      </c>
      <c r="U206" t="s">
        <v>2494</v>
      </c>
      <c r="W206" t="s">
        <v>2670</v>
      </c>
      <c r="Y206" t="s">
        <v>3434</v>
      </c>
      <c r="Z206">
        <v>82</v>
      </c>
      <c r="AA206" t="s">
        <v>3783</v>
      </c>
      <c r="AB206" t="s">
        <v>2006</v>
      </c>
      <c r="AC206">
        <v>1</v>
      </c>
      <c r="AD206">
        <v>1</v>
      </c>
      <c r="AE206">
        <v>0</v>
      </c>
      <c r="AF206">
        <v>373.9</v>
      </c>
      <c r="AG206" t="s">
        <v>298</v>
      </c>
      <c r="AH206" t="s">
        <v>3806</v>
      </c>
      <c r="AI206" t="s">
        <v>3809</v>
      </c>
      <c r="AJ206">
        <v>45392</v>
      </c>
      <c r="AP206">
        <v>0</v>
      </c>
      <c r="AR206" t="s">
        <v>4185</v>
      </c>
      <c r="AS206" t="s">
        <v>4210</v>
      </c>
      <c r="AT206" t="s">
        <v>4219</v>
      </c>
    </row>
    <row r="207" spans="1:46">
      <c r="A207" s="1">
        <f>HYPERLINK("https://lsnyc.legalserver.org/matter/dynamic-profile/view/1876814","18-1876814")</f>
        <v>0</v>
      </c>
      <c r="B207" t="s">
        <v>53</v>
      </c>
      <c r="C207" t="s">
        <v>110</v>
      </c>
      <c r="E207" t="s">
        <v>468</v>
      </c>
      <c r="F207" t="s">
        <v>978</v>
      </c>
      <c r="G207" t="s">
        <v>1466</v>
      </c>
      <c r="H207" t="s">
        <v>1780</v>
      </c>
      <c r="I207">
        <v>11216</v>
      </c>
      <c r="J207" t="s">
        <v>2002</v>
      </c>
      <c r="K207" t="s">
        <v>2002</v>
      </c>
      <c r="M207" t="s">
        <v>2129</v>
      </c>
      <c r="N207" t="s">
        <v>2420</v>
      </c>
      <c r="O207" t="s">
        <v>2437</v>
      </c>
      <c r="Q207" t="s">
        <v>2002</v>
      </c>
      <c r="S207" t="s">
        <v>101</v>
      </c>
      <c r="T207">
        <v>2350</v>
      </c>
      <c r="U207" t="s">
        <v>2494</v>
      </c>
      <c r="W207" t="s">
        <v>2671</v>
      </c>
      <c r="Y207" t="s">
        <v>3435</v>
      </c>
      <c r="Z207">
        <v>82</v>
      </c>
      <c r="AA207" t="s">
        <v>3783</v>
      </c>
      <c r="AB207" t="s">
        <v>2006</v>
      </c>
      <c r="AC207">
        <v>4</v>
      </c>
      <c r="AD207">
        <v>2</v>
      </c>
      <c r="AE207">
        <v>2</v>
      </c>
      <c r="AF207">
        <v>378.49</v>
      </c>
      <c r="AG207" t="s">
        <v>298</v>
      </c>
      <c r="AH207" t="s">
        <v>3806</v>
      </c>
      <c r="AI207" t="s">
        <v>3809</v>
      </c>
      <c r="AJ207">
        <v>95000</v>
      </c>
      <c r="AK207" t="s">
        <v>3830</v>
      </c>
      <c r="AP207">
        <v>0</v>
      </c>
      <c r="AR207" t="s">
        <v>4185</v>
      </c>
      <c r="AS207" t="s">
        <v>4210</v>
      </c>
      <c r="AT207" t="s">
        <v>4219</v>
      </c>
    </row>
    <row r="208" spans="1:46">
      <c r="A208" s="1">
        <f>HYPERLINK("https://lsnyc.legalserver.org/matter/dynamic-profile/view/1876914","18-1876914")</f>
        <v>0</v>
      </c>
      <c r="B208" t="s">
        <v>53</v>
      </c>
      <c r="C208" t="s">
        <v>175</v>
      </c>
      <c r="E208" t="s">
        <v>469</v>
      </c>
      <c r="F208" t="s">
        <v>979</v>
      </c>
      <c r="G208" t="s">
        <v>1466</v>
      </c>
      <c r="H208" t="s">
        <v>1798</v>
      </c>
      <c r="I208">
        <v>11216</v>
      </c>
      <c r="J208" t="s">
        <v>2002</v>
      </c>
      <c r="K208" t="s">
        <v>2002</v>
      </c>
      <c r="M208" t="s">
        <v>2129</v>
      </c>
      <c r="N208" t="s">
        <v>2420</v>
      </c>
      <c r="O208" t="s">
        <v>2437</v>
      </c>
      <c r="Q208" t="s">
        <v>2002</v>
      </c>
      <c r="S208" t="s">
        <v>101</v>
      </c>
      <c r="T208">
        <v>2200</v>
      </c>
      <c r="U208" t="s">
        <v>2494</v>
      </c>
      <c r="W208" t="s">
        <v>2672</v>
      </c>
      <c r="Y208" t="s">
        <v>3436</v>
      </c>
      <c r="Z208">
        <v>82</v>
      </c>
      <c r="AA208" t="s">
        <v>3783</v>
      </c>
      <c r="AB208" t="s">
        <v>2006</v>
      </c>
      <c r="AC208">
        <v>1</v>
      </c>
      <c r="AD208">
        <v>1</v>
      </c>
      <c r="AE208">
        <v>0</v>
      </c>
      <c r="AF208">
        <v>494.23</v>
      </c>
      <c r="AG208" t="s">
        <v>298</v>
      </c>
      <c r="AH208" t="s">
        <v>3806</v>
      </c>
      <c r="AI208" t="s">
        <v>3809</v>
      </c>
      <c r="AJ208">
        <v>60000</v>
      </c>
      <c r="AK208" t="s">
        <v>3859</v>
      </c>
      <c r="AP208">
        <v>0</v>
      </c>
      <c r="AR208" t="s">
        <v>4185</v>
      </c>
      <c r="AS208" t="s">
        <v>4210</v>
      </c>
      <c r="AT208" t="s">
        <v>4219</v>
      </c>
    </row>
    <row r="209" spans="1:46">
      <c r="A209" s="1">
        <f>HYPERLINK("https://lsnyc.legalserver.org/matter/dynamic-profile/view/1876746","18-1876746")</f>
        <v>0</v>
      </c>
      <c r="B209" t="s">
        <v>53</v>
      </c>
      <c r="C209" t="s">
        <v>110</v>
      </c>
      <c r="E209" t="s">
        <v>471</v>
      </c>
      <c r="F209" t="s">
        <v>981</v>
      </c>
      <c r="G209" t="s">
        <v>1466</v>
      </c>
      <c r="H209" t="s">
        <v>1799</v>
      </c>
      <c r="I209">
        <v>11216</v>
      </c>
      <c r="J209" t="s">
        <v>2002</v>
      </c>
      <c r="K209" t="s">
        <v>2002</v>
      </c>
      <c r="M209" t="s">
        <v>2129</v>
      </c>
      <c r="N209" t="s">
        <v>2420</v>
      </c>
      <c r="O209" t="s">
        <v>2437</v>
      </c>
      <c r="Q209" t="s">
        <v>2002</v>
      </c>
      <c r="S209" t="s">
        <v>101</v>
      </c>
      <c r="T209">
        <v>1575</v>
      </c>
      <c r="U209" t="s">
        <v>2494</v>
      </c>
      <c r="W209" t="s">
        <v>2674</v>
      </c>
      <c r="Y209" t="s">
        <v>3437</v>
      </c>
      <c r="Z209">
        <v>82</v>
      </c>
      <c r="AA209" t="s">
        <v>3783</v>
      </c>
      <c r="AB209" t="s">
        <v>2006</v>
      </c>
      <c r="AC209">
        <v>2</v>
      </c>
      <c r="AD209">
        <v>1</v>
      </c>
      <c r="AE209">
        <v>0</v>
      </c>
      <c r="AF209">
        <v>543.66</v>
      </c>
      <c r="AG209" t="s">
        <v>298</v>
      </c>
      <c r="AH209" t="s">
        <v>3806</v>
      </c>
      <c r="AI209" t="s">
        <v>3809</v>
      </c>
      <c r="AJ209">
        <v>66000</v>
      </c>
      <c r="AK209" t="s">
        <v>3830</v>
      </c>
      <c r="AP209">
        <v>0</v>
      </c>
      <c r="AR209" t="s">
        <v>4185</v>
      </c>
      <c r="AS209" t="s">
        <v>4210</v>
      </c>
      <c r="AT209" t="s">
        <v>4219</v>
      </c>
    </row>
    <row r="210" spans="1:46">
      <c r="A210" s="1">
        <f>HYPERLINK("https://lsnyc.legalserver.org/matter/dynamic-profile/view/1876618","18-1876618")</f>
        <v>0</v>
      </c>
      <c r="B210" t="s">
        <v>53</v>
      </c>
      <c r="C210" t="s">
        <v>177</v>
      </c>
      <c r="E210" t="s">
        <v>431</v>
      </c>
      <c r="F210" t="s">
        <v>982</v>
      </c>
      <c r="G210" t="s">
        <v>1466</v>
      </c>
      <c r="H210" t="s">
        <v>1800</v>
      </c>
      <c r="I210">
        <v>11216</v>
      </c>
      <c r="J210" t="s">
        <v>2002</v>
      </c>
      <c r="K210" t="s">
        <v>2002</v>
      </c>
      <c r="M210" t="s">
        <v>2129</v>
      </c>
      <c r="N210" t="s">
        <v>2420</v>
      </c>
      <c r="O210" t="s">
        <v>2437</v>
      </c>
      <c r="Q210" t="s">
        <v>2002</v>
      </c>
      <c r="S210" t="s">
        <v>101</v>
      </c>
      <c r="T210">
        <v>2100</v>
      </c>
      <c r="U210" t="s">
        <v>2494</v>
      </c>
      <c r="W210" t="s">
        <v>2675</v>
      </c>
      <c r="Y210" t="s">
        <v>3438</v>
      </c>
      <c r="Z210">
        <v>82</v>
      </c>
      <c r="AA210" t="s">
        <v>3783</v>
      </c>
      <c r="AB210" t="s">
        <v>2006</v>
      </c>
      <c r="AC210">
        <v>4</v>
      </c>
      <c r="AD210">
        <v>2</v>
      </c>
      <c r="AE210">
        <v>0</v>
      </c>
      <c r="AF210">
        <v>543.74</v>
      </c>
      <c r="AI210" t="s">
        <v>3809</v>
      </c>
      <c r="AJ210">
        <v>89500</v>
      </c>
      <c r="AK210" t="s">
        <v>3830</v>
      </c>
      <c r="AP210">
        <v>0</v>
      </c>
      <c r="AR210" t="s">
        <v>4185</v>
      </c>
      <c r="AS210" t="s">
        <v>4210</v>
      </c>
      <c r="AT210" t="s">
        <v>4219</v>
      </c>
    </row>
    <row r="211" spans="1:46">
      <c r="A211" s="1">
        <f>HYPERLINK("https://lsnyc.legalserver.org/matter/dynamic-profile/view/1876606","18-1876606")</f>
        <v>0</v>
      </c>
      <c r="B211" t="s">
        <v>53</v>
      </c>
      <c r="C211" t="s">
        <v>177</v>
      </c>
      <c r="E211" t="s">
        <v>472</v>
      </c>
      <c r="F211" t="s">
        <v>983</v>
      </c>
      <c r="G211" t="s">
        <v>1466</v>
      </c>
      <c r="H211" t="s">
        <v>1800</v>
      </c>
      <c r="I211">
        <v>11216</v>
      </c>
      <c r="J211" t="s">
        <v>2002</v>
      </c>
      <c r="K211" t="s">
        <v>2002</v>
      </c>
      <c r="M211" t="s">
        <v>2129</v>
      </c>
      <c r="N211" t="s">
        <v>2420</v>
      </c>
      <c r="O211" t="s">
        <v>2437</v>
      </c>
      <c r="Q211" t="s">
        <v>2002</v>
      </c>
      <c r="S211" t="s">
        <v>101</v>
      </c>
      <c r="T211">
        <v>2100</v>
      </c>
      <c r="U211" t="s">
        <v>2494</v>
      </c>
      <c r="W211" t="s">
        <v>2676</v>
      </c>
      <c r="Y211" t="s">
        <v>3439</v>
      </c>
      <c r="Z211">
        <v>82</v>
      </c>
      <c r="AA211" t="s">
        <v>3783</v>
      </c>
      <c r="AB211" t="s">
        <v>2006</v>
      </c>
      <c r="AC211">
        <v>4</v>
      </c>
      <c r="AD211">
        <v>2</v>
      </c>
      <c r="AE211">
        <v>0</v>
      </c>
      <c r="AF211">
        <v>546.78</v>
      </c>
      <c r="AI211" t="s">
        <v>3809</v>
      </c>
      <c r="AJ211">
        <v>90000</v>
      </c>
      <c r="AK211" t="s">
        <v>3830</v>
      </c>
      <c r="AP211">
        <v>0</v>
      </c>
      <c r="AR211" t="s">
        <v>4185</v>
      </c>
      <c r="AS211" t="s">
        <v>4210</v>
      </c>
      <c r="AT211" t="s">
        <v>4219</v>
      </c>
    </row>
    <row r="212" spans="1:46">
      <c r="A212" s="1">
        <f>HYPERLINK("https://lsnyc.legalserver.org/matter/dynamic-profile/view/1876838","18-1876838")</f>
        <v>0</v>
      </c>
      <c r="B212" t="s">
        <v>53</v>
      </c>
      <c r="C212" t="s">
        <v>110</v>
      </c>
      <c r="E212" t="s">
        <v>473</v>
      </c>
      <c r="F212" t="s">
        <v>984</v>
      </c>
      <c r="G212" t="s">
        <v>1466</v>
      </c>
      <c r="H212" t="s">
        <v>1798</v>
      </c>
      <c r="I212">
        <v>11216</v>
      </c>
      <c r="J212" t="s">
        <v>2002</v>
      </c>
      <c r="K212" t="s">
        <v>2002</v>
      </c>
      <c r="M212" t="s">
        <v>2129</v>
      </c>
      <c r="N212" t="s">
        <v>2420</v>
      </c>
      <c r="O212" t="s">
        <v>2437</v>
      </c>
      <c r="Q212" t="s">
        <v>2002</v>
      </c>
      <c r="S212" t="s">
        <v>101</v>
      </c>
      <c r="T212">
        <v>2200</v>
      </c>
      <c r="U212" t="s">
        <v>2494</v>
      </c>
      <c r="W212" t="s">
        <v>2677</v>
      </c>
      <c r="Y212" t="s">
        <v>3440</v>
      </c>
      <c r="Z212">
        <v>82</v>
      </c>
      <c r="AA212" t="s">
        <v>3783</v>
      </c>
      <c r="AB212" t="s">
        <v>2006</v>
      </c>
      <c r="AC212">
        <v>1</v>
      </c>
      <c r="AD212">
        <v>1</v>
      </c>
      <c r="AE212">
        <v>0</v>
      </c>
      <c r="AF212">
        <v>568.37</v>
      </c>
      <c r="AI212" t="s">
        <v>3809</v>
      </c>
      <c r="AJ212">
        <v>69000</v>
      </c>
      <c r="AK212" t="s">
        <v>3830</v>
      </c>
      <c r="AP212">
        <v>0</v>
      </c>
      <c r="AR212" t="s">
        <v>4185</v>
      </c>
      <c r="AS212" t="s">
        <v>4210</v>
      </c>
      <c r="AT212" t="s">
        <v>4219</v>
      </c>
    </row>
    <row r="213" spans="1:46">
      <c r="A213" s="1">
        <f>HYPERLINK("https://lsnyc.legalserver.org/matter/dynamic-profile/view/1878081","18-1878081")</f>
        <v>0</v>
      </c>
      <c r="B213" t="s">
        <v>53</v>
      </c>
      <c r="C213" t="s">
        <v>91</v>
      </c>
      <c r="E213" t="s">
        <v>474</v>
      </c>
      <c r="F213" t="s">
        <v>985</v>
      </c>
      <c r="G213" t="s">
        <v>1466</v>
      </c>
      <c r="H213" t="s">
        <v>1801</v>
      </c>
      <c r="I213">
        <v>11216</v>
      </c>
      <c r="J213" t="s">
        <v>2002</v>
      </c>
      <c r="K213" t="s">
        <v>2002</v>
      </c>
      <c r="M213" t="s">
        <v>2129</v>
      </c>
      <c r="N213" t="s">
        <v>2420</v>
      </c>
      <c r="O213" t="s">
        <v>2437</v>
      </c>
      <c r="Q213" t="s">
        <v>2002</v>
      </c>
      <c r="S213" t="s">
        <v>101</v>
      </c>
      <c r="T213">
        <v>2300</v>
      </c>
      <c r="U213" t="s">
        <v>2494</v>
      </c>
      <c r="W213" t="s">
        <v>2678</v>
      </c>
      <c r="Y213" t="s">
        <v>3441</v>
      </c>
      <c r="Z213">
        <v>82</v>
      </c>
      <c r="AA213" t="s">
        <v>3783</v>
      </c>
      <c r="AB213" t="s">
        <v>2006</v>
      </c>
      <c r="AC213">
        <v>3</v>
      </c>
      <c r="AD213">
        <v>2</v>
      </c>
      <c r="AE213">
        <v>0</v>
      </c>
      <c r="AF213">
        <v>607.53</v>
      </c>
      <c r="AI213" t="s">
        <v>3809</v>
      </c>
      <c r="AJ213">
        <v>100000</v>
      </c>
      <c r="AK213" t="s">
        <v>3840</v>
      </c>
      <c r="AP213">
        <v>0</v>
      </c>
      <c r="AR213" t="s">
        <v>4185</v>
      </c>
      <c r="AS213" t="s">
        <v>4210</v>
      </c>
      <c r="AT213" t="s">
        <v>4219</v>
      </c>
    </row>
    <row r="214" spans="1:46">
      <c r="A214" s="1">
        <f>HYPERLINK("https://lsnyc.legalserver.org/matter/dynamic-profile/view/1876833","18-1876833")</f>
        <v>0</v>
      </c>
      <c r="B214" t="s">
        <v>53</v>
      </c>
      <c r="C214" t="s">
        <v>110</v>
      </c>
      <c r="E214" t="s">
        <v>476</v>
      </c>
      <c r="F214" t="s">
        <v>988</v>
      </c>
      <c r="G214" t="s">
        <v>1466</v>
      </c>
      <c r="H214" t="s">
        <v>1802</v>
      </c>
      <c r="I214">
        <v>11216</v>
      </c>
      <c r="J214" t="s">
        <v>2002</v>
      </c>
      <c r="K214" t="s">
        <v>2002</v>
      </c>
      <c r="M214" t="s">
        <v>2129</v>
      </c>
      <c r="N214" t="s">
        <v>2420</v>
      </c>
      <c r="O214" t="s">
        <v>2437</v>
      </c>
      <c r="Q214" t="s">
        <v>2002</v>
      </c>
      <c r="S214" t="s">
        <v>101</v>
      </c>
      <c r="T214">
        <v>1400</v>
      </c>
      <c r="U214" t="s">
        <v>2494</v>
      </c>
      <c r="W214" t="s">
        <v>2681</v>
      </c>
      <c r="Y214" t="s">
        <v>3442</v>
      </c>
      <c r="Z214">
        <v>82</v>
      </c>
      <c r="AA214" t="s">
        <v>3783</v>
      </c>
      <c r="AB214" t="s">
        <v>2006</v>
      </c>
      <c r="AC214">
        <v>2</v>
      </c>
      <c r="AD214">
        <v>1</v>
      </c>
      <c r="AE214">
        <v>0</v>
      </c>
      <c r="AF214">
        <v>838.59</v>
      </c>
      <c r="AI214" t="s">
        <v>3809</v>
      </c>
      <c r="AJ214">
        <v>101805</v>
      </c>
      <c r="AK214" t="s">
        <v>3860</v>
      </c>
      <c r="AP214">
        <v>0</v>
      </c>
      <c r="AR214" t="s">
        <v>4185</v>
      </c>
      <c r="AS214" t="s">
        <v>4210</v>
      </c>
      <c r="AT214" t="s">
        <v>4219</v>
      </c>
    </row>
    <row r="215" spans="1:46">
      <c r="A215" s="1">
        <f>HYPERLINK("https://lsnyc.legalserver.org/matter/dynamic-profile/view/1876797","18-1876797")</f>
        <v>0</v>
      </c>
      <c r="B215" t="s">
        <v>53</v>
      </c>
      <c r="C215" t="s">
        <v>110</v>
      </c>
      <c r="E215" t="s">
        <v>477</v>
      </c>
      <c r="F215" t="s">
        <v>989</v>
      </c>
      <c r="G215" t="s">
        <v>1466</v>
      </c>
      <c r="H215" t="s">
        <v>1803</v>
      </c>
      <c r="I215">
        <v>11216</v>
      </c>
      <c r="J215" t="s">
        <v>2002</v>
      </c>
      <c r="K215" t="s">
        <v>2002</v>
      </c>
      <c r="M215" t="s">
        <v>2129</v>
      </c>
      <c r="N215" t="s">
        <v>2420</v>
      </c>
      <c r="O215" t="s">
        <v>2437</v>
      </c>
      <c r="Q215" t="s">
        <v>2002</v>
      </c>
      <c r="S215" t="s">
        <v>101</v>
      </c>
      <c r="T215">
        <v>1450</v>
      </c>
      <c r="U215" t="s">
        <v>2494</v>
      </c>
      <c r="W215" t="s">
        <v>2682</v>
      </c>
      <c r="Y215" t="s">
        <v>3443</v>
      </c>
      <c r="Z215">
        <v>0</v>
      </c>
      <c r="AA215" t="s">
        <v>3783</v>
      </c>
      <c r="AB215" t="s">
        <v>2006</v>
      </c>
      <c r="AC215">
        <v>0</v>
      </c>
      <c r="AD215">
        <v>1</v>
      </c>
      <c r="AE215">
        <v>0</v>
      </c>
      <c r="AF215">
        <v>873.15</v>
      </c>
      <c r="AI215" t="s">
        <v>3814</v>
      </c>
      <c r="AJ215">
        <v>106000</v>
      </c>
      <c r="AK215" t="s">
        <v>3861</v>
      </c>
      <c r="AP215">
        <v>0</v>
      </c>
      <c r="AR215" t="s">
        <v>4185</v>
      </c>
      <c r="AS215" t="s">
        <v>4210</v>
      </c>
      <c r="AT215" t="s">
        <v>4219</v>
      </c>
    </row>
    <row r="216" spans="1:46">
      <c r="A216" s="1">
        <f>HYPERLINK("https://lsnyc.legalserver.org/matter/dynamic-profile/view/1890137","19-1890137")</f>
        <v>0</v>
      </c>
      <c r="B216" t="s">
        <v>53</v>
      </c>
      <c r="C216" t="s">
        <v>178</v>
      </c>
      <c r="E216" t="s">
        <v>488</v>
      </c>
      <c r="F216" t="s">
        <v>1001</v>
      </c>
      <c r="G216" t="s">
        <v>1473</v>
      </c>
      <c r="H216" t="s">
        <v>1775</v>
      </c>
      <c r="I216">
        <v>11212</v>
      </c>
      <c r="J216" t="s">
        <v>2002</v>
      </c>
      <c r="K216" t="s">
        <v>2002</v>
      </c>
      <c r="N216" t="s">
        <v>2414</v>
      </c>
      <c r="O216" t="s">
        <v>2437</v>
      </c>
      <c r="Q216" t="s">
        <v>2002</v>
      </c>
      <c r="R216" t="s">
        <v>2451</v>
      </c>
      <c r="S216" t="s">
        <v>160</v>
      </c>
      <c r="T216">
        <v>1000</v>
      </c>
      <c r="U216" t="s">
        <v>2496</v>
      </c>
      <c r="W216" t="s">
        <v>2696</v>
      </c>
      <c r="Z216">
        <v>71</v>
      </c>
      <c r="AA216" t="s">
        <v>3783</v>
      </c>
      <c r="AB216" t="s">
        <v>3793</v>
      </c>
      <c r="AC216">
        <v>45</v>
      </c>
      <c r="AD216">
        <v>1</v>
      </c>
      <c r="AE216">
        <v>0</v>
      </c>
      <c r="AF216">
        <v>67.25</v>
      </c>
      <c r="AI216" t="s">
        <v>3809</v>
      </c>
      <c r="AJ216">
        <v>8400</v>
      </c>
      <c r="AP216">
        <v>0</v>
      </c>
      <c r="AR216" t="s">
        <v>4185</v>
      </c>
      <c r="AS216" t="s">
        <v>4210</v>
      </c>
      <c r="AT216" t="s">
        <v>4219</v>
      </c>
    </row>
    <row r="217" spans="1:46">
      <c r="A217" s="1">
        <f>HYPERLINK("https://lsnyc.legalserver.org/matter/dynamic-profile/view/1897431","19-1897431")</f>
        <v>0</v>
      </c>
      <c r="B217" t="s">
        <v>53</v>
      </c>
      <c r="C217" t="s">
        <v>169</v>
      </c>
      <c r="E217" t="s">
        <v>489</v>
      </c>
      <c r="F217" t="s">
        <v>1002</v>
      </c>
      <c r="G217" t="s">
        <v>1474</v>
      </c>
      <c r="H217" t="s">
        <v>1748</v>
      </c>
      <c r="I217">
        <v>11233</v>
      </c>
      <c r="J217" t="s">
        <v>2002</v>
      </c>
      <c r="K217" t="s">
        <v>2002</v>
      </c>
      <c r="N217" t="s">
        <v>2417</v>
      </c>
      <c r="O217" t="s">
        <v>2436</v>
      </c>
      <c r="Q217" t="s">
        <v>2003</v>
      </c>
      <c r="R217" t="s">
        <v>2451</v>
      </c>
      <c r="S217" t="s">
        <v>282</v>
      </c>
      <c r="T217">
        <v>0</v>
      </c>
      <c r="U217" t="s">
        <v>2497</v>
      </c>
      <c r="W217" t="s">
        <v>2697</v>
      </c>
      <c r="Y217" t="s">
        <v>3454</v>
      </c>
      <c r="Z217">
        <v>6</v>
      </c>
      <c r="AA217" t="s">
        <v>3783</v>
      </c>
      <c r="AC217">
        <v>0</v>
      </c>
      <c r="AD217">
        <v>1</v>
      </c>
      <c r="AE217">
        <v>0</v>
      </c>
      <c r="AF217">
        <v>80.06</v>
      </c>
      <c r="AI217" t="s">
        <v>3809</v>
      </c>
      <c r="AJ217">
        <v>10000</v>
      </c>
      <c r="AP217">
        <v>27.1</v>
      </c>
      <c r="AQ217" t="s">
        <v>318</v>
      </c>
      <c r="AR217" t="s">
        <v>4185</v>
      </c>
      <c r="AS217" t="s">
        <v>4210</v>
      </c>
      <c r="AT217" t="s">
        <v>4219</v>
      </c>
    </row>
    <row r="218" spans="1:46">
      <c r="A218" s="1">
        <f>HYPERLINK("https://lsnyc.legalserver.org/matter/dynamic-profile/view/1889466","19-1889466")</f>
        <v>0</v>
      </c>
      <c r="B218" t="s">
        <v>53</v>
      </c>
      <c r="C218" t="s">
        <v>173</v>
      </c>
      <c r="E218" t="s">
        <v>490</v>
      </c>
      <c r="F218" t="s">
        <v>1003</v>
      </c>
      <c r="G218" t="s">
        <v>1475</v>
      </c>
      <c r="H218" t="s">
        <v>1745</v>
      </c>
      <c r="I218">
        <v>11208</v>
      </c>
      <c r="J218" t="s">
        <v>2002</v>
      </c>
      <c r="K218" t="s">
        <v>2002</v>
      </c>
      <c r="M218" t="s">
        <v>2133</v>
      </c>
      <c r="N218" t="s">
        <v>2413</v>
      </c>
      <c r="O218" t="s">
        <v>2436</v>
      </c>
      <c r="Q218" t="s">
        <v>2003</v>
      </c>
      <c r="S218" t="s">
        <v>282</v>
      </c>
      <c r="T218">
        <v>1150</v>
      </c>
      <c r="U218" t="s">
        <v>2505</v>
      </c>
      <c r="W218" t="s">
        <v>2698</v>
      </c>
      <c r="Y218" t="s">
        <v>3455</v>
      </c>
      <c r="Z218">
        <v>5</v>
      </c>
      <c r="AA218" t="s">
        <v>3784</v>
      </c>
      <c r="AB218" t="s">
        <v>2006</v>
      </c>
      <c r="AC218">
        <v>6</v>
      </c>
      <c r="AD218">
        <v>2</v>
      </c>
      <c r="AE218">
        <v>0</v>
      </c>
      <c r="AF218">
        <v>123</v>
      </c>
      <c r="AI218" t="s">
        <v>3809</v>
      </c>
      <c r="AJ218">
        <v>20800</v>
      </c>
      <c r="AP218">
        <v>3</v>
      </c>
      <c r="AQ218" t="s">
        <v>282</v>
      </c>
      <c r="AR218" t="s">
        <v>49</v>
      </c>
      <c r="AS218" t="s">
        <v>4210</v>
      </c>
      <c r="AT218" t="s">
        <v>4219</v>
      </c>
    </row>
    <row r="219" spans="1:46">
      <c r="A219" s="1">
        <f>HYPERLINK("https://lsnyc.legalserver.org/matter/dynamic-profile/view/1891216","19-1891216")</f>
        <v>0</v>
      </c>
      <c r="B219" t="s">
        <v>53</v>
      </c>
      <c r="C219" t="s">
        <v>179</v>
      </c>
      <c r="E219" t="s">
        <v>491</v>
      </c>
      <c r="F219" t="s">
        <v>1004</v>
      </c>
      <c r="G219" t="s">
        <v>1476</v>
      </c>
      <c r="I219">
        <v>11208</v>
      </c>
      <c r="J219" t="s">
        <v>2002</v>
      </c>
      <c r="K219" t="s">
        <v>2003</v>
      </c>
      <c r="L219" t="s">
        <v>2005</v>
      </c>
      <c r="M219" t="s">
        <v>2134</v>
      </c>
      <c r="N219" t="s">
        <v>2413</v>
      </c>
      <c r="O219" t="s">
        <v>2436</v>
      </c>
      <c r="Q219" t="s">
        <v>2003</v>
      </c>
      <c r="R219" t="s">
        <v>2451</v>
      </c>
      <c r="S219" t="s">
        <v>282</v>
      </c>
      <c r="T219">
        <v>1574</v>
      </c>
      <c r="U219" t="s">
        <v>2495</v>
      </c>
      <c r="W219" t="s">
        <v>2699</v>
      </c>
      <c r="X219" t="s">
        <v>2006</v>
      </c>
      <c r="Y219" t="s">
        <v>3456</v>
      </c>
      <c r="Z219">
        <v>2</v>
      </c>
      <c r="AA219" t="s">
        <v>3784</v>
      </c>
      <c r="AB219" t="s">
        <v>2006</v>
      </c>
      <c r="AC219">
        <v>15</v>
      </c>
      <c r="AD219">
        <v>3</v>
      </c>
      <c r="AE219">
        <v>0</v>
      </c>
      <c r="AF219">
        <v>134.08</v>
      </c>
      <c r="AI219" t="s">
        <v>3809</v>
      </c>
      <c r="AJ219">
        <v>28600</v>
      </c>
      <c r="AP219">
        <v>3.5</v>
      </c>
      <c r="AQ219" t="s">
        <v>282</v>
      </c>
      <c r="AR219" t="s">
        <v>49</v>
      </c>
      <c r="AS219" t="s">
        <v>4210</v>
      </c>
      <c r="AT219" t="s">
        <v>4219</v>
      </c>
    </row>
    <row r="220" spans="1:46">
      <c r="A220" s="1">
        <f>HYPERLINK("https://lsnyc.legalserver.org/matter/dynamic-profile/view/1894669","19-1894669")</f>
        <v>0</v>
      </c>
      <c r="B220" t="s">
        <v>53</v>
      </c>
      <c r="C220" t="s">
        <v>139</v>
      </c>
      <c r="E220" t="s">
        <v>492</v>
      </c>
      <c r="F220" t="s">
        <v>1005</v>
      </c>
      <c r="G220" t="s">
        <v>1477</v>
      </c>
      <c r="H220">
        <v>3</v>
      </c>
      <c r="I220">
        <v>11208</v>
      </c>
      <c r="J220" t="s">
        <v>2002</v>
      </c>
      <c r="K220" t="s">
        <v>2002</v>
      </c>
      <c r="M220" t="s">
        <v>2135</v>
      </c>
      <c r="N220" t="s">
        <v>2413</v>
      </c>
      <c r="O220" t="s">
        <v>2436</v>
      </c>
      <c r="Q220" t="s">
        <v>2003</v>
      </c>
      <c r="R220" t="s">
        <v>2451</v>
      </c>
      <c r="S220" t="s">
        <v>103</v>
      </c>
      <c r="T220">
        <v>1515</v>
      </c>
      <c r="U220" t="s">
        <v>2501</v>
      </c>
      <c r="W220" t="s">
        <v>2700</v>
      </c>
      <c r="X220" t="s">
        <v>3205</v>
      </c>
      <c r="Y220" t="s">
        <v>3457</v>
      </c>
      <c r="Z220">
        <v>3</v>
      </c>
      <c r="AA220" t="s">
        <v>3784</v>
      </c>
      <c r="AB220" t="s">
        <v>3796</v>
      </c>
      <c r="AC220">
        <v>1</v>
      </c>
      <c r="AD220">
        <v>2</v>
      </c>
      <c r="AE220">
        <v>1</v>
      </c>
      <c r="AF220">
        <v>23.65</v>
      </c>
      <c r="AI220" t="s">
        <v>3809</v>
      </c>
      <c r="AJ220">
        <v>5044</v>
      </c>
      <c r="AP220">
        <v>3.2</v>
      </c>
      <c r="AQ220" t="s">
        <v>248</v>
      </c>
      <c r="AR220" t="s">
        <v>4185</v>
      </c>
      <c r="AS220" t="s">
        <v>4210</v>
      </c>
      <c r="AT220" t="s">
        <v>4219</v>
      </c>
    </row>
    <row r="221" spans="1:46">
      <c r="A221" s="1">
        <f>HYPERLINK("https://lsnyc.legalserver.org/matter/dynamic-profile/view/1893304","19-1893304")</f>
        <v>0</v>
      </c>
      <c r="B221" t="s">
        <v>53</v>
      </c>
      <c r="C221" t="s">
        <v>95</v>
      </c>
      <c r="D221" t="s">
        <v>263</v>
      </c>
      <c r="E221" t="s">
        <v>493</v>
      </c>
      <c r="F221" t="s">
        <v>940</v>
      </c>
      <c r="G221" t="s">
        <v>1478</v>
      </c>
      <c r="H221" t="s">
        <v>1810</v>
      </c>
      <c r="I221">
        <v>11212</v>
      </c>
      <c r="J221" t="s">
        <v>2002</v>
      </c>
      <c r="K221" t="s">
        <v>2002</v>
      </c>
      <c r="L221" t="s">
        <v>2006</v>
      </c>
      <c r="M221" t="s">
        <v>2131</v>
      </c>
      <c r="N221" t="s">
        <v>2424</v>
      </c>
      <c r="O221" t="s">
        <v>2441</v>
      </c>
      <c r="P221" t="s">
        <v>2444</v>
      </c>
      <c r="Q221" t="s">
        <v>2002</v>
      </c>
      <c r="R221" t="s">
        <v>2451</v>
      </c>
      <c r="S221" t="s">
        <v>274</v>
      </c>
      <c r="T221">
        <v>900</v>
      </c>
      <c r="U221" t="s">
        <v>2496</v>
      </c>
      <c r="V221" t="s">
        <v>2515</v>
      </c>
      <c r="W221" t="s">
        <v>2561</v>
      </c>
      <c r="Z221">
        <v>38</v>
      </c>
      <c r="AA221" t="s">
        <v>3783</v>
      </c>
      <c r="AB221" t="s">
        <v>2006</v>
      </c>
      <c r="AC221">
        <v>25</v>
      </c>
      <c r="AD221">
        <v>1</v>
      </c>
      <c r="AE221">
        <v>0</v>
      </c>
      <c r="AF221">
        <v>0</v>
      </c>
      <c r="AI221" t="s">
        <v>3809</v>
      </c>
      <c r="AJ221">
        <v>0</v>
      </c>
      <c r="AP221">
        <v>0.1</v>
      </c>
      <c r="AQ221" t="s">
        <v>263</v>
      </c>
      <c r="AR221" t="s">
        <v>49</v>
      </c>
      <c r="AS221" t="s">
        <v>4210</v>
      </c>
      <c r="AT221" t="s">
        <v>4219</v>
      </c>
    </row>
    <row r="222" spans="1:46">
      <c r="A222" s="1">
        <f>HYPERLINK("https://lsnyc.legalserver.org/matter/dynamic-profile/view/1893301","19-1893301")</f>
        <v>0</v>
      </c>
      <c r="B222" t="s">
        <v>53</v>
      </c>
      <c r="C222" t="s">
        <v>95</v>
      </c>
      <c r="D222" t="s">
        <v>263</v>
      </c>
      <c r="E222" t="s">
        <v>493</v>
      </c>
      <c r="F222" t="s">
        <v>940</v>
      </c>
      <c r="G222" t="s">
        <v>1478</v>
      </c>
      <c r="H222" t="s">
        <v>1810</v>
      </c>
      <c r="I222">
        <v>11212</v>
      </c>
      <c r="J222" t="s">
        <v>2002</v>
      </c>
      <c r="K222" t="s">
        <v>2002</v>
      </c>
      <c r="L222" t="s">
        <v>2005</v>
      </c>
      <c r="M222" t="s">
        <v>2131</v>
      </c>
      <c r="N222" t="s">
        <v>2414</v>
      </c>
      <c r="O222" t="s">
        <v>2439</v>
      </c>
      <c r="P222" t="s">
        <v>2444</v>
      </c>
      <c r="Q222" t="s">
        <v>2002</v>
      </c>
      <c r="R222" t="s">
        <v>2451</v>
      </c>
      <c r="S222" t="s">
        <v>274</v>
      </c>
      <c r="T222">
        <v>900</v>
      </c>
      <c r="U222" t="s">
        <v>2496</v>
      </c>
      <c r="V222" t="s">
        <v>2515</v>
      </c>
      <c r="W222" t="s">
        <v>2561</v>
      </c>
      <c r="Z222">
        <v>38</v>
      </c>
      <c r="AA222" t="s">
        <v>3783</v>
      </c>
      <c r="AB222" t="s">
        <v>2006</v>
      </c>
      <c r="AC222">
        <v>25</v>
      </c>
      <c r="AD222">
        <v>1</v>
      </c>
      <c r="AE222">
        <v>0</v>
      </c>
      <c r="AF222">
        <v>0</v>
      </c>
      <c r="AI222" t="s">
        <v>3809</v>
      </c>
      <c r="AJ222">
        <v>0</v>
      </c>
      <c r="AP222">
        <v>0.1</v>
      </c>
      <c r="AQ222" t="s">
        <v>263</v>
      </c>
      <c r="AR222" t="s">
        <v>49</v>
      </c>
      <c r="AS222" t="s">
        <v>4210</v>
      </c>
      <c r="AT222" t="s">
        <v>4219</v>
      </c>
    </row>
    <row r="223" spans="1:46">
      <c r="A223" s="1">
        <f>HYPERLINK("https://lsnyc.legalserver.org/matter/dynamic-profile/view/1893334","19-1893334")</f>
        <v>0</v>
      </c>
      <c r="B223" t="s">
        <v>53</v>
      </c>
      <c r="C223" t="s">
        <v>95</v>
      </c>
      <c r="D223" t="s">
        <v>263</v>
      </c>
      <c r="E223" t="s">
        <v>494</v>
      </c>
      <c r="F223" t="s">
        <v>955</v>
      </c>
      <c r="G223" t="s">
        <v>1478</v>
      </c>
      <c r="H223" t="s">
        <v>1809</v>
      </c>
      <c r="I223">
        <v>11212</v>
      </c>
      <c r="J223" t="s">
        <v>2002</v>
      </c>
      <c r="K223" t="s">
        <v>2002</v>
      </c>
      <c r="L223" t="s">
        <v>2005</v>
      </c>
      <c r="M223" t="s">
        <v>2131</v>
      </c>
      <c r="N223" t="s">
        <v>2424</v>
      </c>
      <c r="O223" t="s">
        <v>2439</v>
      </c>
      <c r="P223" t="s">
        <v>2444</v>
      </c>
      <c r="Q223" t="s">
        <v>2002</v>
      </c>
      <c r="R223" t="s">
        <v>2451</v>
      </c>
      <c r="S223" t="s">
        <v>274</v>
      </c>
      <c r="T223">
        <v>1386</v>
      </c>
      <c r="U223" t="s">
        <v>2496</v>
      </c>
      <c r="V223" t="s">
        <v>2515</v>
      </c>
      <c r="W223" t="s">
        <v>2701</v>
      </c>
      <c r="X223" t="s">
        <v>2006</v>
      </c>
      <c r="Z223">
        <v>38</v>
      </c>
      <c r="AA223" t="s">
        <v>3783</v>
      </c>
      <c r="AB223" t="s">
        <v>2495</v>
      </c>
      <c r="AC223">
        <v>4</v>
      </c>
      <c r="AD223">
        <v>1</v>
      </c>
      <c r="AE223">
        <v>0</v>
      </c>
      <c r="AF223">
        <v>62.45</v>
      </c>
      <c r="AI223" t="s">
        <v>3809</v>
      </c>
      <c r="AJ223">
        <v>7800</v>
      </c>
      <c r="AP223">
        <v>0.1</v>
      </c>
      <c r="AQ223" t="s">
        <v>263</v>
      </c>
      <c r="AR223" t="s">
        <v>49</v>
      </c>
      <c r="AS223" t="s">
        <v>4210</v>
      </c>
      <c r="AT223" t="s">
        <v>4219</v>
      </c>
    </row>
    <row r="224" spans="1:46">
      <c r="A224" s="1">
        <f>HYPERLINK("https://lsnyc.legalserver.org/matter/dynamic-profile/view/1893325","19-1893325")</f>
        <v>0</v>
      </c>
      <c r="B224" t="s">
        <v>53</v>
      </c>
      <c r="C224" t="s">
        <v>95</v>
      </c>
      <c r="E224" t="s">
        <v>495</v>
      </c>
      <c r="F224" t="s">
        <v>1006</v>
      </c>
      <c r="G224" t="s">
        <v>1478</v>
      </c>
      <c r="H224" t="s">
        <v>1811</v>
      </c>
      <c r="I224">
        <v>11212</v>
      </c>
      <c r="J224" t="s">
        <v>2002</v>
      </c>
      <c r="K224" t="s">
        <v>2002</v>
      </c>
      <c r="L224" t="s">
        <v>2005</v>
      </c>
      <c r="M224" t="s">
        <v>2131</v>
      </c>
      <c r="N224" t="s">
        <v>2424</v>
      </c>
      <c r="O224" t="s">
        <v>2439</v>
      </c>
      <c r="Q224" t="s">
        <v>2002</v>
      </c>
      <c r="R224" t="s">
        <v>2451</v>
      </c>
      <c r="S224" t="s">
        <v>274</v>
      </c>
      <c r="T224">
        <v>1489</v>
      </c>
      <c r="U224" t="s">
        <v>2496</v>
      </c>
      <c r="W224" t="s">
        <v>2702</v>
      </c>
      <c r="X224" t="s">
        <v>2006</v>
      </c>
      <c r="Y224" t="s">
        <v>3458</v>
      </c>
      <c r="Z224">
        <v>38</v>
      </c>
      <c r="AA224" t="s">
        <v>3783</v>
      </c>
      <c r="AB224" t="s">
        <v>2006</v>
      </c>
      <c r="AC224">
        <v>6</v>
      </c>
      <c r="AD224">
        <v>2</v>
      </c>
      <c r="AE224">
        <v>0</v>
      </c>
      <c r="AF224">
        <v>351.79</v>
      </c>
      <c r="AI224" t="s">
        <v>3809</v>
      </c>
      <c r="AJ224">
        <v>59488</v>
      </c>
      <c r="AK224" t="s">
        <v>3862</v>
      </c>
      <c r="AP224">
        <v>0.1</v>
      </c>
      <c r="AQ224" t="s">
        <v>263</v>
      </c>
      <c r="AR224" t="s">
        <v>49</v>
      </c>
      <c r="AS224" t="s">
        <v>4210</v>
      </c>
      <c r="AT224" t="s">
        <v>4219</v>
      </c>
    </row>
    <row r="225" spans="1:46">
      <c r="A225" s="1">
        <f>HYPERLINK("https://lsnyc.legalserver.org/matter/dynamic-profile/view/1893317","19-1893317")</f>
        <v>0</v>
      </c>
      <c r="B225" t="s">
        <v>53</v>
      </c>
      <c r="C225" t="s">
        <v>95</v>
      </c>
      <c r="E225" t="s">
        <v>495</v>
      </c>
      <c r="F225" t="s">
        <v>1006</v>
      </c>
      <c r="G225" t="s">
        <v>1478</v>
      </c>
      <c r="H225" t="s">
        <v>1811</v>
      </c>
      <c r="I225">
        <v>11212</v>
      </c>
      <c r="J225" t="s">
        <v>2002</v>
      </c>
      <c r="K225" t="s">
        <v>2002</v>
      </c>
      <c r="M225" t="s">
        <v>2027</v>
      </c>
      <c r="N225" t="s">
        <v>2414</v>
      </c>
      <c r="O225" t="s">
        <v>2439</v>
      </c>
      <c r="Q225" t="s">
        <v>2002</v>
      </c>
      <c r="R225" t="s">
        <v>2451</v>
      </c>
      <c r="S225" t="s">
        <v>274</v>
      </c>
      <c r="T225">
        <v>1489</v>
      </c>
      <c r="U225" t="s">
        <v>2496</v>
      </c>
      <c r="W225" t="s">
        <v>2702</v>
      </c>
      <c r="Y225" t="s">
        <v>3458</v>
      </c>
      <c r="Z225">
        <v>38</v>
      </c>
      <c r="AA225" t="s">
        <v>3783</v>
      </c>
      <c r="AB225" t="s">
        <v>2006</v>
      </c>
      <c r="AC225">
        <v>6</v>
      </c>
      <c r="AD225">
        <v>2</v>
      </c>
      <c r="AE225">
        <v>0</v>
      </c>
      <c r="AF225">
        <v>351.79</v>
      </c>
      <c r="AI225" t="s">
        <v>3809</v>
      </c>
      <c r="AJ225">
        <v>59488</v>
      </c>
      <c r="AP225">
        <v>0.1</v>
      </c>
      <c r="AQ225" t="s">
        <v>263</v>
      </c>
      <c r="AR225" t="s">
        <v>49</v>
      </c>
      <c r="AS225" t="s">
        <v>4210</v>
      </c>
      <c r="AT225" t="s">
        <v>4219</v>
      </c>
    </row>
    <row r="226" spans="1:46">
      <c r="A226" s="1">
        <f>HYPERLINK("https://lsnyc.legalserver.org/matter/dynamic-profile/view/1893328","19-1893328")</f>
        <v>0</v>
      </c>
      <c r="B226" t="s">
        <v>53</v>
      </c>
      <c r="C226" t="s">
        <v>95</v>
      </c>
      <c r="E226" t="s">
        <v>495</v>
      </c>
      <c r="F226" t="s">
        <v>1006</v>
      </c>
      <c r="G226" t="s">
        <v>1478</v>
      </c>
      <c r="H226" t="s">
        <v>1811</v>
      </c>
      <c r="I226">
        <v>11212</v>
      </c>
      <c r="J226" t="s">
        <v>2002</v>
      </c>
      <c r="K226" t="s">
        <v>2002</v>
      </c>
      <c r="L226" t="s">
        <v>2005</v>
      </c>
      <c r="M226" t="s">
        <v>2006</v>
      </c>
      <c r="N226" t="s">
        <v>2027</v>
      </c>
      <c r="O226" t="s">
        <v>2436</v>
      </c>
      <c r="Q226" t="s">
        <v>2002</v>
      </c>
      <c r="R226" t="s">
        <v>2451</v>
      </c>
      <c r="S226" t="s">
        <v>274</v>
      </c>
      <c r="T226">
        <v>1489</v>
      </c>
      <c r="U226" t="s">
        <v>2496</v>
      </c>
      <c r="W226" t="s">
        <v>2702</v>
      </c>
      <c r="X226" t="s">
        <v>2006</v>
      </c>
      <c r="Y226" t="s">
        <v>3458</v>
      </c>
      <c r="Z226">
        <v>38</v>
      </c>
      <c r="AA226" t="s">
        <v>3783</v>
      </c>
      <c r="AB226" t="s">
        <v>2006</v>
      </c>
      <c r="AC226">
        <v>6</v>
      </c>
      <c r="AD226">
        <v>2</v>
      </c>
      <c r="AE226">
        <v>0</v>
      </c>
      <c r="AF226">
        <v>351.79</v>
      </c>
      <c r="AI226" t="s">
        <v>3809</v>
      </c>
      <c r="AJ226">
        <v>59488</v>
      </c>
      <c r="AK226" t="s">
        <v>3862</v>
      </c>
      <c r="AP226">
        <v>0</v>
      </c>
      <c r="AR226" t="s">
        <v>49</v>
      </c>
      <c r="AS226" t="s">
        <v>4210</v>
      </c>
      <c r="AT226" t="s">
        <v>4219</v>
      </c>
    </row>
    <row r="227" spans="1:46">
      <c r="A227" s="1">
        <f>HYPERLINK("https://lsnyc.legalserver.org/matter/dynamic-profile/view/1893393","19-1893393")</f>
        <v>0</v>
      </c>
      <c r="B227" t="s">
        <v>53</v>
      </c>
      <c r="C227" t="s">
        <v>95</v>
      </c>
      <c r="D227" t="s">
        <v>263</v>
      </c>
      <c r="E227" t="s">
        <v>394</v>
      </c>
      <c r="F227" t="s">
        <v>1007</v>
      </c>
      <c r="G227" t="s">
        <v>1478</v>
      </c>
      <c r="H227" t="s">
        <v>1736</v>
      </c>
      <c r="I227">
        <v>11212</v>
      </c>
      <c r="J227" t="s">
        <v>2002</v>
      </c>
      <c r="K227" t="s">
        <v>2002</v>
      </c>
      <c r="L227" t="s">
        <v>2005</v>
      </c>
      <c r="M227" t="s">
        <v>2131</v>
      </c>
      <c r="N227" t="s">
        <v>2424</v>
      </c>
      <c r="O227" t="s">
        <v>2439</v>
      </c>
      <c r="P227" t="s">
        <v>2444</v>
      </c>
      <c r="Q227" t="s">
        <v>2002</v>
      </c>
      <c r="R227" t="s">
        <v>2451</v>
      </c>
      <c r="S227" t="s">
        <v>95</v>
      </c>
      <c r="T227">
        <v>1500</v>
      </c>
      <c r="U227" t="s">
        <v>2496</v>
      </c>
      <c r="V227" t="s">
        <v>2515</v>
      </c>
      <c r="W227" t="s">
        <v>2703</v>
      </c>
      <c r="X227" t="s">
        <v>3206</v>
      </c>
      <c r="Y227" t="s">
        <v>3459</v>
      </c>
      <c r="Z227">
        <v>38</v>
      </c>
      <c r="AA227" t="s">
        <v>3783</v>
      </c>
      <c r="AB227" t="s">
        <v>2495</v>
      </c>
      <c r="AC227">
        <v>7</v>
      </c>
      <c r="AD227">
        <v>1</v>
      </c>
      <c r="AE227">
        <v>0</v>
      </c>
      <c r="AF227">
        <v>83.68000000000001</v>
      </c>
      <c r="AI227" t="s">
        <v>3809</v>
      </c>
      <c r="AJ227">
        <v>10452</v>
      </c>
      <c r="AP227">
        <v>0.1</v>
      </c>
      <c r="AQ227" t="s">
        <v>263</v>
      </c>
      <c r="AR227" t="s">
        <v>4185</v>
      </c>
      <c r="AS227" t="s">
        <v>4210</v>
      </c>
      <c r="AT227" t="s">
        <v>4219</v>
      </c>
    </row>
    <row r="228" spans="1:46">
      <c r="A228" s="1">
        <f>HYPERLINK("https://lsnyc.legalserver.org/matter/dynamic-profile/view/1893389","19-1893389")</f>
        <v>0</v>
      </c>
      <c r="B228" t="s">
        <v>53</v>
      </c>
      <c r="C228" t="s">
        <v>95</v>
      </c>
      <c r="D228" t="s">
        <v>263</v>
      </c>
      <c r="E228" t="s">
        <v>394</v>
      </c>
      <c r="F228" t="s">
        <v>1007</v>
      </c>
      <c r="G228" t="s">
        <v>1478</v>
      </c>
      <c r="H228" t="s">
        <v>1736</v>
      </c>
      <c r="I228">
        <v>11212</v>
      </c>
      <c r="J228" t="s">
        <v>2002</v>
      </c>
      <c r="K228" t="s">
        <v>2002</v>
      </c>
      <c r="M228" t="s">
        <v>2131</v>
      </c>
      <c r="N228" t="s">
        <v>2414</v>
      </c>
      <c r="O228" t="s">
        <v>2439</v>
      </c>
      <c r="P228" t="s">
        <v>2444</v>
      </c>
      <c r="Q228" t="s">
        <v>2002</v>
      </c>
      <c r="R228" t="s">
        <v>2451</v>
      </c>
      <c r="S228" t="s">
        <v>95</v>
      </c>
      <c r="T228">
        <v>1500</v>
      </c>
      <c r="U228" t="s">
        <v>2496</v>
      </c>
      <c r="V228" t="s">
        <v>2515</v>
      </c>
      <c r="W228" t="s">
        <v>2703</v>
      </c>
      <c r="X228" t="s">
        <v>3206</v>
      </c>
      <c r="Y228" t="s">
        <v>3459</v>
      </c>
      <c r="Z228">
        <v>38</v>
      </c>
      <c r="AA228" t="s">
        <v>3783</v>
      </c>
      <c r="AB228" t="s">
        <v>2495</v>
      </c>
      <c r="AC228">
        <v>7</v>
      </c>
      <c r="AD228">
        <v>1</v>
      </c>
      <c r="AE228">
        <v>0</v>
      </c>
      <c r="AF228">
        <v>83.68000000000001</v>
      </c>
      <c r="AI228" t="s">
        <v>3809</v>
      </c>
      <c r="AJ228">
        <v>10452</v>
      </c>
      <c r="AP228">
        <v>0.1</v>
      </c>
      <c r="AQ228" t="s">
        <v>263</v>
      </c>
      <c r="AR228" t="s">
        <v>4185</v>
      </c>
      <c r="AS228" t="s">
        <v>4210</v>
      </c>
      <c r="AT228" t="s">
        <v>4219</v>
      </c>
    </row>
    <row r="229" spans="1:46">
      <c r="A229" s="1">
        <f>HYPERLINK("https://lsnyc.legalserver.org/matter/dynamic-profile/view/1893382","19-1893382")</f>
        <v>0</v>
      </c>
      <c r="B229" t="s">
        <v>53</v>
      </c>
      <c r="C229" t="s">
        <v>95</v>
      </c>
      <c r="D229" t="s">
        <v>263</v>
      </c>
      <c r="E229" t="s">
        <v>496</v>
      </c>
      <c r="F229" t="s">
        <v>1008</v>
      </c>
      <c r="G229" t="s">
        <v>1478</v>
      </c>
      <c r="H229" t="s">
        <v>1751</v>
      </c>
      <c r="I229">
        <v>11212</v>
      </c>
      <c r="J229" t="s">
        <v>2002</v>
      </c>
      <c r="K229" t="s">
        <v>2002</v>
      </c>
      <c r="L229" t="s">
        <v>2005</v>
      </c>
      <c r="M229" t="s">
        <v>2131</v>
      </c>
      <c r="N229" t="s">
        <v>2424</v>
      </c>
      <c r="O229" t="s">
        <v>2439</v>
      </c>
      <c r="P229" t="s">
        <v>2444</v>
      </c>
      <c r="Q229" t="s">
        <v>2002</v>
      </c>
      <c r="R229" t="s">
        <v>2451</v>
      </c>
      <c r="S229" t="s">
        <v>95</v>
      </c>
      <c r="T229">
        <v>1643.13</v>
      </c>
      <c r="U229" t="s">
        <v>2496</v>
      </c>
      <c r="V229" t="s">
        <v>2515</v>
      </c>
      <c r="W229" t="s">
        <v>2704</v>
      </c>
      <c r="X229" t="s">
        <v>2006</v>
      </c>
      <c r="Y229" t="s">
        <v>3460</v>
      </c>
      <c r="Z229">
        <v>38</v>
      </c>
      <c r="AA229" t="s">
        <v>3783</v>
      </c>
      <c r="AB229" t="s">
        <v>2006</v>
      </c>
      <c r="AC229">
        <v>9</v>
      </c>
      <c r="AD229">
        <v>4</v>
      </c>
      <c r="AE229">
        <v>0</v>
      </c>
      <c r="AF229">
        <v>121.17</v>
      </c>
      <c r="AI229" t="s">
        <v>3809</v>
      </c>
      <c r="AJ229">
        <v>31200</v>
      </c>
      <c r="AP229">
        <v>0.1</v>
      </c>
      <c r="AQ229" t="s">
        <v>263</v>
      </c>
      <c r="AR229" t="s">
        <v>4185</v>
      </c>
      <c r="AS229" t="s">
        <v>4210</v>
      </c>
      <c r="AT229" t="s">
        <v>4219</v>
      </c>
    </row>
    <row r="230" spans="1:46">
      <c r="A230" s="1">
        <f>HYPERLINK("https://lsnyc.legalserver.org/matter/dynamic-profile/view/1893322","19-1893322")</f>
        <v>0</v>
      </c>
      <c r="B230" t="s">
        <v>53</v>
      </c>
      <c r="C230" t="s">
        <v>95</v>
      </c>
      <c r="D230" t="s">
        <v>263</v>
      </c>
      <c r="E230" t="s">
        <v>497</v>
      </c>
      <c r="F230" t="s">
        <v>1009</v>
      </c>
      <c r="G230" t="s">
        <v>1478</v>
      </c>
      <c r="H230" t="s">
        <v>1812</v>
      </c>
      <c r="I230">
        <v>11212</v>
      </c>
      <c r="J230" t="s">
        <v>2002</v>
      </c>
      <c r="K230" t="s">
        <v>2002</v>
      </c>
      <c r="L230" t="s">
        <v>2005</v>
      </c>
      <c r="M230" t="s">
        <v>2131</v>
      </c>
      <c r="N230" t="s">
        <v>2424</v>
      </c>
      <c r="O230" t="s">
        <v>2439</v>
      </c>
      <c r="P230" t="s">
        <v>2444</v>
      </c>
      <c r="Q230" t="s">
        <v>2002</v>
      </c>
      <c r="R230" t="s">
        <v>2451</v>
      </c>
      <c r="S230" t="s">
        <v>95</v>
      </c>
      <c r="T230">
        <v>980</v>
      </c>
      <c r="U230" t="s">
        <v>2496</v>
      </c>
      <c r="V230" t="s">
        <v>2515</v>
      </c>
      <c r="W230" t="s">
        <v>2705</v>
      </c>
      <c r="Z230">
        <v>82</v>
      </c>
      <c r="AA230" t="s">
        <v>3783</v>
      </c>
      <c r="AB230" t="s">
        <v>3797</v>
      </c>
      <c r="AC230">
        <v>28</v>
      </c>
      <c r="AD230">
        <v>1</v>
      </c>
      <c r="AE230">
        <v>0</v>
      </c>
      <c r="AF230">
        <v>183.51</v>
      </c>
      <c r="AI230" t="s">
        <v>3809</v>
      </c>
      <c r="AJ230">
        <v>22920</v>
      </c>
      <c r="AK230" t="s">
        <v>3863</v>
      </c>
      <c r="AP230">
        <v>3.1</v>
      </c>
      <c r="AQ230" t="s">
        <v>263</v>
      </c>
      <c r="AR230" t="s">
        <v>4185</v>
      </c>
      <c r="AS230" t="s">
        <v>4210</v>
      </c>
      <c r="AT230" t="s">
        <v>4219</v>
      </c>
    </row>
    <row r="231" spans="1:46">
      <c r="A231" s="1">
        <f>HYPERLINK("https://lsnyc.legalserver.org/matter/dynamic-profile/view/1893312","19-1893312")</f>
        <v>0</v>
      </c>
      <c r="B231" t="s">
        <v>53</v>
      </c>
      <c r="C231" t="s">
        <v>95</v>
      </c>
      <c r="D231" t="s">
        <v>263</v>
      </c>
      <c r="E231" t="s">
        <v>497</v>
      </c>
      <c r="F231" t="s">
        <v>1009</v>
      </c>
      <c r="G231" t="s">
        <v>1478</v>
      </c>
      <c r="H231" t="s">
        <v>1812</v>
      </c>
      <c r="I231">
        <v>11212</v>
      </c>
      <c r="J231" t="s">
        <v>2002</v>
      </c>
      <c r="K231" t="s">
        <v>2002</v>
      </c>
      <c r="L231" t="s">
        <v>2005</v>
      </c>
      <c r="M231" t="s">
        <v>2131</v>
      </c>
      <c r="N231" t="s">
        <v>2414</v>
      </c>
      <c r="O231" t="s">
        <v>2439</v>
      </c>
      <c r="P231" t="s">
        <v>2444</v>
      </c>
      <c r="Q231" t="s">
        <v>2002</v>
      </c>
      <c r="R231" t="s">
        <v>2451</v>
      </c>
      <c r="S231" t="s">
        <v>95</v>
      </c>
      <c r="T231">
        <v>980</v>
      </c>
      <c r="V231" t="s">
        <v>2515</v>
      </c>
      <c r="W231" t="s">
        <v>2705</v>
      </c>
      <c r="Z231">
        <v>38</v>
      </c>
      <c r="AA231" t="s">
        <v>3783</v>
      </c>
      <c r="AB231" t="s">
        <v>3797</v>
      </c>
      <c r="AC231">
        <v>28</v>
      </c>
      <c r="AD231">
        <v>1</v>
      </c>
      <c r="AE231">
        <v>0</v>
      </c>
      <c r="AF231">
        <v>183.51</v>
      </c>
      <c r="AI231" t="s">
        <v>3809</v>
      </c>
      <c r="AJ231">
        <v>22920</v>
      </c>
      <c r="AP231">
        <v>1.9</v>
      </c>
      <c r="AQ231" t="s">
        <v>263</v>
      </c>
      <c r="AR231" t="s">
        <v>4185</v>
      </c>
      <c r="AS231" t="s">
        <v>4210</v>
      </c>
      <c r="AT231" t="s">
        <v>4219</v>
      </c>
    </row>
    <row r="232" spans="1:46">
      <c r="A232" s="1">
        <f>HYPERLINK("https://lsnyc.legalserver.org/matter/dynamic-profile/view/1895338","19-1895338")</f>
        <v>0</v>
      </c>
      <c r="B232" t="s">
        <v>53</v>
      </c>
      <c r="C232" t="s">
        <v>76</v>
      </c>
      <c r="E232" t="s">
        <v>498</v>
      </c>
      <c r="F232" t="s">
        <v>1010</v>
      </c>
      <c r="G232" t="s">
        <v>1354</v>
      </c>
      <c r="H232" t="s">
        <v>1739</v>
      </c>
      <c r="I232">
        <v>11221</v>
      </c>
      <c r="J232" t="s">
        <v>2002</v>
      </c>
      <c r="K232" t="s">
        <v>2003</v>
      </c>
      <c r="L232" t="s">
        <v>2005</v>
      </c>
      <c r="N232" t="s">
        <v>2416</v>
      </c>
      <c r="O232" t="s">
        <v>2438</v>
      </c>
      <c r="Q232" t="s">
        <v>2002</v>
      </c>
      <c r="R232" t="s">
        <v>2451</v>
      </c>
      <c r="S232" t="s">
        <v>76</v>
      </c>
      <c r="T232">
        <v>1091.82</v>
      </c>
      <c r="U232" t="s">
        <v>2496</v>
      </c>
      <c r="W232" t="s">
        <v>2706</v>
      </c>
      <c r="X232" t="s">
        <v>3160</v>
      </c>
      <c r="Y232" t="s">
        <v>3461</v>
      </c>
      <c r="Z232">
        <v>12</v>
      </c>
      <c r="AA232" t="s">
        <v>3783</v>
      </c>
      <c r="AB232" t="s">
        <v>3793</v>
      </c>
      <c r="AC232">
        <v>12</v>
      </c>
      <c r="AD232">
        <v>1</v>
      </c>
      <c r="AE232">
        <v>0</v>
      </c>
      <c r="AF232">
        <v>147.93</v>
      </c>
      <c r="AI232" t="s">
        <v>3809</v>
      </c>
      <c r="AJ232">
        <v>18476.9</v>
      </c>
      <c r="AP232">
        <v>10.4</v>
      </c>
      <c r="AQ232" t="s">
        <v>314</v>
      </c>
      <c r="AR232" t="s">
        <v>4185</v>
      </c>
      <c r="AS232" t="s">
        <v>4211</v>
      </c>
      <c r="AT232" t="s">
        <v>4219</v>
      </c>
    </row>
    <row r="233" spans="1:46">
      <c r="A233" s="1">
        <f>HYPERLINK("https://lsnyc.legalserver.org/matter/dynamic-profile/view/1897637","19-1897637")</f>
        <v>0</v>
      </c>
      <c r="B233" t="s">
        <v>53</v>
      </c>
      <c r="C233" t="s">
        <v>180</v>
      </c>
      <c r="E233" t="s">
        <v>489</v>
      </c>
      <c r="F233" t="s">
        <v>1002</v>
      </c>
      <c r="G233" t="s">
        <v>1474</v>
      </c>
      <c r="H233" t="s">
        <v>1748</v>
      </c>
      <c r="I233">
        <v>11233</v>
      </c>
      <c r="J233" t="s">
        <v>2002</v>
      </c>
      <c r="K233" t="s">
        <v>2002</v>
      </c>
      <c r="N233" t="s">
        <v>2424</v>
      </c>
      <c r="O233" t="s">
        <v>2441</v>
      </c>
      <c r="S233" t="s">
        <v>180</v>
      </c>
      <c r="T233">
        <v>606</v>
      </c>
      <c r="W233" t="s">
        <v>2697</v>
      </c>
      <c r="Y233" t="s">
        <v>3454</v>
      </c>
      <c r="Z233">
        <v>6</v>
      </c>
      <c r="AA233" t="s">
        <v>3783</v>
      </c>
      <c r="AB233" t="s">
        <v>2006</v>
      </c>
      <c r="AC233">
        <v>40</v>
      </c>
      <c r="AD233">
        <v>1</v>
      </c>
      <c r="AE233">
        <v>0</v>
      </c>
      <c r="AF233">
        <v>80.06</v>
      </c>
      <c r="AI233" t="s">
        <v>3809</v>
      </c>
      <c r="AJ233">
        <v>10000</v>
      </c>
      <c r="AP233">
        <v>0.2</v>
      </c>
      <c r="AQ233" t="s">
        <v>180</v>
      </c>
      <c r="AR233" t="s">
        <v>53</v>
      </c>
      <c r="AS233" t="s">
        <v>4210</v>
      </c>
      <c r="AT233" t="s">
        <v>4219</v>
      </c>
    </row>
    <row r="234" spans="1:46">
      <c r="A234" s="1">
        <f>HYPERLINK("https://lsnyc.legalserver.org/matter/dynamic-profile/view/1895541","19-1895541")</f>
        <v>0</v>
      </c>
      <c r="B234" t="s">
        <v>53</v>
      </c>
      <c r="C234" t="s">
        <v>181</v>
      </c>
      <c r="D234" t="s">
        <v>314</v>
      </c>
      <c r="E234" t="s">
        <v>347</v>
      </c>
      <c r="F234" t="s">
        <v>1011</v>
      </c>
      <c r="G234" t="s">
        <v>1479</v>
      </c>
      <c r="H234">
        <v>2</v>
      </c>
      <c r="I234">
        <v>11233</v>
      </c>
      <c r="J234" t="s">
        <v>2002</v>
      </c>
      <c r="K234" t="s">
        <v>2002</v>
      </c>
      <c r="M234" t="s">
        <v>2136</v>
      </c>
      <c r="N234" t="s">
        <v>2413</v>
      </c>
      <c r="O234" t="s">
        <v>2436</v>
      </c>
      <c r="P234" t="s">
        <v>2443</v>
      </c>
      <c r="R234" t="s">
        <v>2451</v>
      </c>
      <c r="S234" t="s">
        <v>248</v>
      </c>
      <c r="T234">
        <v>530</v>
      </c>
      <c r="U234" t="s">
        <v>2505</v>
      </c>
      <c r="V234" t="s">
        <v>2514</v>
      </c>
      <c r="W234" t="s">
        <v>2707</v>
      </c>
      <c r="Y234" t="s">
        <v>3462</v>
      </c>
      <c r="Z234">
        <v>3</v>
      </c>
      <c r="AA234" t="s">
        <v>2156</v>
      </c>
      <c r="AB234" t="s">
        <v>2006</v>
      </c>
      <c r="AC234">
        <v>16</v>
      </c>
      <c r="AD234">
        <v>2</v>
      </c>
      <c r="AE234">
        <v>0</v>
      </c>
      <c r="AF234">
        <v>43.57</v>
      </c>
      <c r="AI234" t="s">
        <v>3809</v>
      </c>
      <c r="AJ234">
        <v>7368</v>
      </c>
      <c r="AP234">
        <v>4.5</v>
      </c>
      <c r="AQ234" t="s">
        <v>158</v>
      </c>
      <c r="AR234" t="s">
        <v>4196</v>
      </c>
      <c r="AS234" t="s">
        <v>4210</v>
      </c>
      <c r="AT234" t="s">
        <v>4219</v>
      </c>
    </row>
    <row r="235" spans="1:46">
      <c r="A235" s="1">
        <f>HYPERLINK("https://lsnyc.legalserver.org/matter/dynamic-profile/view/1898331","19-1898331")</f>
        <v>0</v>
      </c>
      <c r="B235" t="s">
        <v>53</v>
      </c>
      <c r="C235" t="s">
        <v>182</v>
      </c>
      <c r="E235" t="s">
        <v>499</v>
      </c>
      <c r="F235" t="s">
        <v>1012</v>
      </c>
      <c r="G235" t="s">
        <v>1466</v>
      </c>
      <c r="H235" t="s">
        <v>1813</v>
      </c>
      <c r="I235">
        <v>11216</v>
      </c>
      <c r="J235" t="s">
        <v>2002</v>
      </c>
      <c r="K235" t="s">
        <v>2002</v>
      </c>
      <c r="M235" t="s">
        <v>2137</v>
      </c>
      <c r="N235" t="s">
        <v>2420</v>
      </c>
      <c r="O235" t="s">
        <v>2437</v>
      </c>
      <c r="Q235" t="s">
        <v>2002</v>
      </c>
      <c r="R235" t="s">
        <v>2451</v>
      </c>
      <c r="S235" t="s">
        <v>248</v>
      </c>
      <c r="T235">
        <v>2200</v>
      </c>
      <c r="U235" t="s">
        <v>2494</v>
      </c>
      <c r="W235" t="s">
        <v>2708</v>
      </c>
      <c r="Y235" t="s">
        <v>3463</v>
      </c>
      <c r="Z235">
        <v>82</v>
      </c>
      <c r="AA235" t="s">
        <v>3783</v>
      </c>
      <c r="AB235" t="s">
        <v>2006</v>
      </c>
      <c r="AC235">
        <v>0</v>
      </c>
      <c r="AD235">
        <v>1</v>
      </c>
      <c r="AE235">
        <v>0</v>
      </c>
      <c r="AF235">
        <v>391.71</v>
      </c>
      <c r="AI235" t="s">
        <v>3809</v>
      </c>
      <c r="AJ235">
        <v>48925</v>
      </c>
      <c r="AK235" t="s">
        <v>3864</v>
      </c>
      <c r="AP235">
        <v>0</v>
      </c>
      <c r="AR235" t="s">
        <v>4185</v>
      </c>
      <c r="AS235" t="s">
        <v>4210</v>
      </c>
      <c r="AT235" t="s">
        <v>4219</v>
      </c>
    </row>
    <row r="236" spans="1:46">
      <c r="A236" s="1">
        <f>HYPERLINK("https://lsnyc.legalserver.org/matter/dynamic-profile/view/1898333","19-1898333")</f>
        <v>0</v>
      </c>
      <c r="B236" t="s">
        <v>53</v>
      </c>
      <c r="C236" t="s">
        <v>182</v>
      </c>
      <c r="E236" t="s">
        <v>499</v>
      </c>
      <c r="F236" t="s">
        <v>1012</v>
      </c>
      <c r="G236" t="s">
        <v>1466</v>
      </c>
      <c r="H236" t="s">
        <v>1813</v>
      </c>
      <c r="I236">
        <v>11216</v>
      </c>
      <c r="J236" t="s">
        <v>2002</v>
      </c>
      <c r="K236" t="s">
        <v>2002</v>
      </c>
      <c r="N236" t="s">
        <v>2417</v>
      </c>
      <c r="O236" t="s">
        <v>2436</v>
      </c>
      <c r="Q236" t="s">
        <v>2002</v>
      </c>
      <c r="R236" t="s">
        <v>2451</v>
      </c>
      <c r="S236" t="s">
        <v>248</v>
      </c>
      <c r="T236">
        <v>2200</v>
      </c>
      <c r="U236" t="s">
        <v>2494</v>
      </c>
      <c r="W236" t="s">
        <v>2708</v>
      </c>
      <c r="Y236" t="s">
        <v>3463</v>
      </c>
      <c r="Z236">
        <v>82</v>
      </c>
      <c r="AA236" t="s">
        <v>3783</v>
      </c>
      <c r="AB236" t="s">
        <v>2006</v>
      </c>
      <c r="AC236">
        <v>0</v>
      </c>
      <c r="AD236">
        <v>1</v>
      </c>
      <c r="AE236">
        <v>0</v>
      </c>
      <c r="AF236">
        <v>391.71</v>
      </c>
      <c r="AI236" t="s">
        <v>3809</v>
      </c>
      <c r="AJ236">
        <v>48925</v>
      </c>
      <c r="AK236" t="s">
        <v>3865</v>
      </c>
      <c r="AP236">
        <v>0</v>
      </c>
      <c r="AR236" t="s">
        <v>4185</v>
      </c>
      <c r="AS236" t="s">
        <v>4210</v>
      </c>
      <c r="AT236" t="s">
        <v>4219</v>
      </c>
    </row>
    <row r="237" spans="1:46">
      <c r="A237" s="1">
        <f>HYPERLINK("https://lsnyc.legalserver.org/matter/dynamic-profile/view/1898336","19-1898336")</f>
        <v>0</v>
      </c>
      <c r="B237" t="s">
        <v>53</v>
      </c>
      <c r="C237" t="s">
        <v>182</v>
      </c>
      <c r="E237" t="s">
        <v>500</v>
      </c>
      <c r="F237" t="s">
        <v>1013</v>
      </c>
      <c r="G237" t="s">
        <v>1466</v>
      </c>
      <c r="H237" t="s">
        <v>1741</v>
      </c>
      <c r="I237">
        <v>11216</v>
      </c>
      <c r="J237" t="s">
        <v>2002</v>
      </c>
      <c r="K237" t="s">
        <v>2002</v>
      </c>
      <c r="N237" t="s">
        <v>2417</v>
      </c>
      <c r="O237" t="s">
        <v>2436</v>
      </c>
      <c r="Q237" t="s">
        <v>2002</v>
      </c>
      <c r="R237" t="s">
        <v>2451</v>
      </c>
      <c r="S237" t="s">
        <v>182</v>
      </c>
      <c r="T237">
        <v>2075</v>
      </c>
      <c r="U237" t="s">
        <v>2494</v>
      </c>
      <c r="W237" t="s">
        <v>2709</v>
      </c>
      <c r="Y237" t="s">
        <v>3464</v>
      </c>
      <c r="Z237">
        <v>82</v>
      </c>
      <c r="AA237" t="s">
        <v>3783</v>
      </c>
      <c r="AB237" t="s">
        <v>2006</v>
      </c>
      <c r="AC237">
        <v>2</v>
      </c>
      <c r="AD237">
        <v>2</v>
      </c>
      <c r="AE237">
        <v>0</v>
      </c>
      <c r="AF237">
        <v>324.01</v>
      </c>
      <c r="AI237" t="s">
        <v>3809</v>
      </c>
      <c r="AJ237">
        <v>54790.06</v>
      </c>
      <c r="AK237" t="s">
        <v>3866</v>
      </c>
      <c r="AP237">
        <v>0</v>
      </c>
      <c r="AR237" t="s">
        <v>4185</v>
      </c>
      <c r="AS237" t="s">
        <v>4210</v>
      </c>
      <c r="AT237" t="s">
        <v>4219</v>
      </c>
    </row>
    <row r="238" spans="1:46">
      <c r="A238" s="1">
        <f>HYPERLINK("https://lsnyc.legalserver.org/matter/dynamic-profile/view/1898334","19-1898334")</f>
        <v>0</v>
      </c>
      <c r="B238" t="s">
        <v>53</v>
      </c>
      <c r="C238" t="s">
        <v>182</v>
      </c>
      <c r="E238" t="s">
        <v>500</v>
      </c>
      <c r="F238" t="s">
        <v>1013</v>
      </c>
      <c r="G238" t="s">
        <v>1466</v>
      </c>
      <c r="H238" t="s">
        <v>1741</v>
      </c>
      <c r="I238">
        <v>11216</v>
      </c>
      <c r="J238" t="s">
        <v>2002</v>
      </c>
      <c r="K238" t="s">
        <v>2002</v>
      </c>
      <c r="L238" t="s">
        <v>2005</v>
      </c>
      <c r="M238" t="s">
        <v>2137</v>
      </c>
      <c r="N238" t="s">
        <v>2420</v>
      </c>
      <c r="O238" t="s">
        <v>2437</v>
      </c>
      <c r="Q238" t="s">
        <v>2002</v>
      </c>
      <c r="R238" t="s">
        <v>2451</v>
      </c>
      <c r="S238" t="s">
        <v>170</v>
      </c>
      <c r="T238">
        <v>2075</v>
      </c>
      <c r="U238" t="s">
        <v>2494</v>
      </c>
      <c r="W238" t="s">
        <v>2709</v>
      </c>
      <c r="Y238" t="s">
        <v>3464</v>
      </c>
      <c r="Z238">
        <v>82</v>
      </c>
      <c r="AA238" t="s">
        <v>3783</v>
      </c>
      <c r="AB238" t="s">
        <v>2006</v>
      </c>
      <c r="AC238">
        <v>2</v>
      </c>
      <c r="AD238">
        <v>2</v>
      </c>
      <c r="AE238">
        <v>0</v>
      </c>
      <c r="AF238">
        <v>324.01</v>
      </c>
      <c r="AI238" t="s">
        <v>3809</v>
      </c>
      <c r="AJ238">
        <v>54790.06</v>
      </c>
      <c r="AK238" t="s">
        <v>3867</v>
      </c>
      <c r="AP238">
        <v>0</v>
      </c>
      <c r="AR238" t="s">
        <v>4185</v>
      </c>
      <c r="AS238" t="s">
        <v>4210</v>
      </c>
      <c r="AT238" t="s">
        <v>4219</v>
      </c>
    </row>
    <row r="239" spans="1:46">
      <c r="A239" s="1">
        <f>HYPERLINK("https://lsnyc.legalserver.org/matter/dynamic-profile/view/1899912","19-1899912")</f>
        <v>0</v>
      </c>
      <c r="B239" t="s">
        <v>53</v>
      </c>
      <c r="C239" t="s">
        <v>183</v>
      </c>
      <c r="E239" t="s">
        <v>498</v>
      </c>
      <c r="F239" t="s">
        <v>1010</v>
      </c>
      <c r="G239" t="s">
        <v>1354</v>
      </c>
      <c r="H239" t="s">
        <v>1739</v>
      </c>
      <c r="I239">
        <v>11221</v>
      </c>
      <c r="J239" t="s">
        <v>2002</v>
      </c>
      <c r="K239" t="s">
        <v>2004</v>
      </c>
      <c r="L239" t="s">
        <v>2005</v>
      </c>
      <c r="M239" t="s">
        <v>2138</v>
      </c>
      <c r="N239" t="s">
        <v>2415</v>
      </c>
      <c r="O239" t="s">
        <v>2437</v>
      </c>
      <c r="Q239" t="s">
        <v>2002</v>
      </c>
      <c r="R239" t="s">
        <v>2451</v>
      </c>
      <c r="S239" t="s">
        <v>250</v>
      </c>
      <c r="T239">
        <v>1091.82</v>
      </c>
      <c r="U239" t="s">
        <v>2496</v>
      </c>
      <c r="W239" t="s">
        <v>2706</v>
      </c>
      <c r="X239" t="s">
        <v>3160</v>
      </c>
      <c r="Y239" t="s">
        <v>3461</v>
      </c>
      <c r="Z239">
        <v>12</v>
      </c>
      <c r="AA239" t="s">
        <v>3783</v>
      </c>
      <c r="AB239" t="s">
        <v>3793</v>
      </c>
      <c r="AC239">
        <v>12</v>
      </c>
      <c r="AD239">
        <v>1</v>
      </c>
      <c r="AE239">
        <v>0</v>
      </c>
      <c r="AF239">
        <v>147.93</v>
      </c>
      <c r="AI239" t="s">
        <v>3809</v>
      </c>
      <c r="AJ239">
        <v>18476.9</v>
      </c>
      <c r="AP239">
        <v>2</v>
      </c>
      <c r="AQ239" t="s">
        <v>252</v>
      </c>
      <c r="AR239" t="s">
        <v>49</v>
      </c>
      <c r="AS239" t="s">
        <v>4210</v>
      </c>
      <c r="AT239" t="s">
        <v>4219</v>
      </c>
    </row>
    <row r="240" spans="1:46">
      <c r="A240" s="1">
        <f>HYPERLINK("https://lsnyc.legalserver.org/matter/dynamic-profile/view/1899643","19-1899643")</f>
        <v>0</v>
      </c>
      <c r="B240" t="s">
        <v>53</v>
      </c>
      <c r="C240" t="s">
        <v>148</v>
      </c>
      <c r="E240" t="s">
        <v>482</v>
      </c>
      <c r="F240" t="s">
        <v>1014</v>
      </c>
      <c r="G240" t="s">
        <v>1480</v>
      </c>
      <c r="H240" t="s">
        <v>1760</v>
      </c>
      <c r="I240">
        <v>11212</v>
      </c>
      <c r="J240" t="s">
        <v>2002</v>
      </c>
      <c r="K240" t="s">
        <v>2004</v>
      </c>
      <c r="L240" t="s">
        <v>2005</v>
      </c>
      <c r="M240" t="s">
        <v>2139</v>
      </c>
      <c r="N240" t="s">
        <v>2415</v>
      </c>
      <c r="O240" t="s">
        <v>2437</v>
      </c>
      <c r="Q240" t="s">
        <v>2003</v>
      </c>
      <c r="R240" t="s">
        <v>2451</v>
      </c>
      <c r="S240" t="s">
        <v>249</v>
      </c>
      <c r="T240">
        <v>966</v>
      </c>
      <c r="U240" t="s">
        <v>2497</v>
      </c>
      <c r="W240" t="s">
        <v>2710</v>
      </c>
      <c r="Y240" t="s">
        <v>3465</v>
      </c>
      <c r="Z240">
        <v>16</v>
      </c>
      <c r="AA240" t="s">
        <v>3783</v>
      </c>
      <c r="AB240" t="s">
        <v>2006</v>
      </c>
      <c r="AC240">
        <v>16</v>
      </c>
      <c r="AD240">
        <v>3</v>
      </c>
      <c r="AE240">
        <v>0</v>
      </c>
      <c r="AF240">
        <v>468.82</v>
      </c>
      <c r="AI240" t="s">
        <v>3809</v>
      </c>
      <c r="AJ240">
        <v>100000</v>
      </c>
      <c r="AP240">
        <v>21.4</v>
      </c>
      <c r="AQ240" t="s">
        <v>310</v>
      </c>
      <c r="AR240" t="s">
        <v>4185</v>
      </c>
      <c r="AS240" t="s">
        <v>4210</v>
      </c>
      <c r="AT240" t="s">
        <v>4219</v>
      </c>
    </row>
    <row r="241" spans="1:46">
      <c r="A241" s="1">
        <f>HYPERLINK("https://lsnyc.legalserver.org/matter/dynamic-profile/view/1901083","19-1901083")</f>
        <v>0</v>
      </c>
      <c r="B241" t="s">
        <v>53</v>
      </c>
      <c r="C241" t="s">
        <v>171</v>
      </c>
      <c r="E241" t="s">
        <v>501</v>
      </c>
      <c r="F241" t="s">
        <v>993</v>
      </c>
      <c r="G241" t="s">
        <v>1480</v>
      </c>
      <c r="H241" t="s">
        <v>1737</v>
      </c>
      <c r="I241">
        <v>11212</v>
      </c>
      <c r="J241" t="s">
        <v>2002</v>
      </c>
      <c r="K241" t="s">
        <v>2004</v>
      </c>
      <c r="L241" t="s">
        <v>2005</v>
      </c>
      <c r="M241" t="s">
        <v>2140</v>
      </c>
      <c r="N241" t="s">
        <v>2415</v>
      </c>
      <c r="O241" t="s">
        <v>2437</v>
      </c>
      <c r="Q241" t="s">
        <v>2003</v>
      </c>
      <c r="R241" t="s">
        <v>2451</v>
      </c>
      <c r="S241" t="s">
        <v>171</v>
      </c>
      <c r="T241">
        <v>1326</v>
      </c>
      <c r="U241" t="s">
        <v>2495</v>
      </c>
      <c r="W241" t="s">
        <v>2711</v>
      </c>
      <c r="X241" t="s">
        <v>3163</v>
      </c>
      <c r="Z241">
        <v>16</v>
      </c>
      <c r="AA241" t="s">
        <v>3783</v>
      </c>
      <c r="AB241" t="s">
        <v>3796</v>
      </c>
      <c r="AC241">
        <v>3</v>
      </c>
      <c r="AD241">
        <v>1</v>
      </c>
      <c r="AE241">
        <v>1</v>
      </c>
      <c r="AF241">
        <v>116.88</v>
      </c>
      <c r="AI241" t="s">
        <v>3809</v>
      </c>
      <c r="AJ241">
        <v>19764</v>
      </c>
      <c r="AK241" t="s">
        <v>3868</v>
      </c>
      <c r="AP241">
        <v>4.3</v>
      </c>
      <c r="AQ241" t="s">
        <v>321</v>
      </c>
      <c r="AR241" t="s">
        <v>4185</v>
      </c>
      <c r="AS241" t="s">
        <v>4210</v>
      </c>
      <c r="AT241" t="s">
        <v>4219</v>
      </c>
    </row>
    <row r="242" spans="1:46">
      <c r="A242" s="1">
        <f>HYPERLINK("https://lsnyc.legalserver.org/matter/dynamic-profile/view/1902536","19-1902536")</f>
        <v>0</v>
      </c>
      <c r="B242" t="s">
        <v>53</v>
      </c>
      <c r="C242" t="s">
        <v>184</v>
      </c>
      <c r="E242" t="s">
        <v>502</v>
      </c>
      <c r="F242" t="s">
        <v>1015</v>
      </c>
      <c r="G242" t="s">
        <v>1481</v>
      </c>
      <c r="H242" t="s">
        <v>1812</v>
      </c>
      <c r="I242">
        <v>11233</v>
      </c>
      <c r="J242" t="s">
        <v>2002</v>
      </c>
      <c r="K242" t="s">
        <v>2004</v>
      </c>
      <c r="L242" t="s">
        <v>2005</v>
      </c>
      <c r="M242" t="s">
        <v>2131</v>
      </c>
      <c r="N242" t="s">
        <v>2027</v>
      </c>
      <c r="O242" t="s">
        <v>2439</v>
      </c>
      <c r="Q242" t="s">
        <v>2003</v>
      </c>
      <c r="R242" t="s">
        <v>2451</v>
      </c>
      <c r="S242" t="s">
        <v>158</v>
      </c>
      <c r="T242">
        <v>1581</v>
      </c>
      <c r="U242" t="s">
        <v>2494</v>
      </c>
      <c r="W242" t="s">
        <v>2712</v>
      </c>
      <c r="Y242" t="s">
        <v>3466</v>
      </c>
      <c r="Z242">
        <v>8</v>
      </c>
      <c r="AA242" t="s">
        <v>3783</v>
      </c>
      <c r="AB242" t="s">
        <v>2006</v>
      </c>
      <c r="AC242">
        <v>5</v>
      </c>
      <c r="AD242">
        <v>1</v>
      </c>
      <c r="AE242">
        <v>0</v>
      </c>
      <c r="AF242">
        <v>320.26</v>
      </c>
      <c r="AI242" t="s">
        <v>3809</v>
      </c>
      <c r="AJ242">
        <v>40000</v>
      </c>
      <c r="AP242">
        <v>2</v>
      </c>
      <c r="AQ242" t="s">
        <v>184</v>
      </c>
      <c r="AR242" t="s">
        <v>53</v>
      </c>
      <c r="AS242" t="s">
        <v>4210</v>
      </c>
      <c r="AT242" t="s">
        <v>4219</v>
      </c>
    </row>
    <row r="243" spans="1:46">
      <c r="A243" s="1">
        <f>HYPERLINK("https://lsnyc.legalserver.org/matter/dynamic-profile/view/1897447","19-1897447")</f>
        <v>0</v>
      </c>
      <c r="B243" t="s">
        <v>53</v>
      </c>
      <c r="C243" t="s">
        <v>169</v>
      </c>
      <c r="E243" t="s">
        <v>489</v>
      </c>
      <c r="F243" t="s">
        <v>1002</v>
      </c>
      <c r="G243" t="s">
        <v>1474</v>
      </c>
      <c r="H243" t="s">
        <v>1748</v>
      </c>
      <c r="I243">
        <v>11233</v>
      </c>
      <c r="J243" t="s">
        <v>2002</v>
      </c>
      <c r="K243" t="s">
        <v>2002</v>
      </c>
      <c r="N243" t="s">
        <v>2425</v>
      </c>
      <c r="O243" t="s">
        <v>2436</v>
      </c>
      <c r="Q243" t="s">
        <v>2003</v>
      </c>
      <c r="R243" t="s">
        <v>2451</v>
      </c>
      <c r="S243" t="s">
        <v>2467</v>
      </c>
      <c r="T243">
        <v>0</v>
      </c>
      <c r="W243" t="s">
        <v>2697</v>
      </c>
      <c r="Y243" t="s">
        <v>3454</v>
      </c>
      <c r="Z243">
        <v>6</v>
      </c>
      <c r="AA243" t="s">
        <v>3783</v>
      </c>
      <c r="AC243">
        <v>0</v>
      </c>
      <c r="AD243">
        <v>1</v>
      </c>
      <c r="AE243">
        <v>0</v>
      </c>
      <c r="AF243">
        <v>80.06</v>
      </c>
      <c r="AI243" t="s">
        <v>3809</v>
      </c>
      <c r="AJ243">
        <v>10000</v>
      </c>
      <c r="AK243" t="s">
        <v>3869</v>
      </c>
      <c r="AP243">
        <v>0</v>
      </c>
      <c r="AR243" t="s">
        <v>4185</v>
      </c>
      <c r="AS243" t="s">
        <v>4210</v>
      </c>
      <c r="AT243" t="s">
        <v>4219</v>
      </c>
    </row>
    <row r="244" spans="1:46">
      <c r="A244" s="1">
        <f>HYPERLINK("https://lsnyc.legalserver.org/matter/dynamic-profile/view/1893374","19-1893374")</f>
        <v>0</v>
      </c>
      <c r="B244" t="s">
        <v>53</v>
      </c>
      <c r="C244" t="s">
        <v>95</v>
      </c>
      <c r="D244" t="s">
        <v>263</v>
      </c>
      <c r="E244" t="s">
        <v>496</v>
      </c>
      <c r="F244" t="s">
        <v>1008</v>
      </c>
      <c r="G244" t="s">
        <v>1478</v>
      </c>
      <c r="H244" t="s">
        <v>1751</v>
      </c>
      <c r="I244">
        <v>11212</v>
      </c>
      <c r="J244" t="s">
        <v>2002</v>
      </c>
      <c r="K244" t="s">
        <v>2002</v>
      </c>
      <c r="L244" t="s">
        <v>2005</v>
      </c>
      <c r="M244" t="s">
        <v>2131</v>
      </c>
      <c r="N244" t="s">
        <v>2414</v>
      </c>
      <c r="O244" t="s">
        <v>2439</v>
      </c>
      <c r="P244" t="s">
        <v>2444</v>
      </c>
      <c r="Q244" t="s">
        <v>2002</v>
      </c>
      <c r="R244" t="s">
        <v>2451</v>
      </c>
      <c r="S244" t="s">
        <v>2468</v>
      </c>
      <c r="T244">
        <v>1643.13</v>
      </c>
      <c r="U244" t="s">
        <v>2496</v>
      </c>
      <c r="V244" t="s">
        <v>2515</v>
      </c>
      <c r="W244" t="s">
        <v>2704</v>
      </c>
      <c r="X244" t="s">
        <v>2006</v>
      </c>
      <c r="Y244" t="s">
        <v>3460</v>
      </c>
      <c r="Z244">
        <v>38</v>
      </c>
      <c r="AA244" t="s">
        <v>3783</v>
      </c>
      <c r="AB244" t="s">
        <v>2006</v>
      </c>
      <c r="AC244">
        <v>9</v>
      </c>
      <c r="AD244">
        <v>4</v>
      </c>
      <c r="AE244">
        <v>0</v>
      </c>
      <c r="AF244">
        <v>104.85</v>
      </c>
      <c r="AI244" t="s">
        <v>3809</v>
      </c>
      <c r="AJ244">
        <v>27000</v>
      </c>
      <c r="AP244">
        <v>0.1</v>
      </c>
      <c r="AQ244" t="s">
        <v>263</v>
      </c>
      <c r="AR244" t="s">
        <v>4185</v>
      </c>
      <c r="AS244" t="s">
        <v>4210</v>
      </c>
      <c r="AT244" t="s">
        <v>4219</v>
      </c>
    </row>
    <row r="245" spans="1:46">
      <c r="A245" s="1">
        <f>HYPERLINK("https://lsnyc.legalserver.org/matter/dynamic-profile/view/1869462","18-1869462")</f>
        <v>0</v>
      </c>
      <c r="B245" t="s">
        <v>54</v>
      </c>
      <c r="C245" t="s">
        <v>185</v>
      </c>
      <c r="D245" t="s">
        <v>215</v>
      </c>
      <c r="E245" t="s">
        <v>503</v>
      </c>
      <c r="F245" t="s">
        <v>1016</v>
      </c>
      <c r="G245" t="s">
        <v>1482</v>
      </c>
      <c r="H245" t="s">
        <v>1814</v>
      </c>
      <c r="I245">
        <v>11233</v>
      </c>
      <c r="J245" t="s">
        <v>2002</v>
      </c>
      <c r="K245" t="s">
        <v>2002</v>
      </c>
      <c r="M245" t="s">
        <v>2027</v>
      </c>
      <c r="N245" t="s">
        <v>2417</v>
      </c>
      <c r="O245" t="s">
        <v>2439</v>
      </c>
      <c r="P245" t="s">
        <v>2444</v>
      </c>
      <c r="Q245" t="s">
        <v>2003</v>
      </c>
      <c r="S245" t="s">
        <v>2459</v>
      </c>
      <c r="T245">
        <v>859</v>
      </c>
      <c r="U245" t="s">
        <v>2497</v>
      </c>
      <c r="V245" t="s">
        <v>2519</v>
      </c>
      <c r="W245" t="s">
        <v>2713</v>
      </c>
      <c r="X245" t="s">
        <v>2156</v>
      </c>
      <c r="Y245" t="s">
        <v>3467</v>
      </c>
      <c r="Z245">
        <v>1107</v>
      </c>
      <c r="AA245" t="s">
        <v>3783</v>
      </c>
      <c r="AB245" t="s">
        <v>3799</v>
      </c>
      <c r="AC245">
        <v>6</v>
      </c>
      <c r="AD245">
        <v>1</v>
      </c>
      <c r="AE245">
        <v>0</v>
      </c>
      <c r="AF245">
        <v>0</v>
      </c>
      <c r="AI245" t="s">
        <v>3809</v>
      </c>
      <c r="AJ245">
        <v>0</v>
      </c>
      <c r="AK245" t="s">
        <v>3829</v>
      </c>
      <c r="AP245">
        <v>2</v>
      </c>
      <c r="AQ245" t="s">
        <v>215</v>
      </c>
      <c r="AR245" t="s">
        <v>4185</v>
      </c>
      <c r="AS245" t="s">
        <v>4210</v>
      </c>
      <c r="AT245" t="s">
        <v>4219</v>
      </c>
    </row>
    <row r="246" spans="1:46">
      <c r="A246" s="1">
        <f>HYPERLINK("https://lsnyc.legalserver.org/matter/dynamic-profile/view/1871201","18-1871201")</f>
        <v>0</v>
      </c>
      <c r="B246" t="s">
        <v>54</v>
      </c>
      <c r="C246" t="s">
        <v>186</v>
      </c>
      <c r="D246" t="s">
        <v>315</v>
      </c>
      <c r="E246" t="s">
        <v>504</v>
      </c>
      <c r="F246" t="s">
        <v>1017</v>
      </c>
      <c r="G246" t="s">
        <v>1483</v>
      </c>
      <c r="H246" t="s">
        <v>1815</v>
      </c>
      <c r="I246">
        <v>11212</v>
      </c>
      <c r="J246" t="s">
        <v>2002</v>
      </c>
      <c r="K246" t="s">
        <v>2003</v>
      </c>
      <c r="N246" t="s">
        <v>2426</v>
      </c>
      <c r="O246" t="s">
        <v>2436</v>
      </c>
      <c r="P246" t="s">
        <v>2443</v>
      </c>
      <c r="Q246" t="s">
        <v>2002</v>
      </c>
      <c r="R246" t="s">
        <v>2451</v>
      </c>
      <c r="S246" t="s">
        <v>2459</v>
      </c>
      <c r="T246">
        <v>920.21</v>
      </c>
      <c r="U246" t="s">
        <v>2504</v>
      </c>
      <c r="V246" t="s">
        <v>2522</v>
      </c>
      <c r="W246" t="s">
        <v>2714</v>
      </c>
      <c r="Y246" t="s">
        <v>3468</v>
      </c>
      <c r="Z246">
        <v>32</v>
      </c>
      <c r="AA246" t="s">
        <v>3783</v>
      </c>
      <c r="AC246">
        <v>18</v>
      </c>
      <c r="AD246">
        <v>1</v>
      </c>
      <c r="AE246">
        <v>0</v>
      </c>
      <c r="AF246">
        <v>197.69</v>
      </c>
      <c r="AI246" t="s">
        <v>3809</v>
      </c>
      <c r="AJ246">
        <v>24000</v>
      </c>
      <c r="AP246">
        <v>0.08</v>
      </c>
      <c r="AQ246" t="s">
        <v>166</v>
      </c>
      <c r="AR246" t="s">
        <v>4199</v>
      </c>
      <c r="AS246" t="s">
        <v>4210</v>
      </c>
      <c r="AT246" t="s">
        <v>4219</v>
      </c>
    </row>
    <row r="247" spans="1:46">
      <c r="A247" s="1">
        <f>HYPERLINK("https://lsnyc.legalserver.org/matter/dynamic-profile/view/1871738","18-1871738")</f>
        <v>0</v>
      </c>
      <c r="B247" t="s">
        <v>54</v>
      </c>
      <c r="C247" t="s">
        <v>187</v>
      </c>
      <c r="E247" t="s">
        <v>505</v>
      </c>
      <c r="F247" t="s">
        <v>1018</v>
      </c>
      <c r="G247" t="s">
        <v>1484</v>
      </c>
      <c r="H247" t="s">
        <v>1736</v>
      </c>
      <c r="I247">
        <v>11206</v>
      </c>
      <c r="J247" t="s">
        <v>2002</v>
      </c>
      <c r="K247" t="s">
        <v>2002</v>
      </c>
      <c r="N247" t="s">
        <v>2417</v>
      </c>
      <c r="O247" t="s">
        <v>2441</v>
      </c>
      <c r="Q247" t="s">
        <v>2002</v>
      </c>
      <c r="S247" t="s">
        <v>187</v>
      </c>
      <c r="T247">
        <v>1291.45</v>
      </c>
      <c r="W247" t="s">
        <v>2715</v>
      </c>
      <c r="Y247" t="s">
        <v>3469</v>
      </c>
      <c r="Z247">
        <v>29</v>
      </c>
      <c r="AA247" t="s">
        <v>3783</v>
      </c>
      <c r="AB247" t="s">
        <v>3793</v>
      </c>
      <c r="AC247">
        <v>23</v>
      </c>
      <c r="AD247">
        <v>3</v>
      </c>
      <c r="AE247">
        <v>0</v>
      </c>
      <c r="AF247">
        <v>38.2</v>
      </c>
      <c r="AI247" t="s">
        <v>3809</v>
      </c>
      <c r="AJ247">
        <v>7938</v>
      </c>
      <c r="AK247" t="s">
        <v>3870</v>
      </c>
      <c r="AP247">
        <v>11.45</v>
      </c>
      <c r="AQ247" t="s">
        <v>244</v>
      </c>
      <c r="AR247" t="s">
        <v>4199</v>
      </c>
      <c r="AS247" t="s">
        <v>4210</v>
      </c>
      <c r="AT247" t="s">
        <v>4219</v>
      </c>
    </row>
    <row r="248" spans="1:46">
      <c r="A248" s="1">
        <f>HYPERLINK("https://lsnyc.legalserver.org/matter/dynamic-profile/view/1871742","18-1871742")</f>
        <v>0</v>
      </c>
      <c r="B248" t="s">
        <v>54</v>
      </c>
      <c r="C248" t="s">
        <v>187</v>
      </c>
      <c r="E248" t="s">
        <v>361</v>
      </c>
      <c r="F248" t="s">
        <v>1019</v>
      </c>
      <c r="G248" t="s">
        <v>1485</v>
      </c>
      <c r="H248" t="s">
        <v>1816</v>
      </c>
      <c r="I248">
        <v>11206</v>
      </c>
      <c r="J248" t="s">
        <v>2002</v>
      </c>
      <c r="K248" t="s">
        <v>2002</v>
      </c>
      <c r="N248" t="s">
        <v>2417</v>
      </c>
      <c r="O248" t="s">
        <v>2441</v>
      </c>
      <c r="Q248" t="s">
        <v>2002</v>
      </c>
      <c r="S248" t="s">
        <v>187</v>
      </c>
      <c r="T248">
        <v>1057.68</v>
      </c>
      <c r="U248" t="s">
        <v>2495</v>
      </c>
      <c r="W248" t="s">
        <v>2716</v>
      </c>
      <c r="Y248" t="s">
        <v>3470</v>
      </c>
      <c r="Z248">
        <v>25</v>
      </c>
      <c r="AA248" t="s">
        <v>3783</v>
      </c>
      <c r="AB248" t="s">
        <v>3793</v>
      </c>
      <c r="AC248">
        <v>9</v>
      </c>
      <c r="AD248">
        <v>2</v>
      </c>
      <c r="AE248">
        <v>0</v>
      </c>
      <c r="AF248">
        <v>64.67</v>
      </c>
      <c r="AI248" t="s">
        <v>3809</v>
      </c>
      <c r="AJ248">
        <v>10644</v>
      </c>
      <c r="AK248" t="s">
        <v>3871</v>
      </c>
      <c r="AP248">
        <v>0.5</v>
      </c>
      <c r="AQ248" t="s">
        <v>85</v>
      </c>
      <c r="AR248" t="s">
        <v>4199</v>
      </c>
      <c r="AS248" t="s">
        <v>4210</v>
      </c>
      <c r="AT248" t="s">
        <v>4219</v>
      </c>
    </row>
    <row r="249" spans="1:46">
      <c r="A249" s="1">
        <f>HYPERLINK("https://lsnyc.legalserver.org/matter/dynamic-profile/view/1871791","18-1871791")</f>
        <v>0</v>
      </c>
      <c r="B249" t="s">
        <v>54</v>
      </c>
      <c r="C249" t="s">
        <v>188</v>
      </c>
      <c r="E249" t="s">
        <v>447</v>
      </c>
      <c r="F249" t="s">
        <v>967</v>
      </c>
      <c r="G249" t="s">
        <v>1485</v>
      </c>
      <c r="H249" t="s">
        <v>1817</v>
      </c>
      <c r="I249">
        <v>11206</v>
      </c>
      <c r="J249" t="s">
        <v>2002</v>
      </c>
      <c r="K249" t="s">
        <v>2002</v>
      </c>
      <c r="N249" t="s">
        <v>2417</v>
      </c>
      <c r="O249" t="s">
        <v>2441</v>
      </c>
      <c r="Q249" t="s">
        <v>2002</v>
      </c>
      <c r="S249" t="s">
        <v>188</v>
      </c>
      <c r="T249">
        <v>611.9299999999999</v>
      </c>
      <c r="U249" t="s">
        <v>2495</v>
      </c>
      <c r="W249" t="s">
        <v>2717</v>
      </c>
      <c r="X249" t="s">
        <v>3207</v>
      </c>
      <c r="Y249" t="s">
        <v>3471</v>
      </c>
      <c r="Z249">
        <v>25</v>
      </c>
      <c r="AA249" t="s">
        <v>3783</v>
      </c>
      <c r="AC249">
        <v>7</v>
      </c>
      <c r="AD249">
        <v>1</v>
      </c>
      <c r="AE249">
        <v>2</v>
      </c>
      <c r="AF249">
        <v>87.58</v>
      </c>
      <c r="AI249" t="s">
        <v>3809</v>
      </c>
      <c r="AJ249">
        <v>18200</v>
      </c>
      <c r="AK249" t="s">
        <v>3872</v>
      </c>
      <c r="AP249">
        <v>0</v>
      </c>
      <c r="AR249" t="s">
        <v>4199</v>
      </c>
      <c r="AS249" t="s">
        <v>4210</v>
      </c>
      <c r="AT249" t="s">
        <v>4219</v>
      </c>
    </row>
    <row r="250" spans="1:46">
      <c r="A250" s="1">
        <f>HYPERLINK("https://lsnyc.legalserver.org/matter/dynamic-profile/view/1871808","18-1871808")</f>
        <v>0</v>
      </c>
      <c r="B250" t="s">
        <v>54</v>
      </c>
      <c r="C250" t="s">
        <v>188</v>
      </c>
      <c r="E250" t="s">
        <v>506</v>
      </c>
      <c r="F250" t="s">
        <v>1020</v>
      </c>
      <c r="G250" t="s">
        <v>1484</v>
      </c>
      <c r="H250" t="s">
        <v>1760</v>
      </c>
      <c r="I250">
        <v>11206</v>
      </c>
      <c r="J250" t="s">
        <v>2002</v>
      </c>
      <c r="K250" t="s">
        <v>2002</v>
      </c>
      <c r="N250" t="s">
        <v>2417</v>
      </c>
      <c r="O250" t="s">
        <v>2441</v>
      </c>
      <c r="Q250" t="s">
        <v>2002</v>
      </c>
      <c r="S250" t="s">
        <v>188</v>
      </c>
      <c r="T250">
        <v>953</v>
      </c>
      <c r="U250" t="s">
        <v>2495</v>
      </c>
      <c r="W250" t="s">
        <v>2718</v>
      </c>
      <c r="Z250">
        <v>29</v>
      </c>
      <c r="AA250" t="s">
        <v>3783</v>
      </c>
      <c r="AB250" t="s">
        <v>3797</v>
      </c>
      <c r="AC250">
        <v>24</v>
      </c>
      <c r="AD250">
        <v>2</v>
      </c>
      <c r="AE250">
        <v>0</v>
      </c>
      <c r="AF250">
        <v>157.96</v>
      </c>
      <c r="AI250" t="s">
        <v>3810</v>
      </c>
      <c r="AJ250">
        <v>26000</v>
      </c>
      <c r="AK250" t="s">
        <v>3829</v>
      </c>
      <c r="AP250">
        <v>0</v>
      </c>
      <c r="AR250" t="s">
        <v>4199</v>
      </c>
      <c r="AS250" t="s">
        <v>4210</v>
      </c>
      <c r="AT250" t="s">
        <v>4219</v>
      </c>
    </row>
    <row r="251" spans="1:46">
      <c r="A251" s="1">
        <f>HYPERLINK("https://lsnyc.legalserver.org/matter/dynamic-profile/view/1864002","18-1864002")</f>
        <v>0</v>
      </c>
      <c r="B251" t="s">
        <v>54</v>
      </c>
      <c r="C251" t="s">
        <v>189</v>
      </c>
      <c r="E251" t="s">
        <v>507</v>
      </c>
      <c r="F251" t="s">
        <v>1021</v>
      </c>
      <c r="G251" t="s">
        <v>1485</v>
      </c>
      <c r="H251" t="s">
        <v>1818</v>
      </c>
      <c r="I251">
        <v>11206</v>
      </c>
      <c r="J251" t="s">
        <v>2002</v>
      </c>
      <c r="K251" t="s">
        <v>2002</v>
      </c>
      <c r="N251" t="s">
        <v>2417</v>
      </c>
      <c r="O251" t="s">
        <v>2441</v>
      </c>
      <c r="Q251" t="s">
        <v>2002</v>
      </c>
      <c r="S251" t="s">
        <v>227</v>
      </c>
      <c r="T251">
        <v>850</v>
      </c>
      <c r="U251" t="s">
        <v>2494</v>
      </c>
      <c r="W251" t="s">
        <v>2719</v>
      </c>
      <c r="Y251" t="s">
        <v>3472</v>
      </c>
      <c r="Z251">
        <v>11</v>
      </c>
      <c r="AA251" t="s">
        <v>3783</v>
      </c>
      <c r="AB251" t="s">
        <v>3793</v>
      </c>
      <c r="AC251">
        <v>25</v>
      </c>
      <c r="AD251">
        <v>1</v>
      </c>
      <c r="AE251">
        <v>0</v>
      </c>
      <c r="AF251">
        <v>219.44</v>
      </c>
      <c r="AH251" t="s">
        <v>3806</v>
      </c>
      <c r="AI251" t="s">
        <v>3810</v>
      </c>
      <c r="AJ251">
        <v>26640</v>
      </c>
      <c r="AK251" t="s">
        <v>3873</v>
      </c>
      <c r="AP251">
        <v>0</v>
      </c>
      <c r="AR251" t="s">
        <v>4185</v>
      </c>
      <c r="AS251" t="s">
        <v>4210</v>
      </c>
      <c r="AT251" t="s">
        <v>4219</v>
      </c>
    </row>
    <row r="252" spans="1:46">
      <c r="A252" s="1">
        <f>HYPERLINK("https://lsnyc.legalserver.org/matter/dynamic-profile/view/1878946","18-1878946")</f>
        <v>0</v>
      </c>
      <c r="B252" t="s">
        <v>54</v>
      </c>
      <c r="C252" t="s">
        <v>190</v>
      </c>
      <c r="D252" t="s">
        <v>315</v>
      </c>
      <c r="E252" t="s">
        <v>508</v>
      </c>
      <c r="F252" t="s">
        <v>1022</v>
      </c>
      <c r="G252" t="s">
        <v>1354</v>
      </c>
      <c r="H252" t="s">
        <v>1741</v>
      </c>
      <c r="I252">
        <v>11221</v>
      </c>
      <c r="J252" t="s">
        <v>2002</v>
      </c>
      <c r="K252" t="s">
        <v>2002</v>
      </c>
      <c r="M252" t="s">
        <v>2027</v>
      </c>
      <c r="N252" t="s">
        <v>2417</v>
      </c>
      <c r="O252" t="s">
        <v>2436</v>
      </c>
      <c r="P252" t="s">
        <v>2443</v>
      </c>
      <c r="Q252" t="s">
        <v>2002</v>
      </c>
      <c r="S252" t="s">
        <v>151</v>
      </c>
      <c r="T252">
        <v>632.48</v>
      </c>
      <c r="U252" t="s">
        <v>2496</v>
      </c>
      <c r="V252" t="s">
        <v>2523</v>
      </c>
      <c r="W252" t="s">
        <v>2720</v>
      </c>
      <c r="Y252" t="s">
        <v>3473</v>
      </c>
      <c r="Z252">
        <v>12</v>
      </c>
      <c r="AA252" t="s">
        <v>3783</v>
      </c>
      <c r="AB252" t="s">
        <v>2006</v>
      </c>
      <c r="AC252">
        <v>18</v>
      </c>
      <c r="AD252">
        <v>3</v>
      </c>
      <c r="AE252">
        <v>0</v>
      </c>
      <c r="AF252">
        <v>409.05</v>
      </c>
      <c r="AI252" t="s">
        <v>3809</v>
      </c>
      <c r="AJ252">
        <v>85000</v>
      </c>
      <c r="AP252">
        <v>0.08</v>
      </c>
      <c r="AQ252" t="s">
        <v>155</v>
      </c>
      <c r="AR252" t="s">
        <v>4185</v>
      </c>
      <c r="AS252" t="s">
        <v>4210</v>
      </c>
      <c r="AT252" t="s">
        <v>4219</v>
      </c>
    </row>
    <row r="253" spans="1:46">
      <c r="A253" s="1">
        <f>HYPERLINK("https://lsnyc.legalserver.org/matter/dynamic-profile/view/1885168","18-1885168")</f>
        <v>0</v>
      </c>
      <c r="B253" t="s">
        <v>54</v>
      </c>
      <c r="C253" t="s">
        <v>97</v>
      </c>
      <c r="D253" t="s">
        <v>315</v>
      </c>
      <c r="E253" t="s">
        <v>509</v>
      </c>
      <c r="F253" t="s">
        <v>1010</v>
      </c>
      <c r="G253" t="s">
        <v>1486</v>
      </c>
      <c r="H253" t="s">
        <v>1764</v>
      </c>
      <c r="I253">
        <v>11213</v>
      </c>
      <c r="J253" t="s">
        <v>2002</v>
      </c>
      <c r="K253" t="s">
        <v>2002</v>
      </c>
      <c r="M253" t="s">
        <v>2027</v>
      </c>
      <c r="N253" t="s">
        <v>2417</v>
      </c>
      <c r="O253" t="s">
        <v>2436</v>
      </c>
      <c r="P253" t="s">
        <v>2443</v>
      </c>
      <c r="Q253" t="s">
        <v>2002</v>
      </c>
      <c r="R253" t="s">
        <v>2451</v>
      </c>
      <c r="S253" t="s">
        <v>316</v>
      </c>
      <c r="T253">
        <v>951</v>
      </c>
      <c r="U253" t="s">
        <v>2509</v>
      </c>
      <c r="V253" t="s">
        <v>2523</v>
      </c>
      <c r="W253" t="s">
        <v>2721</v>
      </c>
      <c r="X253" t="s">
        <v>2006</v>
      </c>
      <c r="Y253" t="s">
        <v>3474</v>
      </c>
      <c r="Z253">
        <v>19</v>
      </c>
      <c r="AA253" t="s">
        <v>3783</v>
      </c>
      <c r="AB253" t="s">
        <v>3797</v>
      </c>
      <c r="AC253">
        <v>16</v>
      </c>
      <c r="AD253">
        <v>3</v>
      </c>
      <c r="AE253">
        <v>3</v>
      </c>
      <c r="AF253">
        <v>53.94</v>
      </c>
      <c r="AI253" t="s">
        <v>3809</v>
      </c>
      <c r="AJ253">
        <v>18200</v>
      </c>
      <c r="AP253">
        <v>0.08</v>
      </c>
      <c r="AQ253" t="s">
        <v>166</v>
      </c>
      <c r="AR253" t="s">
        <v>4185</v>
      </c>
      <c r="AS253" t="s">
        <v>4210</v>
      </c>
      <c r="AT253" t="s">
        <v>4219</v>
      </c>
    </row>
    <row r="254" spans="1:46">
      <c r="A254" s="1">
        <f>HYPERLINK("https://lsnyc.legalserver.org/matter/dynamic-profile/view/1885016","18-1885016")</f>
        <v>0</v>
      </c>
      <c r="B254" t="s">
        <v>54</v>
      </c>
      <c r="C254" t="s">
        <v>191</v>
      </c>
      <c r="D254" t="s">
        <v>82</v>
      </c>
      <c r="E254" t="s">
        <v>510</v>
      </c>
      <c r="F254" t="s">
        <v>1023</v>
      </c>
      <c r="G254" t="s">
        <v>1486</v>
      </c>
      <c r="H254" t="s">
        <v>1819</v>
      </c>
      <c r="I254">
        <v>11213</v>
      </c>
      <c r="J254" t="s">
        <v>2002</v>
      </c>
      <c r="K254" t="s">
        <v>2002</v>
      </c>
      <c r="N254" t="s">
        <v>2417</v>
      </c>
      <c r="O254" t="s">
        <v>2436</v>
      </c>
      <c r="P254" t="s">
        <v>2443</v>
      </c>
      <c r="Q254" t="s">
        <v>2002</v>
      </c>
      <c r="S254" t="s">
        <v>316</v>
      </c>
      <c r="T254">
        <v>693</v>
      </c>
      <c r="U254" t="s">
        <v>2509</v>
      </c>
      <c r="V254" t="s">
        <v>2523</v>
      </c>
      <c r="W254" t="s">
        <v>2722</v>
      </c>
      <c r="Y254" t="s">
        <v>3475</v>
      </c>
      <c r="Z254">
        <v>19</v>
      </c>
      <c r="AA254" t="s">
        <v>3783</v>
      </c>
      <c r="AB254" t="s">
        <v>2006</v>
      </c>
      <c r="AC254">
        <v>20</v>
      </c>
      <c r="AD254">
        <v>2</v>
      </c>
      <c r="AE254">
        <v>1</v>
      </c>
      <c r="AF254">
        <v>240.62</v>
      </c>
      <c r="AI254" t="s">
        <v>3809</v>
      </c>
      <c r="AJ254">
        <v>50000</v>
      </c>
      <c r="AP254">
        <v>0.08</v>
      </c>
      <c r="AQ254" t="s">
        <v>166</v>
      </c>
      <c r="AR254" t="s">
        <v>49</v>
      </c>
      <c r="AS254" t="s">
        <v>4210</v>
      </c>
      <c r="AT254" t="s">
        <v>4219</v>
      </c>
    </row>
    <row r="255" spans="1:46">
      <c r="A255" s="1">
        <f>HYPERLINK("https://lsnyc.legalserver.org/matter/dynamic-profile/view/1887838","19-1887838")</f>
        <v>0</v>
      </c>
      <c r="B255" t="s">
        <v>54</v>
      </c>
      <c r="C255" t="s">
        <v>82</v>
      </c>
      <c r="E255" t="s">
        <v>511</v>
      </c>
      <c r="F255" t="s">
        <v>877</v>
      </c>
      <c r="G255" t="s">
        <v>1487</v>
      </c>
      <c r="H255" t="s">
        <v>1820</v>
      </c>
      <c r="I255">
        <v>11225</v>
      </c>
      <c r="J255" t="s">
        <v>2002</v>
      </c>
      <c r="K255" t="s">
        <v>2002</v>
      </c>
      <c r="M255" t="s">
        <v>2141</v>
      </c>
      <c r="N255" t="s">
        <v>2424</v>
      </c>
      <c r="O255" t="s">
        <v>2441</v>
      </c>
      <c r="Q255" t="s">
        <v>2002</v>
      </c>
      <c r="S255" t="s">
        <v>2469</v>
      </c>
      <c r="T255">
        <v>978.0700000000001</v>
      </c>
      <c r="W255" t="s">
        <v>2723</v>
      </c>
      <c r="Y255" t="s">
        <v>3476</v>
      </c>
      <c r="Z255">
        <v>89</v>
      </c>
      <c r="AA255" t="s">
        <v>3783</v>
      </c>
      <c r="AB255" t="s">
        <v>2006</v>
      </c>
      <c r="AC255">
        <v>28</v>
      </c>
      <c r="AD255">
        <v>1</v>
      </c>
      <c r="AE255">
        <v>0</v>
      </c>
      <c r="AF255">
        <v>0</v>
      </c>
      <c r="AI255" t="s">
        <v>3809</v>
      </c>
      <c r="AJ255">
        <v>0</v>
      </c>
      <c r="AP255">
        <v>2</v>
      </c>
      <c r="AQ255" t="s">
        <v>250</v>
      </c>
      <c r="AR255" t="s">
        <v>49</v>
      </c>
      <c r="AS255" t="s">
        <v>4210</v>
      </c>
      <c r="AT255" t="s">
        <v>4219</v>
      </c>
    </row>
    <row r="256" spans="1:46">
      <c r="A256" s="1">
        <f>HYPERLINK("https://lsnyc.legalserver.org/matter/dynamic-profile/view/1887831","19-1887831")</f>
        <v>0</v>
      </c>
      <c r="B256" t="s">
        <v>54</v>
      </c>
      <c r="C256" t="s">
        <v>82</v>
      </c>
      <c r="E256" t="s">
        <v>512</v>
      </c>
      <c r="F256" t="s">
        <v>1024</v>
      </c>
      <c r="G256" t="s">
        <v>1487</v>
      </c>
      <c r="H256" t="s">
        <v>1821</v>
      </c>
      <c r="I256">
        <v>11225</v>
      </c>
      <c r="J256" t="s">
        <v>2002</v>
      </c>
      <c r="K256" t="s">
        <v>2002</v>
      </c>
      <c r="M256" t="s">
        <v>2141</v>
      </c>
      <c r="N256" t="s">
        <v>2424</v>
      </c>
      <c r="O256" t="s">
        <v>2441</v>
      </c>
      <c r="Q256" t="s">
        <v>2002</v>
      </c>
      <c r="S256" t="s">
        <v>2469</v>
      </c>
      <c r="T256">
        <v>795.52</v>
      </c>
      <c r="U256" t="s">
        <v>2496</v>
      </c>
      <c r="W256" t="s">
        <v>2724</v>
      </c>
      <c r="Y256" t="s">
        <v>3477</v>
      </c>
      <c r="Z256">
        <v>89</v>
      </c>
      <c r="AA256" t="s">
        <v>3783</v>
      </c>
      <c r="AB256" t="s">
        <v>3793</v>
      </c>
      <c r="AC256">
        <v>35</v>
      </c>
      <c r="AD256">
        <v>2</v>
      </c>
      <c r="AE256">
        <v>0</v>
      </c>
      <c r="AF256">
        <v>60.66</v>
      </c>
      <c r="AI256" t="s">
        <v>3809</v>
      </c>
      <c r="AJ256">
        <v>9984</v>
      </c>
      <c r="AP256">
        <v>0</v>
      </c>
      <c r="AR256" t="s">
        <v>49</v>
      </c>
      <c r="AS256" t="s">
        <v>4210</v>
      </c>
      <c r="AT256" t="s">
        <v>4219</v>
      </c>
    </row>
    <row r="257" spans="1:46">
      <c r="A257" s="1">
        <f>HYPERLINK("https://lsnyc.legalserver.org/matter/dynamic-profile/view/1878637","18-1878637")</f>
        <v>0</v>
      </c>
      <c r="B257" t="s">
        <v>54</v>
      </c>
      <c r="C257" t="s">
        <v>192</v>
      </c>
      <c r="D257" t="s">
        <v>315</v>
      </c>
      <c r="E257" t="s">
        <v>498</v>
      </c>
      <c r="F257" t="s">
        <v>1010</v>
      </c>
      <c r="G257" t="s">
        <v>1354</v>
      </c>
      <c r="H257" t="s">
        <v>1739</v>
      </c>
      <c r="I257">
        <v>11221</v>
      </c>
      <c r="J257" t="s">
        <v>2002</v>
      </c>
      <c r="K257" t="s">
        <v>2002</v>
      </c>
      <c r="M257" t="s">
        <v>2027</v>
      </c>
      <c r="N257" t="s">
        <v>2417</v>
      </c>
      <c r="O257" t="s">
        <v>2436</v>
      </c>
      <c r="P257" t="s">
        <v>2443</v>
      </c>
      <c r="Q257" t="s">
        <v>2002</v>
      </c>
      <c r="S257" t="s">
        <v>204</v>
      </c>
      <c r="T257">
        <v>1091.22</v>
      </c>
      <c r="U257" t="s">
        <v>2496</v>
      </c>
      <c r="V257" t="s">
        <v>2523</v>
      </c>
      <c r="W257" t="s">
        <v>2706</v>
      </c>
      <c r="X257" t="s">
        <v>3160</v>
      </c>
      <c r="Y257" t="s">
        <v>3461</v>
      </c>
      <c r="Z257">
        <v>12</v>
      </c>
      <c r="AA257" t="s">
        <v>3783</v>
      </c>
      <c r="AB257" t="s">
        <v>3793</v>
      </c>
      <c r="AC257">
        <v>12</v>
      </c>
      <c r="AD257">
        <v>1</v>
      </c>
      <c r="AE257">
        <v>0</v>
      </c>
      <c r="AF257">
        <v>152.2</v>
      </c>
      <c r="AI257" t="s">
        <v>3809</v>
      </c>
      <c r="AJ257">
        <v>18476.9</v>
      </c>
      <c r="AP257">
        <v>0.08</v>
      </c>
      <c r="AQ257" t="s">
        <v>155</v>
      </c>
      <c r="AR257" t="s">
        <v>4185</v>
      </c>
      <c r="AS257" t="s">
        <v>4210</v>
      </c>
      <c r="AT257" t="s">
        <v>4219</v>
      </c>
    </row>
    <row r="258" spans="1:46">
      <c r="A258" s="1">
        <f>HYPERLINK("https://lsnyc.legalserver.org/matter/dynamic-profile/view/1885029","18-1885029")</f>
        <v>0</v>
      </c>
      <c r="B258" t="s">
        <v>54</v>
      </c>
      <c r="C258" t="s">
        <v>191</v>
      </c>
      <c r="D258" t="s">
        <v>315</v>
      </c>
      <c r="E258" t="s">
        <v>513</v>
      </c>
      <c r="F258" t="s">
        <v>1025</v>
      </c>
      <c r="G258" t="s">
        <v>1486</v>
      </c>
      <c r="H258" t="s">
        <v>1739</v>
      </c>
      <c r="I258">
        <v>11213</v>
      </c>
      <c r="J258" t="s">
        <v>2002</v>
      </c>
      <c r="K258" t="s">
        <v>2002</v>
      </c>
      <c r="M258" t="s">
        <v>2027</v>
      </c>
      <c r="N258" t="s">
        <v>2417</v>
      </c>
      <c r="O258" t="s">
        <v>2436</v>
      </c>
      <c r="P258" t="s">
        <v>2443</v>
      </c>
      <c r="Q258" t="s">
        <v>2002</v>
      </c>
      <c r="S258" t="s">
        <v>293</v>
      </c>
      <c r="T258">
        <v>412</v>
      </c>
      <c r="U258" t="s">
        <v>2509</v>
      </c>
      <c r="V258" t="s">
        <v>2523</v>
      </c>
      <c r="W258" t="s">
        <v>2725</v>
      </c>
      <c r="Y258" t="s">
        <v>3478</v>
      </c>
      <c r="Z258">
        <v>19</v>
      </c>
      <c r="AA258" t="s">
        <v>3783</v>
      </c>
      <c r="AC258">
        <v>12</v>
      </c>
      <c r="AD258">
        <v>3</v>
      </c>
      <c r="AE258">
        <v>0</v>
      </c>
      <c r="AF258">
        <v>50.05</v>
      </c>
      <c r="AI258" t="s">
        <v>3809</v>
      </c>
      <c r="AJ258">
        <v>10400</v>
      </c>
      <c r="AP258">
        <v>0.08</v>
      </c>
      <c r="AQ258" t="s">
        <v>166</v>
      </c>
      <c r="AR258" t="s">
        <v>49</v>
      </c>
      <c r="AS258" t="s">
        <v>4210</v>
      </c>
      <c r="AT258" t="s">
        <v>4219</v>
      </c>
    </row>
    <row r="259" spans="1:46">
      <c r="A259" s="1">
        <f>HYPERLINK("https://lsnyc.legalserver.org/matter/dynamic-profile/view/1885020","18-1885020")</f>
        <v>0</v>
      </c>
      <c r="B259" t="s">
        <v>54</v>
      </c>
      <c r="C259" t="s">
        <v>191</v>
      </c>
      <c r="E259" t="s">
        <v>514</v>
      </c>
      <c r="F259" t="s">
        <v>1026</v>
      </c>
      <c r="G259" t="s">
        <v>1486</v>
      </c>
      <c r="H259" t="s">
        <v>1772</v>
      </c>
      <c r="I259">
        <v>11213</v>
      </c>
      <c r="J259" t="s">
        <v>2002</v>
      </c>
      <c r="K259" t="s">
        <v>2002</v>
      </c>
      <c r="M259" t="s">
        <v>2142</v>
      </c>
      <c r="N259" t="s">
        <v>2414</v>
      </c>
      <c r="O259" t="s">
        <v>2437</v>
      </c>
      <c r="Q259" t="s">
        <v>2003</v>
      </c>
      <c r="R259" t="s">
        <v>2451</v>
      </c>
      <c r="S259" t="s">
        <v>293</v>
      </c>
      <c r="T259">
        <v>1507.16</v>
      </c>
      <c r="U259" t="s">
        <v>2509</v>
      </c>
      <c r="W259" t="s">
        <v>2726</v>
      </c>
      <c r="X259" t="s">
        <v>3208</v>
      </c>
      <c r="Y259" t="s">
        <v>3479</v>
      </c>
      <c r="Z259">
        <v>19</v>
      </c>
      <c r="AA259" t="s">
        <v>3783</v>
      </c>
      <c r="AB259" t="s">
        <v>3793</v>
      </c>
      <c r="AC259">
        <v>22</v>
      </c>
      <c r="AD259">
        <v>4</v>
      </c>
      <c r="AE259">
        <v>0</v>
      </c>
      <c r="AF259">
        <v>190.88</v>
      </c>
      <c r="AI259" t="s">
        <v>3809</v>
      </c>
      <c r="AJ259">
        <v>47909.8</v>
      </c>
      <c r="AP259">
        <v>84.8</v>
      </c>
      <c r="AQ259" t="s">
        <v>255</v>
      </c>
      <c r="AR259" t="s">
        <v>4185</v>
      </c>
      <c r="AS259" t="s">
        <v>4210</v>
      </c>
      <c r="AT259" t="s">
        <v>4219</v>
      </c>
    </row>
    <row r="260" spans="1:46">
      <c r="A260" s="1">
        <f>HYPERLINK("https://lsnyc.legalserver.org/matter/dynamic-profile/view/1876272","18-1876272")</f>
        <v>0</v>
      </c>
      <c r="B260" t="s">
        <v>54</v>
      </c>
      <c r="C260" t="s">
        <v>193</v>
      </c>
      <c r="D260" t="s">
        <v>315</v>
      </c>
      <c r="E260" t="s">
        <v>341</v>
      </c>
      <c r="F260" t="s">
        <v>857</v>
      </c>
      <c r="G260" t="s">
        <v>1354</v>
      </c>
      <c r="H260" t="s">
        <v>1738</v>
      </c>
      <c r="I260">
        <v>11221</v>
      </c>
      <c r="J260" t="s">
        <v>2002</v>
      </c>
      <c r="K260" t="s">
        <v>2002</v>
      </c>
      <c r="M260" t="s">
        <v>2027</v>
      </c>
      <c r="N260" t="s">
        <v>2417</v>
      </c>
      <c r="O260" t="s">
        <v>2436</v>
      </c>
      <c r="P260" t="s">
        <v>2443</v>
      </c>
      <c r="Q260" t="s">
        <v>2002</v>
      </c>
      <c r="S260" t="s">
        <v>86</v>
      </c>
      <c r="T260">
        <v>880.65</v>
      </c>
      <c r="U260" t="s">
        <v>2496</v>
      </c>
      <c r="V260" t="s">
        <v>2522</v>
      </c>
      <c r="W260" t="s">
        <v>2536</v>
      </c>
      <c r="Y260" t="s">
        <v>3316</v>
      </c>
      <c r="Z260">
        <v>12</v>
      </c>
      <c r="AA260" t="s">
        <v>3783</v>
      </c>
      <c r="AB260" t="s">
        <v>2006</v>
      </c>
      <c r="AC260">
        <v>17</v>
      </c>
      <c r="AD260">
        <v>1</v>
      </c>
      <c r="AE260">
        <v>1</v>
      </c>
      <c r="AF260">
        <v>243.01</v>
      </c>
      <c r="AI260" t="s">
        <v>3809</v>
      </c>
      <c r="AJ260">
        <v>40000</v>
      </c>
      <c r="AP260">
        <v>3</v>
      </c>
      <c r="AQ260" t="s">
        <v>81</v>
      </c>
      <c r="AR260" t="s">
        <v>4185</v>
      </c>
      <c r="AS260" t="s">
        <v>4210</v>
      </c>
      <c r="AT260" t="s">
        <v>4219</v>
      </c>
    </row>
    <row r="261" spans="1:46">
      <c r="A261" s="1">
        <f>HYPERLINK("https://lsnyc.legalserver.org/matter/dynamic-profile/view/1878669","18-1878669")</f>
        <v>0</v>
      </c>
      <c r="B261" t="s">
        <v>54</v>
      </c>
      <c r="C261" t="s">
        <v>192</v>
      </c>
      <c r="D261" t="s">
        <v>315</v>
      </c>
      <c r="E261" t="s">
        <v>343</v>
      </c>
      <c r="F261" t="s">
        <v>859</v>
      </c>
      <c r="G261" t="s">
        <v>1354</v>
      </c>
      <c r="H261" t="s">
        <v>1740</v>
      </c>
      <c r="I261">
        <v>11221</v>
      </c>
      <c r="J261" t="s">
        <v>2002</v>
      </c>
      <c r="K261" t="s">
        <v>2002</v>
      </c>
      <c r="M261" t="s">
        <v>2027</v>
      </c>
      <c r="N261" t="s">
        <v>2417</v>
      </c>
      <c r="O261" t="s">
        <v>2436</v>
      </c>
      <c r="P261" t="s">
        <v>2443</v>
      </c>
      <c r="Q261" t="s">
        <v>2002</v>
      </c>
      <c r="S261" t="s">
        <v>87</v>
      </c>
      <c r="T261">
        <v>780</v>
      </c>
      <c r="U261" t="s">
        <v>2496</v>
      </c>
      <c r="V261" t="s">
        <v>2523</v>
      </c>
      <c r="W261" t="s">
        <v>2538</v>
      </c>
      <c r="Y261" t="s">
        <v>3318</v>
      </c>
      <c r="Z261">
        <v>12</v>
      </c>
      <c r="AA261" t="s">
        <v>3783</v>
      </c>
      <c r="AB261" t="s">
        <v>2006</v>
      </c>
      <c r="AC261">
        <v>15</v>
      </c>
      <c r="AD261">
        <v>1</v>
      </c>
      <c r="AE261">
        <v>0</v>
      </c>
      <c r="AF261">
        <v>395.39</v>
      </c>
      <c r="AI261" t="s">
        <v>3809</v>
      </c>
      <c r="AJ261">
        <v>48000</v>
      </c>
      <c r="AK261" t="s">
        <v>3826</v>
      </c>
      <c r="AP261">
        <v>0.08</v>
      </c>
      <c r="AQ261" t="s">
        <v>155</v>
      </c>
      <c r="AR261" t="s">
        <v>4185</v>
      </c>
      <c r="AS261" t="s">
        <v>4210</v>
      </c>
      <c r="AT261" t="s">
        <v>4219</v>
      </c>
    </row>
    <row r="262" spans="1:46">
      <c r="A262" s="1">
        <f>HYPERLINK("https://lsnyc.legalserver.org/matter/dynamic-profile/view/1885174","18-1885174")</f>
        <v>0</v>
      </c>
      <c r="B262" t="s">
        <v>54</v>
      </c>
      <c r="C262" t="s">
        <v>97</v>
      </c>
      <c r="E262" t="s">
        <v>509</v>
      </c>
      <c r="F262" t="s">
        <v>1010</v>
      </c>
      <c r="G262" t="s">
        <v>1486</v>
      </c>
      <c r="H262" t="s">
        <v>1764</v>
      </c>
      <c r="I262">
        <v>11213</v>
      </c>
      <c r="J262" t="s">
        <v>2002</v>
      </c>
      <c r="K262" t="s">
        <v>2002</v>
      </c>
      <c r="M262" t="s">
        <v>2142</v>
      </c>
      <c r="N262" t="s">
        <v>2414</v>
      </c>
      <c r="O262" t="s">
        <v>2437</v>
      </c>
      <c r="Q262" t="s">
        <v>2002</v>
      </c>
      <c r="R262" t="s">
        <v>2451</v>
      </c>
      <c r="S262" t="s">
        <v>208</v>
      </c>
      <c r="T262">
        <v>951</v>
      </c>
      <c r="U262" t="s">
        <v>2509</v>
      </c>
      <c r="W262" t="s">
        <v>2721</v>
      </c>
      <c r="X262" t="s">
        <v>2006</v>
      </c>
      <c r="Y262" t="s">
        <v>3474</v>
      </c>
      <c r="Z262">
        <v>19</v>
      </c>
      <c r="AA262" t="s">
        <v>3783</v>
      </c>
      <c r="AB262" t="s">
        <v>3797</v>
      </c>
      <c r="AC262">
        <v>16</v>
      </c>
      <c r="AD262">
        <v>3</v>
      </c>
      <c r="AE262">
        <v>3</v>
      </c>
      <c r="AF262">
        <v>53.94</v>
      </c>
      <c r="AI262" t="s">
        <v>3809</v>
      </c>
      <c r="AJ262">
        <v>18200</v>
      </c>
      <c r="AK262" t="s">
        <v>3874</v>
      </c>
      <c r="AP262">
        <v>0</v>
      </c>
      <c r="AR262" t="s">
        <v>4185</v>
      </c>
      <c r="AS262" t="s">
        <v>4210</v>
      </c>
      <c r="AT262" t="s">
        <v>4219</v>
      </c>
    </row>
    <row r="263" spans="1:46">
      <c r="A263" s="1">
        <f>HYPERLINK("https://lsnyc.legalserver.org/matter/dynamic-profile/view/1878659","18-1878659")</f>
        <v>0</v>
      </c>
      <c r="B263" t="s">
        <v>54</v>
      </c>
      <c r="C263" t="s">
        <v>192</v>
      </c>
      <c r="E263" t="s">
        <v>348</v>
      </c>
      <c r="F263" t="s">
        <v>863</v>
      </c>
      <c r="G263" t="s">
        <v>1354</v>
      </c>
      <c r="H263" t="s">
        <v>1744</v>
      </c>
      <c r="I263">
        <v>11221</v>
      </c>
      <c r="J263" t="s">
        <v>2002</v>
      </c>
      <c r="K263" t="s">
        <v>2002</v>
      </c>
      <c r="N263" t="s">
        <v>2414</v>
      </c>
      <c r="O263" t="s">
        <v>2437</v>
      </c>
      <c r="Q263" t="s">
        <v>2002</v>
      </c>
      <c r="S263" t="s">
        <v>202</v>
      </c>
      <c r="T263">
        <v>793</v>
      </c>
      <c r="U263" t="s">
        <v>2496</v>
      </c>
      <c r="W263" t="s">
        <v>2543</v>
      </c>
      <c r="Y263" t="s">
        <v>3322</v>
      </c>
      <c r="Z263">
        <v>12</v>
      </c>
      <c r="AA263" t="s">
        <v>3783</v>
      </c>
      <c r="AB263" t="s">
        <v>2006</v>
      </c>
      <c r="AC263">
        <v>15</v>
      </c>
      <c r="AD263">
        <v>1</v>
      </c>
      <c r="AE263">
        <v>0</v>
      </c>
      <c r="AF263">
        <v>74.95999999999999</v>
      </c>
      <c r="AI263" t="s">
        <v>3809</v>
      </c>
      <c r="AJ263">
        <v>9100</v>
      </c>
      <c r="AK263" t="s">
        <v>3875</v>
      </c>
      <c r="AP263">
        <v>0</v>
      </c>
      <c r="AR263" t="s">
        <v>4185</v>
      </c>
      <c r="AS263" t="s">
        <v>4210</v>
      </c>
      <c r="AT263" t="s">
        <v>4219</v>
      </c>
    </row>
    <row r="264" spans="1:46">
      <c r="A264" s="1">
        <f>HYPERLINK("https://lsnyc.legalserver.org/matter/dynamic-profile/view/1879056","18-1879056")</f>
        <v>0</v>
      </c>
      <c r="B264" t="s">
        <v>54</v>
      </c>
      <c r="C264" t="s">
        <v>194</v>
      </c>
      <c r="D264" t="s">
        <v>315</v>
      </c>
      <c r="E264" t="s">
        <v>342</v>
      </c>
      <c r="F264" t="s">
        <v>858</v>
      </c>
      <c r="G264" t="s">
        <v>1359</v>
      </c>
      <c r="H264" t="s">
        <v>1739</v>
      </c>
      <c r="I264">
        <v>11221</v>
      </c>
      <c r="J264" t="s">
        <v>2002</v>
      </c>
      <c r="K264" t="s">
        <v>2002</v>
      </c>
      <c r="M264" t="s">
        <v>2027</v>
      </c>
      <c r="N264" t="s">
        <v>2417</v>
      </c>
      <c r="O264" t="s">
        <v>2436</v>
      </c>
      <c r="P264" t="s">
        <v>2443</v>
      </c>
      <c r="Q264" t="s">
        <v>2002</v>
      </c>
      <c r="S264" t="s">
        <v>202</v>
      </c>
      <c r="T264">
        <v>732</v>
      </c>
      <c r="U264" t="s">
        <v>2496</v>
      </c>
      <c r="V264" t="s">
        <v>2523</v>
      </c>
      <c r="W264" t="s">
        <v>2537</v>
      </c>
      <c r="Y264" t="s">
        <v>3317</v>
      </c>
      <c r="Z264">
        <v>13</v>
      </c>
      <c r="AA264" t="s">
        <v>3783</v>
      </c>
      <c r="AB264" t="s">
        <v>2006</v>
      </c>
      <c r="AC264">
        <v>25</v>
      </c>
      <c r="AD264">
        <v>3</v>
      </c>
      <c r="AE264">
        <v>2</v>
      </c>
      <c r="AF264">
        <v>271.92</v>
      </c>
      <c r="AI264" t="s">
        <v>3809</v>
      </c>
      <c r="AJ264">
        <v>80000</v>
      </c>
      <c r="AK264" t="s">
        <v>3829</v>
      </c>
      <c r="AP264">
        <v>0.08</v>
      </c>
      <c r="AQ264" t="s">
        <v>155</v>
      </c>
      <c r="AR264" t="s">
        <v>4185</v>
      </c>
      <c r="AS264" t="s">
        <v>4210</v>
      </c>
      <c r="AT264" t="s">
        <v>4219</v>
      </c>
    </row>
    <row r="265" spans="1:46">
      <c r="A265" s="1">
        <f>HYPERLINK("https://lsnyc.legalserver.org/matter/dynamic-profile/view/1878653","18-1878653")</f>
        <v>0</v>
      </c>
      <c r="B265" t="s">
        <v>54</v>
      </c>
      <c r="C265" t="s">
        <v>192</v>
      </c>
      <c r="D265" t="s">
        <v>315</v>
      </c>
      <c r="E265" t="s">
        <v>348</v>
      </c>
      <c r="F265" t="s">
        <v>863</v>
      </c>
      <c r="G265" t="s">
        <v>1354</v>
      </c>
      <c r="H265" t="s">
        <v>1744</v>
      </c>
      <c r="I265">
        <v>11221</v>
      </c>
      <c r="J265" t="s">
        <v>2002</v>
      </c>
      <c r="K265" t="s">
        <v>2002</v>
      </c>
      <c r="M265" t="s">
        <v>2027</v>
      </c>
      <c r="N265" t="s">
        <v>2417</v>
      </c>
      <c r="O265" t="s">
        <v>2436</v>
      </c>
      <c r="P265" t="s">
        <v>2443</v>
      </c>
      <c r="Q265" t="s">
        <v>2002</v>
      </c>
      <c r="S265" t="s">
        <v>73</v>
      </c>
      <c r="T265">
        <v>793</v>
      </c>
      <c r="U265" t="s">
        <v>2496</v>
      </c>
      <c r="V265" t="s">
        <v>2523</v>
      </c>
      <c r="W265" t="s">
        <v>2543</v>
      </c>
      <c r="X265" t="s">
        <v>2006</v>
      </c>
      <c r="Y265" t="s">
        <v>3322</v>
      </c>
      <c r="Z265">
        <v>12</v>
      </c>
      <c r="AA265" t="s">
        <v>3783</v>
      </c>
      <c r="AB265" t="s">
        <v>2006</v>
      </c>
      <c r="AC265">
        <v>15</v>
      </c>
      <c r="AD265">
        <v>1</v>
      </c>
      <c r="AE265">
        <v>0</v>
      </c>
      <c r="AF265">
        <v>74.95999999999999</v>
      </c>
      <c r="AI265" t="s">
        <v>3809</v>
      </c>
      <c r="AJ265">
        <v>9100</v>
      </c>
      <c r="AK265" t="s">
        <v>3826</v>
      </c>
      <c r="AP265">
        <v>0.08</v>
      </c>
      <c r="AQ265" t="s">
        <v>155</v>
      </c>
      <c r="AR265" t="s">
        <v>4185</v>
      </c>
      <c r="AS265" t="s">
        <v>4210</v>
      </c>
      <c r="AT265" t="s">
        <v>4219</v>
      </c>
    </row>
    <row r="266" spans="1:46">
      <c r="A266" s="1">
        <f>HYPERLINK("https://lsnyc.legalserver.org/matter/dynamic-profile/view/1876080","18-1876080")</f>
        <v>0</v>
      </c>
      <c r="B266" t="s">
        <v>54</v>
      </c>
      <c r="C266" t="s">
        <v>195</v>
      </c>
      <c r="E266" t="s">
        <v>510</v>
      </c>
      <c r="F266" t="s">
        <v>1023</v>
      </c>
      <c r="G266" t="s">
        <v>1486</v>
      </c>
      <c r="H266" t="s">
        <v>1819</v>
      </c>
      <c r="I266">
        <v>11213</v>
      </c>
      <c r="J266" t="s">
        <v>2002</v>
      </c>
      <c r="K266" t="s">
        <v>2002</v>
      </c>
      <c r="M266" t="s">
        <v>2142</v>
      </c>
      <c r="N266" t="s">
        <v>2414</v>
      </c>
      <c r="O266" t="s">
        <v>2437</v>
      </c>
      <c r="Q266" t="s">
        <v>2002</v>
      </c>
      <c r="S266" t="s">
        <v>73</v>
      </c>
      <c r="T266">
        <v>693</v>
      </c>
      <c r="U266" t="s">
        <v>2509</v>
      </c>
      <c r="W266" t="s">
        <v>2722</v>
      </c>
      <c r="Y266" t="s">
        <v>3475</v>
      </c>
      <c r="Z266">
        <v>19</v>
      </c>
      <c r="AA266" t="s">
        <v>3783</v>
      </c>
      <c r="AB266" t="s">
        <v>2006</v>
      </c>
      <c r="AC266">
        <v>20</v>
      </c>
      <c r="AD266">
        <v>2</v>
      </c>
      <c r="AE266">
        <v>1</v>
      </c>
      <c r="AF266">
        <v>240.62</v>
      </c>
      <c r="AG266" t="s">
        <v>314</v>
      </c>
      <c r="AH266" t="s">
        <v>3806</v>
      </c>
      <c r="AI266" t="s">
        <v>3809</v>
      </c>
      <c r="AJ266">
        <v>50000</v>
      </c>
      <c r="AP266">
        <v>0</v>
      </c>
      <c r="AR266" t="s">
        <v>71</v>
      </c>
      <c r="AS266" t="s">
        <v>4210</v>
      </c>
      <c r="AT266" t="s">
        <v>4219</v>
      </c>
    </row>
    <row r="267" spans="1:46">
      <c r="A267" s="1">
        <f>HYPERLINK("https://lsnyc.legalserver.org/matter/dynamic-profile/view/1878953","18-1878953")</f>
        <v>0</v>
      </c>
      <c r="B267" t="s">
        <v>54</v>
      </c>
      <c r="C267" t="s">
        <v>190</v>
      </c>
      <c r="E267" t="s">
        <v>508</v>
      </c>
      <c r="F267" t="s">
        <v>1022</v>
      </c>
      <c r="G267" t="s">
        <v>1354</v>
      </c>
      <c r="H267" t="s">
        <v>1741</v>
      </c>
      <c r="I267">
        <v>11221</v>
      </c>
      <c r="J267" t="s">
        <v>2002</v>
      </c>
      <c r="K267" t="s">
        <v>2002</v>
      </c>
      <c r="N267" t="s">
        <v>2414</v>
      </c>
      <c r="O267" t="s">
        <v>2437</v>
      </c>
      <c r="Q267" t="s">
        <v>2002</v>
      </c>
      <c r="S267" t="s">
        <v>73</v>
      </c>
      <c r="T267">
        <v>632.48</v>
      </c>
      <c r="U267" t="s">
        <v>2496</v>
      </c>
      <c r="W267" t="s">
        <v>2720</v>
      </c>
      <c r="Y267" t="s">
        <v>3473</v>
      </c>
      <c r="Z267">
        <v>12</v>
      </c>
      <c r="AA267" t="s">
        <v>3783</v>
      </c>
      <c r="AB267" t="s">
        <v>2006</v>
      </c>
      <c r="AC267">
        <v>18</v>
      </c>
      <c r="AD267">
        <v>3</v>
      </c>
      <c r="AE267">
        <v>0</v>
      </c>
      <c r="AF267">
        <v>409.05</v>
      </c>
      <c r="AI267" t="s">
        <v>3809</v>
      </c>
      <c r="AJ267">
        <v>85000</v>
      </c>
      <c r="AK267" t="s">
        <v>3829</v>
      </c>
      <c r="AP267">
        <v>0</v>
      </c>
      <c r="AR267" t="s">
        <v>4185</v>
      </c>
      <c r="AS267" t="s">
        <v>4210</v>
      </c>
      <c r="AT267" t="s">
        <v>4219</v>
      </c>
    </row>
    <row r="268" spans="1:46">
      <c r="A268" s="1">
        <f>HYPERLINK("https://lsnyc.legalserver.org/matter/dynamic-profile/view/1887906","19-1887906")</f>
        <v>0</v>
      </c>
      <c r="B268" t="s">
        <v>54</v>
      </c>
      <c r="C268" t="s">
        <v>166</v>
      </c>
      <c r="E268" t="s">
        <v>515</v>
      </c>
      <c r="F268" t="s">
        <v>944</v>
      </c>
      <c r="G268" t="s">
        <v>1486</v>
      </c>
      <c r="H268" t="s">
        <v>1754</v>
      </c>
      <c r="I268">
        <v>11213</v>
      </c>
      <c r="J268" t="s">
        <v>2002</v>
      </c>
      <c r="K268" t="s">
        <v>2002</v>
      </c>
      <c r="N268" t="s">
        <v>2424</v>
      </c>
      <c r="O268" t="s">
        <v>2441</v>
      </c>
      <c r="Q268" t="s">
        <v>2002</v>
      </c>
      <c r="S268" t="s">
        <v>2463</v>
      </c>
      <c r="T268">
        <v>643.51</v>
      </c>
      <c r="U268" t="s">
        <v>2495</v>
      </c>
      <c r="W268" t="s">
        <v>2727</v>
      </c>
      <c r="Y268" t="s">
        <v>3480</v>
      </c>
      <c r="Z268">
        <v>19</v>
      </c>
      <c r="AA268" t="s">
        <v>3783</v>
      </c>
      <c r="AB268" t="s">
        <v>2006</v>
      </c>
      <c r="AC268">
        <v>7</v>
      </c>
      <c r="AD268">
        <v>2</v>
      </c>
      <c r="AE268">
        <v>2</v>
      </c>
      <c r="AF268">
        <v>4.06</v>
      </c>
      <c r="AI268" t="s">
        <v>3809</v>
      </c>
      <c r="AJ268">
        <v>1020</v>
      </c>
      <c r="AP268">
        <v>0</v>
      </c>
      <c r="AR268" t="s">
        <v>49</v>
      </c>
      <c r="AS268" t="s">
        <v>4210</v>
      </c>
      <c r="AT268" t="s">
        <v>4219</v>
      </c>
    </row>
    <row r="269" spans="1:46">
      <c r="A269" s="1">
        <f>HYPERLINK("https://lsnyc.legalserver.org/matter/dynamic-profile/view/1879063","18-1879063")</f>
        <v>0</v>
      </c>
      <c r="B269" t="s">
        <v>54</v>
      </c>
      <c r="C269" t="s">
        <v>194</v>
      </c>
      <c r="D269" t="s">
        <v>315</v>
      </c>
      <c r="E269" t="s">
        <v>339</v>
      </c>
      <c r="F269" t="s">
        <v>854</v>
      </c>
      <c r="G269" t="s">
        <v>1354</v>
      </c>
      <c r="H269" t="s">
        <v>1737</v>
      </c>
      <c r="I269">
        <v>11221</v>
      </c>
      <c r="J269" t="s">
        <v>2002</v>
      </c>
      <c r="K269" t="s">
        <v>2002</v>
      </c>
      <c r="M269" t="s">
        <v>2027</v>
      </c>
      <c r="N269" t="s">
        <v>2417</v>
      </c>
      <c r="O269" t="s">
        <v>2436</v>
      </c>
      <c r="P269" t="s">
        <v>2443</v>
      </c>
      <c r="Q269" t="s">
        <v>2002</v>
      </c>
      <c r="S269" t="s">
        <v>81</v>
      </c>
      <c r="T269">
        <v>834</v>
      </c>
      <c r="U269" t="s">
        <v>2496</v>
      </c>
      <c r="V269" t="s">
        <v>2523</v>
      </c>
      <c r="W269" t="s">
        <v>2534</v>
      </c>
      <c r="Y269" t="s">
        <v>3313</v>
      </c>
      <c r="Z269">
        <v>12</v>
      </c>
      <c r="AB269" t="s">
        <v>2006</v>
      </c>
      <c r="AC269">
        <v>26</v>
      </c>
      <c r="AD269">
        <v>5</v>
      </c>
      <c r="AE269">
        <v>2</v>
      </c>
      <c r="AF269">
        <v>136.63</v>
      </c>
      <c r="AI269" t="s">
        <v>3809</v>
      </c>
      <c r="AJ269">
        <v>52000</v>
      </c>
      <c r="AK269" t="s">
        <v>3829</v>
      </c>
      <c r="AP269">
        <v>0.08</v>
      </c>
      <c r="AQ269" t="s">
        <v>155</v>
      </c>
      <c r="AR269" t="s">
        <v>4185</v>
      </c>
      <c r="AS269" t="s">
        <v>4210</v>
      </c>
      <c r="AT269" t="s">
        <v>4219</v>
      </c>
    </row>
    <row r="270" spans="1:46">
      <c r="A270" s="1">
        <f>HYPERLINK("https://lsnyc.legalserver.org/matter/dynamic-profile/view/1879049","18-1879049")</f>
        <v>0</v>
      </c>
      <c r="B270" t="s">
        <v>54</v>
      </c>
      <c r="C270" t="s">
        <v>194</v>
      </c>
      <c r="D270" t="s">
        <v>315</v>
      </c>
      <c r="E270" t="s">
        <v>340</v>
      </c>
      <c r="F270" t="s">
        <v>855</v>
      </c>
      <c r="G270" t="s">
        <v>1359</v>
      </c>
      <c r="H270" t="s">
        <v>1737</v>
      </c>
      <c r="I270">
        <v>11221</v>
      </c>
      <c r="J270" t="s">
        <v>2002</v>
      </c>
      <c r="K270" t="s">
        <v>2002</v>
      </c>
      <c r="L270" t="s">
        <v>2005</v>
      </c>
      <c r="M270" t="s">
        <v>2027</v>
      </c>
      <c r="N270" t="s">
        <v>2417</v>
      </c>
      <c r="O270" t="s">
        <v>2436</v>
      </c>
      <c r="P270" t="s">
        <v>2443</v>
      </c>
      <c r="Q270" t="s">
        <v>2002</v>
      </c>
      <c r="S270" t="s">
        <v>81</v>
      </c>
      <c r="T270">
        <v>790</v>
      </c>
      <c r="U270" t="s">
        <v>2496</v>
      </c>
      <c r="V270" t="s">
        <v>2523</v>
      </c>
      <c r="W270" t="s">
        <v>2535</v>
      </c>
      <c r="Y270" t="s">
        <v>3314</v>
      </c>
      <c r="Z270">
        <v>13</v>
      </c>
      <c r="AA270" t="s">
        <v>3783</v>
      </c>
      <c r="AB270" t="s">
        <v>2006</v>
      </c>
      <c r="AC270">
        <v>20</v>
      </c>
      <c r="AD270">
        <v>1</v>
      </c>
      <c r="AE270">
        <v>0</v>
      </c>
      <c r="AF270">
        <v>155.02</v>
      </c>
      <c r="AI270" t="s">
        <v>3809</v>
      </c>
      <c r="AJ270">
        <v>18820</v>
      </c>
      <c r="AK270" t="s">
        <v>3829</v>
      </c>
      <c r="AP270">
        <v>0.08</v>
      </c>
      <c r="AQ270" t="s">
        <v>155</v>
      </c>
      <c r="AR270" t="s">
        <v>4185</v>
      </c>
      <c r="AS270" t="s">
        <v>4210</v>
      </c>
      <c r="AT270" t="s">
        <v>4219</v>
      </c>
    </row>
    <row r="271" spans="1:46">
      <c r="A271" s="1">
        <f>HYPERLINK("https://lsnyc.legalserver.org/matter/dynamic-profile/view/1885030","18-1885030")</f>
        <v>0</v>
      </c>
      <c r="B271" t="s">
        <v>54</v>
      </c>
      <c r="C271" t="s">
        <v>191</v>
      </c>
      <c r="D271" t="s">
        <v>315</v>
      </c>
      <c r="E271" t="s">
        <v>516</v>
      </c>
      <c r="F271" t="s">
        <v>1027</v>
      </c>
      <c r="G271" t="s">
        <v>1486</v>
      </c>
      <c r="H271" t="s">
        <v>1744</v>
      </c>
      <c r="I271">
        <v>11213</v>
      </c>
      <c r="J271" t="s">
        <v>2002</v>
      </c>
      <c r="K271" t="s">
        <v>2002</v>
      </c>
      <c r="M271" t="s">
        <v>2027</v>
      </c>
      <c r="N271" t="s">
        <v>2417</v>
      </c>
      <c r="O271" t="s">
        <v>2436</v>
      </c>
      <c r="P271" t="s">
        <v>2443</v>
      </c>
      <c r="Q271" t="s">
        <v>2002</v>
      </c>
      <c r="R271" t="s">
        <v>2451</v>
      </c>
      <c r="S271" t="s">
        <v>91</v>
      </c>
      <c r="T271">
        <v>1229.5</v>
      </c>
      <c r="U271" t="s">
        <v>2509</v>
      </c>
      <c r="V271" t="s">
        <v>2523</v>
      </c>
      <c r="W271" t="s">
        <v>2728</v>
      </c>
      <c r="X271" t="s">
        <v>3160</v>
      </c>
      <c r="Y271" t="s">
        <v>3481</v>
      </c>
      <c r="Z271">
        <v>19</v>
      </c>
      <c r="AA271" t="s">
        <v>3783</v>
      </c>
      <c r="AB271" t="s">
        <v>3793</v>
      </c>
      <c r="AC271">
        <v>25</v>
      </c>
      <c r="AD271">
        <v>1</v>
      </c>
      <c r="AE271">
        <v>0</v>
      </c>
      <c r="AF271">
        <v>59.31</v>
      </c>
      <c r="AI271" t="s">
        <v>3809</v>
      </c>
      <c r="AJ271">
        <v>7200</v>
      </c>
      <c r="AP271">
        <v>0.08</v>
      </c>
      <c r="AQ271" t="s">
        <v>166</v>
      </c>
      <c r="AR271" t="s">
        <v>4185</v>
      </c>
      <c r="AS271" t="s">
        <v>4210</v>
      </c>
      <c r="AT271" t="s">
        <v>4219</v>
      </c>
    </row>
    <row r="272" spans="1:46">
      <c r="A272" s="1">
        <f>HYPERLINK("https://lsnyc.legalserver.org/matter/dynamic-profile/view/1887903","19-1887903")</f>
        <v>0</v>
      </c>
      <c r="B272" t="s">
        <v>54</v>
      </c>
      <c r="C272" t="s">
        <v>166</v>
      </c>
      <c r="E272" t="s">
        <v>515</v>
      </c>
      <c r="F272" t="s">
        <v>944</v>
      </c>
      <c r="G272" t="s">
        <v>1486</v>
      </c>
      <c r="H272" t="s">
        <v>1754</v>
      </c>
      <c r="I272">
        <v>11213</v>
      </c>
      <c r="J272" t="s">
        <v>2002</v>
      </c>
      <c r="K272" t="s">
        <v>2002</v>
      </c>
      <c r="M272" t="s">
        <v>2142</v>
      </c>
      <c r="N272" t="s">
        <v>2414</v>
      </c>
      <c r="O272" t="s">
        <v>2437</v>
      </c>
      <c r="Q272" t="s">
        <v>2002</v>
      </c>
      <c r="S272" t="s">
        <v>92</v>
      </c>
      <c r="T272">
        <v>643.51</v>
      </c>
      <c r="U272" t="s">
        <v>2495</v>
      </c>
      <c r="W272" t="s">
        <v>2727</v>
      </c>
      <c r="Y272" t="s">
        <v>3480</v>
      </c>
      <c r="Z272">
        <v>19</v>
      </c>
      <c r="AA272" t="s">
        <v>3783</v>
      </c>
      <c r="AB272" t="s">
        <v>2006</v>
      </c>
      <c r="AC272">
        <v>7</v>
      </c>
      <c r="AD272">
        <v>2</v>
      </c>
      <c r="AE272">
        <v>2</v>
      </c>
      <c r="AF272">
        <v>40.64</v>
      </c>
      <c r="AI272" t="s">
        <v>3809</v>
      </c>
      <c r="AJ272">
        <v>10200</v>
      </c>
      <c r="AP272">
        <v>0</v>
      </c>
      <c r="AR272" t="s">
        <v>49</v>
      </c>
      <c r="AS272" t="s">
        <v>4210</v>
      </c>
      <c r="AT272" t="s">
        <v>4219</v>
      </c>
    </row>
    <row r="273" spans="1:46">
      <c r="A273" s="1">
        <f>HYPERLINK("https://lsnyc.legalserver.org/matter/dynamic-profile/view/1887898","19-1887898")</f>
        <v>0</v>
      </c>
      <c r="B273" t="s">
        <v>54</v>
      </c>
      <c r="C273" t="s">
        <v>166</v>
      </c>
      <c r="D273" t="s">
        <v>315</v>
      </c>
      <c r="E273" t="s">
        <v>515</v>
      </c>
      <c r="F273" t="s">
        <v>944</v>
      </c>
      <c r="G273" t="s">
        <v>1486</v>
      </c>
      <c r="H273" t="s">
        <v>1754</v>
      </c>
      <c r="I273">
        <v>11213</v>
      </c>
      <c r="J273" t="s">
        <v>2002</v>
      </c>
      <c r="K273" t="s">
        <v>2002</v>
      </c>
      <c r="N273" t="s">
        <v>2417</v>
      </c>
      <c r="O273" t="s">
        <v>2436</v>
      </c>
      <c r="P273" t="s">
        <v>2443</v>
      </c>
      <c r="Q273" t="s">
        <v>2002</v>
      </c>
      <c r="S273" t="s">
        <v>92</v>
      </c>
      <c r="T273">
        <v>643.51</v>
      </c>
      <c r="U273" t="s">
        <v>2495</v>
      </c>
      <c r="V273" t="s">
        <v>2523</v>
      </c>
      <c r="W273" t="s">
        <v>2727</v>
      </c>
      <c r="Y273" t="s">
        <v>3480</v>
      </c>
      <c r="Z273">
        <v>19</v>
      </c>
      <c r="AA273" t="s">
        <v>3783</v>
      </c>
      <c r="AB273" t="s">
        <v>2006</v>
      </c>
      <c r="AC273">
        <v>7</v>
      </c>
      <c r="AD273">
        <v>2</v>
      </c>
      <c r="AE273">
        <v>2</v>
      </c>
      <c r="AF273">
        <v>40.64</v>
      </c>
      <c r="AI273" t="s">
        <v>3809</v>
      </c>
      <c r="AJ273">
        <v>10200</v>
      </c>
      <c r="AP273">
        <v>0.08</v>
      </c>
      <c r="AQ273" t="s">
        <v>166</v>
      </c>
      <c r="AR273" t="s">
        <v>49</v>
      </c>
      <c r="AS273" t="s">
        <v>4210</v>
      </c>
      <c r="AT273" t="s">
        <v>4219</v>
      </c>
    </row>
    <row r="274" spans="1:46">
      <c r="A274" s="1">
        <f>HYPERLINK("https://lsnyc.legalserver.org/matter/dynamic-profile/view/1882906","18-1882906")</f>
        <v>0</v>
      </c>
      <c r="B274" t="s">
        <v>54</v>
      </c>
      <c r="C274" t="s">
        <v>97</v>
      </c>
      <c r="E274" t="s">
        <v>343</v>
      </c>
      <c r="F274" t="s">
        <v>1028</v>
      </c>
      <c r="G274" t="s">
        <v>1486</v>
      </c>
      <c r="H274" t="s">
        <v>1808</v>
      </c>
      <c r="I274">
        <v>11213</v>
      </c>
      <c r="J274" t="s">
        <v>2002</v>
      </c>
      <c r="K274" t="s">
        <v>2002</v>
      </c>
      <c r="M274" t="s">
        <v>2142</v>
      </c>
      <c r="N274" t="s">
        <v>2414</v>
      </c>
      <c r="O274" t="s">
        <v>2437</v>
      </c>
      <c r="Q274" t="s">
        <v>2002</v>
      </c>
      <c r="S274" t="s">
        <v>190</v>
      </c>
      <c r="T274">
        <v>1268</v>
      </c>
      <c r="U274" t="s">
        <v>2509</v>
      </c>
      <c r="W274" t="s">
        <v>2729</v>
      </c>
      <c r="Y274" t="s">
        <v>3482</v>
      </c>
      <c r="Z274">
        <v>19</v>
      </c>
      <c r="AA274" t="s">
        <v>3783</v>
      </c>
      <c r="AB274" t="s">
        <v>3799</v>
      </c>
      <c r="AC274">
        <v>2</v>
      </c>
      <c r="AD274">
        <v>2</v>
      </c>
      <c r="AE274">
        <v>0</v>
      </c>
      <c r="AF274">
        <v>99.62</v>
      </c>
      <c r="AI274" t="s">
        <v>3809</v>
      </c>
      <c r="AJ274">
        <v>16398</v>
      </c>
      <c r="AP274">
        <v>0</v>
      </c>
      <c r="AR274" t="s">
        <v>71</v>
      </c>
      <c r="AS274" t="s">
        <v>4210</v>
      </c>
      <c r="AT274" t="s">
        <v>4219</v>
      </c>
    </row>
    <row r="275" spans="1:46">
      <c r="A275" s="1">
        <f>HYPERLINK("https://lsnyc.legalserver.org/matter/dynamic-profile/view/1885061","18-1885061")</f>
        <v>0</v>
      </c>
      <c r="B275" t="s">
        <v>54</v>
      </c>
      <c r="C275" t="s">
        <v>97</v>
      </c>
      <c r="D275" t="s">
        <v>315</v>
      </c>
      <c r="E275" t="s">
        <v>343</v>
      </c>
      <c r="F275" t="s">
        <v>1028</v>
      </c>
      <c r="G275" t="s">
        <v>1486</v>
      </c>
      <c r="H275" t="s">
        <v>1808</v>
      </c>
      <c r="I275">
        <v>11213</v>
      </c>
      <c r="J275" t="s">
        <v>2002</v>
      </c>
      <c r="K275" t="s">
        <v>2002</v>
      </c>
      <c r="N275" t="s">
        <v>2417</v>
      </c>
      <c r="O275" t="s">
        <v>2436</v>
      </c>
      <c r="P275" t="s">
        <v>2443</v>
      </c>
      <c r="Q275" t="s">
        <v>2002</v>
      </c>
      <c r="S275" t="s">
        <v>190</v>
      </c>
      <c r="T275">
        <v>1268</v>
      </c>
      <c r="U275" t="s">
        <v>2509</v>
      </c>
      <c r="V275" t="s">
        <v>2523</v>
      </c>
      <c r="W275" t="s">
        <v>2729</v>
      </c>
      <c r="Y275" t="s">
        <v>3482</v>
      </c>
      <c r="Z275">
        <v>19</v>
      </c>
      <c r="AA275" t="s">
        <v>3783</v>
      </c>
      <c r="AB275" t="s">
        <v>3799</v>
      </c>
      <c r="AC275">
        <v>2</v>
      </c>
      <c r="AD275">
        <v>2</v>
      </c>
      <c r="AE275">
        <v>0</v>
      </c>
      <c r="AF275">
        <v>99.62</v>
      </c>
      <c r="AI275" t="s">
        <v>3809</v>
      </c>
      <c r="AJ275">
        <v>16398</v>
      </c>
      <c r="AP275">
        <v>0.08</v>
      </c>
      <c r="AQ275" t="s">
        <v>166</v>
      </c>
      <c r="AR275" t="s">
        <v>49</v>
      </c>
      <c r="AS275" t="s">
        <v>4210</v>
      </c>
      <c r="AT275" t="s">
        <v>4219</v>
      </c>
    </row>
    <row r="276" spans="1:46">
      <c r="A276" s="1">
        <f>HYPERLINK("https://lsnyc.legalserver.org/matter/dynamic-profile/view/1885024","18-1885024")</f>
        <v>0</v>
      </c>
      <c r="B276" t="s">
        <v>54</v>
      </c>
      <c r="C276" t="s">
        <v>191</v>
      </c>
      <c r="E276" t="s">
        <v>513</v>
      </c>
      <c r="F276" t="s">
        <v>1025</v>
      </c>
      <c r="G276" t="s">
        <v>1486</v>
      </c>
      <c r="H276" t="s">
        <v>1739</v>
      </c>
      <c r="I276">
        <v>11213</v>
      </c>
      <c r="J276" t="s">
        <v>2002</v>
      </c>
      <c r="K276" t="s">
        <v>2002</v>
      </c>
      <c r="M276" t="s">
        <v>2142</v>
      </c>
      <c r="N276" t="s">
        <v>2414</v>
      </c>
      <c r="O276" t="s">
        <v>2437</v>
      </c>
      <c r="Q276" t="s">
        <v>2002</v>
      </c>
      <c r="S276" t="s">
        <v>96</v>
      </c>
      <c r="T276">
        <v>412</v>
      </c>
      <c r="U276" t="s">
        <v>2509</v>
      </c>
      <c r="W276" t="s">
        <v>2725</v>
      </c>
      <c r="Y276" t="s">
        <v>3478</v>
      </c>
      <c r="Z276">
        <v>19</v>
      </c>
      <c r="AA276" t="s">
        <v>3783</v>
      </c>
      <c r="AC276">
        <v>12</v>
      </c>
      <c r="AD276">
        <v>3</v>
      </c>
      <c r="AE276">
        <v>0</v>
      </c>
      <c r="AF276">
        <v>50.05</v>
      </c>
      <c r="AI276" t="s">
        <v>3809</v>
      </c>
      <c r="AJ276">
        <v>10400</v>
      </c>
      <c r="AP276">
        <v>0</v>
      </c>
      <c r="AR276" t="s">
        <v>49</v>
      </c>
      <c r="AS276" t="s">
        <v>4210</v>
      </c>
      <c r="AT276" t="s">
        <v>4219</v>
      </c>
    </row>
    <row r="277" spans="1:46">
      <c r="A277" s="1">
        <f>HYPERLINK("https://lsnyc.legalserver.org/matter/dynamic-profile/view/1879085","18-1879085")</f>
        <v>0</v>
      </c>
      <c r="B277" t="s">
        <v>54</v>
      </c>
      <c r="C277" t="s">
        <v>194</v>
      </c>
      <c r="E277" t="s">
        <v>339</v>
      </c>
      <c r="F277" t="s">
        <v>854</v>
      </c>
      <c r="G277" t="s">
        <v>1354</v>
      </c>
      <c r="H277" t="s">
        <v>1737</v>
      </c>
      <c r="I277">
        <v>11221</v>
      </c>
      <c r="J277" t="s">
        <v>2002</v>
      </c>
      <c r="K277" t="s">
        <v>2002</v>
      </c>
      <c r="M277" t="s">
        <v>2143</v>
      </c>
      <c r="N277" t="s">
        <v>2414</v>
      </c>
      <c r="O277" t="s">
        <v>2437</v>
      </c>
      <c r="Q277" t="s">
        <v>2002</v>
      </c>
      <c r="S277" t="s">
        <v>2470</v>
      </c>
      <c r="T277">
        <v>834</v>
      </c>
      <c r="U277" t="s">
        <v>2496</v>
      </c>
      <c r="W277" t="s">
        <v>2534</v>
      </c>
      <c r="Y277" t="s">
        <v>3313</v>
      </c>
      <c r="Z277">
        <v>12</v>
      </c>
      <c r="AA277" t="s">
        <v>3783</v>
      </c>
      <c r="AB277" t="s">
        <v>2006</v>
      </c>
      <c r="AC277">
        <v>26</v>
      </c>
      <c r="AD277">
        <v>5</v>
      </c>
      <c r="AE277">
        <v>2</v>
      </c>
      <c r="AF277">
        <v>136.63</v>
      </c>
      <c r="AI277" t="s">
        <v>3809</v>
      </c>
      <c r="AJ277">
        <v>52000</v>
      </c>
      <c r="AK277" t="s">
        <v>3876</v>
      </c>
      <c r="AP277">
        <v>1</v>
      </c>
      <c r="AQ277" t="s">
        <v>165</v>
      </c>
      <c r="AR277" t="s">
        <v>4185</v>
      </c>
      <c r="AS277" t="s">
        <v>4210</v>
      </c>
      <c r="AT277" t="s">
        <v>4219</v>
      </c>
    </row>
    <row r="278" spans="1:46">
      <c r="A278" s="1">
        <f>HYPERLINK("https://lsnyc.legalserver.org/matter/dynamic-profile/view/1879052","18-1879052")</f>
        <v>0</v>
      </c>
      <c r="B278" t="s">
        <v>54</v>
      </c>
      <c r="C278" t="s">
        <v>194</v>
      </c>
      <c r="E278" t="s">
        <v>340</v>
      </c>
      <c r="F278" t="s">
        <v>855</v>
      </c>
      <c r="G278" t="s">
        <v>1359</v>
      </c>
      <c r="H278" t="s">
        <v>1737</v>
      </c>
      <c r="I278">
        <v>11221</v>
      </c>
      <c r="J278" t="s">
        <v>2002</v>
      </c>
      <c r="K278" t="s">
        <v>2002</v>
      </c>
      <c r="M278" t="s">
        <v>2144</v>
      </c>
      <c r="N278" t="s">
        <v>2414</v>
      </c>
      <c r="O278" t="s">
        <v>2437</v>
      </c>
      <c r="Q278" t="s">
        <v>2002</v>
      </c>
      <c r="S278" t="s">
        <v>2470</v>
      </c>
      <c r="T278">
        <v>790</v>
      </c>
      <c r="U278" t="s">
        <v>2496</v>
      </c>
      <c r="W278" t="s">
        <v>2535</v>
      </c>
      <c r="Y278" t="s">
        <v>3314</v>
      </c>
      <c r="Z278">
        <v>13</v>
      </c>
      <c r="AA278" t="s">
        <v>3783</v>
      </c>
      <c r="AB278" t="s">
        <v>2006</v>
      </c>
      <c r="AC278">
        <v>20</v>
      </c>
      <c r="AD278">
        <v>1</v>
      </c>
      <c r="AE278">
        <v>0</v>
      </c>
      <c r="AF278">
        <v>155.02</v>
      </c>
      <c r="AI278" t="s">
        <v>3809</v>
      </c>
      <c r="AJ278">
        <v>18820</v>
      </c>
      <c r="AK278" t="s">
        <v>3877</v>
      </c>
      <c r="AP278">
        <v>0</v>
      </c>
      <c r="AR278" t="s">
        <v>4185</v>
      </c>
      <c r="AS278" t="s">
        <v>4210</v>
      </c>
      <c r="AT278" t="s">
        <v>4219</v>
      </c>
    </row>
    <row r="279" spans="1:46">
      <c r="A279" s="1">
        <f>HYPERLINK("https://lsnyc.legalserver.org/matter/dynamic-profile/view/1878651","18-1878651")</f>
        <v>0</v>
      </c>
      <c r="B279" t="s">
        <v>54</v>
      </c>
      <c r="C279" t="s">
        <v>192</v>
      </c>
      <c r="E279" t="s">
        <v>498</v>
      </c>
      <c r="F279" t="s">
        <v>1010</v>
      </c>
      <c r="G279" t="s">
        <v>1354</v>
      </c>
      <c r="H279" t="s">
        <v>1739</v>
      </c>
      <c r="I279">
        <v>11221</v>
      </c>
      <c r="J279" t="s">
        <v>2002</v>
      </c>
      <c r="K279" t="s">
        <v>2002</v>
      </c>
      <c r="M279" t="s">
        <v>2143</v>
      </c>
      <c r="N279" t="s">
        <v>2414</v>
      </c>
      <c r="O279" t="s">
        <v>2437</v>
      </c>
      <c r="Q279" t="s">
        <v>2002</v>
      </c>
      <c r="S279" t="s">
        <v>285</v>
      </c>
      <c r="T279">
        <v>1091.82</v>
      </c>
      <c r="U279" t="s">
        <v>2496</v>
      </c>
      <c r="W279" t="s">
        <v>2706</v>
      </c>
      <c r="X279" t="s">
        <v>3160</v>
      </c>
      <c r="Y279" t="s">
        <v>3461</v>
      </c>
      <c r="Z279">
        <v>12</v>
      </c>
      <c r="AA279" t="s">
        <v>3783</v>
      </c>
      <c r="AB279" t="s">
        <v>3793</v>
      </c>
      <c r="AC279">
        <v>12</v>
      </c>
      <c r="AD279">
        <v>1</v>
      </c>
      <c r="AE279">
        <v>0</v>
      </c>
      <c r="AF279">
        <v>152.2</v>
      </c>
      <c r="AI279" t="s">
        <v>3809</v>
      </c>
      <c r="AJ279">
        <v>18476.9</v>
      </c>
      <c r="AK279" t="s">
        <v>3878</v>
      </c>
      <c r="AP279">
        <v>0</v>
      </c>
      <c r="AR279" t="s">
        <v>4185</v>
      </c>
      <c r="AS279" t="s">
        <v>4210</v>
      </c>
      <c r="AT279" t="s">
        <v>4219</v>
      </c>
    </row>
    <row r="280" spans="1:46">
      <c r="A280" s="1">
        <f>HYPERLINK("https://lsnyc.legalserver.org/matter/dynamic-profile/view/1879060","18-1879060")</f>
        <v>0</v>
      </c>
      <c r="B280" t="s">
        <v>54</v>
      </c>
      <c r="C280" t="s">
        <v>194</v>
      </c>
      <c r="E280" t="s">
        <v>342</v>
      </c>
      <c r="F280" t="s">
        <v>858</v>
      </c>
      <c r="G280" t="s">
        <v>1359</v>
      </c>
      <c r="H280" t="s">
        <v>1739</v>
      </c>
      <c r="I280">
        <v>11221</v>
      </c>
      <c r="J280" t="s">
        <v>2002</v>
      </c>
      <c r="K280" t="s">
        <v>2002</v>
      </c>
      <c r="M280" t="s">
        <v>2143</v>
      </c>
      <c r="N280" t="s">
        <v>2414</v>
      </c>
      <c r="O280" t="s">
        <v>2437</v>
      </c>
      <c r="Q280" t="s">
        <v>2002</v>
      </c>
      <c r="S280" t="s">
        <v>2471</v>
      </c>
      <c r="T280">
        <v>732</v>
      </c>
      <c r="U280" t="s">
        <v>2496</v>
      </c>
      <c r="W280" t="s">
        <v>2537</v>
      </c>
      <c r="Y280" t="s">
        <v>3317</v>
      </c>
      <c r="Z280">
        <v>13</v>
      </c>
      <c r="AA280" t="s">
        <v>3783</v>
      </c>
      <c r="AB280" t="s">
        <v>2006</v>
      </c>
      <c r="AC280">
        <v>25</v>
      </c>
      <c r="AD280">
        <v>3</v>
      </c>
      <c r="AE280">
        <v>2</v>
      </c>
      <c r="AF280">
        <v>271.92</v>
      </c>
      <c r="AI280" t="s">
        <v>3809</v>
      </c>
      <c r="AJ280">
        <v>80000</v>
      </c>
      <c r="AK280" t="s">
        <v>3879</v>
      </c>
      <c r="AP280">
        <v>0</v>
      </c>
      <c r="AR280" t="s">
        <v>4185</v>
      </c>
      <c r="AS280" t="s">
        <v>4210</v>
      </c>
      <c r="AT280" t="s">
        <v>4219</v>
      </c>
    </row>
    <row r="281" spans="1:46">
      <c r="A281" s="1">
        <f>HYPERLINK("https://lsnyc.legalserver.org/matter/dynamic-profile/view/1896739","19-1896739")</f>
        <v>0</v>
      </c>
      <c r="B281" t="s">
        <v>54</v>
      </c>
      <c r="C281" t="s">
        <v>196</v>
      </c>
      <c r="E281" t="s">
        <v>438</v>
      </c>
      <c r="F281" t="s">
        <v>947</v>
      </c>
      <c r="G281" t="s">
        <v>1447</v>
      </c>
      <c r="H281" t="s">
        <v>1746</v>
      </c>
      <c r="I281">
        <v>11213</v>
      </c>
      <c r="J281" t="s">
        <v>2002</v>
      </c>
      <c r="K281" t="s">
        <v>2002</v>
      </c>
      <c r="L281" t="s">
        <v>2005</v>
      </c>
      <c r="M281" t="s">
        <v>2027</v>
      </c>
      <c r="N281" t="s">
        <v>2417</v>
      </c>
      <c r="O281" t="s">
        <v>2436</v>
      </c>
      <c r="Q281" t="s">
        <v>2002</v>
      </c>
      <c r="S281" t="s">
        <v>236</v>
      </c>
      <c r="T281">
        <v>551</v>
      </c>
      <c r="U281" t="s">
        <v>2496</v>
      </c>
      <c r="W281" t="s">
        <v>2637</v>
      </c>
      <c r="Y281" t="s">
        <v>3406</v>
      </c>
      <c r="Z281">
        <v>6</v>
      </c>
      <c r="AA281" t="s">
        <v>3783</v>
      </c>
      <c r="AB281" t="s">
        <v>2006</v>
      </c>
      <c r="AC281">
        <v>15</v>
      </c>
      <c r="AD281">
        <v>2</v>
      </c>
      <c r="AE281">
        <v>0</v>
      </c>
      <c r="AF281">
        <v>49.67</v>
      </c>
      <c r="AI281" t="s">
        <v>3809</v>
      </c>
      <c r="AJ281">
        <v>8400</v>
      </c>
      <c r="AP281">
        <v>0</v>
      </c>
      <c r="AR281" t="s">
        <v>49</v>
      </c>
      <c r="AS281" t="s">
        <v>4210</v>
      </c>
      <c r="AT281" t="s">
        <v>4219</v>
      </c>
    </row>
    <row r="282" spans="1:46">
      <c r="A282" s="1">
        <f>HYPERLINK("https://lsnyc.legalserver.org/matter/dynamic-profile/view/1896778","19-1896778")</f>
        <v>0</v>
      </c>
      <c r="B282" t="s">
        <v>54</v>
      </c>
      <c r="C282" t="s">
        <v>196</v>
      </c>
      <c r="E282" t="s">
        <v>446</v>
      </c>
      <c r="F282" t="s">
        <v>957</v>
      </c>
      <c r="G282" t="s">
        <v>1447</v>
      </c>
      <c r="H282" t="s">
        <v>1749</v>
      </c>
      <c r="I282">
        <v>11213</v>
      </c>
      <c r="J282" t="s">
        <v>2002</v>
      </c>
      <c r="K282" t="s">
        <v>2002</v>
      </c>
      <c r="L282" t="s">
        <v>2005</v>
      </c>
      <c r="M282" t="s">
        <v>2027</v>
      </c>
      <c r="N282" t="s">
        <v>2417</v>
      </c>
      <c r="O282" t="s">
        <v>2436</v>
      </c>
      <c r="Q282" t="s">
        <v>2002</v>
      </c>
      <c r="S282" t="s">
        <v>236</v>
      </c>
      <c r="T282">
        <v>855.86</v>
      </c>
      <c r="U282" t="s">
        <v>2496</v>
      </c>
      <c r="W282" t="s">
        <v>2648</v>
      </c>
      <c r="Z282">
        <v>6</v>
      </c>
      <c r="AA282" t="s">
        <v>3783</v>
      </c>
      <c r="AB282" t="s">
        <v>2006</v>
      </c>
      <c r="AC282">
        <v>26</v>
      </c>
      <c r="AD282">
        <v>1</v>
      </c>
      <c r="AE282">
        <v>1</v>
      </c>
      <c r="AF282">
        <v>52.58</v>
      </c>
      <c r="AI282" t="s">
        <v>3809</v>
      </c>
      <c r="AJ282">
        <v>8892</v>
      </c>
      <c r="AP282">
        <v>0</v>
      </c>
      <c r="AR282" t="s">
        <v>49</v>
      </c>
      <c r="AS282" t="s">
        <v>4210</v>
      </c>
      <c r="AT282" t="s">
        <v>4219</v>
      </c>
    </row>
    <row r="283" spans="1:46">
      <c r="A283" s="1">
        <f>HYPERLINK("https://lsnyc.legalserver.org/matter/dynamic-profile/view/1896750","19-1896750")</f>
        <v>0</v>
      </c>
      <c r="B283" t="s">
        <v>54</v>
      </c>
      <c r="C283" t="s">
        <v>196</v>
      </c>
      <c r="E283" t="s">
        <v>447</v>
      </c>
      <c r="F283" t="s">
        <v>958</v>
      </c>
      <c r="G283" t="s">
        <v>1447</v>
      </c>
      <c r="H283" t="s">
        <v>1748</v>
      </c>
      <c r="I283">
        <v>11213</v>
      </c>
      <c r="J283" t="s">
        <v>2002</v>
      </c>
      <c r="K283" t="s">
        <v>2003</v>
      </c>
      <c r="L283" t="s">
        <v>2006</v>
      </c>
      <c r="M283" t="s">
        <v>2027</v>
      </c>
      <c r="N283" t="s">
        <v>2417</v>
      </c>
      <c r="O283" t="s">
        <v>2436</v>
      </c>
      <c r="Q283" t="s">
        <v>2002</v>
      </c>
      <c r="S283" t="s">
        <v>236</v>
      </c>
      <c r="T283">
        <v>719</v>
      </c>
      <c r="U283" t="s">
        <v>2496</v>
      </c>
      <c r="W283" t="s">
        <v>2649</v>
      </c>
      <c r="Y283" t="s">
        <v>3416</v>
      </c>
      <c r="Z283">
        <v>6</v>
      </c>
      <c r="AA283" t="s">
        <v>3783</v>
      </c>
      <c r="AB283" t="s">
        <v>2006</v>
      </c>
      <c r="AC283">
        <v>22</v>
      </c>
      <c r="AD283">
        <v>5</v>
      </c>
      <c r="AE283">
        <v>1</v>
      </c>
      <c r="AF283">
        <v>109.86</v>
      </c>
      <c r="AI283" t="s">
        <v>3809</v>
      </c>
      <c r="AJ283">
        <v>38000</v>
      </c>
      <c r="AP283">
        <v>0</v>
      </c>
      <c r="AR283" t="s">
        <v>49</v>
      </c>
      <c r="AS283" t="s">
        <v>4210</v>
      </c>
      <c r="AT283" t="s">
        <v>4219</v>
      </c>
    </row>
    <row r="284" spans="1:46">
      <c r="A284" s="1">
        <f>HYPERLINK("https://lsnyc.legalserver.org/matter/dynamic-profile/view/1896646","19-1896646")</f>
        <v>0</v>
      </c>
      <c r="B284" t="s">
        <v>54</v>
      </c>
      <c r="C284" t="s">
        <v>144</v>
      </c>
      <c r="E284" t="s">
        <v>448</v>
      </c>
      <c r="F284" t="s">
        <v>959</v>
      </c>
      <c r="G284" t="s">
        <v>1447</v>
      </c>
      <c r="H284" t="s">
        <v>1786</v>
      </c>
      <c r="I284">
        <v>11213</v>
      </c>
      <c r="J284" t="s">
        <v>2002</v>
      </c>
      <c r="K284" t="s">
        <v>2002</v>
      </c>
      <c r="L284" t="s">
        <v>2005</v>
      </c>
      <c r="M284" t="s">
        <v>2027</v>
      </c>
      <c r="N284" t="s">
        <v>2417</v>
      </c>
      <c r="O284" t="s">
        <v>2436</v>
      </c>
      <c r="Q284" t="s">
        <v>2002</v>
      </c>
      <c r="S284" t="s">
        <v>236</v>
      </c>
      <c r="T284">
        <v>540</v>
      </c>
      <c r="U284" t="s">
        <v>2496</v>
      </c>
      <c r="W284" t="s">
        <v>2650</v>
      </c>
      <c r="Y284" t="s">
        <v>3417</v>
      </c>
      <c r="Z284">
        <v>6</v>
      </c>
      <c r="AA284" t="s">
        <v>3783</v>
      </c>
      <c r="AB284" t="s">
        <v>2006</v>
      </c>
      <c r="AC284">
        <v>18</v>
      </c>
      <c r="AD284">
        <v>1</v>
      </c>
      <c r="AE284">
        <v>0</v>
      </c>
      <c r="AF284">
        <v>512.41</v>
      </c>
      <c r="AI284" t="s">
        <v>3809</v>
      </c>
      <c r="AJ284">
        <v>64000</v>
      </c>
      <c r="AP284">
        <v>0</v>
      </c>
      <c r="AR284" t="s">
        <v>49</v>
      </c>
      <c r="AS284" t="s">
        <v>4210</v>
      </c>
      <c r="AT284" t="s">
        <v>4219</v>
      </c>
    </row>
    <row r="285" spans="1:46">
      <c r="A285" s="1">
        <f>HYPERLINK("https://lsnyc.legalserver.org/matter/dynamic-profile/view/1879082","18-1879082")</f>
        <v>0</v>
      </c>
      <c r="B285" t="s">
        <v>54</v>
      </c>
      <c r="C285" t="s">
        <v>194</v>
      </c>
      <c r="E285" t="s">
        <v>339</v>
      </c>
      <c r="F285" t="s">
        <v>854</v>
      </c>
      <c r="G285" t="s">
        <v>1354</v>
      </c>
      <c r="H285" t="s">
        <v>1737</v>
      </c>
      <c r="I285">
        <v>11221</v>
      </c>
      <c r="J285" t="s">
        <v>2002</v>
      </c>
      <c r="K285" t="s">
        <v>2002</v>
      </c>
      <c r="N285" t="s">
        <v>2424</v>
      </c>
      <c r="O285" t="s">
        <v>2441</v>
      </c>
      <c r="Q285" t="s">
        <v>2002</v>
      </c>
      <c r="S285" t="s">
        <v>98</v>
      </c>
      <c r="T285">
        <v>834</v>
      </c>
      <c r="U285" t="s">
        <v>2496</v>
      </c>
      <c r="W285" t="s">
        <v>2534</v>
      </c>
      <c r="Y285" t="s">
        <v>3313</v>
      </c>
      <c r="Z285">
        <v>12</v>
      </c>
      <c r="AA285" t="s">
        <v>3783</v>
      </c>
      <c r="AB285" t="s">
        <v>2006</v>
      </c>
      <c r="AC285">
        <v>26</v>
      </c>
      <c r="AD285">
        <v>5</v>
      </c>
      <c r="AE285">
        <v>2</v>
      </c>
      <c r="AF285">
        <v>136.63</v>
      </c>
      <c r="AI285" t="s">
        <v>3809</v>
      </c>
      <c r="AJ285">
        <v>52000</v>
      </c>
      <c r="AK285" t="s">
        <v>3880</v>
      </c>
      <c r="AP285">
        <v>0</v>
      </c>
      <c r="AR285" t="s">
        <v>4185</v>
      </c>
      <c r="AS285" t="s">
        <v>4210</v>
      </c>
      <c r="AT285" t="s">
        <v>4219</v>
      </c>
    </row>
    <row r="286" spans="1:46">
      <c r="A286" s="1">
        <f>HYPERLINK("https://lsnyc.legalserver.org/matter/dynamic-profile/view/1879051","18-1879051")</f>
        <v>0</v>
      </c>
      <c r="B286" t="s">
        <v>54</v>
      </c>
      <c r="C286" t="s">
        <v>194</v>
      </c>
      <c r="E286" t="s">
        <v>340</v>
      </c>
      <c r="F286" t="s">
        <v>855</v>
      </c>
      <c r="G286" t="s">
        <v>1359</v>
      </c>
      <c r="H286" t="s">
        <v>1737</v>
      </c>
      <c r="I286">
        <v>11221</v>
      </c>
      <c r="J286" t="s">
        <v>2002</v>
      </c>
      <c r="K286" t="s">
        <v>2002</v>
      </c>
      <c r="N286" t="s">
        <v>2424</v>
      </c>
      <c r="O286" t="s">
        <v>2441</v>
      </c>
      <c r="Q286" t="s">
        <v>2002</v>
      </c>
      <c r="S286" t="s">
        <v>98</v>
      </c>
      <c r="T286">
        <v>790</v>
      </c>
      <c r="U286" t="s">
        <v>2496</v>
      </c>
      <c r="W286" t="s">
        <v>2535</v>
      </c>
      <c r="Y286" t="s">
        <v>3314</v>
      </c>
      <c r="Z286">
        <v>13</v>
      </c>
      <c r="AA286" t="s">
        <v>3783</v>
      </c>
      <c r="AB286" t="s">
        <v>2006</v>
      </c>
      <c r="AC286">
        <v>20</v>
      </c>
      <c r="AD286">
        <v>1</v>
      </c>
      <c r="AE286">
        <v>0</v>
      </c>
      <c r="AF286">
        <v>155.02</v>
      </c>
      <c r="AI286" t="s">
        <v>3809</v>
      </c>
      <c r="AJ286">
        <v>18820</v>
      </c>
      <c r="AP286">
        <v>0</v>
      </c>
      <c r="AR286" t="s">
        <v>4185</v>
      </c>
      <c r="AS286" t="s">
        <v>4210</v>
      </c>
      <c r="AT286" t="s">
        <v>4219</v>
      </c>
    </row>
    <row r="287" spans="1:46">
      <c r="A287" s="1">
        <f>HYPERLINK("https://lsnyc.legalserver.org/matter/dynamic-profile/view/1878647","18-1878647")</f>
        <v>0</v>
      </c>
      <c r="B287" t="s">
        <v>54</v>
      </c>
      <c r="C287" t="s">
        <v>192</v>
      </c>
      <c r="E287" t="s">
        <v>498</v>
      </c>
      <c r="F287" t="s">
        <v>1010</v>
      </c>
      <c r="G287" t="s">
        <v>1354</v>
      </c>
      <c r="H287" t="s">
        <v>1739</v>
      </c>
      <c r="I287">
        <v>11221</v>
      </c>
      <c r="J287" t="s">
        <v>2002</v>
      </c>
      <c r="K287" t="s">
        <v>2002</v>
      </c>
      <c r="N287" t="s">
        <v>2424</v>
      </c>
      <c r="O287" t="s">
        <v>2441</v>
      </c>
      <c r="Q287" t="s">
        <v>2002</v>
      </c>
      <c r="S287" t="s">
        <v>131</v>
      </c>
      <c r="T287">
        <v>1091.82</v>
      </c>
      <c r="U287" t="s">
        <v>2496</v>
      </c>
      <c r="W287" t="s">
        <v>2706</v>
      </c>
      <c r="X287" t="s">
        <v>3160</v>
      </c>
      <c r="Y287" t="s">
        <v>3461</v>
      </c>
      <c r="Z287">
        <v>12</v>
      </c>
      <c r="AA287" t="s">
        <v>3783</v>
      </c>
      <c r="AB287" t="s">
        <v>3793</v>
      </c>
      <c r="AC287">
        <v>12</v>
      </c>
      <c r="AD287">
        <v>1</v>
      </c>
      <c r="AE287">
        <v>0</v>
      </c>
      <c r="AF287">
        <v>152.2</v>
      </c>
      <c r="AI287" t="s">
        <v>3809</v>
      </c>
      <c r="AJ287">
        <v>18476.9</v>
      </c>
      <c r="AK287" t="s">
        <v>3878</v>
      </c>
      <c r="AP287">
        <v>0</v>
      </c>
      <c r="AR287" t="s">
        <v>4185</v>
      </c>
      <c r="AS287" t="s">
        <v>4210</v>
      </c>
      <c r="AT287" t="s">
        <v>4219</v>
      </c>
    </row>
    <row r="288" spans="1:46">
      <c r="A288" s="1">
        <f>HYPERLINK("https://lsnyc.legalserver.org/matter/dynamic-profile/view/1878601","18-1878601")</f>
        <v>0</v>
      </c>
      <c r="B288" t="s">
        <v>54</v>
      </c>
      <c r="C288" t="s">
        <v>192</v>
      </c>
      <c r="E288" t="s">
        <v>341</v>
      </c>
      <c r="F288" t="s">
        <v>857</v>
      </c>
      <c r="G288" t="s">
        <v>1354</v>
      </c>
      <c r="H288" t="s">
        <v>1738</v>
      </c>
      <c r="I288">
        <v>11221</v>
      </c>
      <c r="J288" t="s">
        <v>2002</v>
      </c>
      <c r="K288" t="s">
        <v>2002</v>
      </c>
      <c r="N288" t="s">
        <v>2424</v>
      </c>
      <c r="O288" t="s">
        <v>2441</v>
      </c>
      <c r="Q288" t="s">
        <v>2002</v>
      </c>
      <c r="S288" t="s">
        <v>237</v>
      </c>
      <c r="T288">
        <v>880.65</v>
      </c>
      <c r="U288" t="s">
        <v>2496</v>
      </c>
      <c r="W288" t="s">
        <v>2536</v>
      </c>
      <c r="Y288" t="s">
        <v>3316</v>
      </c>
      <c r="Z288">
        <v>12</v>
      </c>
      <c r="AA288" t="s">
        <v>3783</v>
      </c>
      <c r="AB288" t="s">
        <v>2006</v>
      </c>
      <c r="AC288">
        <v>17</v>
      </c>
      <c r="AD288">
        <v>1</v>
      </c>
      <c r="AE288">
        <v>1</v>
      </c>
      <c r="AF288">
        <v>243.01</v>
      </c>
      <c r="AI288" t="s">
        <v>3809</v>
      </c>
      <c r="AJ288">
        <v>40000</v>
      </c>
      <c r="AK288" t="s">
        <v>3881</v>
      </c>
      <c r="AP288">
        <v>6.5</v>
      </c>
      <c r="AQ288" t="s">
        <v>115</v>
      </c>
      <c r="AR288" t="s">
        <v>4185</v>
      </c>
      <c r="AS288" t="s">
        <v>4210</v>
      </c>
      <c r="AT288" t="s">
        <v>4219</v>
      </c>
    </row>
    <row r="289" spans="1:46">
      <c r="A289" s="1">
        <f>HYPERLINK("https://lsnyc.legalserver.org/matter/dynamic-profile/view/1878609","18-1878609")</f>
        <v>0</v>
      </c>
      <c r="B289" t="s">
        <v>54</v>
      </c>
      <c r="C289" t="s">
        <v>192</v>
      </c>
      <c r="E289" t="s">
        <v>341</v>
      </c>
      <c r="F289" t="s">
        <v>857</v>
      </c>
      <c r="G289" t="s">
        <v>1354</v>
      </c>
      <c r="H289" t="s">
        <v>1738</v>
      </c>
      <c r="I289">
        <v>11221</v>
      </c>
      <c r="J289" t="s">
        <v>2002</v>
      </c>
      <c r="K289" t="s">
        <v>2002</v>
      </c>
      <c r="M289" t="s">
        <v>2145</v>
      </c>
      <c r="N289" t="s">
        <v>2414</v>
      </c>
      <c r="O289" t="s">
        <v>2437</v>
      </c>
      <c r="Q289" t="s">
        <v>2002</v>
      </c>
      <c r="S289" t="s">
        <v>101</v>
      </c>
      <c r="T289">
        <v>880.65</v>
      </c>
      <c r="U289" t="s">
        <v>2496</v>
      </c>
      <c r="W289" t="s">
        <v>2536</v>
      </c>
      <c r="Y289" t="s">
        <v>3316</v>
      </c>
      <c r="Z289">
        <v>12</v>
      </c>
      <c r="AA289" t="s">
        <v>3783</v>
      </c>
      <c r="AB289" t="s">
        <v>2006</v>
      </c>
      <c r="AC289">
        <v>17</v>
      </c>
      <c r="AD289">
        <v>1</v>
      </c>
      <c r="AE289">
        <v>1</v>
      </c>
      <c r="AF289">
        <v>243.01</v>
      </c>
      <c r="AI289" t="s">
        <v>3809</v>
      </c>
      <c r="AJ289">
        <v>40000</v>
      </c>
      <c r="AK289" t="s">
        <v>3881</v>
      </c>
      <c r="AP289">
        <v>12.08</v>
      </c>
      <c r="AQ289" t="s">
        <v>95</v>
      </c>
      <c r="AR289" t="s">
        <v>4185</v>
      </c>
      <c r="AS289" t="s">
        <v>4210</v>
      </c>
      <c r="AT289" t="s">
        <v>4219</v>
      </c>
    </row>
    <row r="290" spans="1:46">
      <c r="A290" s="1">
        <f>HYPERLINK("https://lsnyc.legalserver.org/matter/dynamic-profile/view/1878674","18-1878674")</f>
        <v>0</v>
      </c>
      <c r="B290" t="s">
        <v>54</v>
      </c>
      <c r="C290" t="s">
        <v>192</v>
      </c>
      <c r="E290" t="s">
        <v>343</v>
      </c>
      <c r="F290" t="s">
        <v>859</v>
      </c>
      <c r="G290" t="s">
        <v>1354</v>
      </c>
      <c r="H290" t="s">
        <v>1740</v>
      </c>
      <c r="I290">
        <v>11221</v>
      </c>
      <c r="J290" t="s">
        <v>2002</v>
      </c>
      <c r="K290" t="s">
        <v>2002</v>
      </c>
      <c r="N290" t="s">
        <v>2424</v>
      </c>
      <c r="O290" t="s">
        <v>2441</v>
      </c>
      <c r="Q290" t="s">
        <v>2002</v>
      </c>
      <c r="S290" t="s">
        <v>101</v>
      </c>
      <c r="T290">
        <v>780</v>
      </c>
      <c r="U290" t="s">
        <v>2496</v>
      </c>
      <c r="W290" t="s">
        <v>2538</v>
      </c>
      <c r="Y290" t="s">
        <v>3318</v>
      </c>
      <c r="Z290">
        <v>12</v>
      </c>
      <c r="AA290" t="s">
        <v>3783</v>
      </c>
      <c r="AB290" t="s">
        <v>2006</v>
      </c>
      <c r="AC290">
        <v>15</v>
      </c>
      <c r="AD290">
        <v>1</v>
      </c>
      <c r="AE290">
        <v>0</v>
      </c>
      <c r="AF290">
        <v>395.39</v>
      </c>
      <c r="AI290" t="s">
        <v>3809</v>
      </c>
      <c r="AJ290">
        <v>48000</v>
      </c>
      <c r="AK290" t="s">
        <v>3882</v>
      </c>
      <c r="AP290">
        <v>0.2</v>
      </c>
      <c r="AQ290" t="s">
        <v>303</v>
      </c>
      <c r="AR290" t="s">
        <v>4185</v>
      </c>
      <c r="AS290" t="s">
        <v>4210</v>
      </c>
      <c r="AT290" t="s">
        <v>4219</v>
      </c>
    </row>
    <row r="291" spans="1:46">
      <c r="A291" s="1">
        <f>HYPERLINK("https://lsnyc.legalserver.org/matter/dynamic-profile/view/1879059","18-1879059")</f>
        <v>0</v>
      </c>
      <c r="B291" t="s">
        <v>54</v>
      </c>
      <c r="C291" t="s">
        <v>194</v>
      </c>
      <c r="E291" t="s">
        <v>342</v>
      </c>
      <c r="F291" t="s">
        <v>858</v>
      </c>
      <c r="G291" t="s">
        <v>1359</v>
      </c>
      <c r="H291" t="s">
        <v>1739</v>
      </c>
      <c r="I291">
        <v>11221</v>
      </c>
      <c r="J291" t="s">
        <v>2002</v>
      </c>
      <c r="K291" t="s">
        <v>2002</v>
      </c>
      <c r="N291" t="s">
        <v>2424</v>
      </c>
      <c r="O291" t="s">
        <v>2441</v>
      </c>
      <c r="Q291" t="s">
        <v>2002</v>
      </c>
      <c r="S291" t="s">
        <v>2472</v>
      </c>
      <c r="T291">
        <v>732</v>
      </c>
      <c r="U291" t="s">
        <v>2496</v>
      </c>
      <c r="W291" t="s">
        <v>2537</v>
      </c>
      <c r="Y291" t="s">
        <v>3317</v>
      </c>
      <c r="Z291">
        <v>13</v>
      </c>
      <c r="AA291" t="s">
        <v>3783</v>
      </c>
      <c r="AB291" t="s">
        <v>2006</v>
      </c>
      <c r="AC291">
        <v>25</v>
      </c>
      <c r="AD291">
        <v>3</v>
      </c>
      <c r="AE291">
        <v>2</v>
      </c>
      <c r="AF291">
        <v>271.92</v>
      </c>
      <c r="AI291" t="s">
        <v>3809</v>
      </c>
      <c r="AJ291">
        <v>80000</v>
      </c>
      <c r="AK291" t="s">
        <v>3879</v>
      </c>
      <c r="AP291">
        <v>0</v>
      </c>
      <c r="AR291" t="s">
        <v>4185</v>
      </c>
      <c r="AS291" t="s">
        <v>4210</v>
      </c>
      <c r="AT291" t="s">
        <v>4219</v>
      </c>
    </row>
    <row r="292" spans="1:46">
      <c r="A292" s="1">
        <f>HYPERLINK("https://lsnyc.legalserver.org/matter/dynamic-profile/view/1878950","18-1878950")</f>
        <v>0</v>
      </c>
      <c r="B292" t="s">
        <v>54</v>
      </c>
      <c r="C292" t="s">
        <v>190</v>
      </c>
      <c r="E292" t="s">
        <v>508</v>
      </c>
      <c r="F292" t="s">
        <v>1022</v>
      </c>
      <c r="G292" t="s">
        <v>1354</v>
      </c>
      <c r="H292" t="s">
        <v>1741</v>
      </c>
      <c r="I292">
        <v>11221</v>
      </c>
      <c r="J292" t="s">
        <v>2002</v>
      </c>
      <c r="K292" t="s">
        <v>2002</v>
      </c>
      <c r="N292" t="s">
        <v>2424</v>
      </c>
      <c r="O292" t="s">
        <v>2441</v>
      </c>
      <c r="Q292" t="s">
        <v>2002</v>
      </c>
      <c r="S292" t="s">
        <v>2472</v>
      </c>
      <c r="T292">
        <v>632.48</v>
      </c>
      <c r="U292" t="s">
        <v>2496</v>
      </c>
      <c r="W292" t="s">
        <v>2720</v>
      </c>
      <c r="Y292" t="s">
        <v>3473</v>
      </c>
      <c r="Z292">
        <v>12</v>
      </c>
      <c r="AA292" t="s">
        <v>3783</v>
      </c>
      <c r="AB292" t="s">
        <v>2006</v>
      </c>
      <c r="AC292">
        <v>18</v>
      </c>
      <c r="AD292">
        <v>3</v>
      </c>
      <c r="AE292">
        <v>0</v>
      </c>
      <c r="AF292">
        <v>409.05</v>
      </c>
      <c r="AI292" t="s">
        <v>3809</v>
      </c>
      <c r="AJ292">
        <v>85000</v>
      </c>
      <c r="AP292">
        <v>0</v>
      </c>
      <c r="AR292" t="s">
        <v>4185</v>
      </c>
      <c r="AS292" t="s">
        <v>4210</v>
      </c>
      <c r="AT292" t="s">
        <v>4219</v>
      </c>
    </row>
    <row r="293" spans="1:46">
      <c r="A293" s="1">
        <f>HYPERLINK("https://lsnyc.legalserver.org/matter/dynamic-profile/view/1878656","18-1878656")</f>
        <v>0</v>
      </c>
      <c r="B293" t="s">
        <v>54</v>
      </c>
      <c r="C293" t="s">
        <v>192</v>
      </c>
      <c r="E293" t="s">
        <v>348</v>
      </c>
      <c r="F293" t="s">
        <v>863</v>
      </c>
      <c r="G293" t="s">
        <v>1354</v>
      </c>
      <c r="H293" t="s">
        <v>1744</v>
      </c>
      <c r="I293">
        <v>11221</v>
      </c>
      <c r="J293" t="s">
        <v>2002</v>
      </c>
      <c r="K293" t="s">
        <v>2002</v>
      </c>
      <c r="N293" t="s">
        <v>2424</v>
      </c>
      <c r="O293" t="s">
        <v>2441</v>
      </c>
      <c r="Q293" t="s">
        <v>2002</v>
      </c>
      <c r="S293" t="s">
        <v>74</v>
      </c>
      <c r="T293">
        <v>793</v>
      </c>
      <c r="U293" t="s">
        <v>2496</v>
      </c>
      <c r="W293" t="s">
        <v>2543</v>
      </c>
      <c r="Y293" t="s">
        <v>3322</v>
      </c>
      <c r="Z293">
        <v>12</v>
      </c>
      <c r="AA293" t="s">
        <v>3783</v>
      </c>
      <c r="AB293" t="s">
        <v>2006</v>
      </c>
      <c r="AC293">
        <v>15</v>
      </c>
      <c r="AD293">
        <v>1</v>
      </c>
      <c r="AE293">
        <v>0</v>
      </c>
      <c r="AF293">
        <v>74.95999999999999</v>
      </c>
      <c r="AI293" t="s">
        <v>3809</v>
      </c>
      <c r="AJ293">
        <v>9100</v>
      </c>
      <c r="AK293" t="s">
        <v>3875</v>
      </c>
      <c r="AP293">
        <v>0</v>
      </c>
      <c r="AR293" t="s">
        <v>4185</v>
      </c>
      <c r="AS293" t="s">
        <v>4210</v>
      </c>
      <c r="AT293" t="s">
        <v>4219</v>
      </c>
    </row>
    <row r="294" spans="1:46">
      <c r="A294" s="1">
        <f>HYPERLINK("https://lsnyc.legalserver.org/matter/dynamic-profile/view/1885048","18-1885048")</f>
        <v>0</v>
      </c>
      <c r="B294" t="s">
        <v>54</v>
      </c>
      <c r="C294" t="s">
        <v>97</v>
      </c>
      <c r="E294" t="s">
        <v>513</v>
      </c>
      <c r="F294" t="s">
        <v>1025</v>
      </c>
      <c r="G294" t="s">
        <v>1486</v>
      </c>
      <c r="H294" t="s">
        <v>1739</v>
      </c>
      <c r="I294">
        <v>11213</v>
      </c>
      <c r="J294" t="s">
        <v>2002</v>
      </c>
      <c r="K294" t="s">
        <v>2002</v>
      </c>
      <c r="M294" t="s">
        <v>2006</v>
      </c>
      <c r="N294" t="s">
        <v>2424</v>
      </c>
      <c r="O294" t="s">
        <v>2441</v>
      </c>
      <c r="Q294" t="s">
        <v>2002</v>
      </c>
      <c r="S294" t="s">
        <v>315</v>
      </c>
      <c r="T294">
        <v>412</v>
      </c>
      <c r="U294" t="s">
        <v>2509</v>
      </c>
      <c r="W294" t="s">
        <v>2725</v>
      </c>
      <c r="Y294" t="s">
        <v>3478</v>
      </c>
      <c r="Z294">
        <v>19</v>
      </c>
      <c r="AA294" t="s">
        <v>3783</v>
      </c>
      <c r="AC294">
        <v>12</v>
      </c>
      <c r="AD294">
        <v>3</v>
      </c>
      <c r="AE294">
        <v>0</v>
      </c>
      <c r="AF294">
        <v>50.05</v>
      </c>
      <c r="AI294" t="s">
        <v>3809</v>
      </c>
      <c r="AJ294">
        <v>10400</v>
      </c>
      <c r="AP294">
        <v>0</v>
      </c>
      <c r="AR294" t="s">
        <v>49</v>
      </c>
      <c r="AS294" t="s">
        <v>4210</v>
      </c>
      <c r="AT294" t="s">
        <v>4219</v>
      </c>
    </row>
    <row r="295" spans="1:46">
      <c r="A295" s="1">
        <f>HYPERLINK("https://lsnyc.legalserver.org/matter/dynamic-profile/view/1885151","18-1885151")</f>
        <v>0</v>
      </c>
      <c r="B295" t="s">
        <v>54</v>
      </c>
      <c r="C295" t="s">
        <v>97</v>
      </c>
      <c r="E295" t="s">
        <v>516</v>
      </c>
      <c r="F295" t="s">
        <v>1027</v>
      </c>
      <c r="G295" t="s">
        <v>1486</v>
      </c>
      <c r="H295" t="s">
        <v>1744</v>
      </c>
      <c r="I295">
        <v>11213</v>
      </c>
      <c r="J295" t="s">
        <v>2002</v>
      </c>
      <c r="K295" t="s">
        <v>2002</v>
      </c>
      <c r="N295" t="s">
        <v>2414</v>
      </c>
      <c r="O295" t="s">
        <v>2437</v>
      </c>
      <c r="Q295" t="s">
        <v>2002</v>
      </c>
      <c r="R295" t="s">
        <v>2451</v>
      </c>
      <c r="S295" t="s">
        <v>315</v>
      </c>
      <c r="T295">
        <v>1229.5</v>
      </c>
      <c r="U295" t="s">
        <v>2509</v>
      </c>
      <c r="W295" t="s">
        <v>2728</v>
      </c>
      <c r="X295" t="s">
        <v>3160</v>
      </c>
      <c r="Y295" t="s">
        <v>3481</v>
      </c>
      <c r="Z295">
        <v>19</v>
      </c>
      <c r="AA295" t="s">
        <v>3783</v>
      </c>
      <c r="AB295" t="s">
        <v>3793</v>
      </c>
      <c r="AC295">
        <v>25</v>
      </c>
      <c r="AD295">
        <v>1</v>
      </c>
      <c r="AE295">
        <v>0</v>
      </c>
      <c r="AF295">
        <v>59.31</v>
      </c>
      <c r="AI295" t="s">
        <v>3809</v>
      </c>
      <c r="AJ295">
        <v>7200</v>
      </c>
      <c r="AK295" t="s">
        <v>3883</v>
      </c>
      <c r="AP295">
        <v>0</v>
      </c>
      <c r="AR295" t="s">
        <v>4185</v>
      </c>
      <c r="AS295" t="s">
        <v>4210</v>
      </c>
      <c r="AT295" t="s">
        <v>4219</v>
      </c>
    </row>
    <row r="296" spans="1:46">
      <c r="A296" s="1">
        <f>HYPERLINK("https://lsnyc.legalserver.org/matter/dynamic-profile/view/1878919","18-1878919")</f>
        <v>0</v>
      </c>
      <c r="B296" t="s">
        <v>54</v>
      </c>
      <c r="C296" t="s">
        <v>190</v>
      </c>
      <c r="E296" t="s">
        <v>517</v>
      </c>
      <c r="F296" t="s">
        <v>1029</v>
      </c>
      <c r="G296" t="s">
        <v>1354</v>
      </c>
      <c r="H296" t="s">
        <v>1754</v>
      </c>
      <c r="I296">
        <v>11221</v>
      </c>
      <c r="J296" t="s">
        <v>2002</v>
      </c>
      <c r="K296" t="s">
        <v>2002</v>
      </c>
      <c r="N296" t="s">
        <v>2424</v>
      </c>
      <c r="O296" t="s">
        <v>2441</v>
      </c>
      <c r="Q296" t="s">
        <v>2002</v>
      </c>
      <c r="S296" t="s">
        <v>315</v>
      </c>
      <c r="T296">
        <v>336.58</v>
      </c>
      <c r="U296" t="s">
        <v>2496</v>
      </c>
      <c r="W296" t="s">
        <v>2730</v>
      </c>
      <c r="X296" t="s">
        <v>3209</v>
      </c>
      <c r="Y296" t="s">
        <v>3483</v>
      </c>
      <c r="Z296">
        <v>12</v>
      </c>
      <c r="AA296" t="s">
        <v>3783</v>
      </c>
      <c r="AC296">
        <v>8</v>
      </c>
      <c r="AD296">
        <v>1</v>
      </c>
      <c r="AE296">
        <v>1</v>
      </c>
      <c r="AF296">
        <v>85.05</v>
      </c>
      <c r="AI296" t="s">
        <v>3809</v>
      </c>
      <c r="AJ296">
        <v>14000</v>
      </c>
      <c r="AP296">
        <v>0</v>
      </c>
      <c r="AR296" t="s">
        <v>4185</v>
      </c>
      <c r="AS296" t="s">
        <v>4210</v>
      </c>
      <c r="AT296" t="s">
        <v>4219</v>
      </c>
    </row>
    <row r="297" spans="1:46">
      <c r="A297" s="1">
        <f>HYPERLINK("https://lsnyc.legalserver.org/matter/dynamic-profile/view/1878923","18-1878923")</f>
        <v>0</v>
      </c>
      <c r="B297" t="s">
        <v>54</v>
      </c>
      <c r="C297" t="s">
        <v>190</v>
      </c>
      <c r="E297" t="s">
        <v>517</v>
      </c>
      <c r="F297" t="s">
        <v>1029</v>
      </c>
      <c r="G297" t="s">
        <v>1354</v>
      </c>
      <c r="H297" t="s">
        <v>1754</v>
      </c>
      <c r="I297">
        <v>11221</v>
      </c>
      <c r="J297" t="s">
        <v>2002</v>
      </c>
      <c r="K297" t="s">
        <v>2002</v>
      </c>
      <c r="M297" t="s">
        <v>2145</v>
      </c>
      <c r="N297" t="s">
        <v>2414</v>
      </c>
      <c r="O297" t="s">
        <v>2437</v>
      </c>
      <c r="Q297" t="s">
        <v>2002</v>
      </c>
      <c r="R297" t="s">
        <v>2451</v>
      </c>
      <c r="S297" t="s">
        <v>315</v>
      </c>
      <c r="T297">
        <v>336.58</v>
      </c>
      <c r="U297" t="s">
        <v>2496</v>
      </c>
      <c r="W297" t="s">
        <v>2730</v>
      </c>
      <c r="X297" t="s">
        <v>3209</v>
      </c>
      <c r="Y297" t="s">
        <v>3483</v>
      </c>
      <c r="Z297">
        <v>12</v>
      </c>
      <c r="AA297" t="s">
        <v>3783</v>
      </c>
      <c r="AB297" t="s">
        <v>2006</v>
      </c>
      <c r="AC297">
        <v>8</v>
      </c>
      <c r="AD297">
        <v>1</v>
      </c>
      <c r="AE297">
        <v>1</v>
      </c>
      <c r="AF297">
        <v>85.05</v>
      </c>
      <c r="AI297" t="s">
        <v>3809</v>
      </c>
      <c r="AJ297">
        <v>14000</v>
      </c>
      <c r="AP297">
        <v>0</v>
      </c>
      <c r="AR297" t="s">
        <v>4185</v>
      </c>
      <c r="AS297" t="s">
        <v>4210</v>
      </c>
      <c r="AT297" t="s">
        <v>4219</v>
      </c>
    </row>
    <row r="298" spans="1:46">
      <c r="A298" s="1">
        <f>HYPERLINK("https://lsnyc.legalserver.org/matter/dynamic-profile/view/1878916","18-1878916")</f>
        <v>0</v>
      </c>
      <c r="B298" t="s">
        <v>54</v>
      </c>
      <c r="C298" t="s">
        <v>190</v>
      </c>
      <c r="D298" t="s">
        <v>315</v>
      </c>
      <c r="E298" t="s">
        <v>517</v>
      </c>
      <c r="F298" t="s">
        <v>1029</v>
      </c>
      <c r="G298" t="s">
        <v>1354</v>
      </c>
      <c r="H298" t="s">
        <v>1754</v>
      </c>
      <c r="I298">
        <v>11221</v>
      </c>
      <c r="J298" t="s">
        <v>2002</v>
      </c>
      <c r="K298" t="s">
        <v>2002</v>
      </c>
      <c r="N298" t="s">
        <v>2417</v>
      </c>
      <c r="O298" t="s">
        <v>2436</v>
      </c>
      <c r="P298" t="s">
        <v>2443</v>
      </c>
      <c r="Q298" t="s">
        <v>2002</v>
      </c>
      <c r="R298" t="s">
        <v>2451</v>
      </c>
      <c r="S298" t="s">
        <v>315</v>
      </c>
      <c r="T298">
        <v>336.58</v>
      </c>
      <c r="U298" t="s">
        <v>2496</v>
      </c>
      <c r="V298" t="s">
        <v>2523</v>
      </c>
      <c r="W298" t="s">
        <v>2730</v>
      </c>
      <c r="X298" t="s">
        <v>3209</v>
      </c>
      <c r="Y298" t="s">
        <v>3483</v>
      </c>
      <c r="Z298">
        <v>12</v>
      </c>
      <c r="AA298" t="s">
        <v>3783</v>
      </c>
      <c r="AB298" t="s">
        <v>2006</v>
      </c>
      <c r="AC298">
        <v>7</v>
      </c>
      <c r="AD298">
        <v>1</v>
      </c>
      <c r="AE298">
        <v>1</v>
      </c>
      <c r="AF298">
        <v>85.05</v>
      </c>
      <c r="AI298" t="s">
        <v>3809</v>
      </c>
      <c r="AJ298">
        <v>14000</v>
      </c>
      <c r="AP298">
        <v>0.08</v>
      </c>
      <c r="AQ298" t="s">
        <v>155</v>
      </c>
      <c r="AR298" t="s">
        <v>4185</v>
      </c>
      <c r="AS298" t="s">
        <v>4210</v>
      </c>
      <c r="AT298" t="s">
        <v>4219</v>
      </c>
    </row>
    <row r="299" spans="1:46">
      <c r="A299" s="1">
        <f>HYPERLINK("https://lsnyc.legalserver.org/matter/dynamic-profile/view/1885027","18-1885027")</f>
        <v>0</v>
      </c>
      <c r="B299" t="s">
        <v>54</v>
      </c>
      <c r="C299" t="s">
        <v>191</v>
      </c>
      <c r="E299" t="s">
        <v>514</v>
      </c>
      <c r="F299" t="s">
        <v>1026</v>
      </c>
      <c r="G299" t="s">
        <v>1486</v>
      </c>
      <c r="H299" t="s">
        <v>1772</v>
      </c>
      <c r="I299">
        <v>11213</v>
      </c>
      <c r="J299" t="s">
        <v>2002</v>
      </c>
      <c r="K299" t="s">
        <v>2002</v>
      </c>
      <c r="M299" t="s">
        <v>2027</v>
      </c>
      <c r="N299" t="s">
        <v>2424</v>
      </c>
      <c r="O299" t="s">
        <v>2441</v>
      </c>
      <c r="Q299" t="s">
        <v>2002</v>
      </c>
      <c r="R299" t="s">
        <v>2451</v>
      </c>
      <c r="S299" t="s">
        <v>315</v>
      </c>
      <c r="T299">
        <v>1507.16</v>
      </c>
      <c r="U299" t="s">
        <v>2509</v>
      </c>
      <c r="W299" t="s">
        <v>2726</v>
      </c>
      <c r="X299" t="s">
        <v>3160</v>
      </c>
      <c r="Y299" t="s">
        <v>3479</v>
      </c>
      <c r="Z299">
        <v>19</v>
      </c>
      <c r="AA299" t="s">
        <v>3783</v>
      </c>
      <c r="AB299" t="s">
        <v>3793</v>
      </c>
      <c r="AC299">
        <v>22</v>
      </c>
      <c r="AD299">
        <v>4</v>
      </c>
      <c r="AE299">
        <v>0</v>
      </c>
      <c r="AF299">
        <v>190.88</v>
      </c>
      <c r="AI299" t="s">
        <v>3809</v>
      </c>
      <c r="AJ299">
        <v>47909.8</v>
      </c>
      <c r="AP299">
        <v>13.15</v>
      </c>
      <c r="AQ299" t="s">
        <v>140</v>
      </c>
      <c r="AR299" t="s">
        <v>4185</v>
      </c>
      <c r="AS299" t="s">
        <v>4210</v>
      </c>
      <c r="AT299" t="s">
        <v>4219</v>
      </c>
    </row>
    <row r="300" spans="1:46">
      <c r="A300" s="1">
        <f>HYPERLINK("https://lsnyc.legalserver.org/matter/dynamic-profile/view/1885176","18-1885176")</f>
        <v>0</v>
      </c>
      <c r="B300" t="s">
        <v>54</v>
      </c>
      <c r="C300" t="s">
        <v>97</v>
      </c>
      <c r="E300" t="s">
        <v>509</v>
      </c>
      <c r="F300" t="s">
        <v>1010</v>
      </c>
      <c r="G300" t="s">
        <v>1486</v>
      </c>
      <c r="H300" t="s">
        <v>1764</v>
      </c>
      <c r="I300">
        <v>11213</v>
      </c>
      <c r="J300" t="s">
        <v>2002</v>
      </c>
      <c r="K300" t="s">
        <v>2002</v>
      </c>
      <c r="M300" t="s">
        <v>2027</v>
      </c>
      <c r="N300" t="s">
        <v>2424</v>
      </c>
      <c r="O300" t="s">
        <v>2441</v>
      </c>
      <c r="Q300" t="s">
        <v>2002</v>
      </c>
      <c r="R300" t="s">
        <v>2451</v>
      </c>
      <c r="S300" t="s">
        <v>129</v>
      </c>
      <c r="T300">
        <v>951</v>
      </c>
      <c r="U300" t="s">
        <v>2509</v>
      </c>
      <c r="W300" t="s">
        <v>2721</v>
      </c>
      <c r="X300" t="s">
        <v>2006</v>
      </c>
      <c r="Y300" t="s">
        <v>3474</v>
      </c>
      <c r="Z300">
        <v>19</v>
      </c>
      <c r="AA300" t="s">
        <v>3783</v>
      </c>
      <c r="AB300" t="s">
        <v>3797</v>
      </c>
      <c r="AC300">
        <v>16</v>
      </c>
      <c r="AD300">
        <v>3</v>
      </c>
      <c r="AE300">
        <v>3</v>
      </c>
      <c r="AF300">
        <v>53.94</v>
      </c>
      <c r="AI300" t="s">
        <v>3809</v>
      </c>
      <c r="AJ300">
        <v>18200</v>
      </c>
      <c r="AK300" t="s">
        <v>3884</v>
      </c>
      <c r="AP300">
        <v>0</v>
      </c>
      <c r="AR300" t="s">
        <v>4185</v>
      </c>
      <c r="AS300" t="s">
        <v>4210</v>
      </c>
      <c r="AT300" t="s">
        <v>4219</v>
      </c>
    </row>
    <row r="301" spans="1:46">
      <c r="A301" s="1">
        <f>HYPERLINK("https://lsnyc.legalserver.org/matter/dynamic-profile/view/1885019","18-1885019")</f>
        <v>0</v>
      </c>
      <c r="B301" t="s">
        <v>54</v>
      </c>
      <c r="C301" t="s">
        <v>191</v>
      </c>
      <c r="E301" t="s">
        <v>510</v>
      </c>
      <c r="F301" t="s">
        <v>1023</v>
      </c>
      <c r="G301" t="s">
        <v>1486</v>
      </c>
      <c r="H301" t="s">
        <v>1819</v>
      </c>
      <c r="I301">
        <v>11213</v>
      </c>
      <c r="J301" t="s">
        <v>2002</v>
      </c>
      <c r="K301" t="s">
        <v>2002</v>
      </c>
      <c r="N301" t="s">
        <v>2424</v>
      </c>
      <c r="O301" t="s">
        <v>2441</v>
      </c>
      <c r="Q301" t="s">
        <v>2002</v>
      </c>
      <c r="S301" t="s">
        <v>129</v>
      </c>
      <c r="T301">
        <v>693</v>
      </c>
      <c r="U301" t="s">
        <v>2509</v>
      </c>
      <c r="W301" t="s">
        <v>2722</v>
      </c>
      <c r="Y301" t="s">
        <v>3475</v>
      </c>
      <c r="Z301">
        <v>19</v>
      </c>
      <c r="AA301" t="s">
        <v>3783</v>
      </c>
      <c r="AB301" t="s">
        <v>2006</v>
      </c>
      <c r="AC301">
        <v>20</v>
      </c>
      <c r="AD301">
        <v>2</v>
      </c>
      <c r="AE301">
        <v>1</v>
      </c>
      <c r="AF301">
        <v>240.62</v>
      </c>
      <c r="AG301" t="s">
        <v>3805</v>
      </c>
      <c r="AH301" t="s">
        <v>3806</v>
      </c>
      <c r="AI301" t="s">
        <v>3809</v>
      </c>
      <c r="AJ301">
        <v>50000</v>
      </c>
      <c r="AP301">
        <v>0</v>
      </c>
      <c r="AR301" t="s">
        <v>49</v>
      </c>
      <c r="AS301" t="s">
        <v>4210</v>
      </c>
      <c r="AT301" t="s">
        <v>4219</v>
      </c>
    </row>
    <row r="302" spans="1:46">
      <c r="A302" s="1">
        <f>HYPERLINK("https://lsnyc.legalserver.org/matter/dynamic-profile/view/1885163","18-1885163")</f>
        <v>0</v>
      </c>
      <c r="B302" t="s">
        <v>54</v>
      </c>
      <c r="C302" t="s">
        <v>97</v>
      </c>
      <c r="E302" t="s">
        <v>516</v>
      </c>
      <c r="F302" t="s">
        <v>1027</v>
      </c>
      <c r="G302" t="s">
        <v>1486</v>
      </c>
      <c r="H302" t="s">
        <v>1744</v>
      </c>
      <c r="I302">
        <v>11213</v>
      </c>
      <c r="J302" t="s">
        <v>2002</v>
      </c>
      <c r="K302" t="s">
        <v>2002</v>
      </c>
      <c r="M302" t="s">
        <v>2027</v>
      </c>
      <c r="N302" t="s">
        <v>2424</v>
      </c>
      <c r="O302" t="s">
        <v>2441</v>
      </c>
      <c r="Q302" t="s">
        <v>2002</v>
      </c>
      <c r="R302" t="s">
        <v>2451</v>
      </c>
      <c r="S302" t="s">
        <v>2473</v>
      </c>
      <c r="T302">
        <v>1229.5</v>
      </c>
      <c r="U302" t="s">
        <v>2509</v>
      </c>
      <c r="W302" t="s">
        <v>2728</v>
      </c>
      <c r="X302" t="s">
        <v>2006</v>
      </c>
      <c r="Y302" t="s">
        <v>3481</v>
      </c>
      <c r="Z302">
        <v>19</v>
      </c>
      <c r="AA302" t="s">
        <v>3783</v>
      </c>
      <c r="AB302" t="s">
        <v>3793</v>
      </c>
      <c r="AC302">
        <v>25</v>
      </c>
      <c r="AD302">
        <v>1</v>
      </c>
      <c r="AE302">
        <v>0</v>
      </c>
      <c r="AF302">
        <v>59.31</v>
      </c>
      <c r="AI302" t="s">
        <v>3809</v>
      </c>
      <c r="AJ302">
        <v>7200</v>
      </c>
      <c r="AK302" t="s">
        <v>3885</v>
      </c>
      <c r="AP302">
        <v>0</v>
      </c>
      <c r="AR302" t="s">
        <v>4185</v>
      </c>
      <c r="AS302" t="s">
        <v>4210</v>
      </c>
      <c r="AT302" t="s">
        <v>4219</v>
      </c>
    </row>
    <row r="303" spans="1:46">
      <c r="A303" s="1">
        <f>HYPERLINK("https://lsnyc.legalserver.org/matter/dynamic-profile/view/1896744","19-1896744")</f>
        <v>0</v>
      </c>
      <c r="B303" t="s">
        <v>54</v>
      </c>
      <c r="C303" t="s">
        <v>196</v>
      </c>
      <c r="E303" t="s">
        <v>438</v>
      </c>
      <c r="F303" t="s">
        <v>947</v>
      </c>
      <c r="G303" t="s">
        <v>1447</v>
      </c>
      <c r="H303" t="s">
        <v>1746</v>
      </c>
      <c r="I303">
        <v>11213</v>
      </c>
      <c r="J303" t="s">
        <v>2002</v>
      </c>
      <c r="K303" t="s">
        <v>2002</v>
      </c>
      <c r="L303" t="s">
        <v>2005</v>
      </c>
      <c r="M303" t="s">
        <v>2146</v>
      </c>
      <c r="N303" t="s">
        <v>2424</v>
      </c>
      <c r="O303" t="s">
        <v>2441</v>
      </c>
      <c r="Q303" t="s">
        <v>2002</v>
      </c>
      <c r="S303" t="s">
        <v>103</v>
      </c>
      <c r="T303">
        <v>551</v>
      </c>
      <c r="U303" t="s">
        <v>2496</v>
      </c>
      <c r="W303" t="s">
        <v>2637</v>
      </c>
      <c r="Y303" t="s">
        <v>3406</v>
      </c>
      <c r="Z303">
        <v>6</v>
      </c>
      <c r="AA303" t="s">
        <v>3783</v>
      </c>
      <c r="AB303" t="s">
        <v>2006</v>
      </c>
      <c r="AC303">
        <v>15</v>
      </c>
      <c r="AD303">
        <v>2</v>
      </c>
      <c r="AE303">
        <v>0</v>
      </c>
      <c r="AF303">
        <v>49.67</v>
      </c>
      <c r="AI303" t="s">
        <v>3809</v>
      </c>
      <c r="AJ303">
        <v>8400</v>
      </c>
      <c r="AK303" t="s">
        <v>3848</v>
      </c>
      <c r="AP303">
        <v>0</v>
      </c>
      <c r="AR303" t="s">
        <v>49</v>
      </c>
      <c r="AS303" t="s">
        <v>4210</v>
      </c>
      <c r="AT303" t="s">
        <v>4219</v>
      </c>
    </row>
    <row r="304" spans="1:46">
      <c r="A304" s="1">
        <f>HYPERLINK("https://lsnyc.legalserver.org/matter/dynamic-profile/view/1896748","19-1896748")</f>
        <v>0</v>
      </c>
      <c r="B304" t="s">
        <v>54</v>
      </c>
      <c r="C304" t="s">
        <v>196</v>
      </c>
      <c r="E304" t="s">
        <v>438</v>
      </c>
      <c r="F304" t="s">
        <v>947</v>
      </c>
      <c r="G304" t="s">
        <v>1447</v>
      </c>
      <c r="H304" t="s">
        <v>1746</v>
      </c>
      <c r="I304">
        <v>11213</v>
      </c>
      <c r="J304" t="s">
        <v>2002</v>
      </c>
      <c r="K304" t="s">
        <v>2002</v>
      </c>
      <c r="L304" t="s">
        <v>2005</v>
      </c>
      <c r="M304" t="s">
        <v>2147</v>
      </c>
      <c r="N304" t="s">
        <v>2414</v>
      </c>
      <c r="O304" t="s">
        <v>2437</v>
      </c>
      <c r="Q304" t="s">
        <v>2002</v>
      </c>
      <c r="S304" t="s">
        <v>103</v>
      </c>
      <c r="T304">
        <v>551</v>
      </c>
      <c r="U304" t="s">
        <v>2496</v>
      </c>
      <c r="W304" t="s">
        <v>2637</v>
      </c>
      <c r="Y304" t="s">
        <v>3406</v>
      </c>
      <c r="Z304">
        <v>6</v>
      </c>
      <c r="AA304" t="s">
        <v>3783</v>
      </c>
      <c r="AB304" t="s">
        <v>2006</v>
      </c>
      <c r="AC304">
        <v>15</v>
      </c>
      <c r="AD304">
        <v>2</v>
      </c>
      <c r="AE304">
        <v>0</v>
      </c>
      <c r="AF304">
        <v>49.67</v>
      </c>
      <c r="AI304" t="s">
        <v>3809</v>
      </c>
      <c r="AJ304">
        <v>8400</v>
      </c>
      <c r="AK304" t="s">
        <v>3848</v>
      </c>
      <c r="AP304">
        <v>12</v>
      </c>
      <c r="AQ304" t="s">
        <v>330</v>
      </c>
      <c r="AR304" t="s">
        <v>49</v>
      </c>
      <c r="AS304" t="s">
        <v>4210</v>
      </c>
      <c r="AT304" t="s">
        <v>4219</v>
      </c>
    </row>
    <row r="305" spans="1:46">
      <c r="A305" s="1">
        <f>HYPERLINK("https://lsnyc.legalserver.org/matter/dynamic-profile/view/1896793","19-1896793")</f>
        <v>0</v>
      </c>
      <c r="B305" t="s">
        <v>54</v>
      </c>
      <c r="C305" t="s">
        <v>196</v>
      </c>
      <c r="E305" t="s">
        <v>446</v>
      </c>
      <c r="F305" t="s">
        <v>957</v>
      </c>
      <c r="G305" t="s">
        <v>1447</v>
      </c>
      <c r="H305" t="s">
        <v>1749</v>
      </c>
      <c r="I305">
        <v>11213</v>
      </c>
      <c r="J305" t="s">
        <v>2002</v>
      </c>
      <c r="K305" t="s">
        <v>2002</v>
      </c>
      <c r="L305" t="s">
        <v>2005</v>
      </c>
      <c r="M305" t="s">
        <v>2148</v>
      </c>
      <c r="N305" t="s">
        <v>2424</v>
      </c>
      <c r="O305" t="s">
        <v>2441</v>
      </c>
      <c r="Q305" t="s">
        <v>2002</v>
      </c>
      <c r="S305" t="s">
        <v>103</v>
      </c>
      <c r="T305">
        <v>855.86</v>
      </c>
      <c r="U305" t="s">
        <v>2496</v>
      </c>
      <c r="W305" t="s">
        <v>2648</v>
      </c>
      <c r="Z305">
        <v>6</v>
      </c>
      <c r="AA305" t="s">
        <v>3783</v>
      </c>
      <c r="AB305" t="s">
        <v>2006</v>
      </c>
      <c r="AC305">
        <v>26</v>
      </c>
      <c r="AD305">
        <v>1</v>
      </c>
      <c r="AE305">
        <v>1</v>
      </c>
      <c r="AF305">
        <v>52.58</v>
      </c>
      <c r="AI305" t="s">
        <v>3809</v>
      </c>
      <c r="AJ305">
        <v>8892</v>
      </c>
      <c r="AK305" t="s">
        <v>3886</v>
      </c>
      <c r="AP305">
        <v>0</v>
      </c>
      <c r="AR305" t="s">
        <v>49</v>
      </c>
      <c r="AS305" t="s">
        <v>4210</v>
      </c>
      <c r="AT305" t="s">
        <v>4219</v>
      </c>
    </row>
    <row r="306" spans="1:46">
      <c r="A306" s="1">
        <f>HYPERLINK("https://lsnyc.legalserver.org/matter/dynamic-profile/view/1896797","19-1896797")</f>
        <v>0</v>
      </c>
      <c r="B306" t="s">
        <v>54</v>
      </c>
      <c r="C306" t="s">
        <v>196</v>
      </c>
      <c r="E306" t="s">
        <v>446</v>
      </c>
      <c r="F306" t="s">
        <v>957</v>
      </c>
      <c r="G306" t="s">
        <v>1447</v>
      </c>
      <c r="H306" t="s">
        <v>1749</v>
      </c>
      <c r="I306">
        <v>11213</v>
      </c>
      <c r="J306" t="s">
        <v>2002</v>
      </c>
      <c r="K306" t="s">
        <v>2002</v>
      </c>
      <c r="L306" t="s">
        <v>2005</v>
      </c>
      <c r="M306" t="s">
        <v>2147</v>
      </c>
      <c r="N306" t="s">
        <v>2414</v>
      </c>
      <c r="O306" t="s">
        <v>2437</v>
      </c>
      <c r="Q306" t="s">
        <v>2002</v>
      </c>
      <c r="S306" t="s">
        <v>103</v>
      </c>
      <c r="T306">
        <v>855.86</v>
      </c>
      <c r="U306" t="s">
        <v>2496</v>
      </c>
      <c r="W306" t="s">
        <v>2648</v>
      </c>
      <c r="Z306">
        <v>6</v>
      </c>
      <c r="AA306" t="s">
        <v>3783</v>
      </c>
      <c r="AB306" t="s">
        <v>2006</v>
      </c>
      <c r="AC306">
        <v>26</v>
      </c>
      <c r="AD306">
        <v>1</v>
      </c>
      <c r="AE306">
        <v>1</v>
      </c>
      <c r="AF306">
        <v>52.58</v>
      </c>
      <c r="AI306" t="s">
        <v>3809</v>
      </c>
      <c r="AJ306">
        <v>8892</v>
      </c>
      <c r="AK306" t="s">
        <v>3886</v>
      </c>
      <c r="AP306">
        <v>0</v>
      </c>
      <c r="AR306" t="s">
        <v>49</v>
      </c>
      <c r="AS306" t="s">
        <v>4210</v>
      </c>
      <c r="AT306" t="s">
        <v>4219</v>
      </c>
    </row>
    <row r="307" spans="1:46">
      <c r="A307" s="1">
        <f>HYPERLINK("https://lsnyc.legalserver.org/matter/dynamic-profile/view/1896760","19-1896760")</f>
        <v>0</v>
      </c>
      <c r="B307" t="s">
        <v>54</v>
      </c>
      <c r="C307" t="s">
        <v>196</v>
      </c>
      <c r="E307" t="s">
        <v>447</v>
      </c>
      <c r="F307" t="s">
        <v>958</v>
      </c>
      <c r="G307" t="s">
        <v>1447</v>
      </c>
      <c r="H307" t="s">
        <v>1748</v>
      </c>
      <c r="I307">
        <v>11213</v>
      </c>
      <c r="J307" t="s">
        <v>2002</v>
      </c>
      <c r="K307" t="s">
        <v>2003</v>
      </c>
      <c r="M307" t="s">
        <v>2148</v>
      </c>
      <c r="N307" t="s">
        <v>2424</v>
      </c>
      <c r="O307" t="s">
        <v>2441</v>
      </c>
      <c r="Q307" t="s">
        <v>2002</v>
      </c>
      <c r="S307" t="s">
        <v>103</v>
      </c>
      <c r="T307">
        <v>719</v>
      </c>
      <c r="U307" t="s">
        <v>2496</v>
      </c>
      <c r="W307" t="s">
        <v>2649</v>
      </c>
      <c r="Y307" t="s">
        <v>3416</v>
      </c>
      <c r="Z307">
        <v>6</v>
      </c>
      <c r="AA307" t="s">
        <v>3783</v>
      </c>
      <c r="AB307" t="s">
        <v>2006</v>
      </c>
      <c r="AC307">
        <v>22</v>
      </c>
      <c r="AD307">
        <v>5</v>
      </c>
      <c r="AE307">
        <v>1</v>
      </c>
      <c r="AF307">
        <v>109.86</v>
      </c>
      <c r="AI307" t="s">
        <v>3809</v>
      </c>
      <c r="AJ307">
        <v>38000</v>
      </c>
      <c r="AK307" t="s">
        <v>3887</v>
      </c>
      <c r="AP307">
        <v>0</v>
      </c>
      <c r="AR307" t="s">
        <v>49</v>
      </c>
      <c r="AS307" t="s">
        <v>4210</v>
      </c>
      <c r="AT307" t="s">
        <v>4219</v>
      </c>
    </row>
    <row r="308" spans="1:46">
      <c r="A308" s="1">
        <f>HYPERLINK("https://lsnyc.legalserver.org/matter/dynamic-profile/view/1896764","19-1896764")</f>
        <v>0</v>
      </c>
      <c r="B308" t="s">
        <v>54</v>
      </c>
      <c r="C308" t="s">
        <v>196</v>
      </c>
      <c r="E308" t="s">
        <v>447</v>
      </c>
      <c r="F308" t="s">
        <v>958</v>
      </c>
      <c r="G308" t="s">
        <v>1447</v>
      </c>
      <c r="H308" t="s">
        <v>1748</v>
      </c>
      <c r="I308">
        <v>11213</v>
      </c>
      <c r="J308" t="s">
        <v>2002</v>
      </c>
      <c r="K308" t="s">
        <v>2003</v>
      </c>
      <c r="M308" t="s">
        <v>2147</v>
      </c>
      <c r="N308" t="s">
        <v>2414</v>
      </c>
      <c r="O308" t="s">
        <v>2437</v>
      </c>
      <c r="Q308" t="s">
        <v>2002</v>
      </c>
      <c r="S308" t="s">
        <v>103</v>
      </c>
      <c r="T308">
        <v>719</v>
      </c>
      <c r="U308" t="s">
        <v>2496</v>
      </c>
      <c r="W308" t="s">
        <v>2649</v>
      </c>
      <c r="Y308" t="s">
        <v>3416</v>
      </c>
      <c r="Z308">
        <v>6</v>
      </c>
      <c r="AA308" t="s">
        <v>3783</v>
      </c>
      <c r="AB308" t="s">
        <v>2006</v>
      </c>
      <c r="AC308">
        <v>22</v>
      </c>
      <c r="AD308">
        <v>5</v>
      </c>
      <c r="AE308">
        <v>1</v>
      </c>
      <c r="AF308">
        <v>109.86</v>
      </c>
      <c r="AI308" t="s">
        <v>3809</v>
      </c>
      <c r="AJ308">
        <v>38000</v>
      </c>
      <c r="AK308" t="s">
        <v>3888</v>
      </c>
      <c r="AP308">
        <v>1</v>
      </c>
      <c r="AQ308" t="s">
        <v>260</v>
      </c>
      <c r="AR308" t="s">
        <v>49</v>
      </c>
      <c r="AS308" t="s">
        <v>4210</v>
      </c>
      <c r="AT308" t="s">
        <v>4219</v>
      </c>
    </row>
    <row r="309" spans="1:46">
      <c r="A309" s="1">
        <f>HYPERLINK("https://lsnyc.legalserver.org/matter/dynamic-profile/view/1896653","19-1896653")</f>
        <v>0</v>
      </c>
      <c r="B309" t="s">
        <v>54</v>
      </c>
      <c r="C309" t="s">
        <v>144</v>
      </c>
      <c r="E309" t="s">
        <v>448</v>
      </c>
      <c r="F309" t="s">
        <v>959</v>
      </c>
      <c r="G309" t="s">
        <v>1447</v>
      </c>
      <c r="H309" t="s">
        <v>1786</v>
      </c>
      <c r="I309">
        <v>11213</v>
      </c>
      <c r="J309" t="s">
        <v>2002</v>
      </c>
      <c r="K309" t="s">
        <v>2002</v>
      </c>
      <c r="L309" t="s">
        <v>2005</v>
      </c>
      <c r="M309" t="s">
        <v>2146</v>
      </c>
      <c r="N309" t="s">
        <v>2424</v>
      </c>
      <c r="O309" t="s">
        <v>2441</v>
      </c>
      <c r="Q309" t="s">
        <v>2002</v>
      </c>
      <c r="S309" t="s">
        <v>103</v>
      </c>
      <c r="T309">
        <v>540</v>
      </c>
      <c r="U309" t="s">
        <v>2496</v>
      </c>
      <c r="W309" t="s">
        <v>2650</v>
      </c>
      <c r="Y309" t="s">
        <v>3417</v>
      </c>
      <c r="Z309">
        <v>6</v>
      </c>
      <c r="AA309" t="s">
        <v>3783</v>
      </c>
      <c r="AB309" t="s">
        <v>2006</v>
      </c>
      <c r="AC309">
        <v>18</v>
      </c>
      <c r="AD309">
        <v>1</v>
      </c>
      <c r="AE309">
        <v>0</v>
      </c>
      <c r="AF309">
        <v>512.41</v>
      </c>
      <c r="AI309" t="s">
        <v>3809</v>
      </c>
      <c r="AJ309">
        <v>64000</v>
      </c>
      <c r="AK309" t="s">
        <v>3889</v>
      </c>
      <c r="AP309">
        <v>0</v>
      </c>
      <c r="AR309" t="s">
        <v>49</v>
      </c>
      <c r="AS309" t="s">
        <v>4210</v>
      </c>
      <c r="AT309" t="s">
        <v>4219</v>
      </c>
    </row>
    <row r="310" spans="1:46">
      <c r="A310" s="1">
        <f>HYPERLINK("https://lsnyc.legalserver.org/matter/dynamic-profile/view/1896656","19-1896656")</f>
        <v>0</v>
      </c>
      <c r="B310" t="s">
        <v>54</v>
      </c>
      <c r="C310" t="s">
        <v>144</v>
      </c>
      <c r="E310" t="s">
        <v>448</v>
      </c>
      <c r="F310" t="s">
        <v>959</v>
      </c>
      <c r="G310" t="s">
        <v>1447</v>
      </c>
      <c r="H310" t="s">
        <v>1786</v>
      </c>
      <c r="I310">
        <v>11213</v>
      </c>
      <c r="J310" t="s">
        <v>2002</v>
      </c>
      <c r="K310" t="s">
        <v>2002</v>
      </c>
      <c r="L310" t="s">
        <v>2005</v>
      </c>
      <c r="M310" t="s">
        <v>2147</v>
      </c>
      <c r="N310" t="s">
        <v>2414</v>
      </c>
      <c r="O310" t="s">
        <v>2437</v>
      </c>
      <c r="Q310" t="s">
        <v>2002</v>
      </c>
      <c r="S310" t="s">
        <v>103</v>
      </c>
      <c r="T310">
        <v>540</v>
      </c>
      <c r="U310" t="s">
        <v>2496</v>
      </c>
      <c r="W310" t="s">
        <v>2650</v>
      </c>
      <c r="Y310" t="s">
        <v>3417</v>
      </c>
      <c r="Z310">
        <v>6</v>
      </c>
      <c r="AA310" t="s">
        <v>3783</v>
      </c>
      <c r="AB310" t="s">
        <v>2006</v>
      </c>
      <c r="AC310">
        <v>18</v>
      </c>
      <c r="AD310">
        <v>1</v>
      </c>
      <c r="AE310">
        <v>0</v>
      </c>
      <c r="AF310">
        <v>512.41</v>
      </c>
      <c r="AI310" t="s">
        <v>3809</v>
      </c>
      <c r="AJ310">
        <v>64000</v>
      </c>
      <c r="AK310" t="s">
        <v>3890</v>
      </c>
      <c r="AP310">
        <v>0</v>
      </c>
      <c r="AR310" t="s">
        <v>49</v>
      </c>
      <c r="AS310" t="s">
        <v>4210</v>
      </c>
      <c r="AT310" t="s">
        <v>4219</v>
      </c>
    </row>
    <row r="311" spans="1:46">
      <c r="A311" s="1">
        <f>HYPERLINK("https://lsnyc.legalserver.org/matter/dynamic-profile/view/1896742","19-1896742")</f>
        <v>0</v>
      </c>
      <c r="B311" t="s">
        <v>54</v>
      </c>
      <c r="C311" t="s">
        <v>196</v>
      </c>
      <c r="E311" t="s">
        <v>438</v>
      </c>
      <c r="F311" t="s">
        <v>947</v>
      </c>
      <c r="G311" t="s">
        <v>1447</v>
      </c>
      <c r="H311" t="s">
        <v>1746</v>
      </c>
      <c r="I311">
        <v>11213</v>
      </c>
      <c r="J311" t="s">
        <v>2002</v>
      </c>
      <c r="K311" t="s">
        <v>2002</v>
      </c>
      <c r="L311" t="s">
        <v>2005</v>
      </c>
      <c r="M311" t="s">
        <v>2132</v>
      </c>
      <c r="N311" t="s">
        <v>2417</v>
      </c>
      <c r="O311" t="s">
        <v>2436</v>
      </c>
      <c r="Q311" t="s">
        <v>2002</v>
      </c>
      <c r="S311" t="s">
        <v>105</v>
      </c>
      <c r="T311">
        <v>551</v>
      </c>
      <c r="U311" t="s">
        <v>2496</v>
      </c>
      <c r="W311" t="s">
        <v>2637</v>
      </c>
      <c r="Y311" t="s">
        <v>3406</v>
      </c>
      <c r="Z311">
        <v>6</v>
      </c>
      <c r="AA311" t="s">
        <v>3783</v>
      </c>
      <c r="AB311" t="s">
        <v>2006</v>
      </c>
      <c r="AC311">
        <v>15</v>
      </c>
      <c r="AD311">
        <v>2</v>
      </c>
      <c r="AE311">
        <v>0</v>
      </c>
      <c r="AF311">
        <v>49.67</v>
      </c>
      <c r="AI311" t="s">
        <v>3809</v>
      </c>
      <c r="AJ311">
        <v>8400</v>
      </c>
      <c r="AK311" t="s">
        <v>3848</v>
      </c>
      <c r="AP311">
        <v>1.5</v>
      </c>
      <c r="AQ311" t="s">
        <v>4174</v>
      </c>
      <c r="AR311" t="s">
        <v>49</v>
      </c>
      <c r="AS311" t="s">
        <v>4210</v>
      </c>
      <c r="AT311" t="s">
        <v>4219</v>
      </c>
    </row>
    <row r="312" spans="1:46">
      <c r="A312" s="1">
        <f>HYPERLINK("https://lsnyc.legalserver.org/matter/dynamic-profile/view/1896791","19-1896791")</f>
        <v>0</v>
      </c>
      <c r="B312" t="s">
        <v>54</v>
      </c>
      <c r="C312" t="s">
        <v>196</v>
      </c>
      <c r="E312" t="s">
        <v>446</v>
      </c>
      <c r="F312" t="s">
        <v>957</v>
      </c>
      <c r="G312" t="s">
        <v>1447</v>
      </c>
      <c r="H312" t="s">
        <v>1749</v>
      </c>
      <c r="I312">
        <v>11213</v>
      </c>
      <c r="J312" t="s">
        <v>2002</v>
      </c>
      <c r="K312" t="s">
        <v>2002</v>
      </c>
      <c r="L312" t="s">
        <v>2005</v>
      </c>
      <c r="M312" t="s">
        <v>2027</v>
      </c>
      <c r="N312" t="s">
        <v>2417</v>
      </c>
      <c r="O312" t="s">
        <v>2436</v>
      </c>
      <c r="Q312" t="s">
        <v>2002</v>
      </c>
      <c r="S312" t="s">
        <v>105</v>
      </c>
      <c r="T312">
        <v>855.86</v>
      </c>
      <c r="U312" t="s">
        <v>2496</v>
      </c>
      <c r="W312" t="s">
        <v>2648</v>
      </c>
      <c r="Z312">
        <v>6</v>
      </c>
      <c r="AA312" t="s">
        <v>3783</v>
      </c>
      <c r="AB312" t="s">
        <v>2006</v>
      </c>
      <c r="AC312">
        <v>26</v>
      </c>
      <c r="AD312">
        <v>1</v>
      </c>
      <c r="AE312">
        <v>1</v>
      </c>
      <c r="AF312">
        <v>52.58</v>
      </c>
      <c r="AI312" t="s">
        <v>3809</v>
      </c>
      <c r="AJ312">
        <v>8892</v>
      </c>
      <c r="AK312" t="s">
        <v>3891</v>
      </c>
      <c r="AP312">
        <v>0</v>
      </c>
      <c r="AR312" t="s">
        <v>49</v>
      </c>
      <c r="AS312" t="s">
        <v>4210</v>
      </c>
      <c r="AT312" t="s">
        <v>4219</v>
      </c>
    </row>
    <row r="313" spans="1:46">
      <c r="A313" s="1">
        <f>HYPERLINK("https://lsnyc.legalserver.org/matter/dynamic-profile/view/1896757","19-1896757")</f>
        <v>0</v>
      </c>
      <c r="B313" t="s">
        <v>54</v>
      </c>
      <c r="C313" t="s">
        <v>196</v>
      </c>
      <c r="E313" t="s">
        <v>447</v>
      </c>
      <c r="F313" t="s">
        <v>958</v>
      </c>
      <c r="G313" t="s">
        <v>1447</v>
      </c>
      <c r="H313" t="s">
        <v>1748</v>
      </c>
      <c r="I313">
        <v>11213</v>
      </c>
      <c r="J313" t="s">
        <v>2002</v>
      </c>
      <c r="K313" t="s">
        <v>2003</v>
      </c>
      <c r="L313" t="s">
        <v>2006</v>
      </c>
      <c r="M313" t="s">
        <v>2027</v>
      </c>
      <c r="N313" t="s">
        <v>2417</v>
      </c>
      <c r="O313" t="s">
        <v>2436</v>
      </c>
      <c r="Q313" t="s">
        <v>2002</v>
      </c>
      <c r="S313" t="s">
        <v>105</v>
      </c>
      <c r="T313">
        <v>719</v>
      </c>
      <c r="U313" t="s">
        <v>2496</v>
      </c>
      <c r="W313" t="s">
        <v>2649</v>
      </c>
      <c r="Y313" t="s">
        <v>3416</v>
      </c>
      <c r="Z313">
        <v>6</v>
      </c>
      <c r="AA313" t="s">
        <v>3783</v>
      </c>
      <c r="AB313" t="s">
        <v>2006</v>
      </c>
      <c r="AC313">
        <v>22</v>
      </c>
      <c r="AD313">
        <v>5</v>
      </c>
      <c r="AE313">
        <v>1</v>
      </c>
      <c r="AF313">
        <v>109.86</v>
      </c>
      <c r="AI313" t="s">
        <v>3809</v>
      </c>
      <c r="AJ313">
        <v>38000</v>
      </c>
      <c r="AK313" t="s">
        <v>3887</v>
      </c>
      <c r="AP313">
        <v>0</v>
      </c>
      <c r="AR313" t="s">
        <v>49</v>
      </c>
      <c r="AS313" t="s">
        <v>4210</v>
      </c>
      <c r="AT313" t="s">
        <v>4219</v>
      </c>
    </row>
    <row r="314" spans="1:46">
      <c r="A314" s="1">
        <f>HYPERLINK("https://lsnyc.legalserver.org/matter/dynamic-profile/view/1896648","19-1896648")</f>
        <v>0</v>
      </c>
      <c r="B314" t="s">
        <v>54</v>
      </c>
      <c r="C314" t="s">
        <v>144</v>
      </c>
      <c r="E314" t="s">
        <v>448</v>
      </c>
      <c r="F314" t="s">
        <v>959</v>
      </c>
      <c r="G314" t="s">
        <v>1447</v>
      </c>
      <c r="H314" t="s">
        <v>1786</v>
      </c>
      <c r="I314">
        <v>11213</v>
      </c>
      <c r="J314" t="s">
        <v>2002</v>
      </c>
      <c r="K314" t="s">
        <v>2002</v>
      </c>
      <c r="L314" t="s">
        <v>2005</v>
      </c>
      <c r="M314" t="s">
        <v>2027</v>
      </c>
      <c r="N314" t="s">
        <v>2417</v>
      </c>
      <c r="O314" t="s">
        <v>2436</v>
      </c>
      <c r="Q314" t="s">
        <v>2002</v>
      </c>
      <c r="S314" t="s">
        <v>105</v>
      </c>
      <c r="T314">
        <v>540</v>
      </c>
      <c r="U314" t="s">
        <v>2496</v>
      </c>
      <c r="W314" t="s">
        <v>2650</v>
      </c>
      <c r="Y314" t="s">
        <v>3417</v>
      </c>
      <c r="Z314">
        <v>6</v>
      </c>
      <c r="AA314" t="s">
        <v>3783</v>
      </c>
      <c r="AB314" t="s">
        <v>2006</v>
      </c>
      <c r="AC314">
        <v>18</v>
      </c>
      <c r="AD314">
        <v>1</v>
      </c>
      <c r="AE314">
        <v>0</v>
      </c>
      <c r="AF314">
        <v>512.41</v>
      </c>
      <c r="AI314" t="s">
        <v>3809</v>
      </c>
      <c r="AJ314">
        <v>64000</v>
      </c>
      <c r="AK314" t="s">
        <v>3892</v>
      </c>
      <c r="AP314">
        <v>0</v>
      </c>
      <c r="AR314" t="s">
        <v>49</v>
      </c>
      <c r="AS314" t="s">
        <v>4210</v>
      </c>
      <c r="AT314" t="s">
        <v>4219</v>
      </c>
    </row>
    <row r="315" spans="1:46">
      <c r="A315" s="1">
        <f>HYPERLINK("https://lsnyc.legalserver.org/matter/dynamic-profile/view/1896749","19-1896749")</f>
        <v>0</v>
      </c>
      <c r="B315" t="s">
        <v>54</v>
      </c>
      <c r="C315" t="s">
        <v>196</v>
      </c>
      <c r="E315" t="s">
        <v>438</v>
      </c>
      <c r="F315" t="s">
        <v>947</v>
      </c>
      <c r="G315" t="s">
        <v>1447</v>
      </c>
      <c r="H315" t="s">
        <v>1746</v>
      </c>
      <c r="I315">
        <v>11213</v>
      </c>
      <c r="J315" t="s">
        <v>2002</v>
      </c>
      <c r="K315" t="s">
        <v>2002</v>
      </c>
      <c r="L315" t="s">
        <v>2005</v>
      </c>
      <c r="M315" t="s">
        <v>2006</v>
      </c>
      <c r="N315" t="s">
        <v>2424</v>
      </c>
      <c r="O315" t="s">
        <v>2441</v>
      </c>
      <c r="Q315" t="s">
        <v>2002</v>
      </c>
      <c r="S315" t="s">
        <v>330</v>
      </c>
      <c r="T315">
        <v>551</v>
      </c>
      <c r="U315" t="s">
        <v>2496</v>
      </c>
      <c r="W315" t="s">
        <v>2637</v>
      </c>
      <c r="Y315" t="s">
        <v>3406</v>
      </c>
      <c r="Z315">
        <v>6</v>
      </c>
      <c r="AA315" t="s">
        <v>3783</v>
      </c>
      <c r="AB315" t="s">
        <v>2006</v>
      </c>
      <c r="AC315">
        <v>15</v>
      </c>
      <c r="AD315">
        <v>2</v>
      </c>
      <c r="AE315">
        <v>0</v>
      </c>
      <c r="AF315">
        <v>49.67</v>
      </c>
      <c r="AI315" t="s">
        <v>3809</v>
      </c>
      <c r="AJ315">
        <v>8400</v>
      </c>
      <c r="AK315" t="s">
        <v>3893</v>
      </c>
      <c r="AP315">
        <v>0</v>
      </c>
      <c r="AR315" t="s">
        <v>49</v>
      </c>
      <c r="AS315" t="s">
        <v>4210</v>
      </c>
      <c r="AT315" t="s">
        <v>4219</v>
      </c>
    </row>
    <row r="316" spans="1:46">
      <c r="A316" s="1">
        <f>HYPERLINK("https://lsnyc.legalserver.org/matter/dynamic-profile/view/1896798","19-1896798")</f>
        <v>0</v>
      </c>
      <c r="B316" t="s">
        <v>54</v>
      </c>
      <c r="C316" t="s">
        <v>196</v>
      </c>
      <c r="E316" t="s">
        <v>446</v>
      </c>
      <c r="F316" t="s">
        <v>957</v>
      </c>
      <c r="G316" t="s">
        <v>1447</v>
      </c>
      <c r="H316" t="s">
        <v>1749</v>
      </c>
      <c r="I316">
        <v>11213</v>
      </c>
      <c r="J316" t="s">
        <v>2002</v>
      </c>
      <c r="K316" t="s">
        <v>2002</v>
      </c>
      <c r="L316" t="s">
        <v>2005</v>
      </c>
      <c r="M316" t="s">
        <v>2006</v>
      </c>
      <c r="N316" t="s">
        <v>2424</v>
      </c>
      <c r="O316" t="s">
        <v>2441</v>
      </c>
      <c r="Q316" t="s">
        <v>2002</v>
      </c>
      <c r="S316" t="s">
        <v>330</v>
      </c>
      <c r="T316">
        <v>855.86</v>
      </c>
      <c r="U316" t="s">
        <v>2496</v>
      </c>
      <c r="W316" t="s">
        <v>2648</v>
      </c>
      <c r="Z316">
        <v>6</v>
      </c>
      <c r="AA316" t="s">
        <v>3783</v>
      </c>
      <c r="AB316" t="s">
        <v>2006</v>
      </c>
      <c r="AC316">
        <v>26</v>
      </c>
      <c r="AD316">
        <v>1</v>
      </c>
      <c r="AE316">
        <v>1</v>
      </c>
      <c r="AF316">
        <v>52.58</v>
      </c>
      <c r="AI316" t="s">
        <v>3809</v>
      </c>
      <c r="AJ316">
        <v>8892</v>
      </c>
      <c r="AK316" t="s">
        <v>3891</v>
      </c>
      <c r="AP316">
        <v>0</v>
      </c>
      <c r="AR316" t="s">
        <v>49</v>
      </c>
      <c r="AS316" t="s">
        <v>4210</v>
      </c>
      <c r="AT316" t="s">
        <v>4219</v>
      </c>
    </row>
    <row r="317" spans="1:46">
      <c r="A317" s="1">
        <f>HYPERLINK("https://lsnyc.legalserver.org/matter/dynamic-profile/view/1896659","19-1896659")</f>
        <v>0</v>
      </c>
      <c r="B317" t="s">
        <v>54</v>
      </c>
      <c r="C317" t="s">
        <v>144</v>
      </c>
      <c r="E317" t="s">
        <v>448</v>
      </c>
      <c r="F317" t="s">
        <v>959</v>
      </c>
      <c r="G317" t="s">
        <v>1447</v>
      </c>
      <c r="H317" t="s">
        <v>1786</v>
      </c>
      <c r="I317">
        <v>11213</v>
      </c>
      <c r="J317" t="s">
        <v>2002</v>
      </c>
      <c r="K317" t="s">
        <v>2002</v>
      </c>
      <c r="L317" t="s">
        <v>2005</v>
      </c>
      <c r="M317" t="s">
        <v>2006</v>
      </c>
      <c r="N317" t="s">
        <v>2424</v>
      </c>
      <c r="O317" t="s">
        <v>2441</v>
      </c>
      <c r="Q317" t="s">
        <v>2002</v>
      </c>
      <c r="S317" t="s">
        <v>330</v>
      </c>
      <c r="T317">
        <v>540</v>
      </c>
      <c r="U317" t="s">
        <v>2496</v>
      </c>
      <c r="W317" t="s">
        <v>2650</v>
      </c>
      <c r="Y317" t="s">
        <v>3417</v>
      </c>
      <c r="Z317">
        <v>6</v>
      </c>
      <c r="AA317" t="s">
        <v>3783</v>
      </c>
      <c r="AB317" t="s">
        <v>2006</v>
      </c>
      <c r="AC317">
        <v>18</v>
      </c>
      <c r="AD317">
        <v>1</v>
      </c>
      <c r="AE317">
        <v>0</v>
      </c>
      <c r="AF317">
        <v>512.41</v>
      </c>
      <c r="AI317" t="s">
        <v>3809</v>
      </c>
      <c r="AJ317">
        <v>64000</v>
      </c>
      <c r="AK317" t="s">
        <v>3894</v>
      </c>
      <c r="AP317">
        <v>0</v>
      </c>
      <c r="AR317" t="s">
        <v>49</v>
      </c>
      <c r="AS317" t="s">
        <v>4210</v>
      </c>
      <c r="AT317" t="s">
        <v>4219</v>
      </c>
    </row>
    <row r="318" spans="1:46">
      <c r="A318" s="1">
        <f>HYPERLINK("https://lsnyc.legalserver.org/matter/dynamic-profile/view/1887762","19-1887762")</f>
        <v>0</v>
      </c>
      <c r="B318" t="s">
        <v>55</v>
      </c>
      <c r="C318" t="s">
        <v>82</v>
      </c>
      <c r="E318" t="s">
        <v>518</v>
      </c>
      <c r="F318" t="s">
        <v>1030</v>
      </c>
      <c r="G318" t="s">
        <v>1397</v>
      </c>
      <c r="H318" t="s">
        <v>1754</v>
      </c>
      <c r="I318">
        <v>11208</v>
      </c>
      <c r="J318" t="s">
        <v>2002</v>
      </c>
      <c r="K318" t="s">
        <v>2003</v>
      </c>
      <c r="L318" t="s">
        <v>2005</v>
      </c>
      <c r="M318" t="s">
        <v>2149</v>
      </c>
      <c r="N318" t="s">
        <v>2415</v>
      </c>
      <c r="O318" t="s">
        <v>2437</v>
      </c>
      <c r="Q318" t="s">
        <v>2003</v>
      </c>
      <c r="R318" t="s">
        <v>2451</v>
      </c>
      <c r="S318" t="s">
        <v>151</v>
      </c>
      <c r="T318">
        <v>984.01</v>
      </c>
      <c r="W318" t="s">
        <v>2731</v>
      </c>
      <c r="X318" t="s">
        <v>3210</v>
      </c>
      <c r="Y318" t="s">
        <v>3484</v>
      </c>
      <c r="Z318">
        <v>53</v>
      </c>
      <c r="AA318" t="s">
        <v>3783</v>
      </c>
      <c r="AB318" t="s">
        <v>3795</v>
      </c>
      <c r="AC318">
        <v>0</v>
      </c>
      <c r="AD318">
        <v>1</v>
      </c>
      <c r="AE318">
        <v>1</v>
      </c>
      <c r="AF318">
        <v>58.32</v>
      </c>
      <c r="AI318" t="s">
        <v>3809</v>
      </c>
      <c r="AJ318">
        <v>9600</v>
      </c>
      <c r="AP318">
        <v>5.8</v>
      </c>
      <c r="AQ318" t="s">
        <v>329</v>
      </c>
      <c r="AR318" t="s">
        <v>55</v>
      </c>
      <c r="AS318" t="s">
        <v>4210</v>
      </c>
      <c r="AT318" t="s">
        <v>4219</v>
      </c>
    </row>
    <row r="319" spans="1:46">
      <c r="A319" s="1">
        <f>HYPERLINK("https://lsnyc.legalserver.org/matter/dynamic-profile/view/1873418","18-1873418")</f>
        <v>0</v>
      </c>
      <c r="B319" t="s">
        <v>55</v>
      </c>
      <c r="C319" t="s">
        <v>197</v>
      </c>
      <c r="D319" t="s">
        <v>128</v>
      </c>
      <c r="E319" t="s">
        <v>361</v>
      </c>
      <c r="F319" t="s">
        <v>1031</v>
      </c>
      <c r="G319" t="s">
        <v>1485</v>
      </c>
      <c r="H319" t="s">
        <v>1819</v>
      </c>
      <c r="I319">
        <v>11206</v>
      </c>
      <c r="J319" t="s">
        <v>2002</v>
      </c>
      <c r="K319" t="s">
        <v>2002</v>
      </c>
      <c r="M319" t="s">
        <v>2150</v>
      </c>
      <c r="N319" t="s">
        <v>2415</v>
      </c>
      <c r="O319" t="s">
        <v>2437</v>
      </c>
      <c r="P319" t="s">
        <v>2446</v>
      </c>
      <c r="Q319" t="s">
        <v>2003</v>
      </c>
      <c r="S319" t="s">
        <v>197</v>
      </c>
      <c r="T319">
        <v>1157.82</v>
      </c>
      <c r="U319" t="s">
        <v>2497</v>
      </c>
      <c r="V319" t="s">
        <v>2516</v>
      </c>
      <c r="W319" t="s">
        <v>2732</v>
      </c>
      <c r="Y319" t="s">
        <v>3485</v>
      </c>
      <c r="Z319">
        <v>25</v>
      </c>
      <c r="AA319" t="s">
        <v>3790</v>
      </c>
      <c r="AB319" t="s">
        <v>2006</v>
      </c>
      <c r="AC319">
        <v>25</v>
      </c>
      <c r="AD319">
        <v>1</v>
      </c>
      <c r="AE319">
        <v>0</v>
      </c>
      <c r="AF319">
        <v>197.69</v>
      </c>
      <c r="AI319" t="s">
        <v>3809</v>
      </c>
      <c r="AJ319">
        <v>24000</v>
      </c>
      <c r="AK319" t="s">
        <v>3895</v>
      </c>
      <c r="AP319">
        <v>11.9</v>
      </c>
      <c r="AQ319" t="s">
        <v>267</v>
      </c>
      <c r="AR319" t="s">
        <v>4185</v>
      </c>
      <c r="AS319" t="s">
        <v>4210</v>
      </c>
      <c r="AT319" t="s">
        <v>4219</v>
      </c>
    </row>
    <row r="320" spans="1:46">
      <c r="A320" s="1">
        <f>HYPERLINK("https://lsnyc.legalserver.org/matter/dynamic-profile/view/1877511","18-1877511")</f>
        <v>0</v>
      </c>
      <c r="B320" t="s">
        <v>55</v>
      </c>
      <c r="C320" t="s">
        <v>195</v>
      </c>
      <c r="D320" t="s">
        <v>128</v>
      </c>
      <c r="E320" t="s">
        <v>519</v>
      </c>
      <c r="F320" t="s">
        <v>1032</v>
      </c>
      <c r="G320" t="s">
        <v>1483</v>
      </c>
      <c r="H320" t="s">
        <v>1773</v>
      </c>
      <c r="I320">
        <v>11212</v>
      </c>
      <c r="J320" t="s">
        <v>2002</v>
      </c>
      <c r="K320" t="s">
        <v>2004</v>
      </c>
      <c r="M320" t="s">
        <v>2151</v>
      </c>
      <c r="N320" t="s">
        <v>2415</v>
      </c>
      <c r="O320" t="s">
        <v>2436</v>
      </c>
      <c r="P320" t="s">
        <v>2443</v>
      </c>
      <c r="Q320" t="s">
        <v>2003</v>
      </c>
      <c r="S320" t="s">
        <v>199</v>
      </c>
      <c r="T320">
        <v>942.8099999999999</v>
      </c>
      <c r="U320" t="s">
        <v>2497</v>
      </c>
      <c r="V320" t="s">
        <v>2515</v>
      </c>
      <c r="W320" t="s">
        <v>2733</v>
      </c>
      <c r="Y320" t="s">
        <v>3486</v>
      </c>
      <c r="Z320">
        <v>31</v>
      </c>
      <c r="AA320" t="s">
        <v>3783</v>
      </c>
      <c r="AC320">
        <v>19</v>
      </c>
      <c r="AD320">
        <v>2</v>
      </c>
      <c r="AE320">
        <v>0</v>
      </c>
      <c r="AF320">
        <v>105.35</v>
      </c>
      <c r="AI320" t="s">
        <v>3809</v>
      </c>
      <c r="AJ320">
        <v>17340</v>
      </c>
      <c r="AP320">
        <v>1.5</v>
      </c>
      <c r="AQ320" t="s">
        <v>91</v>
      </c>
      <c r="AR320" t="s">
        <v>4185</v>
      </c>
      <c r="AS320" t="s">
        <v>4210</v>
      </c>
      <c r="AT320" t="s">
        <v>4219</v>
      </c>
    </row>
    <row r="321" spans="1:46">
      <c r="A321" s="1">
        <f>HYPERLINK("https://lsnyc.legalserver.org/matter/dynamic-profile/view/1869477","18-1869477")</f>
        <v>0</v>
      </c>
      <c r="B321" t="s">
        <v>56</v>
      </c>
      <c r="C321" t="s">
        <v>185</v>
      </c>
      <c r="D321" t="s">
        <v>316</v>
      </c>
      <c r="E321" t="s">
        <v>383</v>
      </c>
      <c r="F321" t="s">
        <v>770</v>
      </c>
      <c r="G321" t="s">
        <v>1390</v>
      </c>
      <c r="H321" t="s">
        <v>1735</v>
      </c>
      <c r="I321">
        <v>11207</v>
      </c>
      <c r="J321" t="s">
        <v>2002</v>
      </c>
      <c r="K321" t="s">
        <v>2003</v>
      </c>
      <c r="L321" t="s">
        <v>2007</v>
      </c>
      <c r="M321" t="s">
        <v>2045</v>
      </c>
      <c r="N321" t="s">
        <v>2415</v>
      </c>
      <c r="O321" t="s">
        <v>2439</v>
      </c>
      <c r="P321" t="s">
        <v>2444</v>
      </c>
      <c r="Q321" t="s">
        <v>2003</v>
      </c>
      <c r="S321" t="s">
        <v>2459</v>
      </c>
      <c r="T321">
        <v>1130</v>
      </c>
      <c r="U321" t="s">
        <v>2510</v>
      </c>
      <c r="V321" t="s">
        <v>2515</v>
      </c>
      <c r="W321" t="s">
        <v>2578</v>
      </c>
      <c r="X321" t="s">
        <v>3168</v>
      </c>
      <c r="Y321" t="s">
        <v>3350</v>
      </c>
      <c r="Z321">
        <v>542</v>
      </c>
      <c r="AA321" t="s">
        <v>3783</v>
      </c>
      <c r="AB321" t="s">
        <v>2006</v>
      </c>
      <c r="AC321">
        <v>34</v>
      </c>
      <c r="AD321">
        <v>2</v>
      </c>
      <c r="AE321">
        <v>0</v>
      </c>
      <c r="AF321">
        <v>0</v>
      </c>
      <c r="AI321" t="s">
        <v>3809</v>
      </c>
      <c r="AJ321">
        <v>0</v>
      </c>
      <c r="AK321" t="s">
        <v>3896</v>
      </c>
      <c r="AP321">
        <v>1.5</v>
      </c>
      <c r="AQ321" t="s">
        <v>4175</v>
      </c>
      <c r="AR321" t="s">
        <v>4185</v>
      </c>
      <c r="AS321" t="s">
        <v>4210</v>
      </c>
      <c r="AT321" t="s">
        <v>4219</v>
      </c>
    </row>
    <row r="322" spans="1:46">
      <c r="A322" s="1">
        <f>HYPERLINK("https://lsnyc.legalserver.org/matter/dynamic-profile/view/1873682","18-1873682")</f>
        <v>0</v>
      </c>
      <c r="B322" t="s">
        <v>56</v>
      </c>
      <c r="C322" t="s">
        <v>85</v>
      </c>
      <c r="D322" t="s">
        <v>253</v>
      </c>
      <c r="E322" t="s">
        <v>498</v>
      </c>
      <c r="F322" t="s">
        <v>1033</v>
      </c>
      <c r="G322" t="s">
        <v>1488</v>
      </c>
      <c r="H322" t="s">
        <v>1822</v>
      </c>
      <c r="I322">
        <v>11233</v>
      </c>
      <c r="J322" t="s">
        <v>2002</v>
      </c>
      <c r="K322" t="s">
        <v>2002</v>
      </c>
      <c r="M322" t="s">
        <v>2152</v>
      </c>
      <c r="N322" t="s">
        <v>2415</v>
      </c>
      <c r="O322" t="s">
        <v>2437</v>
      </c>
      <c r="P322" t="s">
        <v>2445</v>
      </c>
      <c r="Q322" t="s">
        <v>2003</v>
      </c>
      <c r="S322" t="s">
        <v>220</v>
      </c>
      <c r="T322">
        <v>1758</v>
      </c>
      <c r="U322" t="s">
        <v>2510</v>
      </c>
      <c r="V322" t="s">
        <v>2516</v>
      </c>
      <c r="W322" t="s">
        <v>2734</v>
      </c>
      <c r="X322" t="s">
        <v>3211</v>
      </c>
      <c r="Z322">
        <v>6</v>
      </c>
      <c r="AA322" t="s">
        <v>3783</v>
      </c>
      <c r="AB322" t="s">
        <v>3798</v>
      </c>
      <c r="AC322">
        <v>8</v>
      </c>
      <c r="AD322">
        <v>1</v>
      </c>
      <c r="AE322">
        <v>0</v>
      </c>
      <c r="AF322">
        <v>157.76</v>
      </c>
      <c r="AI322" t="s">
        <v>3809</v>
      </c>
      <c r="AJ322">
        <v>19152</v>
      </c>
      <c r="AP322">
        <v>36.4</v>
      </c>
      <c r="AQ322" t="s">
        <v>100</v>
      </c>
      <c r="AR322" t="s">
        <v>4196</v>
      </c>
      <c r="AS322" t="s">
        <v>4210</v>
      </c>
      <c r="AT322" t="s">
        <v>4219</v>
      </c>
    </row>
    <row r="323" spans="1:46">
      <c r="A323" s="1">
        <f>HYPERLINK("https://lsnyc.legalserver.org/matter/dynamic-profile/view/1874036","18-1874036")</f>
        <v>0</v>
      </c>
      <c r="B323" t="s">
        <v>56</v>
      </c>
      <c r="C323" t="s">
        <v>198</v>
      </c>
      <c r="D323" t="s">
        <v>128</v>
      </c>
      <c r="E323" t="s">
        <v>520</v>
      </c>
      <c r="F323" t="s">
        <v>1034</v>
      </c>
      <c r="G323" t="s">
        <v>1489</v>
      </c>
      <c r="H323" t="s">
        <v>1751</v>
      </c>
      <c r="I323">
        <v>11212</v>
      </c>
      <c r="J323" t="s">
        <v>2002</v>
      </c>
      <c r="K323" t="s">
        <v>2002</v>
      </c>
      <c r="M323" t="s">
        <v>2153</v>
      </c>
      <c r="N323" t="s">
        <v>2415</v>
      </c>
      <c r="O323" t="s">
        <v>2437</v>
      </c>
      <c r="P323" t="s">
        <v>2444</v>
      </c>
      <c r="Q323" t="s">
        <v>2003</v>
      </c>
      <c r="R323" t="s">
        <v>2451</v>
      </c>
      <c r="S323" t="s">
        <v>202</v>
      </c>
      <c r="T323">
        <v>950</v>
      </c>
      <c r="U323" t="s">
        <v>2497</v>
      </c>
      <c r="V323" t="s">
        <v>2515</v>
      </c>
      <c r="W323" t="s">
        <v>2735</v>
      </c>
      <c r="X323" t="s">
        <v>3212</v>
      </c>
      <c r="Y323" t="s">
        <v>3487</v>
      </c>
      <c r="Z323">
        <v>23</v>
      </c>
      <c r="AA323" t="s">
        <v>3783</v>
      </c>
      <c r="AB323" t="s">
        <v>3798</v>
      </c>
      <c r="AC323">
        <v>8</v>
      </c>
      <c r="AD323">
        <v>2</v>
      </c>
      <c r="AE323">
        <v>0</v>
      </c>
      <c r="AF323">
        <v>138.15</v>
      </c>
      <c r="AI323" t="s">
        <v>3809</v>
      </c>
      <c r="AJ323">
        <v>22740</v>
      </c>
      <c r="AP323">
        <v>6.85</v>
      </c>
      <c r="AQ323" t="s">
        <v>120</v>
      </c>
      <c r="AR323" t="s">
        <v>4185</v>
      </c>
      <c r="AS323" t="s">
        <v>4210</v>
      </c>
      <c r="AT323" t="s">
        <v>4219</v>
      </c>
    </row>
    <row r="324" spans="1:46">
      <c r="A324" s="1">
        <f>HYPERLINK("https://lsnyc.legalserver.org/matter/dynamic-profile/view/1877402","18-1877402")</f>
        <v>0</v>
      </c>
      <c r="B324" t="s">
        <v>56</v>
      </c>
      <c r="C324" t="s">
        <v>199</v>
      </c>
      <c r="D324" t="s">
        <v>125</v>
      </c>
      <c r="E324" t="s">
        <v>521</v>
      </c>
      <c r="F324" t="s">
        <v>1035</v>
      </c>
      <c r="G324" t="s">
        <v>1490</v>
      </c>
      <c r="H324" t="s">
        <v>1823</v>
      </c>
      <c r="I324">
        <v>11212</v>
      </c>
      <c r="J324" t="s">
        <v>2002</v>
      </c>
      <c r="K324" t="s">
        <v>2002</v>
      </c>
      <c r="L324" t="s">
        <v>2005</v>
      </c>
      <c r="N324" t="s">
        <v>2427</v>
      </c>
      <c r="O324" t="s">
        <v>2439</v>
      </c>
      <c r="P324" t="s">
        <v>2444</v>
      </c>
      <c r="Q324" t="s">
        <v>2003</v>
      </c>
      <c r="S324" t="s">
        <v>199</v>
      </c>
      <c r="T324">
        <v>0</v>
      </c>
      <c r="V324" t="s">
        <v>2515</v>
      </c>
      <c r="W324" t="s">
        <v>2736</v>
      </c>
      <c r="Z324">
        <v>0</v>
      </c>
      <c r="AA324" t="s">
        <v>3787</v>
      </c>
      <c r="AC324">
        <v>0</v>
      </c>
      <c r="AD324">
        <v>2</v>
      </c>
      <c r="AE324">
        <v>1</v>
      </c>
      <c r="AF324">
        <v>44.64</v>
      </c>
      <c r="AI324" t="s">
        <v>3810</v>
      </c>
      <c r="AJ324">
        <v>9276</v>
      </c>
      <c r="AP324">
        <v>1</v>
      </c>
      <c r="AQ324" t="s">
        <v>199</v>
      </c>
      <c r="AR324" t="s">
        <v>56</v>
      </c>
      <c r="AS324" t="s">
        <v>4215</v>
      </c>
      <c r="AT324" t="s">
        <v>4219</v>
      </c>
    </row>
    <row r="325" spans="1:46">
      <c r="A325" s="1">
        <f>HYPERLINK("https://lsnyc.legalserver.org/matter/dynamic-profile/view/1877371","18-1877371")</f>
        <v>0</v>
      </c>
      <c r="B325" t="s">
        <v>56</v>
      </c>
      <c r="C325" t="s">
        <v>199</v>
      </c>
      <c r="D325" t="s">
        <v>128</v>
      </c>
      <c r="E325" t="s">
        <v>522</v>
      </c>
      <c r="F325" t="s">
        <v>1036</v>
      </c>
      <c r="G325" t="s">
        <v>1444</v>
      </c>
      <c r="H325" t="s">
        <v>1824</v>
      </c>
      <c r="I325">
        <v>11208</v>
      </c>
      <c r="J325" t="s">
        <v>2002</v>
      </c>
      <c r="K325" t="s">
        <v>2002</v>
      </c>
      <c r="M325" t="s">
        <v>2154</v>
      </c>
      <c r="N325" t="s">
        <v>2415</v>
      </c>
      <c r="O325" t="s">
        <v>2439</v>
      </c>
      <c r="P325" t="s">
        <v>2444</v>
      </c>
      <c r="Q325" t="s">
        <v>2003</v>
      </c>
      <c r="R325" t="s">
        <v>2451</v>
      </c>
      <c r="S325" t="s">
        <v>199</v>
      </c>
      <c r="T325">
        <v>1418</v>
      </c>
      <c r="U325" t="s">
        <v>2497</v>
      </c>
      <c r="V325" t="s">
        <v>2515</v>
      </c>
      <c r="W325" t="s">
        <v>2737</v>
      </c>
      <c r="Y325" t="s">
        <v>3488</v>
      </c>
      <c r="Z325">
        <v>294</v>
      </c>
      <c r="AA325" t="s">
        <v>3787</v>
      </c>
      <c r="AB325" t="s">
        <v>3793</v>
      </c>
      <c r="AC325">
        <v>8</v>
      </c>
      <c r="AD325">
        <v>2</v>
      </c>
      <c r="AE325">
        <v>0</v>
      </c>
      <c r="AF325">
        <v>116.65</v>
      </c>
      <c r="AI325" t="s">
        <v>3809</v>
      </c>
      <c r="AJ325">
        <v>19200</v>
      </c>
      <c r="AK325" t="s">
        <v>3830</v>
      </c>
      <c r="AP325">
        <v>3.7</v>
      </c>
      <c r="AQ325" t="s">
        <v>124</v>
      </c>
      <c r="AR325" t="s">
        <v>4192</v>
      </c>
      <c r="AS325" t="s">
        <v>4210</v>
      </c>
      <c r="AT325" t="s">
        <v>4219</v>
      </c>
    </row>
    <row r="326" spans="1:46">
      <c r="A326" s="1">
        <f>HYPERLINK("https://lsnyc.legalserver.org/matter/dynamic-profile/view/1878126","18-1878126")</f>
        <v>0</v>
      </c>
      <c r="B326" t="s">
        <v>56</v>
      </c>
      <c r="C326" t="s">
        <v>91</v>
      </c>
      <c r="D326" t="s">
        <v>99</v>
      </c>
      <c r="E326" t="s">
        <v>420</v>
      </c>
      <c r="F326" t="s">
        <v>956</v>
      </c>
      <c r="G326" t="s">
        <v>1424</v>
      </c>
      <c r="H326" t="s">
        <v>1765</v>
      </c>
      <c r="I326">
        <v>11207</v>
      </c>
      <c r="J326" t="s">
        <v>2002</v>
      </c>
      <c r="K326" t="s">
        <v>2002</v>
      </c>
      <c r="M326" t="s">
        <v>2155</v>
      </c>
      <c r="N326" t="s">
        <v>2415</v>
      </c>
      <c r="O326" t="s">
        <v>2437</v>
      </c>
      <c r="P326" t="s">
        <v>2446</v>
      </c>
      <c r="S326" t="s">
        <v>91</v>
      </c>
      <c r="T326">
        <v>1250</v>
      </c>
      <c r="U326" t="s">
        <v>2497</v>
      </c>
      <c r="V326" t="s">
        <v>2516</v>
      </c>
      <c r="W326" t="s">
        <v>2647</v>
      </c>
      <c r="X326" t="s">
        <v>3160</v>
      </c>
      <c r="Y326" t="s">
        <v>3415</v>
      </c>
      <c r="Z326">
        <v>6</v>
      </c>
      <c r="AA326" t="s">
        <v>3783</v>
      </c>
      <c r="AB326" t="s">
        <v>3793</v>
      </c>
      <c r="AC326">
        <v>4</v>
      </c>
      <c r="AD326">
        <v>1</v>
      </c>
      <c r="AE326">
        <v>0</v>
      </c>
      <c r="AF326">
        <v>75.12</v>
      </c>
      <c r="AI326" t="s">
        <v>3809</v>
      </c>
      <c r="AJ326">
        <v>9120</v>
      </c>
      <c r="AK326" t="s">
        <v>3830</v>
      </c>
      <c r="AP326">
        <v>12.25</v>
      </c>
      <c r="AQ326" t="s">
        <v>223</v>
      </c>
      <c r="AR326" t="s">
        <v>4185</v>
      </c>
      <c r="AS326" t="s">
        <v>4210</v>
      </c>
      <c r="AT326" t="s">
        <v>4219</v>
      </c>
    </row>
    <row r="327" spans="1:46">
      <c r="A327" s="1">
        <f>HYPERLINK("https://lsnyc.legalserver.org/matter/dynamic-profile/view/1878440","18-1878440")</f>
        <v>0</v>
      </c>
      <c r="B327" t="s">
        <v>56</v>
      </c>
      <c r="C327" t="s">
        <v>200</v>
      </c>
      <c r="D327" t="s">
        <v>125</v>
      </c>
      <c r="E327" t="s">
        <v>523</v>
      </c>
      <c r="F327" t="s">
        <v>1037</v>
      </c>
      <c r="G327" t="s">
        <v>1491</v>
      </c>
      <c r="H327" t="s">
        <v>1752</v>
      </c>
      <c r="I327">
        <v>11208</v>
      </c>
      <c r="J327" t="s">
        <v>2002</v>
      </c>
      <c r="K327" t="s">
        <v>2002</v>
      </c>
      <c r="M327" t="s">
        <v>2156</v>
      </c>
      <c r="N327" t="s">
        <v>2413</v>
      </c>
      <c r="O327" t="s">
        <v>2437</v>
      </c>
      <c r="P327" t="s">
        <v>2446</v>
      </c>
      <c r="Q327" t="s">
        <v>2003</v>
      </c>
      <c r="S327" t="s">
        <v>200</v>
      </c>
      <c r="T327">
        <v>1557</v>
      </c>
      <c r="U327" t="s">
        <v>2499</v>
      </c>
      <c r="V327" t="s">
        <v>2516</v>
      </c>
      <c r="W327" t="s">
        <v>2738</v>
      </c>
      <c r="X327" t="s">
        <v>3213</v>
      </c>
      <c r="Y327" t="s">
        <v>3489</v>
      </c>
      <c r="Z327">
        <v>6</v>
      </c>
      <c r="AA327" t="s">
        <v>2156</v>
      </c>
      <c r="AB327" t="s">
        <v>3794</v>
      </c>
      <c r="AC327">
        <v>4</v>
      </c>
      <c r="AD327">
        <v>1</v>
      </c>
      <c r="AE327">
        <v>3</v>
      </c>
      <c r="AF327">
        <v>23.9</v>
      </c>
      <c r="AI327" t="s">
        <v>3809</v>
      </c>
      <c r="AJ327">
        <v>6000</v>
      </c>
      <c r="AK327" t="s">
        <v>3830</v>
      </c>
      <c r="AP327">
        <v>5.5</v>
      </c>
      <c r="AQ327" t="s">
        <v>115</v>
      </c>
      <c r="AR327" t="s">
        <v>4185</v>
      </c>
      <c r="AS327" t="s">
        <v>4210</v>
      </c>
      <c r="AT327" t="s">
        <v>4219</v>
      </c>
    </row>
    <row r="328" spans="1:46">
      <c r="A328" s="1">
        <f>HYPERLINK("https://lsnyc.legalserver.org/matter/dynamic-profile/view/1883452","18-1883452")</f>
        <v>0</v>
      </c>
      <c r="B328" t="s">
        <v>56</v>
      </c>
      <c r="C328" t="s">
        <v>120</v>
      </c>
      <c r="D328" t="s">
        <v>317</v>
      </c>
      <c r="E328" t="s">
        <v>524</v>
      </c>
      <c r="F328" t="s">
        <v>1038</v>
      </c>
      <c r="G328" t="s">
        <v>1492</v>
      </c>
      <c r="H328" t="s">
        <v>1748</v>
      </c>
      <c r="I328">
        <v>11212</v>
      </c>
      <c r="J328" t="s">
        <v>2002</v>
      </c>
      <c r="K328" t="s">
        <v>2002</v>
      </c>
      <c r="M328" t="s">
        <v>2157</v>
      </c>
      <c r="N328" t="s">
        <v>2413</v>
      </c>
      <c r="O328" t="s">
        <v>2436</v>
      </c>
      <c r="P328" t="s">
        <v>2444</v>
      </c>
      <c r="Q328" t="s">
        <v>2003</v>
      </c>
      <c r="R328" t="s">
        <v>2451</v>
      </c>
      <c r="S328" t="s">
        <v>120</v>
      </c>
      <c r="T328">
        <v>1350</v>
      </c>
      <c r="U328" t="s">
        <v>2500</v>
      </c>
      <c r="V328" t="s">
        <v>2515</v>
      </c>
      <c r="W328" t="s">
        <v>2739</v>
      </c>
      <c r="Y328" t="s">
        <v>3490</v>
      </c>
      <c r="Z328">
        <v>4</v>
      </c>
      <c r="AC328">
        <v>7</v>
      </c>
      <c r="AD328">
        <v>1</v>
      </c>
      <c r="AE328">
        <v>0</v>
      </c>
      <c r="AF328">
        <v>0</v>
      </c>
      <c r="AH328" t="s">
        <v>3806</v>
      </c>
      <c r="AI328" t="s">
        <v>3809</v>
      </c>
      <c r="AJ328">
        <v>0</v>
      </c>
      <c r="AP328">
        <v>1</v>
      </c>
      <c r="AQ328" t="s">
        <v>2465</v>
      </c>
      <c r="AR328" t="s">
        <v>4184</v>
      </c>
      <c r="AS328" t="s">
        <v>4210</v>
      </c>
      <c r="AT328" t="s">
        <v>4219</v>
      </c>
    </row>
    <row r="329" spans="1:46">
      <c r="A329" s="1">
        <f>HYPERLINK("https://lsnyc.legalserver.org/matter/dynamic-profile/view/1887074","19-1887074")</f>
        <v>0</v>
      </c>
      <c r="B329" t="s">
        <v>56</v>
      </c>
      <c r="C329" t="s">
        <v>130</v>
      </c>
      <c r="D329" t="s">
        <v>128</v>
      </c>
      <c r="E329" t="s">
        <v>428</v>
      </c>
      <c r="F329" t="s">
        <v>937</v>
      </c>
      <c r="G329" t="s">
        <v>1436</v>
      </c>
      <c r="H329">
        <v>2</v>
      </c>
      <c r="I329">
        <v>11212</v>
      </c>
      <c r="J329" t="s">
        <v>2002</v>
      </c>
      <c r="K329" t="s">
        <v>2002</v>
      </c>
      <c r="M329" t="s">
        <v>2158</v>
      </c>
      <c r="N329" t="s">
        <v>2414</v>
      </c>
      <c r="O329" t="s">
        <v>2437</v>
      </c>
      <c r="P329" t="s">
        <v>2447</v>
      </c>
      <c r="Q329" t="s">
        <v>2003</v>
      </c>
      <c r="S329" t="s">
        <v>2471</v>
      </c>
      <c r="T329">
        <v>800</v>
      </c>
      <c r="U329" t="s">
        <v>2497</v>
      </c>
      <c r="V329" t="s">
        <v>2523</v>
      </c>
      <c r="W329" t="s">
        <v>2625</v>
      </c>
      <c r="X329" t="s">
        <v>3190</v>
      </c>
      <c r="Y329" t="s">
        <v>3395</v>
      </c>
      <c r="Z329">
        <v>4</v>
      </c>
      <c r="AA329" t="s">
        <v>3784</v>
      </c>
      <c r="AC329">
        <v>9</v>
      </c>
      <c r="AD329">
        <v>2</v>
      </c>
      <c r="AE329">
        <v>0</v>
      </c>
      <c r="AF329">
        <v>94.05</v>
      </c>
      <c r="AI329" t="s">
        <v>3809</v>
      </c>
      <c r="AJ329">
        <v>15480</v>
      </c>
      <c r="AK329" t="s">
        <v>3897</v>
      </c>
      <c r="AP329">
        <v>0.75</v>
      </c>
      <c r="AQ329" t="s">
        <v>75</v>
      </c>
      <c r="AR329" t="s">
        <v>4185</v>
      </c>
      <c r="AS329" t="s">
        <v>4210</v>
      </c>
      <c r="AT329" t="s">
        <v>4219</v>
      </c>
    </row>
    <row r="330" spans="1:46">
      <c r="A330" s="1">
        <f>HYPERLINK("https://lsnyc.legalserver.org/matter/dynamic-profile/view/1874438","18-1874438")</f>
        <v>0</v>
      </c>
      <c r="B330" t="s">
        <v>56</v>
      </c>
      <c r="C330" t="s">
        <v>201</v>
      </c>
      <c r="D330" t="s">
        <v>125</v>
      </c>
      <c r="E330" t="s">
        <v>525</v>
      </c>
      <c r="F330" t="s">
        <v>1039</v>
      </c>
      <c r="G330" t="s">
        <v>1482</v>
      </c>
      <c r="H330" t="s">
        <v>1825</v>
      </c>
      <c r="I330">
        <v>11233</v>
      </c>
      <c r="J330" t="s">
        <v>2002</v>
      </c>
      <c r="K330" t="s">
        <v>2002</v>
      </c>
      <c r="M330" t="s">
        <v>2159</v>
      </c>
      <c r="N330" t="s">
        <v>2413</v>
      </c>
      <c r="O330" t="s">
        <v>2439</v>
      </c>
      <c r="P330" t="s">
        <v>2444</v>
      </c>
      <c r="Q330" t="s">
        <v>2003</v>
      </c>
      <c r="R330" t="s">
        <v>2451</v>
      </c>
      <c r="S330" t="s">
        <v>125</v>
      </c>
      <c r="T330">
        <v>1444.52</v>
      </c>
      <c r="U330" t="s">
        <v>2497</v>
      </c>
      <c r="V330" t="s">
        <v>2515</v>
      </c>
      <c r="W330" t="s">
        <v>2740</v>
      </c>
      <c r="X330" t="s">
        <v>3214</v>
      </c>
      <c r="Y330" t="s">
        <v>3491</v>
      </c>
      <c r="Z330">
        <v>764</v>
      </c>
      <c r="AA330" t="s">
        <v>3783</v>
      </c>
      <c r="AB330" t="s">
        <v>2006</v>
      </c>
      <c r="AC330">
        <v>7</v>
      </c>
      <c r="AD330">
        <v>1</v>
      </c>
      <c r="AE330">
        <v>3</v>
      </c>
      <c r="AF330">
        <v>155.38</v>
      </c>
      <c r="AI330" t="s">
        <v>3809</v>
      </c>
      <c r="AJ330">
        <v>39000</v>
      </c>
      <c r="AP330">
        <v>4.6</v>
      </c>
      <c r="AQ330" t="s">
        <v>81</v>
      </c>
      <c r="AR330" t="s">
        <v>4185</v>
      </c>
      <c r="AS330" t="s">
        <v>4210</v>
      </c>
      <c r="AT330" t="s">
        <v>4219</v>
      </c>
    </row>
    <row r="331" spans="1:46">
      <c r="A331" s="1">
        <f>HYPERLINK("https://lsnyc.legalserver.org/matter/dynamic-profile/view/1875859","18-1875859")</f>
        <v>0</v>
      </c>
      <c r="B331" t="s">
        <v>56</v>
      </c>
      <c r="C331" t="s">
        <v>202</v>
      </c>
      <c r="D331" t="s">
        <v>99</v>
      </c>
      <c r="E331" t="s">
        <v>526</v>
      </c>
      <c r="F331" t="s">
        <v>938</v>
      </c>
      <c r="G331" t="s">
        <v>1493</v>
      </c>
      <c r="I331">
        <v>11233</v>
      </c>
      <c r="J331" t="s">
        <v>2002</v>
      </c>
      <c r="K331" t="s">
        <v>2002</v>
      </c>
      <c r="M331" t="s">
        <v>2160</v>
      </c>
      <c r="N331" t="s">
        <v>2413</v>
      </c>
      <c r="O331" t="s">
        <v>2439</v>
      </c>
      <c r="P331" t="s">
        <v>2444</v>
      </c>
      <c r="S331" t="s">
        <v>99</v>
      </c>
      <c r="T331">
        <v>0</v>
      </c>
      <c r="V331" t="s">
        <v>2515</v>
      </c>
      <c r="W331" t="s">
        <v>2741</v>
      </c>
      <c r="Y331" t="s">
        <v>3492</v>
      </c>
      <c r="Z331">
        <v>0</v>
      </c>
      <c r="AA331" t="s">
        <v>3784</v>
      </c>
      <c r="AC331">
        <v>40</v>
      </c>
      <c r="AD331">
        <v>1</v>
      </c>
      <c r="AE331">
        <v>0</v>
      </c>
      <c r="AF331">
        <v>0</v>
      </c>
      <c r="AI331" t="s">
        <v>3809</v>
      </c>
      <c r="AJ331">
        <v>0</v>
      </c>
      <c r="AP331">
        <v>1.25</v>
      </c>
      <c r="AQ331" t="s">
        <v>202</v>
      </c>
      <c r="AR331" t="s">
        <v>56</v>
      </c>
      <c r="AS331" t="s">
        <v>4210</v>
      </c>
      <c r="AT331" t="s">
        <v>4219</v>
      </c>
    </row>
    <row r="332" spans="1:46">
      <c r="A332" s="1">
        <f>HYPERLINK("https://lsnyc.legalserver.org/matter/dynamic-profile/view/1872762","18-1872762")</f>
        <v>0</v>
      </c>
      <c r="B332" t="s">
        <v>56</v>
      </c>
      <c r="C332" t="s">
        <v>203</v>
      </c>
      <c r="D332" t="s">
        <v>99</v>
      </c>
      <c r="E332" t="s">
        <v>527</v>
      </c>
      <c r="F332" t="s">
        <v>888</v>
      </c>
      <c r="G332" t="s">
        <v>1494</v>
      </c>
      <c r="H332" t="s">
        <v>1737</v>
      </c>
      <c r="I332">
        <v>11233</v>
      </c>
      <c r="J332" t="s">
        <v>2002</v>
      </c>
      <c r="K332" t="s">
        <v>2002</v>
      </c>
      <c r="M332" t="s">
        <v>2161</v>
      </c>
      <c r="N332" t="s">
        <v>2413</v>
      </c>
      <c r="O332" t="s">
        <v>2439</v>
      </c>
      <c r="P332" t="s">
        <v>2444</v>
      </c>
      <c r="S332" t="s">
        <v>99</v>
      </c>
      <c r="T332">
        <v>173</v>
      </c>
      <c r="U332" t="s">
        <v>2511</v>
      </c>
      <c r="V332" t="s">
        <v>2515</v>
      </c>
      <c r="W332" t="s">
        <v>2742</v>
      </c>
      <c r="X332" t="s">
        <v>3215</v>
      </c>
      <c r="Y332" t="s">
        <v>3493</v>
      </c>
      <c r="Z332">
        <v>6</v>
      </c>
      <c r="AA332" t="s">
        <v>3786</v>
      </c>
      <c r="AB332" t="s">
        <v>3793</v>
      </c>
      <c r="AC332">
        <v>24</v>
      </c>
      <c r="AD332">
        <v>1</v>
      </c>
      <c r="AE332">
        <v>0</v>
      </c>
      <c r="AF332">
        <v>74.14</v>
      </c>
      <c r="AI332" t="s">
        <v>3809</v>
      </c>
      <c r="AJ332">
        <v>9000</v>
      </c>
      <c r="AK332" t="s">
        <v>3898</v>
      </c>
      <c r="AP332">
        <v>5.45</v>
      </c>
      <c r="AQ332" t="s">
        <v>198</v>
      </c>
      <c r="AR332" t="s">
        <v>4194</v>
      </c>
      <c r="AS332" t="s">
        <v>4210</v>
      </c>
      <c r="AT332" t="s">
        <v>4219</v>
      </c>
    </row>
    <row r="333" spans="1:46">
      <c r="A333" s="1">
        <f>HYPERLINK("https://lsnyc.legalserver.org/matter/dynamic-profile/view/1874880","18-1874880")</f>
        <v>0</v>
      </c>
      <c r="B333" t="s">
        <v>56</v>
      </c>
      <c r="C333" t="s">
        <v>204</v>
      </c>
      <c r="D333" t="s">
        <v>128</v>
      </c>
      <c r="E333" t="s">
        <v>528</v>
      </c>
      <c r="F333" t="s">
        <v>1040</v>
      </c>
      <c r="G333" t="s">
        <v>1495</v>
      </c>
      <c r="H333" t="s">
        <v>1826</v>
      </c>
      <c r="I333">
        <v>11236</v>
      </c>
      <c r="J333" t="s">
        <v>2002</v>
      </c>
      <c r="K333" t="s">
        <v>2002</v>
      </c>
      <c r="M333" t="s">
        <v>2162</v>
      </c>
      <c r="N333" t="s">
        <v>2413</v>
      </c>
      <c r="O333" t="s">
        <v>2437</v>
      </c>
      <c r="P333" t="s">
        <v>2446</v>
      </c>
      <c r="Q333" t="s">
        <v>2003</v>
      </c>
      <c r="S333" t="s">
        <v>128</v>
      </c>
      <c r="T333">
        <v>1142.33</v>
      </c>
      <c r="U333" t="s">
        <v>2512</v>
      </c>
      <c r="V333" t="s">
        <v>2516</v>
      </c>
      <c r="W333" t="s">
        <v>2743</v>
      </c>
      <c r="X333" t="s">
        <v>3216</v>
      </c>
      <c r="Y333" t="s">
        <v>3494</v>
      </c>
      <c r="Z333">
        <v>113</v>
      </c>
      <c r="AA333" t="s">
        <v>3783</v>
      </c>
      <c r="AB333" t="s">
        <v>2006</v>
      </c>
      <c r="AC333">
        <v>15</v>
      </c>
      <c r="AD333">
        <v>1</v>
      </c>
      <c r="AE333">
        <v>2</v>
      </c>
      <c r="AF333">
        <v>187.68</v>
      </c>
      <c r="AI333" t="s">
        <v>3809</v>
      </c>
      <c r="AJ333">
        <v>39000</v>
      </c>
      <c r="AP333">
        <v>4.2</v>
      </c>
      <c r="AQ333" t="s">
        <v>4176</v>
      </c>
      <c r="AR333" t="s">
        <v>4185</v>
      </c>
      <c r="AS333" t="s">
        <v>4210</v>
      </c>
      <c r="AT333" t="s">
        <v>4219</v>
      </c>
    </row>
    <row r="334" spans="1:46">
      <c r="A334" s="1">
        <f>HYPERLINK("https://lsnyc.legalserver.org/matter/dynamic-profile/view/1881763","18-1881763")</f>
        <v>0</v>
      </c>
      <c r="B334" t="s">
        <v>56</v>
      </c>
      <c r="C334" t="s">
        <v>115</v>
      </c>
      <c r="D334" t="s">
        <v>128</v>
      </c>
      <c r="E334" t="s">
        <v>529</v>
      </c>
      <c r="F334" t="s">
        <v>1041</v>
      </c>
      <c r="G334" t="s">
        <v>1496</v>
      </c>
      <c r="H334" t="s">
        <v>1752</v>
      </c>
      <c r="I334">
        <v>11212</v>
      </c>
      <c r="J334" t="s">
        <v>2002</v>
      </c>
      <c r="K334" t="s">
        <v>2002</v>
      </c>
      <c r="M334" t="s">
        <v>2163</v>
      </c>
      <c r="N334" t="s">
        <v>2413</v>
      </c>
      <c r="O334" t="s">
        <v>2439</v>
      </c>
      <c r="P334" t="s">
        <v>2444</v>
      </c>
      <c r="Q334" t="s">
        <v>2003</v>
      </c>
      <c r="R334" t="s">
        <v>2451</v>
      </c>
      <c r="S334" t="s">
        <v>128</v>
      </c>
      <c r="T334">
        <v>1015</v>
      </c>
      <c r="U334" t="s">
        <v>2509</v>
      </c>
      <c r="V334" t="s">
        <v>2515</v>
      </c>
      <c r="W334" t="s">
        <v>2744</v>
      </c>
      <c r="X334" t="s">
        <v>3217</v>
      </c>
      <c r="Y334" t="s">
        <v>3495</v>
      </c>
      <c r="Z334">
        <v>4</v>
      </c>
      <c r="AA334" t="s">
        <v>3784</v>
      </c>
      <c r="AB334" t="s">
        <v>3796</v>
      </c>
      <c r="AC334">
        <v>3</v>
      </c>
      <c r="AD334">
        <v>1</v>
      </c>
      <c r="AE334">
        <v>3</v>
      </c>
      <c r="AF334">
        <v>227.28</v>
      </c>
      <c r="AH334" t="s">
        <v>3806</v>
      </c>
      <c r="AI334" t="s">
        <v>3809</v>
      </c>
      <c r="AJ334">
        <v>57048</v>
      </c>
      <c r="AK334" t="s">
        <v>3899</v>
      </c>
      <c r="AP334">
        <v>2</v>
      </c>
      <c r="AQ334" t="s">
        <v>127</v>
      </c>
      <c r="AR334" t="s">
        <v>4192</v>
      </c>
      <c r="AS334" t="s">
        <v>4210</v>
      </c>
      <c r="AT334" t="s">
        <v>4219</v>
      </c>
    </row>
    <row r="335" spans="1:46">
      <c r="A335" s="1">
        <f>HYPERLINK("https://lsnyc.legalserver.org/matter/dynamic-profile/view/1884968","18-1884968")</f>
        <v>0</v>
      </c>
      <c r="B335" t="s">
        <v>56</v>
      </c>
      <c r="C335" t="s">
        <v>124</v>
      </c>
      <c r="D335" t="s">
        <v>138</v>
      </c>
      <c r="E335" t="s">
        <v>530</v>
      </c>
      <c r="F335" t="s">
        <v>879</v>
      </c>
      <c r="G335" t="s">
        <v>1497</v>
      </c>
      <c r="H335" t="s">
        <v>1778</v>
      </c>
      <c r="I335">
        <v>11208</v>
      </c>
      <c r="J335" t="s">
        <v>2002</v>
      </c>
      <c r="K335" t="s">
        <v>2002</v>
      </c>
      <c r="M335" t="s">
        <v>2164</v>
      </c>
      <c r="N335" t="s">
        <v>2413</v>
      </c>
      <c r="O335" t="s">
        <v>2439</v>
      </c>
      <c r="P335" t="s">
        <v>2444</v>
      </c>
      <c r="Q335" t="s">
        <v>2003</v>
      </c>
      <c r="R335" t="s">
        <v>2451</v>
      </c>
      <c r="S335" t="s">
        <v>138</v>
      </c>
      <c r="T335">
        <v>215</v>
      </c>
      <c r="U335" t="s">
        <v>2500</v>
      </c>
      <c r="V335" t="s">
        <v>2515</v>
      </c>
      <c r="W335" t="s">
        <v>2745</v>
      </c>
      <c r="Y335" t="s">
        <v>3496</v>
      </c>
      <c r="Z335">
        <v>3</v>
      </c>
      <c r="AA335" t="s">
        <v>3784</v>
      </c>
      <c r="AB335" t="s">
        <v>2006</v>
      </c>
      <c r="AC335">
        <v>1</v>
      </c>
      <c r="AD335">
        <v>1</v>
      </c>
      <c r="AE335">
        <v>0</v>
      </c>
      <c r="AF335">
        <v>128.5</v>
      </c>
      <c r="AI335" t="s">
        <v>3809</v>
      </c>
      <c r="AJ335">
        <v>15600</v>
      </c>
      <c r="AP335">
        <v>3.6</v>
      </c>
      <c r="AQ335" t="s">
        <v>100</v>
      </c>
      <c r="AR335" t="s">
        <v>4200</v>
      </c>
      <c r="AS335" t="s">
        <v>4210</v>
      </c>
      <c r="AT335" t="s">
        <v>4219</v>
      </c>
    </row>
    <row r="336" spans="1:46">
      <c r="A336" s="1">
        <f>HYPERLINK("https://lsnyc.legalserver.org/matter/dynamic-profile/view/1860318","18-1860318")</f>
        <v>0</v>
      </c>
      <c r="B336" t="s">
        <v>57</v>
      </c>
      <c r="C336" t="s">
        <v>205</v>
      </c>
      <c r="D336" t="s">
        <v>318</v>
      </c>
      <c r="E336" t="s">
        <v>531</v>
      </c>
      <c r="F336" t="s">
        <v>865</v>
      </c>
      <c r="G336" t="s">
        <v>1498</v>
      </c>
      <c r="H336" t="s">
        <v>1738</v>
      </c>
      <c r="I336">
        <v>11206</v>
      </c>
      <c r="J336" t="s">
        <v>2002</v>
      </c>
      <c r="K336" t="s">
        <v>2002</v>
      </c>
      <c r="L336" t="s">
        <v>2005</v>
      </c>
      <c r="M336" t="s">
        <v>2165</v>
      </c>
      <c r="N336" t="s">
        <v>2424</v>
      </c>
      <c r="O336" t="s">
        <v>2441</v>
      </c>
      <c r="P336" t="s">
        <v>2444</v>
      </c>
      <c r="Q336" t="s">
        <v>2002</v>
      </c>
      <c r="S336" t="s">
        <v>2474</v>
      </c>
      <c r="T336">
        <v>1245</v>
      </c>
      <c r="U336" t="s">
        <v>2494</v>
      </c>
      <c r="V336" t="s">
        <v>2514</v>
      </c>
      <c r="W336" t="s">
        <v>2746</v>
      </c>
      <c r="X336" t="s">
        <v>3218</v>
      </c>
      <c r="Z336">
        <v>8</v>
      </c>
      <c r="AA336" t="s">
        <v>3783</v>
      </c>
      <c r="AB336" t="s">
        <v>3799</v>
      </c>
      <c r="AC336">
        <v>1</v>
      </c>
      <c r="AD336">
        <v>2</v>
      </c>
      <c r="AE336">
        <v>0</v>
      </c>
      <c r="AF336">
        <v>109.36</v>
      </c>
      <c r="AI336" t="s">
        <v>3809</v>
      </c>
      <c r="AJ336">
        <v>18000</v>
      </c>
      <c r="AK336" t="s">
        <v>3830</v>
      </c>
      <c r="AP336">
        <v>0.1</v>
      </c>
      <c r="AQ336" t="s">
        <v>171</v>
      </c>
      <c r="AR336" t="s">
        <v>4185</v>
      </c>
      <c r="AS336" t="s">
        <v>4210</v>
      </c>
      <c r="AT336" t="s">
        <v>4219</v>
      </c>
    </row>
    <row r="337" spans="1:46">
      <c r="A337" s="1">
        <f>HYPERLINK("https://lsnyc.legalserver.org/matter/dynamic-profile/view/1871051","18-1871051")</f>
        <v>0</v>
      </c>
      <c r="B337" t="s">
        <v>57</v>
      </c>
      <c r="C337" t="s">
        <v>206</v>
      </c>
      <c r="D337" t="s">
        <v>177</v>
      </c>
      <c r="E337" t="s">
        <v>532</v>
      </c>
      <c r="F337" t="s">
        <v>1042</v>
      </c>
      <c r="G337" t="s">
        <v>1499</v>
      </c>
      <c r="H337" t="s">
        <v>1827</v>
      </c>
      <c r="I337">
        <v>11208</v>
      </c>
      <c r="J337" t="s">
        <v>2002</v>
      </c>
      <c r="K337" t="s">
        <v>2002</v>
      </c>
      <c r="M337" t="s">
        <v>2166</v>
      </c>
      <c r="N337" t="s">
        <v>2413</v>
      </c>
      <c r="O337" t="s">
        <v>2436</v>
      </c>
      <c r="P337" t="s">
        <v>2443</v>
      </c>
      <c r="S337" t="s">
        <v>2475</v>
      </c>
      <c r="T337">
        <v>0</v>
      </c>
      <c r="U337" t="s">
        <v>2493</v>
      </c>
      <c r="V337" t="s">
        <v>2517</v>
      </c>
      <c r="W337" t="s">
        <v>2747</v>
      </c>
      <c r="Y337" t="s">
        <v>3497</v>
      </c>
      <c r="Z337">
        <v>1</v>
      </c>
      <c r="AA337" t="s">
        <v>3784</v>
      </c>
      <c r="AC337">
        <v>13</v>
      </c>
      <c r="AD337">
        <v>8</v>
      </c>
      <c r="AE337">
        <v>4</v>
      </c>
      <c r="AF337">
        <v>0</v>
      </c>
      <c r="AI337" t="s">
        <v>3809</v>
      </c>
      <c r="AJ337">
        <v>0</v>
      </c>
      <c r="AK337" t="s">
        <v>3840</v>
      </c>
      <c r="AP337">
        <v>2.1</v>
      </c>
      <c r="AQ337" t="s">
        <v>177</v>
      </c>
      <c r="AR337" t="s">
        <v>4189</v>
      </c>
      <c r="AS337" t="s">
        <v>4210</v>
      </c>
      <c r="AT337" t="s">
        <v>4219</v>
      </c>
    </row>
    <row r="338" spans="1:46">
      <c r="A338" s="1">
        <f>HYPERLINK("https://lsnyc.legalserver.org/matter/dynamic-profile/view/1870620","18-1870620")</f>
        <v>0</v>
      </c>
      <c r="B338" t="s">
        <v>57</v>
      </c>
      <c r="C338" t="s">
        <v>207</v>
      </c>
      <c r="D338" t="s">
        <v>137</v>
      </c>
      <c r="E338" t="s">
        <v>533</v>
      </c>
      <c r="F338" t="s">
        <v>1043</v>
      </c>
      <c r="G338" t="s">
        <v>1500</v>
      </c>
      <c r="H338" t="s">
        <v>1770</v>
      </c>
      <c r="I338">
        <v>11207</v>
      </c>
      <c r="J338" t="s">
        <v>2002</v>
      </c>
      <c r="K338" t="s">
        <v>2002</v>
      </c>
      <c r="M338" t="s">
        <v>2167</v>
      </c>
      <c r="N338" t="s">
        <v>2415</v>
      </c>
      <c r="O338" t="s">
        <v>2437</v>
      </c>
      <c r="P338" t="s">
        <v>2444</v>
      </c>
      <c r="Q338" t="s">
        <v>2003</v>
      </c>
      <c r="S338" t="s">
        <v>2476</v>
      </c>
      <c r="T338">
        <v>1365</v>
      </c>
      <c r="U338" t="s">
        <v>2509</v>
      </c>
      <c r="V338" t="s">
        <v>2519</v>
      </c>
      <c r="W338" t="s">
        <v>2748</v>
      </c>
      <c r="Y338" t="s">
        <v>3498</v>
      </c>
      <c r="Z338">
        <v>23</v>
      </c>
      <c r="AA338" t="s">
        <v>3783</v>
      </c>
      <c r="AB338" t="s">
        <v>2006</v>
      </c>
      <c r="AC338">
        <v>2</v>
      </c>
      <c r="AD338">
        <v>1</v>
      </c>
      <c r="AE338">
        <v>0</v>
      </c>
      <c r="AF338">
        <v>255.35</v>
      </c>
      <c r="AG338" t="s">
        <v>113</v>
      </c>
      <c r="AH338" t="s">
        <v>3806</v>
      </c>
      <c r="AI338" t="s">
        <v>3809</v>
      </c>
      <c r="AJ338">
        <v>31000</v>
      </c>
      <c r="AM338" t="s">
        <v>2495</v>
      </c>
      <c r="AN338" t="s">
        <v>4122</v>
      </c>
      <c r="AO338" t="s">
        <v>4128</v>
      </c>
      <c r="AP338">
        <v>17.8</v>
      </c>
      <c r="AQ338" t="s">
        <v>230</v>
      </c>
      <c r="AR338" t="s">
        <v>4185</v>
      </c>
      <c r="AS338" t="s">
        <v>4210</v>
      </c>
      <c r="AT338" t="s">
        <v>4219</v>
      </c>
    </row>
    <row r="339" spans="1:46">
      <c r="A339" s="1">
        <f>HYPERLINK("https://lsnyc.legalserver.org/matter/dynamic-profile/view/1874395","18-1874395")</f>
        <v>0</v>
      </c>
      <c r="B339" t="s">
        <v>57</v>
      </c>
      <c r="C339" t="s">
        <v>201</v>
      </c>
      <c r="E339" t="s">
        <v>534</v>
      </c>
      <c r="F339" t="s">
        <v>770</v>
      </c>
      <c r="G339" t="s">
        <v>1369</v>
      </c>
      <c r="H339" t="s">
        <v>1773</v>
      </c>
      <c r="I339">
        <v>11212</v>
      </c>
      <c r="J339" t="s">
        <v>2002</v>
      </c>
      <c r="K339" t="s">
        <v>2002</v>
      </c>
      <c r="M339" t="s">
        <v>2168</v>
      </c>
      <c r="N339" t="s">
        <v>2415</v>
      </c>
      <c r="O339" t="s">
        <v>2437</v>
      </c>
      <c r="Q339" t="s">
        <v>2003</v>
      </c>
      <c r="R339" t="s">
        <v>2451</v>
      </c>
      <c r="S339" t="s">
        <v>2469</v>
      </c>
      <c r="T339">
        <v>873</v>
      </c>
      <c r="U339" t="s">
        <v>2502</v>
      </c>
      <c r="W339" t="s">
        <v>2749</v>
      </c>
      <c r="X339" t="s">
        <v>3219</v>
      </c>
      <c r="Y339" t="s">
        <v>3499</v>
      </c>
      <c r="Z339">
        <v>10</v>
      </c>
      <c r="AA339" t="s">
        <v>3783</v>
      </c>
      <c r="AB339" t="s">
        <v>3799</v>
      </c>
      <c r="AC339">
        <v>1</v>
      </c>
      <c r="AD339">
        <v>1</v>
      </c>
      <c r="AE339">
        <v>0</v>
      </c>
      <c r="AF339">
        <v>16.71</v>
      </c>
      <c r="AI339" t="s">
        <v>3809</v>
      </c>
      <c r="AJ339">
        <v>2028</v>
      </c>
      <c r="AK339" t="s">
        <v>3900</v>
      </c>
      <c r="AL339" t="s">
        <v>4102</v>
      </c>
      <c r="AM339" t="s">
        <v>2495</v>
      </c>
      <c r="AN339" t="s">
        <v>4122</v>
      </c>
      <c r="AP339">
        <v>45.95</v>
      </c>
      <c r="AQ339" t="s">
        <v>255</v>
      </c>
      <c r="AR339" t="s">
        <v>4185</v>
      </c>
      <c r="AS339" t="s">
        <v>4210</v>
      </c>
      <c r="AT339" t="s">
        <v>4219</v>
      </c>
    </row>
    <row r="340" spans="1:46">
      <c r="A340" s="1">
        <f>HYPERLINK("https://lsnyc.legalserver.org/matter/dynamic-profile/view/1875581","18-1875581")</f>
        <v>0</v>
      </c>
      <c r="B340" t="s">
        <v>57</v>
      </c>
      <c r="C340" t="s">
        <v>87</v>
      </c>
      <c r="D340" t="s">
        <v>239</v>
      </c>
      <c r="E340" t="s">
        <v>535</v>
      </c>
      <c r="F340" t="s">
        <v>1044</v>
      </c>
      <c r="G340" t="s">
        <v>1501</v>
      </c>
      <c r="H340">
        <v>1</v>
      </c>
      <c r="I340">
        <v>11208</v>
      </c>
      <c r="J340" t="s">
        <v>2002</v>
      </c>
      <c r="K340" t="s">
        <v>2002</v>
      </c>
      <c r="N340" t="s">
        <v>2414</v>
      </c>
      <c r="O340" t="s">
        <v>2436</v>
      </c>
      <c r="P340" t="s">
        <v>2443</v>
      </c>
      <c r="Q340" t="s">
        <v>2003</v>
      </c>
      <c r="S340" t="s">
        <v>87</v>
      </c>
      <c r="T340">
        <v>1956</v>
      </c>
      <c r="U340" t="s">
        <v>2496</v>
      </c>
      <c r="V340" t="s">
        <v>2517</v>
      </c>
      <c r="W340" t="s">
        <v>2670</v>
      </c>
      <c r="Y340" t="s">
        <v>3500</v>
      </c>
      <c r="Z340">
        <v>2</v>
      </c>
      <c r="AA340" t="s">
        <v>3784</v>
      </c>
      <c r="AB340" t="s">
        <v>3795</v>
      </c>
      <c r="AC340">
        <v>2</v>
      </c>
      <c r="AD340">
        <v>1</v>
      </c>
      <c r="AE340">
        <v>5</v>
      </c>
      <c r="AF340">
        <v>35.57</v>
      </c>
      <c r="AI340" t="s">
        <v>3809</v>
      </c>
      <c r="AJ340">
        <v>12000</v>
      </c>
      <c r="AK340" t="s">
        <v>3900</v>
      </c>
      <c r="AP340">
        <v>1.2</v>
      </c>
      <c r="AQ340" t="s">
        <v>92</v>
      </c>
      <c r="AR340" t="s">
        <v>57</v>
      </c>
      <c r="AS340" t="s">
        <v>4210</v>
      </c>
      <c r="AT340" t="s">
        <v>4219</v>
      </c>
    </row>
    <row r="341" spans="1:46">
      <c r="A341" s="1">
        <f>HYPERLINK("https://lsnyc.legalserver.org/matter/dynamic-profile/view/1875618","18-1875618")</f>
        <v>0</v>
      </c>
      <c r="B341" t="s">
        <v>57</v>
      </c>
      <c r="C341" t="s">
        <v>87</v>
      </c>
      <c r="D341" t="s">
        <v>99</v>
      </c>
      <c r="E341" t="s">
        <v>406</v>
      </c>
      <c r="F341" t="s">
        <v>1045</v>
      </c>
      <c r="G341" t="s">
        <v>1502</v>
      </c>
      <c r="H341">
        <v>3</v>
      </c>
      <c r="I341">
        <v>11212</v>
      </c>
      <c r="J341" t="s">
        <v>2002</v>
      </c>
      <c r="K341" t="s">
        <v>2002</v>
      </c>
      <c r="N341" t="s">
        <v>2428</v>
      </c>
      <c r="O341" t="s">
        <v>2436</v>
      </c>
      <c r="P341" t="s">
        <v>2443</v>
      </c>
      <c r="Q341" t="s">
        <v>2003</v>
      </c>
      <c r="R341" t="s">
        <v>2451</v>
      </c>
      <c r="S341" t="s">
        <v>87</v>
      </c>
      <c r="T341">
        <v>1446.65</v>
      </c>
      <c r="U341" t="s">
        <v>2497</v>
      </c>
      <c r="V341" t="s">
        <v>2514</v>
      </c>
      <c r="W341" t="s">
        <v>2750</v>
      </c>
      <c r="Y341" t="s">
        <v>3501</v>
      </c>
      <c r="Z341">
        <v>16</v>
      </c>
      <c r="AA341" t="s">
        <v>3783</v>
      </c>
      <c r="AB341" t="s">
        <v>3793</v>
      </c>
      <c r="AC341">
        <v>12</v>
      </c>
      <c r="AD341">
        <v>1</v>
      </c>
      <c r="AE341">
        <v>0</v>
      </c>
      <c r="AF341">
        <v>44.48</v>
      </c>
      <c r="AI341" t="s">
        <v>3809</v>
      </c>
      <c r="AJ341">
        <v>5400</v>
      </c>
      <c r="AM341" t="s">
        <v>4110</v>
      </c>
      <c r="AP341">
        <v>1.4</v>
      </c>
      <c r="AQ341" t="s">
        <v>99</v>
      </c>
      <c r="AR341" t="s">
        <v>57</v>
      </c>
      <c r="AS341" t="s">
        <v>4210</v>
      </c>
      <c r="AT341" t="s">
        <v>4219</v>
      </c>
    </row>
    <row r="342" spans="1:46">
      <c r="A342" s="1">
        <f>HYPERLINK("https://lsnyc.legalserver.org/matter/dynamic-profile/view/1875686","18-1875686")</f>
        <v>0</v>
      </c>
      <c r="B342" t="s">
        <v>57</v>
      </c>
      <c r="C342" t="s">
        <v>87</v>
      </c>
      <c r="E342" t="s">
        <v>536</v>
      </c>
      <c r="F342" t="s">
        <v>1046</v>
      </c>
      <c r="G342" t="s">
        <v>1503</v>
      </c>
      <c r="H342" t="s">
        <v>1791</v>
      </c>
      <c r="I342">
        <v>11212</v>
      </c>
      <c r="J342" t="s">
        <v>2002</v>
      </c>
      <c r="K342" t="s">
        <v>2002</v>
      </c>
      <c r="N342" t="s">
        <v>2027</v>
      </c>
      <c r="O342" t="s">
        <v>2442</v>
      </c>
      <c r="Q342" t="s">
        <v>2002</v>
      </c>
      <c r="S342" t="s">
        <v>87</v>
      </c>
      <c r="T342">
        <v>839.77</v>
      </c>
      <c r="U342" t="s">
        <v>2494</v>
      </c>
      <c r="W342" t="s">
        <v>2751</v>
      </c>
      <c r="Y342" t="s">
        <v>3502</v>
      </c>
      <c r="Z342">
        <v>8</v>
      </c>
      <c r="AA342" t="s">
        <v>3783</v>
      </c>
      <c r="AB342" t="s">
        <v>2006</v>
      </c>
      <c r="AC342">
        <v>24</v>
      </c>
      <c r="AD342">
        <v>1</v>
      </c>
      <c r="AE342">
        <v>0</v>
      </c>
      <c r="AF342">
        <v>255.63</v>
      </c>
      <c r="AI342" t="s">
        <v>3809</v>
      </c>
      <c r="AJ342">
        <v>31033.6</v>
      </c>
      <c r="AP342">
        <v>22.55</v>
      </c>
      <c r="AQ342" t="s">
        <v>77</v>
      </c>
      <c r="AR342" t="s">
        <v>59</v>
      </c>
      <c r="AS342" t="s">
        <v>4210</v>
      </c>
      <c r="AT342" t="s">
        <v>4219</v>
      </c>
    </row>
    <row r="343" spans="1:46">
      <c r="A343" s="1">
        <f>HYPERLINK("https://lsnyc.legalserver.org/matter/dynamic-profile/view/1875756","18-1875756")</f>
        <v>0</v>
      </c>
      <c r="B343" t="s">
        <v>57</v>
      </c>
      <c r="C343" t="s">
        <v>208</v>
      </c>
      <c r="D343" t="s">
        <v>234</v>
      </c>
      <c r="E343" t="s">
        <v>537</v>
      </c>
      <c r="F343" t="s">
        <v>1047</v>
      </c>
      <c r="G343" t="s">
        <v>1504</v>
      </c>
      <c r="H343">
        <v>5</v>
      </c>
      <c r="I343">
        <v>11207</v>
      </c>
      <c r="J343" t="s">
        <v>2002</v>
      </c>
      <c r="K343" t="s">
        <v>2002</v>
      </c>
      <c r="N343" t="s">
        <v>2414</v>
      </c>
      <c r="O343" t="s">
        <v>2436</v>
      </c>
      <c r="P343" t="s">
        <v>2443</v>
      </c>
      <c r="Q343" t="s">
        <v>2003</v>
      </c>
      <c r="R343" t="s">
        <v>2451</v>
      </c>
      <c r="S343" t="s">
        <v>208</v>
      </c>
      <c r="T343">
        <v>1000</v>
      </c>
      <c r="U343" t="s">
        <v>2496</v>
      </c>
      <c r="V343" t="s">
        <v>2517</v>
      </c>
      <c r="W343" t="s">
        <v>2752</v>
      </c>
      <c r="X343" t="s">
        <v>3220</v>
      </c>
      <c r="Y343" t="s">
        <v>3503</v>
      </c>
      <c r="Z343">
        <v>6</v>
      </c>
      <c r="AA343" t="s">
        <v>3783</v>
      </c>
      <c r="AB343" t="s">
        <v>3795</v>
      </c>
      <c r="AC343">
        <v>11</v>
      </c>
      <c r="AD343">
        <v>1</v>
      </c>
      <c r="AE343">
        <v>3</v>
      </c>
      <c r="AF343">
        <v>28.72</v>
      </c>
      <c r="AI343" t="s">
        <v>3810</v>
      </c>
      <c r="AJ343">
        <v>7209</v>
      </c>
      <c r="AP343">
        <v>1.7</v>
      </c>
      <c r="AQ343" t="s">
        <v>121</v>
      </c>
      <c r="AR343" t="s">
        <v>57</v>
      </c>
      <c r="AS343" t="s">
        <v>4210</v>
      </c>
      <c r="AT343" t="s">
        <v>4219</v>
      </c>
    </row>
    <row r="344" spans="1:46">
      <c r="A344" s="1">
        <f>HYPERLINK("https://lsnyc.legalserver.org/matter/dynamic-profile/view/1875766","18-1875766")</f>
        <v>0</v>
      </c>
      <c r="B344" t="s">
        <v>57</v>
      </c>
      <c r="C344" t="s">
        <v>208</v>
      </c>
      <c r="E344" t="s">
        <v>538</v>
      </c>
      <c r="F344" t="s">
        <v>503</v>
      </c>
      <c r="G344" t="s">
        <v>1369</v>
      </c>
      <c r="I344">
        <v>11212</v>
      </c>
      <c r="J344" t="s">
        <v>2002</v>
      </c>
      <c r="K344" t="s">
        <v>2002</v>
      </c>
      <c r="N344" t="s">
        <v>2027</v>
      </c>
      <c r="O344" t="s">
        <v>2436</v>
      </c>
      <c r="Q344" t="s">
        <v>2002</v>
      </c>
      <c r="S344" t="s">
        <v>208</v>
      </c>
      <c r="T344">
        <v>770.47</v>
      </c>
      <c r="U344" t="s">
        <v>2494</v>
      </c>
      <c r="W344" t="s">
        <v>2753</v>
      </c>
      <c r="Y344" t="s">
        <v>3504</v>
      </c>
      <c r="Z344">
        <v>19</v>
      </c>
      <c r="AA344" t="s">
        <v>3783</v>
      </c>
      <c r="AB344" t="s">
        <v>2006</v>
      </c>
      <c r="AC344">
        <v>21</v>
      </c>
      <c r="AD344">
        <v>2</v>
      </c>
      <c r="AE344">
        <v>0</v>
      </c>
      <c r="AF344">
        <v>364.52</v>
      </c>
      <c r="AI344" t="s">
        <v>3809</v>
      </c>
      <c r="AJ344">
        <v>60000</v>
      </c>
      <c r="AK344" t="s">
        <v>3900</v>
      </c>
      <c r="AP344">
        <v>10</v>
      </c>
      <c r="AQ344" t="s">
        <v>237</v>
      </c>
      <c r="AR344" t="s">
        <v>59</v>
      </c>
      <c r="AS344" t="s">
        <v>4210</v>
      </c>
      <c r="AT344" t="s">
        <v>4219</v>
      </c>
    </row>
    <row r="345" spans="1:46">
      <c r="A345" s="1">
        <f>HYPERLINK("https://lsnyc.legalserver.org/matter/dynamic-profile/view/1876642","18-1876642")</f>
        <v>0</v>
      </c>
      <c r="B345" t="s">
        <v>57</v>
      </c>
      <c r="C345" t="s">
        <v>177</v>
      </c>
      <c r="E345" t="s">
        <v>539</v>
      </c>
      <c r="F345" t="s">
        <v>1048</v>
      </c>
      <c r="G345" t="s">
        <v>1369</v>
      </c>
      <c r="H345" t="s">
        <v>1764</v>
      </c>
      <c r="I345">
        <v>11212</v>
      </c>
      <c r="J345" t="s">
        <v>2002</v>
      </c>
      <c r="K345" t="s">
        <v>2002</v>
      </c>
      <c r="N345" t="s">
        <v>2416</v>
      </c>
      <c r="O345" t="s">
        <v>2437</v>
      </c>
      <c r="Q345" t="s">
        <v>2002</v>
      </c>
      <c r="R345" t="s">
        <v>2451</v>
      </c>
      <c r="S345" t="s">
        <v>177</v>
      </c>
      <c r="T345">
        <v>389.17</v>
      </c>
      <c r="U345" t="s">
        <v>2494</v>
      </c>
      <c r="W345" t="s">
        <v>2754</v>
      </c>
      <c r="Y345" t="s">
        <v>3505</v>
      </c>
      <c r="Z345">
        <v>10</v>
      </c>
      <c r="AA345" t="s">
        <v>3783</v>
      </c>
      <c r="AB345" t="s">
        <v>2006</v>
      </c>
      <c r="AC345">
        <v>6</v>
      </c>
      <c r="AD345">
        <v>1</v>
      </c>
      <c r="AE345">
        <v>0</v>
      </c>
      <c r="AF345">
        <v>74.95999999999999</v>
      </c>
      <c r="AI345" t="s">
        <v>3809</v>
      </c>
      <c r="AJ345">
        <v>9100</v>
      </c>
      <c r="AP345">
        <v>4.7</v>
      </c>
      <c r="AQ345" t="s">
        <v>107</v>
      </c>
      <c r="AR345" t="s">
        <v>57</v>
      </c>
      <c r="AS345" t="s">
        <v>4210</v>
      </c>
      <c r="AT345" t="s">
        <v>4219</v>
      </c>
    </row>
    <row r="346" spans="1:46">
      <c r="A346" s="1">
        <f>HYPERLINK("https://lsnyc.legalserver.org/matter/dynamic-profile/view/1882807","18-1882807")</f>
        <v>0</v>
      </c>
      <c r="B346" t="s">
        <v>57</v>
      </c>
      <c r="C346" t="s">
        <v>117</v>
      </c>
      <c r="D346" t="s">
        <v>272</v>
      </c>
      <c r="E346" t="s">
        <v>540</v>
      </c>
      <c r="F346" t="s">
        <v>1049</v>
      </c>
      <c r="G346" t="s">
        <v>1505</v>
      </c>
      <c r="I346">
        <v>11208</v>
      </c>
      <c r="J346" t="s">
        <v>2002</v>
      </c>
      <c r="K346" t="s">
        <v>2002</v>
      </c>
      <c r="M346" t="s">
        <v>2169</v>
      </c>
      <c r="N346" t="s">
        <v>2413</v>
      </c>
      <c r="O346" t="s">
        <v>2437</v>
      </c>
      <c r="P346" t="s">
        <v>2444</v>
      </c>
      <c r="Q346" t="s">
        <v>2002</v>
      </c>
      <c r="R346" t="s">
        <v>2451</v>
      </c>
      <c r="S346" t="s">
        <v>110</v>
      </c>
      <c r="T346">
        <v>320</v>
      </c>
      <c r="V346" t="s">
        <v>2519</v>
      </c>
      <c r="W346" t="s">
        <v>2755</v>
      </c>
      <c r="Y346" t="s">
        <v>3506</v>
      </c>
      <c r="Z346">
        <v>7</v>
      </c>
      <c r="AC346">
        <v>4</v>
      </c>
      <c r="AD346">
        <v>1</v>
      </c>
      <c r="AE346">
        <v>0</v>
      </c>
      <c r="AF346">
        <v>80.26000000000001</v>
      </c>
      <c r="AI346" t="s">
        <v>3815</v>
      </c>
      <c r="AJ346">
        <v>9744</v>
      </c>
      <c r="AK346" t="s">
        <v>3901</v>
      </c>
      <c r="AP346">
        <v>3.7</v>
      </c>
      <c r="AQ346" t="s">
        <v>269</v>
      </c>
      <c r="AR346" t="s">
        <v>4185</v>
      </c>
      <c r="AS346" t="s">
        <v>4210</v>
      </c>
      <c r="AT346" t="s">
        <v>4219</v>
      </c>
    </row>
    <row r="347" spans="1:46">
      <c r="A347" s="1">
        <f>HYPERLINK("https://lsnyc.legalserver.org/matter/dynamic-profile/view/1876949","18-1876949")</f>
        <v>0</v>
      </c>
      <c r="B347" t="s">
        <v>57</v>
      </c>
      <c r="C347" t="s">
        <v>175</v>
      </c>
      <c r="D347" t="s">
        <v>319</v>
      </c>
      <c r="E347" t="s">
        <v>541</v>
      </c>
      <c r="F347" t="s">
        <v>1050</v>
      </c>
      <c r="G347" t="s">
        <v>1506</v>
      </c>
      <c r="H347" t="s">
        <v>1819</v>
      </c>
      <c r="I347">
        <v>11237</v>
      </c>
      <c r="J347" t="s">
        <v>2002</v>
      </c>
      <c r="K347" t="s">
        <v>2004</v>
      </c>
      <c r="N347" t="s">
        <v>2416</v>
      </c>
      <c r="O347" t="s">
        <v>2436</v>
      </c>
      <c r="P347" t="s">
        <v>2443</v>
      </c>
      <c r="Q347" t="s">
        <v>2002</v>
      </c>
      <c r="R347" t="s">
        <v>2451</v>
      </c>
      <c r="S347" t="s">
        <v>175</v>
      </c>
      <c r="T347">
        <v>696.55</v>
      </c>
      <c r="U347" t="s">
        <v>2497</v>
      </c>
      <c r="V347" t="s">
        <v>2514</v>
      </c>
      <c r="W347" t="s">
        <v>2756</v>
      </c>
      <c r="X347" t="s">
        <v>3221</v>
      </c>
      <c r="Y347" t="s">
        <v>3507</v>
      </c>
      <c r="Z347">
        <v>16</v>
      </c>
      <c r="AA347" t="s">
        <v>3783</v>
      </c>
      <c r="AC347">
        <v>30</v>
      </c>
      <c r="AD347">
        <v>4</v>
      </c>
      <c r="AE347">
        <v>3</v>
      </c>
      <c r="AF347">
        <v>153.63</v>
      </c>
      <c r="AI347" t="s">
        <v>3810</v>
      </c>
      <c r="AJ347">
        <v>58471.59</v>
      </c>
      <c r="AP347">
        <v>29.7</v>
      </c>
      <c r="AQ347" t="s">
        <v>254</v>
      </c>
      <c r="AR347" t="s">
        <v>57</v>
      </c>
      <c r="AS347" t="s">
        <v>4210</v>
      </c>
      <c r="AT347" t="s">
        <v>4219</v>
      </c>
    </row>
    <row r="348" spans="1:46">
      <c r="A348" s="1">
        <f>HYPERLINK("https://lsnyc.legalserver.org/matter/dynamic-profile/view/1887160","19-1887160")</f>
        <v>0</v>
      </c>
      <c r="B348" t="s">
        <v>57</v>
      </c>
      <c r="C348" t="s">
        <v>209</v>
      </c>
      <c r="E348" t="s">
        <v>542</v>
      </c>
      <c r="F348" t="s">
        <v>1051</v>
      </c>
      <c r="G348" t="s">
        <v>1369</v>
      </c>
      <c r="H348" t="s">
        <v>1791</v>
      </c>
      <c r="I348">
        <v>11212</v>
      </c>
      <c r="J348" t="s">
        <v>2002</v>
      </c>
      <c r="K348" t="s">
        <v>2002</v>
      </c>
      <c r="M348" t="s">
        <v>2170</v>
      </c>
      <c r="N348" t="s">
        <v>2415</v>
      </c>
      <c r="O348" t="s">
        <v>2437</v>
      </c>
      <c r="S348" t="s">
        <v>2477</v>
      </c>
      <c r="T348">
        <v>1122</v>
      </c>
      <c r="U348" t="s">
        <v>2494</v>
      </c>
      <c r="W348" t="s">
        <v>2757</v>
      </c>
      <c r="Z348">
        <v>0</v>
      </c>
      <c r="AA348" t="s">
        <v>3783</v>
      </c>
      <c r="AC348">
        <v>3</v>
      </c>
      <c r="AD348">
        <v>2</v>
      </c>
      <c r="AE348">
        <v>0</v>
      </c>
      <c r="AF348">
        <v>345.93</v>
      </c>
      <c r="AG348" t="s">
        <v>314</v>
      </c>
      <c r="AH348" t="s">
        <v>3806</v>
      </c>
      <c r="AI348" t="s">
        <v>3809</v>
      </c>
      <c r="AJ348">
        <v>56940</v>
      </c>
      <c r="AP348">
        <v>25.8</v>
      </c>
      <c r="AQ348" t="s">
        <v>4171</v>
      </c>
      <c r="AR348" t="s">
        <v>4201</v>
      </c>
      <c r="AS348" t="s">
        <v>4210</v>
      </c>
      <c r="AT348" t="s">
        <v>4219</v>
      </c>
    </row>
    <row r="349" spans="1:46">
      <c r="A349" s="1">
        <f>HYPERLINK("https://lsnyc.legalserver.org/matter/dynamic-profile/view/1887628","19-1887628")</f>
        <v>0</v>
      </c>
      <c r="B349" t="s">
        <v>57</v>
      </c>
      <c r="C349" t="s">
        <v>138</v>
      </c>
      <c r="D349" t="s">
        <v>138</v>
      </c>
      <c r="E349" t="s">
        <v>543</v>
      </c>
      <c r="F349" t="s">
        <v>1052</v>
      </c>
      <c r="G349" t="s">
        <v>1507</v>
      </c>
      <c r="I349">
        <v>11225</v>
      </c>
      <c r="J349" t="s">
        <v>2002</v>
      </c>
      <c r="K349" t="s">
        <v>2002</v>
      </c>
      <c r="N349" t="s">
        <v>2413</v>
      </c>
      <c r="O349" t="s">
        <v>2436</v>
      </c>
      <c r="P349" t="s">
        <v>2443</v>
      </c>
      <c r="Q349" t="s">
        <v>2003</v>
      </c>
      <c r="R349" t="s">
        <v>2451</v>
      </c>
      <c r="S349" t="s">
        <v>138</v>
      </c>
      <c r="T349">
        <v>800</v>
      </c>
      <c r="U349" t="s">
        <v>2496</v>
      </c>
      <c r="V349" t="s">
        <v>2517</v>
      </c>
      <c r="W349" t="s">
        <v>2758</v>
      </c>
      <c r="Y349" t="s">
        <v>3508</v>
      </c>
      <c r="Z349">
        <v>2</v>
      </c>
      <c r="AA349" t="s">
        <v>3784</v>
      </c>
      <c r="AC349">
        <v>30</v>
      </c>
      <c r="AD349">
        <v>4</v>
      </c>
      <c r="AE349">
        <v>0</v>
      </c>
      <c r="AF349">
        <v>235.86</v>
      </c>
      <c r="AI349" t="s">
        <v>3809</v>
      </c>
      <c r="AJ349">
        <v>59200</v>
      </c>
      <c r="AP349">
        <v>0.2</v>
      </c>
      <c r="AQ349" t="s">
        <v>138</v>
      </c>
      <c r="AR349" t="s">
        <v>57</v>
      </c>
      <c r="AS349" t="s">
        <v>4210</v>
      </c>
      <c r="AT349" t="s">
        <v>4219</v>
      </c>
    </row>
    <row r="350" spans="1:46">
      <c r="A350" s="1">
        <f>HYPERLINK("https://lsnyc.legalserver.org/matter/dynamic-profile/view/1887872","19-1887872")</f>
        <v>0</v>
      </c>
      <c r="B350" t="s">
        <v>57</v>
      </c>
      <c r="C350" t="s">
        <v>166</v>
      </c>
      <c r="D350" t="s">
        <v>238</v>
      </c>
      <c r="E350" t="s">
        <v>544</v>
      </c>
      <c r="F350" t="s">
        <v>866</v>
      </c>
      <c r="G350" t="s">
        <v>1508</v>
      </c>
      <c r="H350" t="s">
        <v>1752</v>
      </c>
      <c r="I350">
        <v>11207</v>
      </c>
      <c r="J350" t="s">
        <v>2002</v>
      </c>
      <c r="K350" t="s">
        <v>2002</v>
      </c>
      <c r="M350" t="s">
        <v>2171</v>
      </c>
      <c r="N350" t="s">
        <v>2413</v>
      </c>
      <c r="O350" t="s">
        <v>2436</v>
      </c>
      <c r="P350" t="s">
        <v>2443</v>
      </c>
      <c r="Q350" t="s">
        <v>2003</v>
      </c>
      <c r="R350" t="s">
        <v>2451</v>
      </c>
      <c r="S350" t="s">
        <v>289</v>
      </c>
      <c r="T350">
        <v>2110</v>
      </c>
      <c r="V350" t="s">
        <v>2514</v>
      </c>
      <c r="W350" t="s">
        <v>2759</v>
      </c>
      <c r="X350">
        <v>8168866</v>
      </c>
      <c r="Y350" t="s">
        <v>3509</v>
      </c>
      <c r="Z350">
        <v>4</v>
      </c>
      <c r="AA350" t="s">
        <v>3784</v>
      </c>
      <c r="AB350" t="s">
        <v>3793</v>
      </c>
      <c r="AC350">
        <v>2</v>
      </c>
      <c r="AD350">
        <v>1</v>
      </c>
      <c r="AE350">
        <v>4</v>
      </c>
      <c r="AF350">
        <v>25.29</v>
      </c>
      <c r="AI350" t="s">
        <v>3809</v>
      </c>
      <c r="AJ350">
        <v>7440</v>
      </c>
      <c r="AP350">
        <v>3.1</v>
      </c>
      <c r="AQ350" t="s">
        <v>289</v>
      </c>
      <c r="AR350" t="s">
        <v>4198</v>
      </c>
      <c r="AS350" t="s">
        <v>4210</v>
      </c>
      <c r="AT350" t="s">
        <v>4219</v>
      </c>
    </row>
    <row r="351" spans="1:46">
      <c r="A351" s="1">
        <f>HYPERLINK("https://lsnyc.legalserver.org/matter/dynamic-profile/view/1895467","19-1895467")</f>
        <v>0</v>
      </c>
      <c r="B351" t="s">
        <v>57</v>
      </c>
      <c r="C351" t="s">
        <v>181</v>
      </c>
      <c r="D351" t="s">
        <v>318</v>
      </c>
      <c r="E351" t="s">
        <v>531</v>
      </c>
      <c r="F351" t="s">
        <v>865</v>
      </c>
      <c r="G351" t="s">
        <v>1498</v>
      </c>
      <c r="H351" t="s">
        <v>1738</v>
      </c>
      <c r="I351">
        <v>11206</v>
      </c>
      <c r="J351" t="s">
        <v>2002</v>
      </c>
      <c r="K351" t="s">
        <v>2002</v>
      </c>
      <c r="L351" t="s">
        <v>2005</v>
      </c>
      <c r="M351" t="s">
        <v>2172</v>
      </c>
      <c r="N351" t="s">
        <v>2424</v>
      </c>
      <c r="O351" t="s">
        <v>2440</v>
      </c>
      <c r="P351" t="s">
        <v>2444</v>
      </c>
      <c r="Q351" t="s">
        <v>2002</v>
      </c>
      <c r="S351" t="s">
        <v>242</v>
      </c>
      <c r="T351">
        <v>1245</v>
      </c>
      <c r="U351" t="s">
        <v>2494</v>
      </c>
      <c r="V351" t="s">
        <v>2514</v>
      </c>
      <c r="W351" t="s">
        <v>2746</v>
      </c>
      <c r="X351" t="s">
        <v>3218</v>
      </c>
      <c r="Z351">
        <v>8</v>
      </c>
      <c r="AA351" t="s">
        <v>3783</v>
      </c>
      <c r="AB351" t="s">
        <v>3799</v>
      </c>
      <c r="AC351">
        <v>1</v>
      </c>
      <c r="AD351">
        <v>2</v>
      </c>
      <c r="AE351">
        <v>0</v>
      </c>
      <c r="AF351">
        <v>106.45</v>
      </c>
      <c r="AI351" t="s">
        <v>3809</v>
      </c>
      <c r="AJ351">
        <v>18000</v>
      </c>
      <c r="AK351" t="s">
        <v>3902</v>
      </c>
      <c r="AP351">
        <v>0.1</v>
      </c>
      <c r="AQ351" t="s">
        <v>278</v>
      </c>
      <c r="AR351" t="s">
        <v>49</v>
      </c>
      <c r="AS351" t="s">
        <v>4210</v>
      </c>
      <c r="AT351" t="s">
        <v>4219</v>
      </c>
    </row>
    <row r="352" spans="1:46">
      <c r="A352" s="1">
        <f>HYPERLINK("https://lsnyc.legalserver.org/matter/dynamic-profile/view/1895463","19-1895463")</f>
        <v>0</v>
      </c>
      <c r="B352" t="s">
        <v>57</v>
      </c>
      <c r="C352" t="s">
        <v>181</v>
      </c>
      <c r="D352" t="s">
        <v>312</v>
      </c>
      <c r="E352" t="s">
        <v>370</v>
      </c>
      <c r="F352" t="s">
        <v>1053</v>
      </c>
      <c r="G352" t="s">
        <v>1498</v>
      </c>
      <c r="H352" t="s">
        <v>1741</v>
      </c>
      <c r="I352">
        <v>11206</v>
      </c>
      <c r="J352" t="s">
        <v>2002</v>
      </c>
      <c r="K352" t="s">
        <v>2002</v>
      </c>
      <c r="L352" t="s">
        <v>2005</v>
      </c>
      <c r="M352" t="s">
        <v>2172</v>
      </c>
      <c r="N352" t="s">
        <v>2424</v>
      </c>
      <c r="O352" t="s">
        <v>2440</v>
      </c>
      <c r="P352" t="s">
        <v>2444</v>
      </c>
      <c r="Q352" t="s">
        <v>2002</v>
      </c>
      <c r="S352" t="s">
        <v>242</v>
      </c>
      <c r="T352">
        <v>872.36</v>
      </c>
      <c r="U352" t="s">
        <v>2494</v>
      </c>
      <c r="V352" t="s">
        <v>2514</v>
      </c>
      <c r="W352" t="s">
        <v>2760</v>
      </c>
      <c r="Y352" t="s">
        <v>3510</v>
      </c>
      <c r="Z352">
        <v>8</v>
      </c>
      <c r="AB352" t="s">
        <v>2006</v>
      </c>
      <c r="AC352">
        <v>0</v>
      </c>
      <c r="AD352">
        <v>1</v>
      </c>
      <c r="AE352">
        <v>0</v>
      </c>
      <c r="AF352">
        <v>167.17</v>
      </c>
      <c r="AI352" t="s">
        <v>3809</v>
      </c>
      <c r="AJ352">
        <v>20880</v>
      </c>
      <c r="AK352" t="s">
        <v>3903</v>
      </c>
      <c r="AN352" t="s">
        <v>4122</v>
      </c>
      <c r="AO352" t="s">
        <v>4137</v>
      </c>
      <c r="AP352">
        <v>0.1</v>
      </c>
      <c r="AQ352" t="s">
        <v>171</v>
      </c>
      <c r="AR352" t="s">
        <v>49</v>
      </c>
      <c r="AS352" t="s">
        <v>4210</v>
      </c>
      <c r="AT352" t="s">
        <v>4219</v>
      </c>
    </row>
    <row r="353" spans="1:46">
      <c r="A353" s="1">
        <f>HYPERLINK("https://lsnyc.legalserver.org/matter/dynamic-profile/view/1895465","19-1895465")</f>
        <v>0</v>
      </c>
      <c r="B353" t="s">
        <v>57</v>
      </c>
      <c r="C353" t="s">
        <v>181</v>
      </c>
      <c r="E353" t="s">
        <v>333</v>
      </c>
      <c r="F353" t="s">
        <v>1054</v>
      </c>
      <c r="G353" t="s">
        <v>1498</v>
      </c>
      <c r="I353">
        <v>11206</v>
      </c>
      <c r="J353" t="s">
        <v>2002</v>
      </c>
      <c r="K353" t="s">
        <v>2002</v>
      </c>
      <c r="L353" t="s">
        <v>2005</v>
      </c>
      <c r="M353" t="s">
        <v>2172</v>
      </c>
      <c r="N353" t="s">
        <v>2424</v>
      </c>
      <c r="O353" t="s">
        <v>2440</v>
      </c>
      <c r="Q353" t="s">
        <v>2002</v>
      </c>
      <c r="S353" t="s">
        <v>242</v>
      </c>
      <c r="T353">
        <v>588</v>
      </c>
      <c r="U353" t="s">
        <v>2497</v>
      </c>
      <c r="W353" t="s">
        <v>2761</v>
      </c>
      <c r="Y353" t="s">
        <v>3511</v>
      </c>
      <c r="Z353">
        <v>8</v>
      </c>
      <c r="AA353" t="s">
        <v>3783</v>
      </c>
      <c r="AC353">
        <v>4</v>
      </c>
      <c r="AD353">
        <v>1</v>
      </c>
      <c r="AE353">
        <v>1</v>
      </c>
      <c r="AF353">
        <v>182.14</v>
      </c>
      <c r="AI353" t="s">
        <v>3809</v>
      </c>
      <c r="AJ353">
        <v>30800</v>
      </c>
      <c r="AK353" t="s">
        <v>3904</v>
      </c>
      <c r="AP353">
        <v>0.1</v>
      </c>
      <c r="AQ353" t="s">
        <v>171</v>
      </c>
      <c r="AR353" t="s">
        <v>49</v>
      </c>
      <c r="AS353" t="s">
        <v>4210</v>
      </c>
      <c r="AT353" t="s">
        <v>4219</v>
      </c>
    </row>
    <row r="354" spans="1:46">
      <c r="A354" s="1">
        <f>HYPERLINK("https://lsnyc.legalserver.org/matter/dynamic-profile/view/1889808","19-1889808")</f>
        <v>0</v>
      </c>
      <c r="B354" t="s">
        <v>57</v>
      </c>
      <c r="C354" t="s">
        <v>160</v>
      </c>
      <c r="D354" t="s">
        <v>141</v>
      </c>
      <c r="E354" t="s">
        <v>351</v>
      </c>
      <c r="F354" t="s">
        <v>1055</v>
      </c>
      <c r="G354" t="s">
        <v>1509</v>
      </c>
      <c r="H354">
        <v>2</v>
      </c>
      <c r="I354">
        <v>11233</v>
      </c>
      <c r="J354" t="s">
        <v>2002</v>
      </c>
      <c r="K354" t="s">
        <v>2002</v>
      </c>
      <c r="M354" t="s">
        <v>2173</v>
      </c>
      <c r="N354" t="s">
        <v>2413</v>
      </c>
      <c r="O354" t="s">
        <v>2436</v>
      </c>
      <c r="P354" t="s">
        <v>2443</v>
      </c>
      <c r="Q354" t="s">
        <v>2003</v>
      </c>
      <c r="S354" t="s">
        <v>282</v>
      </c>
      <c r="T354">
        <v>1500</v>
      </c>
      <c r="U354" t="s">
        <v>2501</v>
      </c>
      <c r="V354" t="s">
        <v>2514</v>
      </c>
      <c r="W354" t="s">
        <v>2762</v>
      </c>
      <c r="X354" t="s">
        <v>3160</v>
      </c>
      <c r="Y354" t="s">
        <v>3512</v>
      </c>
      <c r="Z354">
        <v>3</v>
      </c>
      <c r="AA354" t="s">
        <v>3784</v>
      </c>
      <c r="AB354" t="s">
        <v>2006</v>
      </c>
      <c r="AC354">
        <v>3</v>
      </c>
      <c r="AD354">
        <v>2</v>
      </c>
      <c r="AE354">
        <v>1</v>
      </c>
      <c r="AF354">
        <v>0</v>
      </c>
      <c r="AI354" t="s">
        <v>3809</v>
      </c>
      <c r="AJ354">
        <v>0</v>
      </c>
      <c r="AP354">
        <v>1.8</v>
      </c>
      <c r="AQ354" t="s">
        <v>282</v>
      </c>
      <c r="AR354" t="s">
        <v>4185</v>
      </c>
      <c r="AS354" t="s">
        <v>4210</v>
      </c>
      <c r="AT354" t="s">
        <v>4219</v>
      </c>
    </row>
    <row r="355" spans="1:46">
      <c r="A355" s="1">
        <f>HYPERLINK("https://lsnyc.legalserver.org/matter/dynamic-profile/view/1890203","19-1890203")</f>
        <v>0</v>
      </c>
      <c r="B355" t="s">
        <v>57</v>
      </c>
      <c r="C355" t="s">
        <v>210</v>
      </c>
      <c r="D355" t="s">
        <v>141</v>
      </c>
      <c r="E355" t="s">
        <v>503</v>
      </c>
      <c r="F355" t="s">
        <v>975</v>
      </c>
      <c r="G355" t="s">
        <v>1510</v>
      </c>
      <c r="H355">
        <v>1</v>
      </c>
      <c r="I355">
        <v>11233</v>
      </c>
      <c r="J355" t="s">
        <v>2002</v>
      </c>
      <c r="K355" t="s">
        <v>2002</v>
      </c>
      <c r="M355" t="s">
        <v>2174</v>
      </c>
      <c r="N355" t="s">
        <v>2413</v>
      </c>
      <c r="O355" t="s">
        <v>2436</v>
      </c>
      <c r="P355" t="s">
        <v>2443</v>
      </c>
      <c r="Q355" t="s">
        <v>2003</v>
      </c>
      <c r="R355" t="s">
        <v>2451</v>
      </c>
      <c r="S355" t="s">
        <v>282</v>
      </c>
      <c r="T355">
        <v>650</v>
      </c>
      <c r="U355" t="s">
        <v>2502</v>
      </c>
      <c r="V355" t="s">
        <v>2514</v>
      </c>
      <c r="W355" t="s">
        <v>2763</v>
      </c>
      <c r="Y355" t="s">
        <v>3513</v>
      </c>
      <c r="Z355">
        <v>5</v>
      </c>
      <c r="AA355" t="s">
        <v>3784</v>
      </c>
      <c r="AB355" t="s">
        <v>2006</v>
      </c>
      <c r="AC355">
        <v>3</v>
      </c>
      <c r="AD355">
        <v>2</v>
      </c>
      <c r="AE355">
        <v>0</v>
      </c>
      <c r="AF355">
        <v>46.13</v>
      </c>
      <c r="AI355" t="s">
        <v>3809</v>
      </c>
      <c r="AJ355">
        <v>7800</v>
      </c>
      <c r="AO355" t="s">
        <v>4138</v>
      </c>
      <c r="AP355">
        <v>1.8</v>
      </c>
      <c r="AQ355" t="s">
        <v>282</v>
      </c>
      <c r="AR355" t="s">
        <v>4185</v>
      </c>
      <c r="AS355" t="s">
        <v>4210</v>
      </c>
      <c r="AT355" t="s">
        <v>4219</v>
      </c>
    </row>
    <row r="356" spans="1:46">
      <c r="A356" s="1">
        <f>HYPERLINK("https://lsnyc.legalserver.org/matter/dynamic-profile/view/1895370","19-1895370")</f>
        <v>0</v>
      </c>
      <c r="B356" t="s">
        <v>57</v>
      </c>
      <c r="C356" t="s">
        <v>76</v>
      </c>
      <c r="E356" t="s">
        <v>534</v>
      </c>
      <c r="F356" t="s">
        <v>770</v>
      </c>
      <c r="G356" t="s">
        <v>1369</v>
      </c>
      <c r="H356" t="s">
        <v>1773</v>
      </c>
      <c r="I356">
        <v>11212</v>
      </c>
      <c r="J356" t="s">
        <v>2002</v>
      </c>
      <c r="K356" t="s">
        <v>2002</v>
      </c>
      <c r="N356" t="s">
        <v>2416</v>
      </c>
      <c r="O356" t="s">
        <v>2438</v>
      </c>
      <c r="Q356" t="s">
        <v>2002</v>
      </c>
      <c r="S356" t="s">
        <v>76</v>
      </c>
      <c r="T356">
        <v>8730</v>
      </c>
      <c r="U356" t="s">
        <v>2502</v>
      </c>
      <c r="W356" t="s">
        <v>2749</v>
      </c>
      <c r="X356" t="s">
        <v>3222</v>
      </c>
      <c r="Y356" t="s">
        <v>3499</v>
      </c>
      <c r="Z356">
        <v>10</v>
      </c>
      <c r="AA356" t="s">
        <v>3783</v>
      </c>
      <c r="AB356" t="s">
        <v>3799</v>
      </c>
      <c r="AC356">
        <v>1</v>
      </c>
      <c r="AD356">
        <v>1</v>
      </c>
      <c r="AE356">
        <v>0</v>
      </c>
      <c r="AF356">
        <v>16.24</v>
      </c>
      <c r="AI356" t="s">
        <v>3809</v>
      </c>
      <c r="AJ356">
        <v>2028</v>
      </c>
      <c r="AP356">
        <v>0</v>
      </c>
      <c r="AR356" t="s">
        <v>49</v>
      </c>
      <c r="AS356" t="s">
        <v>4210</v>
      </c>
      <c r="AT356" t="s">
        <v>4219</v>
      </c>
    </row>
    <row r="357" spans="1:46">
      <c r="A357" s="1">
        <f>HYPERLINK("https://lsnyc.legalserver.org/matter/dynamic-profile/view/1895376","19-1895376")</f>
        <v>0</v>
      </c>
      <c r="B357" t="s">
        <v>57</v>
      </c>
      <c r="C357" t="s">
        <v>76</v>
      </c>
      <c r="E357" t="s">
        <v>539</v>
      </c>
      <c r="F357" t="s">
        <v>1048</v>
      </c>
      <c r="G357" t="s">
        <v>1369</v>
      </c>
      <c r="H357" t="s">
        <v>1764</v>
      </c>
      <c r="I357">
        <v>11212</v>
      </c>
      <c r="J357" t="s">
        <v>2002</v>
      </c>
      <c r="K357" t="s">
        <v>2002</v>
      </c>
      <c r="N357" t="s">
        <v>2416</v>
      </c>
      <c r="O357" t="s">
        <v>2438</v>
      </c>
      <c r="Q357" t="s">
        <v>2002</v>
      </c>
      <c r="S357" t="s">
        <v>76</v>
      </c>
      <c r="T357">
        <v>389.17</v>
      </c>
      <c r="U357" t="s">
        <v>2494</v>
      </c>
      <c r="W357" t="s">
        <v>2754</v>
      </c>
      <c r="Y357" t="s">
        <v>3505</v>
      </c>
      <c r="Z357">
        <v>10</v>
      </c>
      <c r="AA357" t="s">
        <v>3783</v>
      </c>
      <c r="AB357" t="s">
        <v>2006</v>
      </c>
      <c r="AC357">
        <v>6</v>
      </c>
      <c r="AD357">
        <v>1</v>
      </c>
      <c r="AE357">
        <v>0</v>
      </c>
      <c r="AF357">
        <v>72.86</v>
      </c>
      <c r="AI357" t="s">
        <v>3809</v>
      </c>
      <c r="AJ357">
        <v>9100</v>
      </c>
      <c r="AP357">
        <v>0</v>
      </c>
      <c r="AR357" t="s">
        <v>49</v>
      </c>
      <c r="AS357" t="s">
        <v>4210</v>
      </c>
      <c r="AT357" t="s">
        <v>4219</v>
      </c>
    </row>
    <row r="358" spans="1:46">
      <c r="A358" s="1">
        <f>HYPERLINK("https://lsnyc.legalserver.org/matter/dynamic-profile/view/1895312","19-1895312")</f>
        <v>0</v>
      </c>
      <c r="B358" t="s">
        <v>57</v>
      </c>
      <c r="C358" t="s">
        <v>76</v>
      </c>
      <c r="E358" t="s">
        <v>464</v>
      </c>
      <c r="F358" t="s">
        <v>1056</v>
      </c>
      <c r="G358" t="s">
        <v>1503</v>
      </c>
      <c r="H358" t="s">
        <v>1741</v>
      </c>
      <c r="I358">
        <v>11212</v>
      </c>
      <c r="J358" t="s">
        <v>2002</v>
      </c>
      <c r="K358" t="s">
        <v>2002</v>
      </c>
      <c r="N358" t="s">
        <v>2416</v>
      </c>
      <c r="O358" t="s">
        <v>2437</v>
      </c>
      <c r="Q358" t="s">
        <v>2002</v>
      </c>
      <c r="S358" t="s">
        <v>76</v>
      </c>
      <c r="T358">
        <v>625.95</v>
      </c>
      <c r="U358" t="s">
        <v>2494</v>
      </c>
      <c r="W358" t="s">
        <v>2764</v>
      </c>
      <c r="Y358" t="s">
        <v>3514</v>
      </c>
      <c r="Z358">
        <v>8</v>
      </c>
      <c r="AA358" t="s">
        <v>3783</v>
      </c>
      <c r="AB358" t="s">
        <v>2006</v>
      </c>
      <c r="AC358">
        <v>22</v>
      </c>
      <c r="AD358">
        <v>2</v>
      </c>
      <c r="AE358">
        <v>0</v>
      </c>
      <c r="AF358">
        <v>165.58</v>
      </c>
      <c r="AI358" t="s">
        <v>3809</v>
      </c>
      <c r="AJ358">
        <v>28000</v>
      </c>
      <c r="AK358" t="s">
        <v>3905</v>
      </c>
      <c r="AP358">
        <v>0</v>
      </c>
      <c r="AR358" t="s">
        <v>4185</v>
      </c>
      <c r="AS358" t="s">
        <v>4210</v>
      </c>
      <c r="AT358" t="s">
        <v>4219</v>
      </c>
    </row>
    <row r="359" spans="1:46">
      <c r="A359" s="1">
        <f>HYPERLINK("https://lsnyc.legalserver.org/matter/dynamic-profile/view/1895477","19-1895477")</f>
        <v>0</v>
      </c>
      <c r="B359" t="s">
        <v>57</v>
      </c>
      <c r="C359" t="s">
        <v>181</v>
      </c>
      <c r="E359" t="s">
        <v>370</v>
      </c>
      <c r="F359" t="s">
        <v>1053</v>
      </c>
      <c r="G359" t="s">
        <v>1498</v>
      </c>
      <c r="H359" t="s">
        <v>1741</v>
      </c>
      <c r="I359">
        <v>11206</v>
      </c>
      <c r="J359" t="s">
        <v>2002</v>
      </c>
      <c r="K359" t="s">
        <v>2002</v>
      </c>
      <c r="M359" t="s">
        <v>2132</v>
      </c>
      <c r="N359" t="s">
        <v>2027</v>
      </c>
      <c r="O359" t="s">
        <v>2436</v>
      </c>
      <c r="Q359" t="s">
        <v>2002</v>
      </c>
      <c r="S359" t="s">
        <v>76</v>
      </c>
      <c r="T359">
        <v>872.36</v>
      </c>
      <c r="U359" t="s">
        <v>2494</v>
      </c>
      <c r="W359" t="s">
        <v>2760</v>
      </c>
      <c r="Y359" t="s">
        <v>3510</v>
      </c>
      <c r="Z359">
        <v>8</v>
      </c>
      <c r="AA359" t="s">
        <v>3783</v>
      </c>
      <c r="AB359" t="s">
        <v>2006</v>
      </c>
      <c r="AC359">
        <v>0</v>
      </c>
      <c r="AD359">
        <v>1</v>
      </c>
      <c r="AE359">
        <v>0</v>
      </c>
      <c r="AF359">
        <v>167.17</v>
      </c>
      <c r="AI359" t="s">
        <v>3809</v>
      </c>
      <c r="AJ359">
        <v>20880</v>
      </c>
      <c r="AK359" t="s">
        <v>3903</v>
      </c>
      <c r="AP359">
        <v>0.1</v>
      </c>
      <c r="AQ359" t="s">
        <v>258</v>
      </c>
      <c r="AR359" t="s">
        <v>49</v>
      </c>
      <c r="AS359" t="s">
        <v>4210</v>
      </c>
      <c r="AT359" t="s">
        <v>4219</v>
      </c>
    </row>
    <row r="360" spans="1:46">
      <c r="A360" s="1">
        <f>HYPERLINK("https://lsnyc.legalserver.org/matter/dynamic-profile/view/1895306","19-1895306")</f>
        <v>0</v>
      </c>
      <c r="B360" t="s">
        <v>57</v>
      </c>
      <c r="C360" t="s">
        <v>76</v>
      </c>
      <c r="E360" t="s">
        <v>536</v>
      </c>
      <c r="F360" t="s">
        <v>1046</v>
      </c>
      <c r="G360" t="s">
        <v>1503</v>
      </c>
      <c r="H360" t="s">
        <v>1791</v>
      </c>
      <c r="I360">
        <v>11212</v>
      </c>
      <c r="J360" t="s">
        <v>2002</v>
      </c>
      <c r="K360" t="s">
        <v>2002</v>
      </c>
      <c r="N360" t="s">
        <v>2416</v>
      </c>
      <c r="O360" t="s">
        <v>2438</v>
      </c>
      <c r="Q360" t="s">
        <v>2002</v>
      </c>
      <c r="S360" t="s">
        <v>76</v>
      </c>
      <c r="T360">
        <v>839.77</v>
      </c>
      <c r="U360" t="s">
        <v>2494</v>
      </c>
      <c r="W360" t="s">
        <v>2751</v>
      </c>
      <c r="Y360" t="s">
        <v>3502</v>
      </c>
      <c r="Z360">
        <v>8</v>
      </c>
      <c r="AA360" t="s">
        <v>3783</v>
      </c>
      <c r="AB360" t="s">
        <v>2006</v>
      </c>
      <c r="AC360">
        <v>24</v>
      </c>
      <c r="AD360">
        <v>1</v>
      </c>
      <c r="AE360">
        <v>0</v>
      </c>
      <c r="AF360">
        <v>248.47</v>
      </c>
      <c r="AI360" t="s">
        <v>3809</v>
      </c>
      <c r="AJ360">
        <v>31033.6</v>
      </c>
      <c r="AP360">
        <v>0</v>
      </c>
      <c r="AR360" t="s">
        <v>4185</v>
      </c>
      <c r="AS360" t="s">
        <v>4210</v>
      </c>
      <c r="AT360" t="s">
        <v>4219</v>
      </c>
    </row>
    <row r="361" spans="1:46">
      <c r="A361" s="1">
        <f>HYPERLINK("https://lsnyc.legalserver.org/matter/dynamic-profile/view/1895374","19-1895374")</f>
        <v>0</v>
      </c>
      <c r="B361" t="s">
        <v>57</v>
      </c>
      <c r="C361" t="s">
        <v>76</v>
      </c>
      <c r="E361" t="s">
        <v>542</v>
      </c>
      <c r="F361" t="s">
        <v>1051</v>
      </c>
      <c r="G361" t="s">
        <v>1369</v>
      </c>
      <c r="H361" t="s">
        <v>1791</v>
      </c>
      <c r="I361">
        <v>11212</v>
      </c>
      <c r="J361" t="s">
        <v>2002</v>
      </c>
      <c r="K361" t="s">
        <v>2002</v>
      </c>
      <c r="N361" t="s">
        <v>2416</v>
      </c>
      <c r="O361" t="s">
        <v>2438</v>
      </c>
      <c r="Q361" t="s">
        <v>2002</v>
      </c>
      <c r="S361" t="s">
        <v>76</v>
      </c>
      <c r="T361">
        <v>1122</v>
      </c>
      <c r="U361" t="s">
        <v>2494</v>
      </c>
      <c r="W361" t="s">
        <v>2757</v>
      </c>
      <c r="Z361">
        <v>0</v>
      </c>
      <c r="AA361" t="s">
        <v>3783</v>
      </c>
      <c r="AC361">
        <v>3</v>
      </c>
      <c r="AD361">
        <v>2</v>
      </c>
      <c r="AE361">
        <v>0</v>
      </c>
      <c r="AF361">
        <v>336.72</v>
      </c>
      <c r="AG361" t="s">
        <v>314</v>
      </c>
      <c r="AH361" t="s">
        <v>3806</v>
      </c>
      <c r="AI361" t="s">
        <v>3809</v>
      </c>
      <c r="AJ361">
        <v>56940</v>
      </c>
      <c r="AP361">
        <v>0</v>
      </c>
      <c r="AR361" t="s">
        <v>49</v>
      </c>
      <c r="AS361" t="s">
        <v>4210</v>
      </c>
      <c r="AT361" t="s">
        <v>4219</v>
      </c>
    </row>
    <row r="362" spans="1:46">
      <c r="A362" s="1">
        <f>HYPERLINK("https://lsnyc.legalserver.org/matter/dynamic-profile/view/1895343","19-1895343")</f>
        <v>0</v>
      </c>
      <c r="B362" t="s">
        <v>57</v>
      </c>
      <c r="C362" t="s">
        <v>76</v>
      </c>
      <c r="E362" t="s">
        <v>538</v>
      </c>
      <c r="F362" t="s">
        <v>503</v>
      </c>
      <c r="G362" t="s">
        <v>1369</v>
      </c>
      <c r="I362">
        <v>11212</v>
      </c>
      <c r="J362" t="s">
        <v>2002</v>
      </c>
      <c r="K362" t="s">
        <v>2002</v>
      </c>
      <c r="N362" t="s">
        <v>2416</v>
      </c>
      <c r="O362" t="s">
        <v>2438</v>
      </c>
      <c r="Q362" t="s">
        <v>2002</v>
      </c>
      <c r="S362" t="s">
        <v>76</v>
      </c>
      <c r="T362">
        <v>770.47</v>
      </c>
      <c r="U362" t="s">
        <v>2494</v>
      </c>
      <c r="W362" t="s">
        <v>2753</v>
      </c>
      <c r="Y362" t="s">
        <v>3504</v>
      </c>
      <c r="Z362">
        <v>19</v>
      </c>
      <c r="AA362" t="s">
        <v>3783</v>
      </c>
      <c r="AB362" t="s">
        <v>2006</v>
      </c>
      <c r="AC362">
        <v>21</v>
      </c>
      <c r="AD362">
        <v>2</v>
      </c>
      <c r="AE362">
        <v>0</v>
      </c>
      <c r="AF362">
        <v>354.82</v>
      </c>
      <c r="AI362" t="s">
        <v>3809</v>
      </c>
      <c r="AJ362">
        <v>60000</v>
      </c>
      <c r="AP362">
        <v>0</v>
      </c>
      <c r="AR362" t="s">
        <v>49</v>
      </c>
      <c r="AS362" t="s">
        <v>4210</v>
      </c>
      <c r="AT362" t="s">
        <v>4219</v>
      </c>
    </row>
    <row r="363" spans="1:46">
      <c r="A363" s="1">
        <f>HYPERLINK("https://lsnyc.legalserver.org/matter/dynamic-profile/view/1896730","19-1896730")</f>
        <v>0</v>
      </c>
      <c r="B363" t="s">
        <v>57</v>
      </c>
      <c r="C363" t="s">
        <v>144</v>
      </c>
      <c r="E363" t="s">
        <v>531</v>
      </c>
      <c r="F363" t="s">
        <v>865</v>
      </c>
      <c r="G363" t="s">
        <v>1498</v>
      </c>
      <c r="H363" t="s">
        <v>1738</v>
      </c>
      <c r="I363">
        <v>11206</v>
      </c>
      <c r="J363" t="s">
        <v>2002</v>
      </c>
      <c r="K363" t="s">
        <v>2002</v>
      </c>
      <c r="L363" t="s">
        <v>2005</v>
      </c>
      <c r="M363" t="s">
        <v>2175</v>
      </c>
      <c r="N363" t="s">
        <v>2415</v>
      </c>
      <c r="O363" t="s">
        <v>2437</v>
      </c>
      <c r="Q363" t="s">
        <v>2003</v>
      </c>
      <c r="R363" t="s">
        <v>2451</v>
      </c>
      <c r="S363" t="s">
        <v>259</v>
      </c>
      <c r="T363">
        <v>1245</v>
      </c>
      <c r="U363" t="s">
        <v>2497</v>
      </c>
      <c r="W363" t="s">
        <v>2746</v>
      </c>
      <c r="X363" t="s">
        <v>3218</v>
      </c>
      <c r="Z363">
        <v>8</v>
      </c>
      <c r="AA363" t="s">
        <v>3783</v>
      </c>
      <c r="AC363">
        <v>2</v>
      </c>
      <c r="AD363">
        <v>2</v>
      </c>
      <c r="AE363">
        <v>0</v>
      </c>
      <c r="AF363">
        <v>1.27</v>
      </c>
      <c r="AI363" t="s">
        <v>3809</v>
      </c>
      <c r="AJ363">
        <v>215</v>
      </c>
      <c r="AK363" t="s">
        <v>3906</v>
      </c>
      <c r="AP363">
        <v>36.9</v>
      </c>
      <c r="AQ363" t="s">
        <v>318</v>
      </c>
      <c r="AR363" t="s">
        <v>57</v>
      </c>
      <c r="AS363" t="s">
        <v>4210</v>
      </c>
      <c r="AT363" t="s">
        <v>4219</v>
      </c>
    </row>
    <row r="364" spans="1:46">
      <c r="A364" s="1">
        <f>HYPERLINK("https://lsnyc.legalserver.org/matter/dynamic-profile/view/1896527","19-1896527")</f>
        <v>0</v>
      </c>
      <c r="B364" t="s">
        <v>57</v>
      </c>
      <c r="C364" t="s">
        <v>168</v>
      </c>
      <c r="D364" t="s">
        <v>272</v>
      </c>
      <c r="E364" t="s">
        <v>545</v>
      </c>
      <c r="F364" t="s">
        <v>1057</v>
      </c>
      <c r="G364" t="s">
        <v>1511</v>
      </c>
      <c r="H364">
        <v>2</v>
      </c>
      <c r="I364">
        <v>11213</v>
      </c>
      <c r="J364" t="s">
        <v>2002</v>
      </c>
      <c r="K364" t="s">
        <v>2002</v>
      </c>
      <c r="M364" t="s">
        <v>2176</v>
      </c>
      <c r="N364" t="s">
        <v>2413</v>
      </c>
      <c r="O364" t="s">
        <v>2436</v>
      </c>
      <c r="P364" t="s">
        <v>2443</v>
      </c>
      <c r="Q364" t="s">
        <v>2003</v>
      </c>
      <c r="R364" t="s">
        <v>2451</v>
      </c>
      <c r="S364" t="s">
        <v>102</v>
      </c>
      <c r="T364">
        <v>0</v>
      </c>
      <c r="U364" t="s">
        <v>2496</v>
      </c>
      <c r="V364" t="s">
        <v>2514</v>
      </c>
      <c r="W364" t="s">
        <v>2765</v>
      </c>
      <c r="Y364" t="s">
        <v>3515</v>
      </c>
      <c r="Z364">
        <v>2</v>
      </c>
      <c r="AA364" t="s">
        <v>3784</v>
      </c>
      <c r="AC364">
        <v>2</v>
      </c>
      <c r="AD364">
        <v>1</v>
      </c>
      <c r="AE364">
        <v>0</v>
      </c>
      <c r="AF364">
        <v>76</v>
      </c>
      <c r="AI364" t="s">
        <v>3809</v>
      </c>
      <c r="AJ364">
        <v>9492</v>
      </c>
      <c r="AP364">
        <v>0.5</v>
      </c>
      <c r="AQ364" t="s">
        <v>168</v>
      </c>
      <c r="AR364" t="s">
        <v>57</v>
      </c>
      <c r="AS364" t="s">
        <v>4210</v>
      </c>
      <c r="AT364" t="s">
        <v>4219</v>
      </c>
    </row>
    <row r="365" spans="1:46">
      <c r="A365" s="1">
        <f>HYPERLINK("https://lsnyc.legalserver.org/matter/dynamic-profile/view/1896502","19-1896502")</f>
        <v>0</v>
      </c>
      <c r="B365" t="s">
        <v>57</v>
      </c>
      <c r="C365" t="s">
        <v>168</v>
      </c>
      <c r="E365" t="s">
        <v>546</v>
      </c>
      <c r="F365" t="s">
        <v>1058</v>
      </c>
      <c r="G365" t="s">
        <v>1512</v>
      </c>
      <c r="H365">
        <v>7</v>
      </c>
      <c r="I365">
        <v>11233</v>
      </c>
      <c r="J365" t="s">
        <v>2002</v>
      </c>
      <c r="K365" t="s">
        <v>2002</v>
      </c>
      <c r="N365" t="s">
        <v>2414</v>
      </c>
      <c r="O365" t="s">
        <v>2436</v>
      </c>
      <c r="S365" t="s">
        <v>169</v>
      </c>
      <c r="T365">
        <v>859</v>
      </c>
      <c r="W365" t="s">
        <v>2766</v>
      </c>
      <c r="Y365" t="s">
        <v>3516</v>
      </c>
      <c r="Z365">
        <v>12</v>
      </c>
      <c r="AA365" t="s">
        <v>3783</v>
      </c>
      <c r="AB365" t="s">
        <v>3793</v>
      </c>
      <c r="AC365">
        <v>0</v>
      </c>
      <c r="AD365">
        <v>1</v>
      </c>
      <c r="AE365">
        <v>0</v>
      </c>
      <c r="AF365">
        <v>74.36</v>
      </c>
      <c r="AI365" t="s">
        <v>3809</v>
      </c>
      <c r="AJ365">
        <v>9288</v>
      </c>
      <c r="AP365">
        <v>43.6</v>
      </c>
      <c r="AQ365" t="s">
        <v>332</v>
      </c>
      <c r="AR365" t="s">
        <v>57</v>
      </c>
      <c r="AS365" t="s">
        <v>4210</v>
      </c>
      <c r="AT365" t="s">
        <v>4219</v>
      </c>
    </row>
    <row r="366" spans="1:46">
      <c r="A366" s="1">
        <f>HYPERLINK("https://lsnyc.legalserver.org/matter/dynamic-profile/view/1898288","19-1898288")</f>
        <v>0</v>
      </c>
      <c r="B366" t="s">
        <v>57</v>
      </c>
      <c r="C366" t="s">
        <v>182</v>
      </c>
      <c r="D366" t="s">
        <v>171</v>
      </c>
      <c r="E366" t="s">
        <v>333</v>
      </c>
      <c r="F366" t="s">
        <v>1054</v>
      </c>
      <c r="G366" t="s">
        <v>1498</v>
      </c>
      <c r="I366">
        <v>11206</v>
      </c>
      <c r="J366" t="s">
        <v>2002</v>
      </c>
      <c r="K366" t="s">
        <v>2002</v>
      </c>
      <c r="M366" t="s">
        <v>2177</v>
      </c>
      <c r="N366" t="s">
        <v>2415</v>
      </c>
      <c r="O366" t="s">
        <v>2437</v>
      </c>
      <c r="P366" t="s">
        <v>2444</v>
      </c>
      <c r="Q366" t="s">
        <v>2003</v>
      </c>
      <c r="R366" t="s">
        <v>2451</v>
      </c>
      <c r="S366" t="s">
        <v>182</v>
      </c>
      <c r="T366">
        <v>580</v>
      </c>
      <c r="U366" t="s">
        <v>2497</v>
      </c>
      <c r="V366" t="s">
        <v>2516</v>
      </c>
      <c r="W366" t="s">
        <v>2761</v>
      </c>
      <c r="Y366" t="s">
        <v>3511</v>
      </c>
      <c r="Z366">
        <v>8</v>
      </c>
      <c r="AA366" t="s">
        <v>3783</v>
      </c>
      <c r="AC366">
        <v>6</v>
      </c>
      <c r="AD366">
        <v>1</v>
      </c>
      <c r="AE366">
        <v>1</v>
      </c>
      <c r="AF366">
        <v>224.72</v>
      </c>
      <c r="AG366" t="s">
        <v>279</v>
      </c>
      <c r="AH366" t="s">
        <v>3806</v>
      </c>
      <c r="AI366" t="s">
        <v>3809</v>
      </c>
      <c r="AJ366">
        <v>38000</v>
      </c>
      <c r="AP366">
        <v>2.7</v>
      </c>
      <c r="AQ366" t="s">
        <v>307</v>
      </c>
      <c r="AR366" t="s">
        <v>57</v>
      </c>
      <c r="AS366" t="s">
        <v>4210</v>
      </c>
      <c r="AT366" t="s">
        <v>4219</v>
      </c>
    </row>
    <row r="367" spans="1:46">
      <c r="A367" s="1">
        <f>HYPERLINK("https://lsnyc.legalserver.org/matter/dynamic-profile/view/1896360","19-1896360")</f>
        <v>0</v>
      </c>
      <c r="B367" t="s">
        <v>57</v>
      </c>
      <c r="C367" t="s">
        <v>102</v>
      </c>
      <c r="E367" t="s">
        <v>547</v>
      </c>
      <c r="F367" t="s">
        <v>1059</v>
      </c>
      <c r="G367" t="s">
        <v>1513</v>
      </c>
      <c r="H367" t="s">
        <v>1828</v>
      </c>
      <c r="I367">
        <v>11212</v>
      </c>
      <c r="J367" t="s">
        <v>2002</v>
      </c>
      <c r="K367" t="s">
        <v>2003</v>
      </c>
      <c r="L367" t="s">
        <v>2005</v>
      </c>
      <c r="M367" t="s">
        <v>2178</v>
      </c>
      <c r="N367" t="s">
        <v>2413</v>
      </c>
      <c r="O367" t="s">
        <v>2436</v>
      </c>
      <c r="Q367" t="s">
        <v>2003</v>
      </c>
      <c r="R367" t="s">
        <v>2451</v>
      </c>
      <c r="S367" t="s">
        <v>255</v>
      </c>
      <c r="T367">
        <v>2100</v>
      </c>
      <c r="W367" t="s">
        <v>2629</v>
      </c>
      <c r="Y367" t="s">
        <v>3517</v>
      </c>
      <c r="Z367">
        <v>2</v>
      </c>
      <c r="AA367" t="s">
        <v>3784</v>
      </c>
      <c r="AB367" t="s">
        <v>2006</v>
      </c>
      <c r="AC367">
        <v>5</v>
      </c>
      <c r="AD367">
        <v>2</v>
      </c>
      <c r="AE367">
        <v>3</v>
      </c>
      <c r="AF367">
        <v>198.61</v>
      </c>
      <c r="AI367" t="s">
        <v>3809</v>
      </c>
      <c r="AJ367">
        <v>59920</v>
      </c>
      <c r="AK367" t="s">
        <v>3907</v>
      </c>
      <c r="AO367" t="s">
        <v>4139</v>
      </c>
      <c r="AP367">
        <v>3</v>
      </c>
      <c r="AQ367" t="s">
        <v>255</v>
      </c>
      <c r="AR367" t="s">
        <v>4192</v>
      </c>
      <c r="AS367" t="s">
        <v>4210</v>
      </c>
      <c r="AT367" t="s">
        <v>4219</v>
      </c>
    </row>
    <row r="368" spans="1:46">
      <c r="A368" s="1">
        <f>HYPERLINK("https://lsnyc.legalserver.org/matter/dynamic-profile/view/1883510","18-1883510")</f>
        <v>0</v>
      </c>
      <c r="B368" t="s">
        <v>58</v>
      </c>
      <c r="C368" t="s">
        <v>120</v>
      </c>
      <c r="D368" t="s">
        <v>320</v>
      </c>
      <c r="E368" t="s">
        <v>548</v>
      </c>
      <c r="F368" t="s">
        <v>1060</v>
      </c>
      <c r="G368" t="s">
        <v>1514</v>
      </c>
      <c r="H368" t="s">
        <v>1768</v>
      </c>
      <c r="I368">
        <v>11233</v>
      </c>
      <c r="J368" t="s">
        <v>2003</v>
      </c>
      <c r="K368" t="s">
        <v>2002</v>
      </c>
      <c r="M368" t="s">
        <v>2027</v>
      </c>
      <c r="N368" t="s">
        <v>2419</v>
      </c>
      <c r="O368" t="s">
        <v>2439</v>
      </c>
      <c r="P368" t="s">
        <v>2444</v>
      </c>
      <c r="Q368" t="s">
        <v>2003</v>
      </c>
      <c r="R368" t="s">
        <v>2451</v>
      </c>
      <c r="S368" t="s">
        <v>120</v>
      </c>
      <c r="T368">
        <v>1066</v>
      </c>
      <c r="U368" t="s">
        <v>2502</v>
      </c>
      <c r="V368" t="s">
        <v>2515</v>
      </c>
      <c r="W368" t="s">
        <v>2767</v>
      </c>
      <c r="Y368" t="s">
        <v>3518</v>
      </c>
      <c r="Z368">
        <v>6</v>
      </c>
      <c r="AA368" t="s">
        <v>3783</v>
      </c>
      <c r="AB368" t="s">
        <v>2006</v>
      </c>
      <c r="AC368">
        <v>20</v>
      </c>
      <c r="AD368">
        <v>2</v>
      </c>
      <c r="AE368">
        <v>1</v>
      </c>
      <c r="AF368">
        <v>447.55</v>
      </c>
      <c r="AI368" t="s">
        <v>3809</v>
      </c>
      <c r="AJ368">
        <v>93000</v>
      </c>
      <c r="AP368">
        <v>1</v>
      </c>
      <c r="AQ368" t="s">
        <v>120</v>
      </c>
      <c r="AR368" t="s">
        <v>4185</v>
      </c>
      <c r="AS368" t="s">
        <v>4210</v>
      </c>
      <c r="AT368" t="s">
        <v>4219</v>
      </c>
    </row>
    <row r="369" spans="1:46">
      <c r="A369" s="1">
        <f>HYPERLINK("https://lsnyc.legalserver.org/matter/dynamic-profile/view/1886735","18-1886735")</f>
        <v>0</v>
      </c>
      <c r="B369" t="s">
        <v>58</v>
      </c>
      <c r="C369" t="s">
        <v>128</v>
      </c>
      <c r="D369" t="s">
        <v>320</v>
      </c>
      <c r="E369" t="s">
        <v>549</v>
      </c>
      <c r="F369" t="s">
        <v>1061</v>
      </c>
      <c r="G369" t="s">
        <v>1515</v>
      </c>
      <c r="H369" t="s">
        <v>1829</v>
      </c>
      <c r="I369">
        <v>11233</v>
      </c>
      <c r="J369" t="s">
        <v>2002</v>
      </c>
      <c r="K369" t="s">
        <v>2002</v>
      </c>
      <c r="L369" t="s">
        <v>2005</v>
      </c>
      <c r="M369" t="s">
        <v>2179</v>
      </c>
      <c r="N369" t="s">
        <v>2413</v>
      </c>
      <c r="O369" t="s">
        <v>2436</v>
      </c>
      <c r="P369" t="s">
        <v>2443</v>
      </c>
      <c r="Q369" t="s">
        <v>2003</v>
      </c>
      <c r="S369" t="s">
        <v>289</v>
      </c>
      <c r="T369">
        <v>1860</v>
      </c>
      <c r="V369" t="s">
        <v>2515</v>
      </c>
      <c r="W369" t="s">
        <v>2768</v>
      </c>
      <c r="Y369" t="s">
        <v>3519</v>
      </c>
      <c r="Z369">
        <v>2</v>
      </c>
      <c r="AB369" t="s">
        <v>2006</v>
      </c>
      <c r="AC369">
        <v>2</v>
      </c>
      <c r="AD369">
        <v>1</v>
      </c>
      <c r="AE369">
        <v>0</v>
      </c>
      <c r="AF369">
        <v>59.31</v>
      </c>
      <c r="AI369" t="s">
        <v>3809</v>
      </c>
      <c r="AJ369">
        <v>7200</v>
      </c>
      <c r="AP369">
        <v>0.9</v>
      </c>
      <c r="AQ369" t="s">
        <v>128</v>
      </c>
      <c r="AR369" t="s">
        <v>4197</v>
      </c>
      <c r="AS369" t="s">
        <v>4210</v>
      </c>
      <c r="AT369" t="s">
        <v>4219</v>
      </c>
    </row>
    <row r="370" spans="1:46">
      <c r="A370" s="1">
        <f>HYPERLINK("https://lsnyc.legalserver.org/matter/dynamic-profile/view/1870843","18-1870843")</f>
        <v>0</v>
      </c>
      <c r="B370" t="s">
        <v>59</v>
      </c>
      <c r="C370" t="s">
        <v>211</v>
      </c>
      <c r="D370" t="s">
        <v>121</v>
      </c>
      <c r="E370" t="s">
        <v>550</v>
      </c>
      <c r="F370" t="s">
        <v>1062</v>
      </c>
      <c r="G370" t="s">
        <v>1516</v>
      </c>
      <c r="H370" t="s">
        <v>1830</v>
      </c>
      <c r="I370">
        <v>11212</v>
      </c>
      <c r="J370" t="s">
        <v>2002</v>
      </c>
      <c r="K370" t="s">
        <v>2002</v>
      </c>
      <c r="M370" t="s">
        <v>2027</v>
      </c>
      <c r="N370" t="s">
        <v>2027</v>
      </c>
      <c r="O370" t="s">
        <v>2439</v>
      </c>
      <c r="P370" t="s">
        <v>2444</v>
      </c>
      <c r="Q370" t="s">
        <v>2003</v>
      </c>
      <c r="S370" t="s">
        <v>2459</v>
      </c>
      <c r="T370">
        <v>0</v>
      </c>
      <c r="V370" t="s">
        <v>2515</v>
      </c>
      <c r="W370" t="s">
        <v>2769</v>
      </c>
      <c r="Y370" t="s">
        <v>3520</v>
      </c>
      <c r="Z370">
        <v>4</v>
      </c>
      <c r="AC370">
        <v>0</v>
      </c>
      <c r="AD370">
        <v>2</v>
      </c>
      <c r="AE370">
        <v>4</v>
      </c>
      <c r="AF370">
        <v>0</v>
      </c>
      <c r="AI370" t="s">
        <v>3810</v>
      </c>
      <c r="AJ370">
        <v>0</v>
      </c>
      <c r="AP370">
        <v>1.75</v>
      </c>
      <c r="AQ370" t="s">
        <v>206</v>
      </c>
      <c r="AR370" t="s">
        <v>4191</v>
      </c>
      <c r="AS370" t="s">
        <v>4210</v>
      </c>
      <c r="AT370" t="s">
        <v>4219</v>
      </c>
    </row>
    <row r="371" spans="1:46">
      <c r="A371" s="1">
        <f>HYPERLINK("https://lsnyc.legalserver.org/matter/dynamic-profile/view/1879620","18-1879620")</f>
        <v>0</v>
      </c>
      <c r="B371" t="s">
        <v>59</v>
      </c>
      <c r="C371" t="s">
        <v>212</v>
      </c>
      <c r="D371" t="s">
        <v>230</v>
      </c>
      <c r="E371" t="s">
        <v>551</v>
      </c>
      <c r="F371" t="s">
        <v>928</v>
      </c>
      <c r="G371" t="s">
        <v>1517</v>
      </c>
      <c r="H371" t="s">
        <v>1749</v>
      </c>
      <c r="I371">
        <v>11207</v>
      </c>
      <c r="J371" t="s">
        <v>2003</v>
      </c>
      <c r="K371" t="s">
        <v>2003</v>
      </c>
      <c r="M371" t="s">
        <v>2027</v>
      </c>
      <c r="N371" t="s">
        <v>2424</v>
      </c>
      <c r="O371" t="s">
        <v>2441</v>
      </c>
      <c r="P371" t="s">
        <v>2449</v>
      </c>
      <c r="Q371" t="s">
        <v>2002</v>
      </c>
      <c r="R371" t="s">
        <v>2451</v>
      </c>
      <c r="S371" t="s">
        <v>2459</v>
      </c>
      <c r="T371">
        <v>1000</v>
      </c>
      <c r="U371" t="s">
        <v>2497</v>
      </c>
      <c r="V371" t="s">
        <v>2518</v>
      </c>
      <c r="W371" t="s">
        <v>2770</v>
      </c>
      <c r="X371" t="s">
        <v>3160</v>
      </c>
      <c r="Y371" t="s">
        <v>3521</v>
      </c>
      <c r="Z371">
        <v>6</v>
      </c>
      <c r="AA371" t="s">
        <v>3783</v>
      </c>
      <c r="AB371" t="s">
        <v>2006</v>
      </c>
      <c r="AC371">
        <v>4</v>
      </c>
      <c r="AD371">
        <v>1</v>
      </c>
      <c r="AE371">
        <v>3</v>
      </c>
      <c r="AF371">
        <v>82.87</v>
      </c>
      <c r="AI371" t="s">
        <v>3809</v>
      </c>
      <c r="AJ371">
        <v>20800</v>
      </c>
      <c r="AP371">
        <v>0.25</v>
      </c>
      <c r="AQ371" t="s">
        <v>230</v>
      </c>
      <c r="AR371" t="s">
        <v>4185</v>
      </c>
      <c r="AS371" t="s">
        <v>4210</v>
      </c>
      <c r="AT371" t="s">
        <v>4219</v>
      </c>
    </row>
    <row r="372" spans="1:46">
      <c r="A372" s="1">
        <f>HYPERLINK("https://lsnyc.legalserver.org/matter/dynamic-profile/view/1866767","18-1866767")</f>
        <v>0</v>
      </c>
      <c r="B372" t="s">
        <v>59</v>
      </c>
      <c r="C372" t="s">
        <v>213</v>
      </c>
      <c r="D372" t="s">
        <v>195</v>
      </c>
      <c r="E372" t="s">
        <v>552</v>
      </c>
      <c r="F372" t="s">
        <v>1063</v>
      </c>
      <c r="G372" t="s">
        <v>1518</v>
      </c>
      <c r="H372" t="s">
        <v>1831</v>
      </c>
      <c r="I372">
        <v>11239</v>
      </c>
      <c r="J372" t="s">
        <v>2002</v>
      </c>
      <c r="K372" t="s">
        <v>2002</v>
      </c>
      <c r="M372" t="s">
        <v>2131</v>
      </c>
      <c r="N372" t="s">
        <v>2027</v>
      </c>
      <c r="O372" t="s">
        <v>2439</v>
      </c>
      <c r="P372" t="s">
        <v>2444</v>
      </c>
      <c r="Q372" t="s">
        <v>2002</v>
      </c>
      <c r="S372" t="s">
        <v>292</v>
      </c>
      <c r="T372">
        <v>2800</v>
      </c>
      <c r="U372" t="s">
        <v>2505</v>
      </c>
      <c r="V372" t="s">
        <v>2515</v>
      </c>
      <c r="W372" t="s">
        <v>2771</v>
      </c>
      <c r="X372" t="s">
        <v>3223</v>
      </c>
      <c r="Y372" t="s">
        <v>3522</v>
      </c>
      <c r="Z372">
        <v>136</v>
      </c>
      <c r="AA372" t="s">
        <v>3787</v>
      </c>
      <c r="AB372" t="s">
        <v>3800</v>
      </c>
      <c r="AC372">
        <v>15</v>
      </c>
      <c r="AD372">
        <v>1</v>
      </c>
      <c r="AE372">
        <v>3</v>
      </c>
      <c r="AF372">
        <v>51.01</v>
      </c>
      <c r="AI372" t="s">
        <v>3809</v>
      </c>
      <c r="AJ372">
        <v>12804</v>
      </c>
      <c r="AK372" t="s">
        <v>3829</v>
      </c>
      <c r="AP372">
        <v>3.75</v>
      </c>
      <c r="AQ372" t="s">
        <v>195</v>
      </c>
      <c r="AR372" t="s">
        <v>4193</v>
      </c>
      <c r="AS372" t="s">
        <v>4210</v>
      </c>
      <c r="AT372" t="s">
        <v>4219</v>
      </c>
    </row>
    <row r="373" spans="1:46">
      <c r="A373" s="1">
        <f>HYPERLINK("https://lsnyc.legalserver.org/matter/dynamic-profile/view/1875252","18-1875252")</f>
        <v>0</v>
      </c>
      <c r="B373" t="s">
        <v>59</v>
      </c>
      <c r="C373" t="s">
        <v>89</v>
      </c>
      <c r="D373" t="s">
        <v>192</v>
      </c>
      <c r="E373" t="s">
        <v>553</v>
      </c>
      <c r="F373" t="s">
        <v>1064</v>
      </c>
      <c r="G373" t="s">
        <v>1519</v>
      </c>
      <c r="H373">
        <v>7</v>
      </c>
      <c r="I373">
        <v>11219</v>
      </c>
      <c r="J373" t="s">
        <v>2002</v>
      </c>
      <c r="K373" t="s">
        <v>2004</v>
      </c>
      <c r="N373" t="s">
        <v>2425</v>
      </c>
      <c r="O373" t="s">
        <v>2436</v>
      </c>
      <c r="P373" t="s">
        <v>2443</v>
      </c>
      <c r="Q373" t="s">
        <v>2003</v>
      </c>
      <c r="S373" t="s">
        <v>89</v>
      </c>
      <c r="T373">
        <v>857.3</v>
      </c>
      <c r="U373" t="s">
        <v>2494</v>
      </c>
      <c r="V373" t="s">
        <v>2515</v>
      </c>
      <c r="W373" t="s">
        <v>2772</v>
      </c>
      <c r="Y373" t="s">
        <v>3523</v>
      </c>
      <c r="Z373">
        <v>14</v>
      </c>
      <c r="AA373" t="s">
        <v>3783</v>
      </c>
      <c r="AC373">
        <v>0</v>
      </c>
      <c r="AD373">
        <v>2</v>
      </c>
      <c r="AE373">
        <v>0</v>
      </c>
      <c r="AF373">
        <v>175.99</v>
      </c>
      <c r="AI373" t="s">
        <v>3810</v>
      </c>
      <c r="AJ373">
        <v>28968</v>
      </c>
      <c r="AP373">
        <v>1.75</v>
      </c>
      <c r="AQ373" t="s">
        <v>192</v>
      </c>
      <c r="AR373" t="s">
        <v>59</v>
      </c>
      <c r="AS373" t="s">
        <v>4210</v>
      </c>
      <c r="AT373" t="s">
        <v>4219</v>
      </c>
    </row>
    <row r="374" spans="1:46">
      <c r="A374" s="1">
        <f>HYPERLINK("https://lsnyc.legalserver.org/matter/dynamic-profile/view/1880056","18-1880056")</f>
        <v>0</v>
      </c>
      <c r="B374" t="s">
        <v>59</v>
      </c>
      <c r="C374" t="s">
        <v>121</v>
      </c>
      <c r="D374" t="s">
        <v>161</v>
      </c>
      <c r="E374" t="s">
        <v>427</v>
      </c>
      <c r="F374" t="s">
        <v>1065</v>
      </c>
      <c r="G374" t="s">
        <v>1517</v>
      </c>
      <c r="H374" t="s">
        <v>1768</v>
      </c>
      <c r="I374">
        <v>11207</v>
      </c>
      <c r="J374" t="s">
        <v>2003</v>
      </c>
      <c r="K374" t="s">
        <v>2003</v>
      </c>
      <c r="M374" t="s">
        <v>2027</v>
      </c>
      <c r="N374" t="s">
        <v>2424</v>
      </c>
      <c r="O374" t="s">
        <v>2439</v>
      </c>
      <c r="P374" t="s">
        <v>2444</v>
      </c>
      <c r="Q374" t="s">
        <v>2002</v>
      </c>
      <c r="R374" t="s">
        <v>2451</v>
      </c>
      <c r="S374" t="s">
        <v>96</v>
      </c>
      <c r="T374">
        <v>0</v>
      </c>
      <c r="U374" t="s">
        <v>2497</v>
      </c>
      <c r="V374" t="s">
        <v>2515</v>
      </c>
      <c r="W374" t="s">
        <v>2773</v>
      </c>
      <c r="Z374">
        <v>6</v>
      </c>
      <c r="AA374" t="s">
        <v>3783</v>
      </c>
      <c r="AC374">
        <v>0</v>
      </c>
      <c r="AD374">
        <v>1</v>
      </c>
      <c r="AE374">
        <v>3</v>
      </c>
      <c r="AF374">
        <v>41.43</v>
      </c>
      <c r="AI374" t="s">
        <v>3809</v>
      </c>
      <c r="AJ374">
        <v>10400</v>
      </c>
      <c r="AP374">
        <v>0.25</v>
      </c>
      <c r="AQ374" t="s">
        <v>161</v>
      </c>
      <c r="AR374" t="s">
        <v>4185</v>
      </c>
      <c r="AS374" t="s">
        <v>4210</v>
      </c>
      <c r="AT374" t="s">
        <v>4219</v>
      </c>
    </row>
    <row r="375" spans="1:46">
      <c r="A375" s="1">
        <f>HYPERLINK("https://lsnyc.legalserver.org/matter/dynamic-profile/view/1879910","18-1879910")</f>
        <v>0</v>
      </c>
      <c r="B375" t="s">
        <v>59</v>
      </c>
      <c r="C375" t="s">
        <v>112</v>
      </c>
      <c r="D375" t="s">
        <v>161</v>
      </c>
      <c r="E375" t="s">
        <v>554</v>
      </c>
      <c r="F375" t="s">
        <v>1066</v>
      </c>
      <c r="G375" t="s">
        <v>1517</v>
      </c>
      <c r="H375" t="s">
        <v>1735</v>
      </c>
      <c r="I375">
        <v>11207</v>
      </c>
      <c r="J375" t="s">
        <v>2002</v>
      </c>
      <c r="K375" t="s">
        <v>2002</v>
      </c>
      <c r="N375" t="s">
        <v>2424</v>
      </c>
      <c r="O375" t="s">
        <v>2439</v>
      </c>
      <c r="P375" t="s">
        <v>2444</v>
      </c>
      <c r="Q375" t="s">
        <v>2002</v>
      </c>
      <c r="R375" t="s">
        <v>2451</v>
      </c>
      <c r="S375" t="s">
        <v>96</v>
      </c>
      <c r="T375">
        <v>1250</v>
      </c>
      <c r="U375" t="s">
        <v>2494</v>
      </c>
      <c r="V375" t="s">
        <v>2515</v>
      </c>
      <c r="W375" t="s">
        <v>2774</v>
      </c>
      <c r="X375" t="s">
        <v>3160</v>
      </c>
      <c r="Y375" t="s">
        <v>3524</v>
      </c>
      <c r="Z375">
        <v>6</v>
      </c>
      <c r="AA375" t="s">
        <v>3783</v>
      </c>
      <c r="AB375" t="s">
        <v>3798</v>
      </c>
      <c r="AC375">
        <v>7</v>
      </c>
      <c r="AD375">
        <v>1</v>
      </c>
      <c r="AE375">
        <v>1</v>
      </c>
      <c r="AF375">
        <v>45.52</v>
      </c>
      <c r="AI375" t="s">
        <v>3809</v>
      </c>
      <c r="AJ375">
        <v>7492</v>
      </c>
      <c r="AK375" t="s">
        <v>3908</v>
      </c>
      <c r="AP375">
        <v>0.25</v>
      </c>
      <c r="AQ375" t="s">
        <v>161</v>
      </c>
      <c r="AR375" t="s">
        <v>4185</v>
      </c>
      <c r="AS375" t="s">
        <v>4210</v>
      </c>
      <c r="AT375" t="s">
        <v>4219</v>
      </c>
    </row>
    <row r="376" spans="1:46">
      <c r="A376" s="1">
        <f>HYPERLINK("https://lsnyc.legalserver.org/matter/dynamic-profile/view/1880028","18-1880028")</f>
        <v>0</v>
      </c>
      <c r="B376" t="s">
        <v>59</v>
      </c>
      <c r="C376" t="s">
        <v>121</v>
      </c>
      <c r="D376" t="s">
        <v>161</v>
      </c>
      <c r="E376" t="s">
        <v>484</v>
      </c>
      <c r="F376" t="s">
        <v>868</v>
      </c>
      <c r="G376" t="s">
        <v>1517</v>
      </c>
      <c r="H376" t="s">
        <v>1746</v>
      </c>
      <c r="I376">
        <v>11207</v>
      </c>
      <c r="J376" t="s">
        <v>2002</v>
      </c>
      <c r="K376" t="s">
        <v>2002</v>
      </c>
      <c r="N376" t="s">
        <v>2424</v>
      </c>
      <c r="O376" t="s">
        <v>2439</v>
      </c>
      <c r="P376" t="s">
        <v>2444</v>
      </c>
      <c r="Q376" t="s">
        <v>2002</v>
      </c>
      <c r="R376" t="s">
        <v>2451</v>
      </c>
      <c r="S376" t="s">
        <v>96</v>
      </c>
      <c r="T376">
        <v>1365</v>
      </c>
      <c r="U376" t="s">
        <v>2497</v>
      </c>
      <c r="V376" t="s">
        <v>2515</v>
      </c>
      <c r="W376" t="s">
        <v>2775</v>
      </c>
      <c r="X376" t="s">
        <v>3160</v>
      </c>
      <c r="Y376" t="s">
        <v>3525</v>
      </c>
      <c r="Z376">
        <v>6</v>
      </c>
      <c r="AA376" t="s">
        <v>3783</v>
      </c>
      <c r="AB376" t="s">
        <v>3798</v>
      </c>
      <c r="AC376">
        <v>5</v>
      </c>
      <c r="AD376">
        <v>2</v>
      </c>
      <c r="AE376">
        <v>0</v>
      </c>
      <c r="AF376">
        <v>55.12</v>
      </c>
      <c r="AI376" t="s">
        <v>3809</v>
      </c>
      <c r="AJ376">
        <v>9072</v>
      </c>
      <c r="AK376" t="s">
        <v>3909</v>
      </c>
      <c r="AP376">
        <v>0.25</v>
      </c>
      <c r="AQ376" t="s">
        <v>161</v>
      </c>
      <c r="AR376" t="s">
        <v>4185</v>
      </c>
      <c r="AS376" t="s">
        <v>4210</v>
      </c>
      <c r="AT376" t="s">
        <v>4219</v>
      </c>
    </row>
    <row r="377" spans="1:46">
      <c r="A377" s="1">
        <f>HYPERLINK("https://lsnyc.legalserver.org/matter/dynamic-profile/view/1867593","18-1867593")</f>
        <v>0</v>
      </c>
      <c r="B377" t="s">
        <v>60</v>
      </c>
      <c r="C377" t="s">
        <v>214</v>
      </c>
      <c r="D377" t="s">
        <v>282</v>
      </c>
      <c r="E377" t="s">
        <v>555</v>
      </c>
      <c r="F377" t="s">
        <v>1045</v>
      </c>
      <c r="G377" t="s">
        <v>1520</v>
      </c>
      <c r="H377" t="s">
        <v>1736</v>
      </c>
      <c r="I377">
        <v>11233</v>
      </c>
      <c r="J377" t="s">
        <v>2002</v>
      </c>
      <c r="K377" t="s">
        <v>2002</v>
      </c>
      <c r="M377" t="s">
        <v>2180</v>
      </c>
      <c r="N377" t="s">
        <v>2415</v>
      </c>
      <c r="O377" t="s">
        <v>2437</v>
      </c>
      <c r="P377" t="s">
        <v>2445</v>
      </c>
      <c r="Q377" t="s">
        <v>2003</v>
      </c>
      <c r="S377" t="s">
        <v>2459</v>
      </c>
      <c r="T377">
        <v>608.63</v>
      </c>
      <c r="U377" t="s">
        <v>2512</v>
      </c>
      <c r="V377" t="s">
        <v>2516</v>
      </c>
      <c r="W377" t="s">
        <v>2776</v>
      </c>
      <c r="Y377" t="s">
        <v>3526</v>
      </c>
      <c r="Z377">
        <v>8</v>
      </c>
      <c r="AA377" t="s">
        <v>3783</v>
      </c>
      <c r="AB377" t="s">
        <v>2006</v>
      </c>
      <c r="AC377">
        <v>4</v>
      </c>
      <c r="AD377">
        <v>1</v>
      </c>
      <c r="AE377">
        <v>1</v>
      </c>
      <c r="AF377">
        <v>214.57</v>
      </c>
      <c r="AG377" t="s">
        <v>2480</v>
      </c>
      <c r="AH377" t="s">
        <v>3806</v>
      </c>
      <c r="AI377" t="s">
        <v>3809</v>
      </c>
      <c r="AJ377">
        <v>35318</v>
      </c>
      <c r="AL377" t="s">
        <v>4102</v>
      </c>
      <c r="AM377" t="s">
        <v>4111</v>
      </c>
      <c r="AN377" t="s">
        <v>4122</v>
      </c>
      <c r="AO377" t="s">
        <v>4140</v>
      </c>
      <c r="AP377">
        <v>1.5</v>
      </c>
      <c r="AQ377" t="s">
        <v>289</v>
      </c>
      <c r="AR377" t="s">
        <v>59</v>
      </c>
      <c r="AS377" t="s">
        <v>4210</v>
      </c>
      <c r="AT377" t="s">
        <v>4219</v>
      </c>
    </row>
    <row r="378" spans="1:46">
      <c r="A378" s="1">
        <f>HYPERLINK("https://lsnyc.legalserver.org/matter/dynamic-profile/view/1876790","18-1876790")</f>
        <v>0</v>
      </c>
      <c r="B378" t="s">
        <v>60</v>
      </c>
      <c r="C378" t="s">
        <v>110</v>
      </c>
      <c r="E378" t="s">
        <v>556</v>
      </c>
      <c r="F378" t="s">
        <v>1067</v>
      </c>
      <c r="G378" t="s">
        <v>1521</v>
      </c>
      <c r="H378" t="s">
        <v>1749</v>
      </c>
      <c r="I378">
        <v>11207</v>
      </c>
      <c r="J378" t="s">
        <v>2002</v>
      </c>
      <c r="K378" t="s">
        <v>2002</v>
      </c>
      <c r="M378" t="s">
        <v>2181</v>
      </c>
      <c r="N378" t="s">
        <v>2415</v>
      </c>
      <c r="O378" t="s">
        <v>2437</v>
      </c>
      <c r="Q378" t="s">
        <v>2003</v>
      </c>
      <c r="R378" t="s">
        <v>2455</v>
      </c>
      <c r="S378" t="s">
        <v>110</v>
      </c>
      <c r="T378">
        <v>1301</v>
      </c>
      <c r="U378" t="s">
        <v>2500</v>
      </c>
      <c r="W378" t="s">
        <v>2777</v>
      </c>
      <c r="X378" t="s">
        <v>3224</v>
      </c>
      <c r="Y378" t="s">
        <v>3527</v>
      </c>
      <c r="Z378">
        <v>6</v>
      </c>
      <c r="AA378" t="s">
        <v>3783</v>
      </c>
      <c r="AB378" t="s">
        <v>3798</v>
      </c>
      <c r="AC378">
        <v>10</v>
      </c>
      <c r="AD378">
        <v>2</v>
      </c>
      <c r="AE378">
        <v>0</v>
      </c>
      <c r="AF378">
        <v>54.68</v>
      </c>
      <c r="AI378" t="s">
        <v>3809</v>
      </c>
      <c r="AJ378">
        <v>9000</v>
      </c>
      <c r="AK378" t="s">
        <v>3829</v>
      </c>
      <c r="AL378" t="s">
        <v>4103</v>
      </c>
      <c r="AN378" t="s">
        <v>4122</v>
      </c>
      <c r="AO378" t="s">
        <v>4141</v>
      </c>
      <c r="AP378">
        <v>1.3</v>
      </c>
      <c r="AQ378" t="s">
        <v>199</v>
      </c>
      <c r="AR378" t="s">
        <v>4190</v>
      </c>
      <c r="AS378" t="s">
        <v>4210</v>
      </c>
      <c r="AT378" t="s">
        <v>4219</v>
      </c>
    </row>
    <row r="379" spans="1:46">
      <c r="A379" s="1">
        <f>HYPERLINK("https://lsnyc.legalserver.org/matter/dynamic-profile/view/1892341","19-1892341")</f>
        <v>0</v>
      </c>
      <c r="B379" t="s">
        <v>60</v>
      </c>
      <c r="C379" t="s">
        <v>103</v>
      </c>
      <c r="E379" t="s">
        <v>557</v>
      </c>
      <c r="F379" t="s">
        <v>1068</v>
      </c>
      <c r="G379" t="s">
        <v>1522</v>
      </c>
      <c r="H379" t="s">
        <v>1791</v>
      </c>
      <c r="I379">
        <v>11233</v>
      </c>
      <c r="J379" t="s">
        <v>2002</v>
      </c>
      <c r="K379" t="s">
        <v>2002</v>
      </c>
      <c r="M379" t="s">
        <v>2182</v>
      </c>
      <c r="N379" t="s">
        <v>2415</v>
      </c>
      <c r="O379" t="s">
        <v>2437</v>
      </c>
      <c r="Q379" t="s">
        <v>2003</v>
      </c>
      <c r="R379" t="s">
        <v>2451</v>
      </c>
      <c r="S379" t="s">
        <v>96</v>
      </c>
      <c r="T379">
        <v>733.64</v>
      </c>
      <c r="U379" t="s">
        <v>2499</v>
      </c>
      <c r="W379" t="s">
        <v>2778</v>
      </c>
      <c r="X379" t="s">
        <v>2006</v>
      </c>
      <c r="Y379" t="s">
        <v>3528</v>
      </c>
      <c r="Z379">
        <v>32</v>
      </c>
      <c r="AA379" t="s">
        <v>3783</v>
      </c>
      <c r="AB379" t="s">
        <v>2006</v>
      </c>
      <c r="AC379">
        <v>5</v>
      </c>
      <c r="AD379">
        <v>1</v>
      </c>
      <c r="AE379">
        <v>1</v>
      </c>
      <c r="AF379">
        <v>149.76</v>
      </c>
      <c r="AI379" t="s">
        <v>3809</v>
      </c>
      <c r="AJ379">
        <v>25324</v>
      </c>
      <c r="AP379">
        <v>0</v>
      </c>
      <c r="AR379" t="s">
        <v>4185</v>
      </c>
      <c r="AS379" t="s">
        <v>4210</v>
      </c>
      <c r="AT379" t="s">
        <v>4219</v>
      </c>
    </row>
    <row r="380" spans="1:46">
      <c r="A380" s="1">
        <f>HYPERLINK("https://lsnyc.legalserver.org/matter/dynamic-profile/view/1892356","19-1892356")</f>
        <v>0</v>
      </c>
      <c r="B380" t="s">
        <v>60</v>
      </c>
      <c r="C380" t="s">
        <v>103</v>
      </c>
      <c r="E380" t="s">
        <v>443</v>
      </c>
      <c r="F380" t="s">
        <v>1069</v>
      </c>
      <c r="G380" t="s">
        <v>1523</v>
      </c>
      <c r="H380" t="s">
        <v>1740</v>
      </c>
      <c r="I380">
        <v>11217</v>
      </c>
      <c r="J380" t="s">
        <v>2002</v>
      </c>
      <c r="K380" t="s">
        <v>2002</v>
      </c>
      <c r="M380" t="s">
        <v>2183</v>
      </c>
      <c r="N380" t="s">
        <v>2415</v>
      </c>
      <c r="O380" t="s">
        <v>2436</v>
      </c>
      <c r="Q380" t="s">
        <v>2003</v>
      </c>
      <c r="R380" t="s">
        <v>2451</v>
      </c>
      <c r="S380" t="s">
        <v>155</v>
      </c>
      <c r="T380">
        <v>431</v>
      </c>
      <c r="U380" t="s">
        <v>2499</v>
      </c>
      <c r="W380" t="s">
        <v>2779</v>
      </c>
      <c r="X380" t="s">
        <v>2006</v>
      </c>
      <c r="Y380" t="s">
        <v>3529</v>
      </c>
      <c r="Z380">
        <v>7</v>
      </c>
      <c r="AA380" t="s">
        <v>3783</v>
      </c>
      <c r="AB380" t="s">
        <v>3793</v>
      </c>
      <c r="AC380">
        <v>0</v>
      </c>
      <c r="AD380">
        <v>1</v>
      </c>
      <c r="AE380">
        <v>0</v>
      </c>
      <c r="AF380">
        <v>120.1</v>
      </c>
      <c r="AI380" t="s">
        <v>3809</v>
      </c>
      <c r="AJ380">
        <v>15000</v>
      </c>
      <c r="AP380">
        <v>0</v>
      </c>
      <c r="AR380" t="s">
        <v>4185</v>
      </c>
      <c r="AS380" t="s">
        <v>4210</v>
      </c>
      <c r="AT380" t="s">
        <v>4219</v>
      </c>
    </row>
    <row r="381" spans="1:46">
      <c r="A381" s="1">
        <f>HYPERLINK("https://lsnyc.legalserver.org/matter/dynamic-profile/view/1892345","19-1892345")</f>
        <v>0</v>
      </c>
      <c r="B381" t="s">
        <v>60</v>
      </c>
      <c r="C381" t="s">
        <v>103</v>
      </c>
      <c r="E381" t="s">
        <v>557</v>
      </c>
      <c r="F381" t="s">
        <v>1068</v>
      </c>
      <c r="G381" t="s">
        <v>1522</v>
      </c>
      <c r="H381" t="s">
        <v>1791</v>
      </c>
      <c r="I381">
        <v>11233</v>
      </c>
      <c r="J381" t="s">
        <v>2002</v>
      </c>
      <c r="K381" t="s">
        <v>2002</v>
      </c>
      <c r="M381" t="s">
        <v>2006</v>
      </c>
      <c r="N381" t="s">
        <v>2417</v>
      </c>
      <c r="O381" t="s">
        <v>2436</v>
      </c>
      <c r="Q381" t="s">
        <v>2002</v>
      </c>
      <c r="R381" t="s">
        <v>2451</v>
      </c>
      <c r="S381" t="s">
        <v>155</v>
      </c>
      <c r="T381">
        <v>733.64</v>
      </c>
      <c r="U381" t="s">
        <v>2499</v>
      </c>
      <c r="W381" t="s">
        <v>2778</v>
      </c>
      <c r="X381" t="s">
        <v>2006</v>
      </c>
      <c r="Y381" t="s">
        <v>3528</v>
      </c>
      <c r="Z381">
        <v>32</v>
      </c>
      <c r="AA381" t="s">
        <v>3783</v>
      </c>
      <c r="AB381" t="s">
        <v>2006</v>
      </c>
      <c r="AC381">
        <v>5</v>
      </c>
      <c r="AD381">
        <v>1</v>
      </c>
      <c r="AE381">
        <v>1</v>
      </c>
      <c r="AF381">
        <v>149.76</v>
      </c>
      <c r="AI381" t="s">
        <v>3809</v>
      </c>
      <c r="AJ381">
        <v>25324</v>
      </c>
      <c r="AK381" t="s">
        <v>3910</v>
      </c>
      <c r="AP381">
        <v>0</v>
      </c>
      <c r="AR381" t="s">
        <v>4185</v>
      </c>
      <c r="AS381" t="s">
        <v>4210</v>
      </c>
      <c r="AT381" t="s">
        <v>4219</v>
      </c>
    </row>
    <row r="382" spans="1:46">
      <c r="A382" s="1">
        <f>HYPERLINK("https://lsnyc.legalserver.org/matter/dynamic-profile/view/1892349","19-1892349")</f>
        <v>0</v>
      </c>
      <c r="B382" t="s">
        <v>60</v>
      </c>
      <c r="C382" t="s">
        <v>103</v>
      </c>
      <c r="E382" t="s">
        <v>557</v>
      </c>
      <c r="F382" t="s">
        <v>1068</v>
      </c>
      <c r="G382" t="s">
        <v>1522</v>
      </c>
      <c r="H382" t="s">
        <v>1791</v>
      </c>
      <c r="I382">
        <v>11233</v>
      </c>
      <c r="J382" t="s">
        <v>2002</v>
      </c>
      <c r="K382" t="s">
        <v>2002</v>
      </c>
      <c r="M382" t="s">
        <v>2184</v>
      </c>
      <c r="N382" t="s">
        <v>2413</v>
      </c>
      <c r="O382" t="s">
        <v>2437</v>
      </c>
      <c r="Q382" t="s">
        <v>2002</v>
      </c>
      <c r="R382" t="s">
        <v>2451</v>
      </c>
      <c r="S382" t="s">
        <v>2478</v>
      </c>
      <c r="T382">
        <v>733.64</v>
      </c>
      <c r="U382" t="s">
        <v>2499</v>
      </c>
      <c r="W382" t="s">
        <v>2778</v>
      </c>
      <c r="X382" t="s">
        <v>2006</v>
      </c>
      <c r="Y382" t="s">
        <v>3528</v>
      </c>
      <c r="Z382">
        <v>32</v>
      </c>
      <c r="AA382" t="s">
        <v>3783</v>
      </c>
      <c r="AB382" t="s">
        <v>2006</v>
      </c>
      <c r="AC382">
        <v>5</v>
      </c>
      <c r="AD382">
        <v>1</v>
      </c>
      <c r="AE382">
        <v>1</v>
      </c>
      <c r="AF382">
        <v>149.76</v>
      </c>
      <c r="AI382" t="s">
        <v>3809</v>
      </c>
      <c r="AJ382">
        <v>25324</v>
      </c>
      <c r="AK382" t="s">
        <v>3910</v>
      </c>
      <c r="AP382">
        <v>0</v>
      </c>
      <c r="AR382" t="s">
        <v>4185</v>
      </c>
      <c r="AS382" t="s">
        <v>4210</v>
      </c>
      <c r="AT382" t="s">
        <v>4219</v>
      </c>
    </row>
    <row r="383" spans="1:46">
      <c r="A383" s="1">
        <f>HYPERLINK("https://lsnyc.legalserver.org/matter/dynamic-profile/view/1871674","18-1871674")</f>
        <v>0</v>
      </c>
      <c r="B383" t="s">
        <v>61</v>
      </c>
      <c r="C383" t="s">
        <v>215</v>
      </c>
      <c r="D383" t="s">
        <v>244</v>
      </c>
      <c r="E383" t="s">
        <v>558</v>
      </c>
      <c r="F383" t="s">
        <v>1070</v>
      </c>
      <c r="G383" t="s">
        <v>1524</v>
      </c>
      <c r="H383" t="s">
        <v>1832</v>
      </c>
      <c r="I383">
        <v>11212</v>
      </c>
      <c r="J383" t="s">
        <v>2002</v>
      </c>
      <c r="K383" t="s">
        <v>2002</v>
      </c>
      <c r="L383" t="s">
        <v>2005</v>
      </c>
      <c r="M383" t="s">
        <v>2185</v>
      </c>
      <c r="N383" t="s">
        <v>2415</v>
      </c>
      <c r="O383" t="s">
        <v>2437</v>
      </c>
      <c r="P383" t="s">
        <v>2445</v>
      </c>
      <c r="S383" t="s">
        <v>188</v>
      </c>
      <c r="T383">
        <v>1956</v>
      </c>
      <c r="U383" t="s">
        <v>2493</v>
      </c>
      <c r="V383" t="s">
        <v>2520</v>
      </c>
      <c r="W383" t="s">
        <v>2780</v>
      </c>
      <c r="X383" t="s">
        <v>3225</v>
      </c>
      <c r="Y383" t="s">
        <v>3530</v>
      </c>
      <c r="Z383">
        <v>6</v>
      </c>
      <c r="AB383" t="s">
        <v>3794</v>
      </c>
      <c r="AC383">
        <v>2</v>
      </c>
      <c r="AD383">
        <v>2</v>
      </c>
      <c r="AE383">
        <v>3</v>
      </c>
      <c r="AF383">
        <v>88.38</v>
      </c>
      <c r="AI383" t="s">
        <v>3809</v>
      </c>
      <c r="AJ383">
        <v>26000</v>
      </c>
      <c r="AK383" t="s">
        <v>3911</v>
      </c>
      <c r="AP383">
        <v>8.949999999999999</v>
      </c>
      <c r="AQ383" t="s">
        <v>237</v>
      </c>
      <c r="AR383" t="s">
        <v>4189</v>
      </c>
      <c r="AS383" t="s">
        <v>4210</v>
      </c>
      <c r="AT383" t="s">
        <v>4219</v>
      </c>
    </row>
    <row r="384" spans="1:46">
      <c r="A384" s="1">
        <f>HYPERLINK("https://lsnyc.legalserver.org/matter/dynamic-profile/view/1872089","18-1872089")</f>
        <v>0</v>
      </c>
      <c r="B384" t="s">
        <v>61</v>
      </c>
      <c r="C384" t="s">
        <v>216</v>
      </c>
      <c r="D384" t="s">
        <v>321</v>
      </c>
      <c r="E384" t="s">
        <v>559</v>
      </c>
      <c r="F384" t="s">
        <v>1071</v>
      </c>
      <c r="G384" t="s">
        <v>1525</v>
      </c>
      <c r="H384">
        <v>5</v>
      </c>
      <c r="I384">
        <v>11233</v>
      </c>
      <c r="J384" t="s">
        <v>2002</v>
      </c>
      <c r="K384" t="s">
        <v>2002</v>
      </c>
      <c r="M384" t="s">
        <v>2186</v>
      </c>
      <c r="N384" t="s">
        <v>2415</v>
      </c>
      <c r="O384" t="s">
        <v>2437</v>
      </c>
      <c r="P384" t="s">
        <v>2445</v>
      </c>
      <c r="Q384" t="s">
        <v>2003</v>
      </c>
      <c r="S384" t="s">
        <v>151</v>
      </c>
      <c r="T384">
        <v>1350</v>
      </c>
      <c r="U384" t="s">
        <v>2510</v>
      </c>
      <c r="V384" t="s">
        <v>2519</v>
      </c>
      <c r="W384" t="s">
        <v>2781</v>
      </c>
      <c r="X384" t="s">
        <v>2156</v>
      </c>
      <c r="Y384" t="s">
        <v>3531</v>
      </c>
      <c r="Z384">
        <v>7</v>
      </c>
      <c r="AA384" t="s">
        <v>3783</v>
      </c>
      <c r="AB384" t="s">
        <v>2006</v>
      </c>
      <c r="AC384">
        <v>5</v>
      </c>
      <c r="AD384">
        <v>2</v>
      </c>
      <c r="AE384">
        <v>0</v>
      </c>
      <c r="AF384">
        <v>41.92</v>
      </c>
      <c r="AI384" t="s">
        <v>3809</v>
      </c>
      <c r="AJ384">
        <v>6900</v>
      </c>
      <c r="AK384" t="s">
        <v>3912</v>
      </c>
      <c r="AP384">
        <v>23.1</v>
      </c>
      <c r="AQ384" t="s">
        <v>289</v>
      </c>
      <c r="AR384" t="s">
        <v>4198</v>
      </c>
      <c r="AS384" t="s">
        <v>4210</v>
      </c>
      <c r="AT384" t="s">
        <v>4219</v>
      </c>
    </row>
    <row r="385" spans="1:46">
      <c r="A385" s="1">
        <f>HYPERLINK("https://lsnyc.legalserver.org/matter/dynamic-profile/view/1875209","18-1875209")</f>
        <v>0</v>
      </c>
      <c r="B385" t="s">
        <v>61</v>
      </c>
      <c r="C385" t="s">
        <v>217</v>
      </c>
      <c r="D385" t="s">
        <v>318</v>
      </c>
      <c r="E385" t="s">
        <v>560</v>
      </c>
      <c r="F385" t="s">
        <v>1072</v>
      </c>
      <c r="G385" t="s">
        <v>1526</v>
      </c>
      <c r="H385" t="s">
        <v>1768</v>
      </c>
      <c r="I385">
        <v>11233</v>
      </c>
      <c r="J385" t="s">
        <v>2002</v>
      </c>
      <c r="K385" t="s">
        <v>2002</v>
      </c>
      <c r="M385" t="s">
        <v>2187</v>
      </c>
      <c r="N385" t="s">
        <v>2413</v>
      </c>
      <c r="O385" t="s">
        <v>2436</v>
      </c>
      <c r="P385" t="s">
        <v>2443</v>
      </c>
      <c r="Q385" t="s">
        <v>2003</v>
      </c>
      <c r="S385" t="s">
        <v>217</v>
      </c>
      <c r="T385">
        <v>650</v>
      </c>
      <c r="U385" t="s">
        <v>2505</v>
      </c>
      <c r="V385" t="s">
        <v>2515</v>
      </c>
      <c r="W385" t="s">
        <v>2782</v>
      </c>
      <c r="X385" t="s">
        <v>2156</v>
      </c>
      <c r="Y385" t="s">
        <v>3532</v>
      </c>
      <c r="Z385">
        <v>6</v>
      </c>
      <c r="AA385" t="s">
        <v>3783</v>
      </c>
      <c r="AB385" t="s">
        <v>2006</v>
      </c>
      <c r="AC385">
        <v>31</v>
      </c>
      <c r="AD385">
        <v>2</v>
      </c>
      <c r="AE385">
        <v>0</v>
      </c>
      <c r="AF385">
        <v>190.47</v>
      </c>
      <c r="AI385" t="s">
        <v>3809</v>
      </c>
      <c r="AJ385">
        <v>31352</v>
      </c>
      <c r="AK385" t="s">
        <v>3913</v>
      </c>
      <c r="AP385">
        <v>7.75</v>
      </c>
      <c r="AQ385" t="s">
        <v>200</v>
      </c>
      <c r="AR385" t="s">
        <v>4185</v>
      </c>
      <c r="AS385" t="s">
        <v>4210</v>
      </c>
      <c r="AT385" t="s">
        <v>4219</v>
      </c>
    </row>
    <row r="386" spans="1:46">
      <c r="A386" s="1">
        <f>HYPERLINK("https://lsnyc.legalserver.org/matter/dynamic-profile/view/1875244","18-1875244")</f>
        <v>0</v>
      </c>
      <c r="B386" t="s">
        <v>61</v>
      </c>
      <c r="C386" t="s">
        <v>89</v>
      </c>
      <c r="E386" t="s">
        <v>561</v>
      </c>
      <c r="F386" t="s">
        <v>1073</v>
      </c>
      <c r="G386" t="s">
        <v>1527</v>
      </c>
      <c r="H386" t="s">
        <v>1746</v>
      </c>
      <c r="I386">
        <v>11208</v>
      </c>
      <c r="J386" t="s">
        <v>2002</v>
      </c>
      <c r="K386" t="s">
        <v>2003</v>
      </c>
      <c r="M386" t="s">
        <v>2188</v>
      </c>
      <c r="N386" t="s">
        <v>2415</v>
      </c>
      <c r="O386" t="s">
        <v>2437</v>
      </c>
      <c r="S386" t="s">
        <v>89</v>
      </c>
      <c r="T386">
        <v>1515</v>
      </c>
      <c r="U386" t="s">
        <v>2497</v>
      </c>
      <c r="W386" t="s">
        <v>2783</v>
      </c>
      <c r="X386" t="s">
        <v>3226</v>
      </c>
      <c r="Y386" t="s">
        <v>3533</v>
      </c>
      <c r="Z386">
        <v>6</v>
      </c>
      <c r="AA386" t="s">
        <v>3783</v>
      </c>
      <c r="AB386" t="s">
        <v>3796</v>
      </c>
      <c r="AC386">
        <v>3</v>
      </c>
      <c r="AD386">
        <v>1</v>
      </c>
      <c r="AE386">
        <v>2</v>
      </c>
      <c r="AF386">
        <v>13.74</v>
      </c>
      <c r="AI386" t="s">
        <v>3809</v>
      </c>
      <c r="AJ386">
        <v>2856</v>
      </c>
      <c r="AP386">
        <v>12.5</v>
      </c>
      <c r="AQ386" t="s">
        <v>140</v>
      </c>
      <c r="AR386" t="s">
        <v>4185</v>
      </c>
      <c r="AS386" t="s">
        <v>4210</v>
      </c>
      <c r="AT386" t="s">
        <v>4219</v>
      </c>
    </row>
    <row r="387" spans="1:46">
      <c r="A387" s="1">
        <f>HYPERLINK("https://lsnyc.legalserver.org/matter/dynamic-profile/view/1875272","18-1875272")</f>
        <v>0</v>
      </c>
      <c r="B387" t="s">
        <v>61</v>
      </c>
      <c r="C387" t="s">
        <v>89</v>
      </c>
      <c r="D387" t="s">
        <v>270</v>
      </c>
      <c r="E387" t="s">
        <v>562</v>
      </c>
      <c r="F387" t="s">
        <v>1074</v>
      </c>
      <c r="G387" t="s">
        <v>1528</v>
      </c>
      <c r="H387" t="s">
        <v>1773</v>
      </c>
      <c r="I387">
        <v>11233</v>
      </c>
      <c r="J387" t="s">
        <v>2002</v>
      </c>
      <c r="K387" t="s">
        <v>2002</v>
      </c>
      <c r="M387" t="s">
        <v>2189</v>
      </c>
      <c r="N387" t="s">
        <v>2415</v>
      </c>
      <c r="O387" t="s">
        <v>2437</v>
      </c>
      <c r="P387" t="s">
        <v>2445</v>
      </c>
      <c r="Q387" t="s">
        <v>2003</v>
      </c>
      <c r="S387" t="s">
        <v>89</v>
      </c>
      <c r="T387">
        <v>1034</v>
      </c>
      <c r="U387" t="s">
        <v>2501</v>
      </c>
      <c r="V387" t="s">
        <v>2516</v>
      </c>
      <c r="W387" t="s">
        <v>2784</v>
      </c>
      <c r="X387" t="s">
        <v>3227</v>
      </c>
      <c r="Y387" t="s">
        <v>3534</v>
      </c>
      <c r="Z387">
        <v>18</v>
      </c>
      <c r="AA387" t="s">
        <v>2156</v>
      </c>
      <c r="AB387" t="s">
        <v>3796</v>
      </c>
      <c r="AC387">
        <v>2</v>
      </c>
      <c r="AD387">
        <v>1</v>
      </c>
      <c r="AE387">
        <v>0</v>
      </c>
      <c r="AF387">
        <v>192.75</v>
      </c>
      <c r="AI387" t="s">
        <v>3809</v>
      </c>
      <c r="AJ387">
        <v>23400</v>
      </c>
      <c r="AK387" t="s">
        <v>3829</v>
      </c>
      <c r="AP387">
        <v>15.25</v>
      </c>
      <c r="AQ387" t="s">
        <v>235</v>
      </c>
      <c r="AR387" t="s">
        <v>4185</v>
      </c>
      <c r="AS387" t="s">
        <v>4210</v>
      </c>
      <c r="AT387" t="s">
        <v>4219</v>
      </c>
    </row>
    <row r="388" spans="1:46">
      <c r="A388" s="1">
        <f>HYPERLINK("https://lsnyc.legalserver.org/matter/dynamic-profile/view/1865917","18-1865917")</f>
        <v>0</v>
      </c>
      <c r="B388" t="s">
        <v>61</v>
      </c>
      <c r="C388" t="s">
        <v>218</v>
      </c>
      <c r="D388" t="s">
        <v>275</v>
      </c>
      <c r="E388" t="s">
        <v>563</v>
      </c>
      <c r="F388" t="s">
        <v>1075</v>
      </c>
      <c r="G388" t="s">
        <v>1529</v>
      </c>
      <c r="H388" t="s">
        <v>1833</v>
      </c>
      <c r="I388">
        <v>11208</v>
      </c>
      <c r="J388" t="s">
        <v>2002</v>
      </c>
      <c r="K388" t="s">
        <v>2002</v>
      </c>
      <c r="M388" t="s">
        <v>2190</v>
      </c>
      <c r="N388" t="s">
        <v>2415</v>
      </c>
      <c r="O388" t="s">
        <v>2437</v>
      </c>
      <c r="P388" t="s">
        <v>2445</v>
      </c>
      <c r="S388" t="s">
        <v>2463</v>
      </c>
      <c r="T388">
        <v>11</v>
      </c>
      <c r="U388" t="s">
        <v>2510</v>
      </c>
      <c r="V388" t="s">
        <v>2520</v>
      </c>
      <c r="W388" t="s">
        <v>2785</v>
      </c>
      <c r="X388" t="s">
        <v>3228</v>
      </c>
      <c r="Y388" t="s">
        <v>3535</v>
      </c>
      <c r="Z388">
        <v>60</v>
      </c>
      <c r="AA388" t="s">
        <v>3783</v>
      </c>
      <c r="AB388" t="s">
        <v>3793</v>
      </c>
      <c r="AC388">
        <v>22</v>
      </c>
      <c r="AD388">
        <v>1</v>
      </c>
      <c r="AE388">
        <v>0</v>
      </c>
      <c r="AF388">
        <v>238.88</v>
      </c>
      <c r="AG388" t="s">
        <v>3801</v>
      </c>
      <c r="AI388" t="s">
        <v>3809</v>
      </c>
      <c r="AJ388">
        <v>29000</v>
      </c>
      <c r="AP388">
        <v>10</v>
      </c>
      <c r="AQ388" t="s">
        <v>4177</v>
      </c>
      <c r="AR388" t="s">
        <v>4202</v>
      </c>
      <c r="AS388" t="s">
        <v>4210</v>
      </c>
      <c r="AT388" t="s">
        <v>4219</v>
      </c>
    </row>
    <row r="389" spans="1:46">
      <c r="A389" s="1">
        <f>HYPERLINK("https://lsnyc.legalserver.org/matter/dynamic-profile/view/1878422","18-1878422")</f>
        <v>0</v>
      </c>
      <c r="B389" t="s">
        <v>61</v>
      </c>
      <c r="C389" t="s">
        <v>92</v>
      </c>
      <c r="D389" t="s">
        <v>270</v>
      </c>
      <c r="E389" t="s">
        <v>552</v>
      </c>
      <c r="F389" t="s">
        <v>1063</v>
      </c>
      <c r="G389" t="s">
        <v>1518</v>
      </c>
      <c r="H389" t="s">
        <v>1831</v>
      </c>
      <c r="I389">
        <v>11239</v>
      </c>
      <c r="J389" t="s">
        <v>2002</v>
      </c>
      <c r="K389" t="s">
        <v>2002</v>
      </c>
      <c r="M389" t="s">
        <v>2191</v>
      </c>
      <c r="N389" t="s">
        <v>2413</v>
      </c>
      <c r="O389" t="s">
        <v>2437</v>
      </c>
      <c r="P389" t="s">
        <v>2445</v>
      </c>
      <c r="S389" t="s">
        <v>81</v>
      </c>
      <c r="T389">
        <v>2800</v>
      </c>
      <c r="U389" t="s">
        <v>2497</v>
      </c>
      <c r="V389" t="s">
        <v>2521</v>
      </c>
      <c r="W389" t="s">
        <v>2771</v>
      </c>
      <c r="X389" t="s">
        <v>3223</v>
      </c>
      <c r="Y389" t="s">
        <v>3522</v>
      </c>
      <c r="Z389">
        <v>136</v>
      </c>
      <c r="AA389" t="s">
        <v>3787</v>
      </c>
      <c r="AC389">
        <v>15</v>
      </c>
      <c r="AD389">
        <v>1</v>
      </c>
      <c r="AE389">
        <v>3</v>
      </c>
      <c r="AF389">
        <v>51.01</v>
      </c>
      <c r="AI389" t="s">
        <v>3809</v>
      </c>
      <c r="AJ389">
        <v>12804</v>
      </c>
      <c r="AK389" t="s">
        <v>3829</v>
      </c>
      <c r="AP389">
        <v>1.5</v>
      </c>
      <c r="AQ389" t="s">
        <v>239</v>
      </c>
      <c r="AR389" t="s">
        <v>47</v>
      </c>
      <c r="AS389" t="s">
        <v>4210</v>
      </c>
      <c r="AT389" t="s">
        <v>4219</v>
      </c>
    </row>
    <row r="390" spans="1:46">
      <c r="A390" s="1">
        <f>HYPERLINK("https://lsnyc.legalserver.org/matter/dynamic-profile/view/1877008","18-1877008")</f>
        <v>0</v>
      </c>
      <c r="B390" t="s">
        <v>61</v>
      </c>
      <c r="C390" t="s">
        <v>175</v>
      </c>
      <c r="D390" t="s">
        <v>270</v>
      </c>
      <c r="E390" t="s">
        <v>552</v>
      </c>
      <c r="F390" t="s">
        <v>1063</v>
      </c>
      <c r="G390" t="s">
        <v>1518</v>
      </c>
      <c r="H390" t="s">
        <v>1831</v>
      </c>
      <c r="I390">
        <v>11239</v>
      </c>
      <c r="J390" t="s">
        <v>2002</v>
      </c>
      <c r="K390" t="s">
        <v>2002</v>
      </c>
      <c r="M390" t="s">
        <v>2192</v>
      </c>
      <c r="N390" t="s">
        <v>2415</v>
      </c>
      <c r="O390" t="s">
        <v>2437</v>
      </c>
      <c r="P390" t="s">
        <v>2445</v>
      </c>
      <c r="Q390" t="s">
        <v>2003</v>
      </c>
      <c r="R390" t="s">
        <v>2451</v>
      </c>
      <c r="S390" t="s">
        <v>81</v>
      </c>
      <c r="T390">
        <v>2800</v>
      </c>
      <c r="U390" t="s">
        <v>2497</v>
      </c>
      <c r="V390" t="s">
        <v>2521</v>
      </c>
      <c r="W390" t="s">
        <v>2771</v>
      </c>
      <c r="X390" t="s">
        <v>3223</v>
      </c>
      <c r="Y390" t="s">
        <v>3522</v>
      </c>
      <c r="Z390">
        <v>136</v>
      </c>
      <c r="AA390" t="s">
        <v>3787</v>
      </c>
      <c r="AB390" t="s">
        <v>3800</v>
      </c>
      <c r="AC390">
        <v>15</v>
      </c>
      <c r="AD390">
        <v>1</v>
      </c>
      <c r="AE390">
        <v>3</v>
      </c>
      <c r="AF390">
        <v>51.01</v>
      </c>
      <c r="AI390" t="s">
        <v>3809</v>
      </c>
      <c r="AJ390">
        <v>12804</v>
      </c>
      <c r="AK390" t="s">
        <v>3829</v>
      </c>
      <c r="AM390" t="s">
        <v>4107</v>
      </c>
      <c r="AP390">
        <v>2</v>
      </c>
      <c r="AQ390" t="s">
        <v>4176</v>
      </c>
      <c r="AR390" t="s">
        <v>4185</v>
      </c>
      <c r="AS390" t="s">
        <v>4210</v>
      </c>
      <c r="AT390" t="s">
        <v>4219</v>
      </c>
    </row>
    <row r="391" spans="1:46">
      <c r="A391" s="1">
        <f>HYPERLINK("https://lsnyc.legalserver.org/matter/dynamic-profile/view/1878486","18-1878486")</f>
        <v>0</v>
      </c>
      <c r="B391" t="s">
        <v>61</v>
      </c>
      <c r="C391" t="s">
        <v>200</v>
      </c>
      <c r="E391" t="s">
        <v>374</v>
      </c>
      <c r="F391" t="s">
        <v>956</v>
      </c>
      <c r="G391" t="s">
        <v>1530</v>
      </c>
      <c r="H391" t="s">
        <v>1819</v>
      </c>
      <c r="I391">
        <v>11212</v>
      </c>
      <c r="J391" t="s">
        <v>2002</v>
      </c>
      <c r="K391" t="s">
        <v>2002</v>
      </c>
      <c r="M391" t="s">
        <v>2193</v>
      </c>
      <c r="N391" t="s">
        <v>2415</v>
      </c>
      <c r="O391" t="s">
        <v>2437</v>
      </c>
      <c r="Q391" t="s">
        <v>2003</v>
      </c>
      <c r="S391" t="s">
        <v>200</v>
      </c>
      <c r="T391">
        <v>1225</v>
      </c>
      <c r="U391" t="s">
        <v>2497</v>
      </c>
      <c r="W391" t="s">
        <v>2786</v>
      </c>
      <c r="X391" t="s">
        <v>2006</v>
      </c>
      <c r="Y391" t="s">
        <v>3536</v>
      </c>
      <c r="Z391">
        <v>32</v>
      </c>
      <c r="AA391" t="s">
        <v>3783</v>
      </c>
      <c r="AB391" t="s">
        <v>2006</v>
      </c>
      <c r="AC391">
        <v>8</v>
      </c>
      <c r="AD391">
        <v>1</v>
      </c>
      <c r="AE391">
        <v>0</v>
      </c>
      <c r="AF391">
        <v>196.51</v>
      </c>
      <c r="AI391" t="s">
        <v>3809</v>
      </c>
      <c r="AJ391">
        <v>23856</v>
      </c>
      <c r="AK391" t="s">
        <v>3830</v>
      </c>
      <c r="AP391">
        <v>3.3</v>
      </c>
      <c r="AQ391" t="s">
        <v>180</v>
      </c>
      <c r="AR391" t="s">
        <v>4185</v>
      </c>
      <c r="AS391" t="s">
        <v>4210</v>
      </c>
      <c r="AT391" t="s">
        <v>4219</v>
      </c>
    </row>
    <row r="392" spans="1:46">
      <c r="A392" s="1">
        <f>HYPERLINK("https://lsnyc.legalserver.org/matter/dynamic-profile/view/1886690","18-1886690")</f>
        <v>0</v>
      </c>
      <c r="B392" t="s">
        <v>61</v>
      </c>
      <c r="C392" t="s">
        <v>219</v>
      </c>
      <c r="D392" t="s">
        <v>244</v>
      </c>
      <c r="E392" t="s">
        <v>420</v>
      </c>
      <c r="F392" t="s">
        <v>1076</v>
      </c>
      <c r="G392" t="s">
        <v>1531</v>
      </c>
      <c r="H392" t="s">
        <v>1737</v>
      </c>
      <c r="I392">
        <v>11233</v>
      </c>
      <c r="J392" t="s">
        <v>2002</v>
      </c>
      <c r="K392" t="s">
        <v>2002</v>
      </c>
      <c r="M392" t="s">
        <v>2194</v>
      </c>
      <c r="N392" t="s">
        <v>2415</v>
      </c>
      <c r="O392" t="s">
        <v>2437</v>
      </c>
      <c r="P392" t="s">
        <v>2445</v>
      </c>
      <c r="Q392" t="s">
        <v>2003</v>
      </c>
      <c r="S392" t="s">
        <v>74</v>
      </c>
      <c r="T392">
        <v>1950</v>
      </c>
      <c r="U392" t="s">
        <v>2501</v>
      </c>
      <c r="V392" t="s">
        <v>2516</v>
      </c>
      <c r="W392" t="s">
        <v>2787</v>
      </c>
      <c r="Y392" t="s">
        <v>3537</v>
      </c>
      <c r="Z392">
        <v>4</v>
      </c>
      <c r="AA392" t="s">
        <v>3784</v>
      </c>
      <c r="AB392" t="s">
        <v>2006</v>
      </c>
      <c r="AC392">
        <v>0</v>
      </c>
      <c r="AD392">
        <v>1</v>
      </c>
      <c r="AE392">
        <v>0</v>
      </c>
      <c r="AF392">
        <v>125.93</v>
      </c>
      <c r="AI392" t="s">
        <v>3809</v>
      </c>
      <c r="AJ392">
        <v>15288</v>
      </c>
      <c r="AP392">
        <v>7.5</v>
      </c>
      <c r="AQ392" t="s">
        <v>238</v>
      </c>
      <c r="AR392" t="s">
        <v>49</v>
      </c>
      <c r="AS392" t="s">
        <v>4210</v>
      </c>
      <c r="AT392" t="s">
        <v>4219</v>
      </c>
    </row>
    <row r="393" spans="1:46">
      <c r="A393" s="1">
        <f>HYPERLINK("https://lsnyc.legalserver.org/matter/dynamic-profile/view/1874691","18-1874691")</f>
        <v>0</v>
      </c>
      <c r="B393" t="s">
        <v>61</v>
      </c>
      <c r="C393" t="s">
        <v>220</v>
      </c>
      <c r="E393" t="s">
        <v>564</v>
      </c>
      <c r="F393" t="s">
        <v>1077</v>
      </c>
      <c r="G393" t="s">
        <v>1532</v>
      </c>
      <c r="H393" t="s">
        <v>1738</v>
      </c>
      <c r="I393">
        <v>11233</v>
      </c>
      <c r="J393" t="s">
        <v>2002</v>
      </c>
      <c r="K393" t="s">
        <v>2002</v>
      </c>
      <c r="M393" t="s">
        <v>2195</v>
      </c>
      <c r="N393" t="s">
        <v>2415</v>
      </c>
      <c r="O393" t="s">
        <v>2437</v>
      </c>
      <c r="Q393" t="s">
        <v>2003</v>
      </c>
      <c r="S393" t="s">
        <v>103</v>
      </c>
      <c r="T393">
        <v>933.24</v>
      </c>
      <c r="U393" t="s">
        <v>2497</v>
      </c>
      <c r="W393" t="s">
        <v>2788</v>
      </c>
      <c r="X393" t="s">
        <v>3229</v>
      </c>
      <c r="Y393" t="s">
        <v>3538</v>
      </c>
      <c r="Z393">
        <v>8</v>
      </c>
      <c r="AA393" t="s">
        <v>3787</v>
      </c>
      <c r="AB393" t="s">
        <v>3793</v>
      </c>
      <c r="AC393">
        <v>20</v>
      </c>
      <c r="AD393">
        <v>2</v>
      </c>
      <c r="AE393">
        <v>1</v>
      </c>
      <c r="AF393">
        <v>40.42</v>
      </c>
      <c r="AI393" t="s">
        <v>3809</v>
      </c>
      <c r="AJ393">
        <v>8400</v>
      </c>
      <c r="AP393">
        <v>18.06</v>
      </c>
      <c r="AQ393" t="s">
        <v>277</v>
      </c>
      <c r="AR393" t="s">
        <v>4187</v>
      </c>
      <c r="AS393" t="s">
        <v>4210</v>
      </c>
      <c r="AT393" t="s">
        <v>4219</v>
      </c>
    </row>
    <row r="394" spans="1:46">
      <c r="A394" s="1">
        <f>HYPERLINK("https://lsnyc.legalserver.org/matter/dynamic-profile/view/1851528","17-1851528")</f>
        <v>0</v>
      </c>
      <c r="B394" t="s">
        <v>62</v>
      </c>
      <c r="C394" t="s">
        <v>221</v>
      </c>
      <c r="D394" t="s">
        <v>322</v>
      </c>
      <c r="E394" t="s">
        <v>565</v>
      </c>
      <c r="F394" t="s">
        <v>1078</v>
      </c>
      <c r="G394" t="s">
        <v>1533</v>
      </c>
      <c r="H394">
        <v>2</v>
      </c>
      <c r="I394">
        <v>11207</v>
      </c>
      <c r="J394" t="s">
        <v>2002</v>
      </c>
      <c r="K394" t="s">
        <v>2002</v>
      </c>
      <c r="N394" t="s">
        <v>2027</v>
      </c>
      <c r="O394" t="s">
        <v>2439</v>
      </c>
      <c r="P394" t="s">
        <v>2444</v>
      </c>
      <c r="Q394" t="s">
        <v>2003</v>
      </c>
      <c r="S394" t="s">
        <v>2465</v>
      </c>
      <c r="T394">
        <v>1750</v>
      </c>
      <c r="U394" t="s">
        <v>2497</v>
      </c>
      <c r="V394" t="s">
        <v>2515</v>
      </c>
      <c r="W394" t="s">
        <v>2789</v>
      </c>
      <c r="Y394" t="s">
        <v>3539</v>
      </c>
      <c r="Z394">
        <v>2</v>
      </c>
      <c r="AA394" t="s">
        <v>2156</v>
      </c>
      <c r="AB394" t="s">
        <v>3793</v>
      </c>
      <c r="AC394">
        <v>18</v>
      </c>
      <c r="AD394">
        <v>1</v>
      </c>
      <c r="AE394">
        <v>0</v>
      </c>
      <c r="AF394">
        <v>98.51000000000001</v>
      </c>
      <c r="AI394" t="s">
        <v>3809</v>
      </c>
      <c r="AJ394">
        <v>11880</v>
      </c>
      <c r="AK394" t="s">
        <v>3840</v>
      </c>
      <c r="AP394">
        <v>1</v>
      </c>
      <c r="AQ394" t="s">
        <v>4178</v>
      </c>
      <c r="AR394" t="s">
        <v>4196</v>
      </c>
      <c r="AS394" t="s">
        <v>4210</v>
      </c>
      <c r="AT394" t="s">
        <v>4219</v>
      </c>
    </row>
    <row r="395" spans="1:46">
      <c r="A395" s="1">
        <f>HYPERLINK("https://lsnyc.legalserver.org/matter/dynamic-profile/view/1846660","17-1846660")</f>
        <v>0</v>
      </c>
      <c r="B395" t="s">
        <v>63</v>
      </c>
      <c r="C395" t="s">
        <v>222</v>
      </c>
      <c r="D395" t="s">
        <v>313</v>
      </c>
      <c r="E395" t="s">
        <v>566</v>
      </c>
      <c r="F395" t="s">
        <v>770</v>
      </c>
      <c r="G395" t="s">
        <v>1534</v>
      </c>
      <c r="H395" t="s">
        <v>1746</v>
      </c>
      <c r="I395">
        <v>11237</v>
      </c>
      <c r="J395" t="s">
        <v>2002</v>
      </c>
      <c r="K395" t="s">
        <v>2002</v>
      </c>
      <c r="L395" t="s">
        <v>2005</v>
      </c>
      <c r="N395" t="s">
        <v>2419</v>
      </c>
      <c r="O395" t="s">
        <v>2440</v>
      </c>
      <c r="P395" t="s">
        <v>2448</v>
      </c>
      <c r="Q395" t="s">
        <v>2002</v>
      </c>
      <c r="R395" t="s">
        <v>2451</v>
      </c>
      <c r="S395" t="s">
        <v>2459</v>
      </c>
      <c r="T395">
        <v>972</v>
      </c>
      <c r="U395" t="s">
        <v>2502</v>
      </c>
      <c r="V395" t="s">
        <v>2518</v>
      </c>
      <c r="W395" t="s">
        <v>2790</v>
      </c>
      <c r="Z395">
        <v>6</v>
      </c>
      <c r="AA395" t="s">
        <v>3783</v>
      </c>
      <c r="AB395" t="s">
        <v>2006</v>
      </c>
      <c r="AC395">
        <v>19</v>
      </c>
      <c r="AD395">
        <v>2</v>
      </c>
      <c r="AE395">
        <v>0</v>
      </c>
      <c r="AF395">
        <v>104.68</v>
      </c>
      <c r="AI395" t="s">
        <v>3810</v>
      </c>
      <c r="AJ395">
        <v>17000</v>
      </c>
      <c r="AP395">
        <v>134.15</v>
      </c>
      <c r="AQ395" t="s">
        <v>272</v>
      </c>
      <c r="AR395" t="s">
        <v>4196</v>
      </c>
      <c r="AS395" t="s">
        <v>4210</v>
      </c>
      <c r="AT395" t="s">
        <v>4219</v>
      </c>
    </row>
    <row r="396" spans="1:46">
      <c r="A396" s="1">
        <f>HYPERLINK("https://lsnyc.legalserver.org/matter/dynamic-profile/view/1887511","19-1887511")</f>
        <v>0</v>
      </c>
      <c r="B396" t="s">
        <v>63</v>
      </c>
      <c r="C396" t="s">
        <v>75</v>
      </c>
      <c r="D396" t="s">
        <v>128</v>
      </c>
      <c r="E396" t="s">
        <v>351</v>
      </c>
      <c r="F396" t="s">
        <v>1079</v>
      </c>
      <c r="G396" t="s">
        <v>1535</v>
      </c>
      <c r="H396" t="s">
        <v>1752</v>
      </c>
      <c r="I396">
        <v>11233</v>
      </c>
      <c r="J396" t="s">
        <v>2002</v>
      </c>
      <c r="K396" t="s">
        <v>2002</v>
      </c>
      <c r="M396" t="s">
        <v>2196</v>
      </c>
      <c r="N396" t="s">
        <v>2424</v>
      </c>
      <c r="O396" t="s">
        <v>2441</v>
      </c>
      <c r="P396" t="s">
        <v>2449</v>
      </c>
      <c r="Q396" t="s">
        <v>2002</v>
      </c>
      <c r="S396" t="s">
        <v>2459</v>
      </c>
      <c r="T396">
        <v>2400</v>
      </c>
      <c r="U396" t="s">
        <v>2497</v>
      </c>
      <c r="V396" t="s">
        <v>2518</v>
      </c>
      <c r="W396" t="s">
        <v>2791</v>
      </c>
      <c r="Y396" t="s">
        <v>3540</v>
      </c>
      <c r="Z396">
        <v>7</v>
      </c>
      <c r="AA396" t="s">
        <v>3783</v>
      </c>
      <c r="AB396" t="s">
        <v>2006</v>
      </c>
      <c r="AC396">
        <v>2</v>
      </c>
      <c r="AD396">
        <v>1</v>
      </c>
      <c r="AE396">
        <v>0</v>
      </c>
      <c r="AF396">
        <v>247.12</v>
      </c>
      <c r="AG396" t="s">
        <v>224</v>
      </c>
      <c r="AH396" t="s">
        <v>3806</v>
      </c>
      <c r="AI396" t="s">
        <v>3809</v>
      </c>
      <c r="AJ396">
        <v>30000</v>
      </c>
      <c r="AM396" t="s">
        <v>4112</v>
      </c>
      <c r="AP396">
        <v>0.3</v>
      </c>
      <c r="AQ396" t="s">
        <v>138</v>
      </c>
      <c r="AR396" t="s">
        <v>49</v>
      </c>
      <c r="AS396" t="s">
        <v>4210</v>
      </c>
      <c r="AT396" t="s">
        <v>4219</v>
      </c>
    </row>
    <row r="397" spans="1:46">
      <c r="A397" s="1">
        <f>HYPERLINK("https://lsnyc.legalserver.org/matter/dynamic-profile/view/1887679","19-1887679")</f>
        <v>0</v>
      </c>
      <c r="B397" t="s">
        <v>63</v>
      </c>
      <c r="C397" t="s">
        <v>138</v>
      </c>
      <c r="D397" t="s">
        <v>128</v>
      </c>
      <c r="E397" t="s">
        <v>567</v>
      </c>
      <c r="F397" t="s">
        <v>658</v>
      </c>
      <c r="G397" t="s">
        <v>1536</v>
      </c>
      <c r="H397" t="s">
        <v>1748</v>
      </c>
      <c r="I397">
        <v>11233</v>
      </c>
      <c r="J397" t="s">
        <v>2002</v>
      </c>
      <c r="K397" t="s">
        <v>2002</v>
      </c>
      <c r="M397" t="s">
        <v>2196</v>
      </c>
      <c r="N397" t="s">
        <v>2424</v>
      </c>
      <c r="O397" t="s">
        <v>2441</v>
      </c>
      <c r="P397" t="s">
        <v>2449</v>
      </c>
      <c r="Q397" t="s">
        <v>2002</v>
      </c>
      <c r="S397" t="s">
        <v>2459</v>
      </c>
      <c r="T397">
        <v>1433.14</v>
      </c>
      <c r="U397" t="s">
        <v>2505</v>
      </c>
      <c r="V397" t="s">
        <v>2518</v>
      </c>
      <c r="W397" t="s">
        <v>2792</v>
      </c>
      <c r="Y397" t="s">
        <v>3541</v>
      </c>
      <c r="Z397">
        <v>7</v>
      </c>
      <c r="AA397" t="s">
        <v>3783</v>
      </c>
      <c r="AC397">
        <v>3</v>
      </c>
      <c r="AD397">
        <v>2</v>
      </c>
      <c r="AE397">
        <v>0</v>
      </c>
      <c r="AF397">
        <v>282.27</v>
      </c>
      <c r="AG397" t="s">
        <v>224</v>
      </c>
      <c r="AH397" t="s">
        <v>3806</v>
      </c>
      <c r="AI397" t="s">
        <v>3809</v>
      </c>
      <c r="AJ397">
        <v>46462</v>
      </c>
      <c r="AM397" t="s">
        <v>4113</v>
      </c>
      <c r="AP397">
        <v>0.4</v>
      </c>
      <c r="AQ397" t="s">
        <v>138</v>
      </c>
      <c r="AR397" t="s">
        <v>49</v>
      </c>
      <c r="AS397" t="s">
        <v>4210</v>
      </c>
      <c r="AT397" t="s">
        <v>4219</v>
      </c>
    </row>
    <row r="398" spans="1:46">
      <c r="A398" s="1">
        <f>HYPERLINK("https://lsnyc.legalserver.org/matter/dynamic-profile/view/1887578","19-1887578")</f>
        <v>0</v>
      </c>
      <c r="B398" t="s">
        <v>63</v>
      </c>
      <c r="C398" t="s">
        <v>138</v>
      </c>
      <c r="D398" t="s">
        <v>128</v>
      </c>
      <c r="E398" t="s">
        <v>568</v>
      </c>
      <c r="F398" t="s">
        <v>942</v>
      </c>
      <c r="G398" t="s">
        <v>1535</v>
      </c>
      <c r="H398" t="s">
        <v>1768</v>
      </c>
      <c r="I398">
        <v>11233</v>
      </c>
      <c r="J398" t="s">
        <v>2002</v>
      </c>
      <c r="K398" t="s">
        <v>2002</v>
      </c>
      <c r="M398" t="s">
        <v>2196</v>
      </c>
      <c r="N398" t="s">
        <v>2424</v>
      </c>
      <c r="O398" t="s">
        <v>2441</v>
      </c>
      <c r="P398" t="s">
        <v>2449</v>
      </c>
      <c r="Q398" t="s">
        <v>2002</v>
      </c>
      <c r="S398" t="s">
        <v>2459</v>
      </c>
      <c r="T398">
        <v>2400</v>
      </c>
      <c r="U398" t="s">
        <v>2512</v>
      </c>
      <c r="V398" t="s">
        <v>2518</v>
      </c>
      <c r="W398" t="s">
        <v>2793</v>
      </c>
      <c r="Y398" t="s">
        <v>3542</v>
      </c>
      <c r="Z398">
        <v>7</v>
      </c>
      <c r="AA398" t="s">
        <v>3783</v>
      </c>
      <c r="AB398" t="s">
        <v>2006</v>
      </c>
      <c r="AC398">
        <v>1</v>
      </c>
      <c r="AD398">
        <v>1</v>
      </c>
      <c r="AE398">
        <v>0</v>
      </c>
      <c r="AF398">
        <v>329.49</v>
      </c>
      <c r="AI398" t="s">
        <v>3809</v>
      </c>
      <c r="AJ398">
        <v>40000</v>
      </c>
      <c r="AM398" t="s">
        <v>4113</v>
      </c>
      <c r="AP398">
        <v>0.4</v>
      </c>
      <c r="AQ398" t="s">
        <v>138</v>
      </c>
      <c r="AR398" t="s">
        <v>49</v>
      </c>
      <c r="AS398" t="s">
        <v>4210</v>
      </c>
      <c r="AT398" t="s">
        <v>4219</v>
      </c>
    </row>
    <row r="399" spans="1:46">
      <c r="A399" s="1">
        <f>HYPERLINK("https://lsnyc.legalserver.org/matter/dynamic-profile/view/1887586","19-1887586")</f>
        <v>0</v>
      </c>
      <c r="B399" t="s">
        <v>63</v>
      </c>
      <c r="C399" t="s">
        <v>138</v>
      </c>
      <c r="D399" t="s">
        <v>128</v>
      </c>
      <c r="E399" t="s">
        <v>569</v>
      </c>
      <c r="F399" t="s">
        <v>1080</v>
      </c>
      <c r="G399" t="s">
        <v>1535</v>
      </c>
      <c r="H399" t="s">
        <v>1735</v>
      </c>
      <c r="I399">
        <v>11233</v>
      </c>
      <c r="J399" t="s">
        <v>2002</v>
      </c>
      <c r="K399" t="s">
        <v>2002</v>
      </c>
      <c r="M399" t="s">
        <v>2196</v>
      </c>
      <c r="N399" t="s">
        <v>2424</v>
      </c>
      <c r="O399" t="s">
        <v>2441</v>
      </c>
      <c r="P399" t="s">
        <v>2449</v>
      </c>
      <c r="Q399" t="s">
        <v>2002</v>
      </c>
      <c r="S399" t="s">
        <v>2459</v>
      </c>
      <c r="T399">
        <v>0</v>
      </c>
      <c r="U399" t="s">
        <v>2504</v>
      </c>
      <c r="V399" t="s">
        <v>2518</v>
      </c>
      <c r="W399" t="s">
        <v>2794</v>
      </c>
      <c r="Z399">
        <v>7</v>
      </c>
      <c r="AA399" t="s">
        <v>3783</v>
      </c>
      <c r="AC399">
        <v>0</v>
      </c>
      <c r="AD399">
        <v>1</v>
      </c>
      <c r="AE399">
        <v>0</v>
      </c>
      <c r="AF399">
        <v>453.05</v>
      </c>
      <c r="AI399" t="s">
        <v>3809</v>
      </c>
      <c r="AJ399">
        <v>55000</v>
      </c>
      <c r="AM399" t="s">
        <v>4113</v>
      </c>
      <c r="AP399">
        <v>0.3</v>
      </c>
      <c r="AQ399" t="s">
        <v>138</v>
      </c>
      <c r="AR399" t="s">
        <v>49</v>
      </c>
      <c r="AS399" t="s">
        <v>4210</v>
      </c>
      <c r="AT399" t="s">
        <v>4219</v>
      </c>
    </row>
    <row r="400" spans="1:46">
      <c r="A400" s="1">
        <f>HYPERLINK("https://lsnyc.legalserver.org/matter/dynamic-profile/view/1887688","19-1887688")</f>
        <v>0</v>
      </c>
      <c r="B400" t="s">
        <v>63</v>
      </c>
      <c r="C400" t="s">
        <v>138</v>
      </c>
      <c r="D400" t="s">
        <v>128</v>
      </c>
      <c r="E400" t="s">
        <v>451</v>
      </c>
      <c r="F400" t="s">
        <v>984</v>
      </c>
      <c r="G400" t="s">
        <v>1535</v>
      </c>
      <c r="H400" t="s">
        <v>1746</v>
      </c>
      <c r="I400">
        <v>11233</v>
      </c>
      <c r="J400" t="s">
        <v>2002</v>
      </c>
      <c r="K400" t="s">
        <v>2002</v>
      </c>
      <c r="M400" t="s">
        <v>2196</v>
      </c>
      <c r="N400" t="s">
        <v>2424</v>
      </c>
      <c r="O400" t="s">
        <v>2441</v>
      </c>
      <c r="P400" t="s">
        <v>2449</v>
      </c>
      <c r="Q400" t="s">
        <v>2002</v>
      </c>
      <c r="S400" t="s">
        <v>2459</v>
      </c>
      <c r="T400">
        <v>840</v>
      </c>
      <c r="U400" t="s">
        <v>2512</v>
      </c>
      <c r="V400" t="s">
        <v>2518</v>
      </c>
      <c r="W400" t="s">
        <v>2795</v>
      </c>
      <c r="Y400" t="s">
        <v>3543</v>
      </c>
      <c r="Z400">
        <v>7</v>
      </c>
      <c r="AA400" t="s">
        <v>3783</v>
      </c>
      <c r="AB400" t="s">
        <v>2006</v>
      </c>
      <c r="AC400">
        <v>30</v>
      </c>
      <c r="AD400">
        <v>1</v>
      </c>
      <c r="AE400">
        <v>0</v>
      </c>
      <c r="AF400">
        <v>576.61</v>
      </c>
      <c r="AI400" t="s">
        <v>3809</v>
      </c>
      <c r="AJ400">
        <v>70000</v>
      </c>
      <c r="AM400" t="s">
        <v>4113</v>
      </c>
      <c r="AP400">
        <v>0.5</v>
      </c>
      <c r="AQ400" t="s">
        <v>138</v>
      </c>
      <c r="AR400" t="s">
        <v>49</v>
      </c>
      <c r="AS400" t="s">
        <v>4210</v>
      </c>
      <c r="AT400" t="s">
        <v>4219</v>
      </c>
    </row>
    <row r="401" spans="1:46">
      <c r="A401" s="1">
        <f>HYPERLINK("https://lsnyc.legalserver.org/matter/dynamic-profile/view/1860309","18-1860309")</f>
        <v>0</v>
      </c>
      <c r="B401" t="s">
        <v>63</v>
      </c>
      <c r="C401" t="s">
        <v>205</v>
      </c>
      <c r="D401" t="s">
        <v>171</v>
      </c>
      <c r="E401" t="s">
        <v>531</v>
      </c>
      <c r="F401" t="s">
        <v>865</v>
      </c>
      <c r="G401" t="s">
        <v>1498</v>
      </c>
      <c r="H401" t="s">
        <v>1738</v>
      </c>
      <c r="I401">
        <v>11206</v>
      </c>
      <c r="J401" t="s">
        <v>2002</v>
      </c>
      <c r="K401" t="s">
        <v>2002</v>
      </c>
      <c r="L401" t="s">
        <v>2005</v>
      </c>
      <c r="M401" t="s">
        <v>2197</v>
      </c>
      <c r="N401" t="s">
        <v>2414</v>
      </c>
      <c r="O401" t="s">
        <v>2437</v>
      </c>
      <c r="P401" t="s">
        <v>2445</v>
      </c>
      <c r="Q401" t="s">
        <v>2002</v>
      </c>
      <c r="S401" t="s">
        <v>2474</v>
      </c>
      <c r="T401">
        <v>1245</v>
      </c>
      <c r="U401" t="s">
        <v>2494</v>
      </c>
      <c r="V401" t="s">
        <v>2523</v>
      </c>
      <c r="W401" t="s">
        <v>2746</v>
      </c>
      <c r="X401" t="s">
        <v>3218</v>
      </c>
      <c r="Z401">
        <v>8</v>
      </c>
      <c r="AA401" t="s">
        <v>3783</v>
      </c>
      <c r="AB401" t="s">
        <v>3799</v>
      </c>
      <c r="AC401">
        <v>1</v>
      </c>
      <c r="AD401">
        <v>2</v>
      </c>
      <c r="AE401">
        <v>0</v>
      </c>
      <c r="AF401">
        <v>110.84</v>
      </c>
      <c r="AI401" t="s">
        <v>3809</v>
      </c>
      <c r="AJ401">
        <v>18000</v>
      </c>
      <c r="AK401" t="s">
        <v>3830</v>
      </c>
      <c r="AM401" t="s">
        <v>4114</v>
      </c>
      <c r="AP401">
        <v>3.2</v>
      </c>
      <c r="AQ401" t="s">
        <v>278</v>
      </c>
      <c r="AR401" t="s">
        <v>4185</v>
      </c>
      <c r="AS401" t="s">
        <v>4210</v>
      </c>
      <c r="AT401" t="s">
        <v>4219</v>
      </c>
    </row>
    <row r="402" spans="1:46">
      <c r="A402" s="1">
        <f>HYPERLINK("https://lsnyc.legalserver.org/matter/dynamic-profile/view/1882311","18-1882311")</f>
        <v>0</v>
      </c>
      <c r="B402" t="s">
        <v>63</v>
      </c>
      <c r="C402" t="s">
        <v>223</v>
      </c>
      <c r="D402" t="s">
        <v>123</v>
      </c>
      <c r="E402" t="s">
        <v>570</v>
      </c>
      <c r="F402" t="s">
        <v>1081</v>
      </c>
      <c r="G402" t="s">
        <v>1537</v>
      </c>
      <c r="H402" t="s">
        <v>1736</v>
      </c>
      <c r="I402">
        <v>11213</v>
      </c>
      <c r="J402" t="s">
        <v>2002</v>
      </c>
      <c r="K402" t="s">
        <v>2002</v>
      </c>
      <c r="N402" t="s">
        <v>2417</v>
      </c>
      <c r="O402" t="s">
        <v>2440</v>
      </c>
      <c r="P402" t="s">
        <v>2448</v>
      </c>
      <c r="Q402" t="s">
        <v>2002</v>
      </c>
      <c r="S402" t="s">
        <v>2479</v>
      </c>
      <c r="T402">
        <v>728.3099999999999</v>
      </c>
      <c r="U402" t="s">
        <v>2494</v>
      </c>
      <c r="V402" t="s">
        <v>2518</v>
      </c>
      <c r="W402" t="s">
        <v>2796</v>
      </c>
      <c r="X402" t="s">
        <v>3230</v>
      </c>
      <c r="Y402" t="s">
        <v>3544</v>
      </c>
      <c r="Z402">
        <v>23</v>
      </c>
      <c r="AA402" t="s">
        <v>3783</v>
      </c>
      <c r="AC402">
        <v>41</v>
      </c>
      <c r="AD402">
        <v>3</v>
      </c>
      <c r="AE402">
        <v>3</v>
      </c>
      <c r="AF402">
        <v>28.45</v>
      </c>
      <c r="AI402" t="s">
        <v>3810</v>
      </c>
      <c r="AJ402">
        <v>9600</v>
      </c>
      <c r="AM402" t="s">
        <v>4115</v>
      </c>
      <c r="AO402" t="s">
        <v>4142</v>
      </c>
      <c r="AP402">
        <v>1</v>
      </c>
      <c r="AQ402" t="s">
        <v>223</v>
      </c>
      <c r="AR402" t="s">
        <v>63</v>
      </c>
      <c r="AS402" t="s">
        <v>4210</v>
      </c>
      <c r="AT402" t="s">
        <v>4219</v>
      </c>
    </row>
    <row r="403" spans="1:46">
      <c r="A403" s="1">
        <f>HYPERLINK("https://lsnyc.legalserver.org/matter/dynamic-profile/view/1882438","18-1882438")</f>
        <v>0</v>
      </c>
      <c r="B403" t="s">
        <v>63</v>
      </c>
      <c r="C403" t="s">
        <v>123</v>
      </c>
      <c r="D403" t="s">
        <v>181</v>
      </c>
      <c r="E403" t="s">
        <v>540</v>
      </c>
      <c r="F403" t="s">
        <v>1049</v>
      </c>
      <c r="G403" t="s">
        <v>1505</v>
      </c>
      <c r="I403">
        <v>11208</v>
      </c>
      <c r="J403" t="s">
        <v>2002</v>
      </c>
      <c r="K403" t="s">
        <v>2002</v>
      </c>
      <c r="M403" t="s">
        <v>2198</v>
      </c>
      <c r="N403" t="s">
        <v>2414</v>
      </c>
      <c r="O403" t="s">
        <v>2437</v>
      </c>
      <c r="P403" t="s">
        <v>2445</v>
      </c>
      <c r="Q403" t="s">
        <v>2002</v>
      </c>
      <c r="S403" t="s">
        <v>2479</v>
      </c>
      <c r="T403">
        <v>320</v>
      </c>
      <c r="V403" t="s">
        <v>2515</v>
      </c>
      <c r="W403" t="s">
        <v>2755</v>
      </c>
      <c r="Y403" t="s">
        <v>3506</v>
      </c>
      <c r="Z403">
        <v>7</v>
      </c>
      <c r="AA403" t="s">
        <v>3784</v>
      </c>
      <c r="AC403">
        <v>4</v>
      </c>
      <c r="AD403">
        <v>1</v>
      </c>
      <c r="AE403">
        <v>0</v>
      </c>
      <c r="AF403">
        <v>80.26000000000001</v>
      </c>
      <c r="AI403" t="s">
        <v>3815</v>
      </c>
      <c r="AJ403">
        <v>9744</v>
      </c>
      <c r="AM403" t="s">
        <v>4116</v>
      </c>
      <c r="AP403">
        <v>0.5</v>
      </c>
      <c r="AQ403" t="s">
        <v>95</v>
      </c>
      <c r="AR403" t="s">
        <v>63</v>
      </c>
      <c r="AS403" t="s">
        <v>4210</v>
      </c>
      <c r="AT403" t="s">
        <v>4219</v>
      </c>
    </row>
    <row r="404" spans="1:46">
      <c r="A404" s="1">
        <f>HYPERLINK("https://lsnyc.legalserver.org/matter/dynamic-profile/view/1870803","18-1870803")</f>
        <v>0</v>
      </c>
      <c r="B404" t="s">
        <v>63</v>
      </c>
      <c r="C404" t="s">
        <v>211</v>
      </c>
      <c r="D404" t="s">
        <v>239</v>
      </c>
      <c r="E404" t="s">
        <v>571</v>
      </c>
      <c r="F404" t="s">
        <v>1082</v>
      </c>
      <c r="G404" t="s">
        <v>1538</v>
      </c>
      <c r="H404" t="s">
        <v>1740</v>
      </c>
      <c r="I404">
        <v>11212</v>
      </c>
      <c r="J404" t="s">
        <v>2002</v>
      </c>
      <c r="K404" t="s">
        <v>2002</v>
      </c>
      <c r="M404" t="s">
        <v>2027</v>
      </c>
      <c r="N404" t="s">
        <v>2417</v>
      </c>
      <c r="O404" t="s">
        <v>2436</v>
      </c>
      <c r="P404" t="s">
        <v>2443</v>
      </c>
      <c r="Q404" t="s">
        <v>2002</v>
      </c>
      <c r="R404" t="s">
        <v>2451</v>
      </c>
      <c r="S404" t="s">
        <v>2480</v>
      </c>
      <c r="T404">
        <v>916</v>
      </c>
      <c r="U404" t="s">
        <v>2496</v>
      </c>
      <c r="V404" t="s">
        <v>2518</v>
      </c>
      <c r="W404" t="s">
        <v>2797</v>
      </c>
      <c r="X404" t="s">
        <v>2006</v>
      </c>
      <c r="Y404" t="s">
        <v>3545</v>
      </c>
      <c r="Z404">
        <v>12</v>
      </c>
      <c r="AA404" t="s">
        <v>3787</v>
      </c>
      <c r="AB404" t="s">
        <v>3793</v>
      </c>
      <c r="AC404">
        <v>19</v>
      </c>
      <c r="AD404">
        <v>2</v>
      </c>
      <c r="AE404">
        <v>0</v>
      </c>
      <c r="AF404">
        <v>258.2</v>
      </c>
      <c r="AG404" t="s">
        <v>136</v>
      </c>
      <c r="AH404" t="s">
        <v>3806</v>
      </c>
      <c r="AI404" t="s">
        <v>3809</v>
      </c>
      <c r="AJ404">
        <v>42500</v>
      </c>
      <c r="AP404">
        <v>17.7</v>
      </c>
      <c r="AQ404" t="s">
        <v>239</v>
      </c>
      <c r="AR404" t="s">
        <v>4194</v>
      </c>
      <c r="AS404" t="s">
        <v>4210</v>
      </c>
      <c r="AT404" t="s">
        <v>4219</v>
      </c>
    </row>
    <row r="405" spans="1:46">
      <c r="A405" s="1">
        <f>HYPERLINK("https://lsnyc.legalserver.org/matter/dynamic-profile/view/1839675","17-1839675")</f>
        <v>0</v>
      </c>
      <c r="B405" t="s">
        <v>63</v>
      </c>
      <c r="C405" t="s">
        <v>123</v>
      </c>
      <c r="D405" t="s">
        <v>127</v>
      </c>
      <c r="E405" t="s">
        <v>572</v>
      </c>
      <c r="F405" t="s">
        <v>1083</v>
      </c>
      <c r="G405" t="s">
        <v>1505</v>
      </c>
      <c r="H405">
        <v>2</v>
      </c>
      <c r="I405">
        <v>11208</v>
      </c>
      <c r="J405" t="s">
        <v>2002</v>
      </c>
      <c r="K405" t="s">
        <v>2002</v>
      </c>
      <c r="N405" t="s">
        <v>2417</v>
      </c>
      <c r="O405" t="s">
        <v>2440</v>
      </c>
      <c r="P405" t="s">
        <v>2446</v>
      </c>
      <c r="Q405" t="s">
        <v>2002</v>
      </c>
      <c r="S405" t="s">
        <v>308</v>
      </c>
      <c r="T405">
        <v>900</v>
      </c>
      <c r="V405" t="s">
        <v>2518</v>
      </c>
      <c r="W405" t="s">
        <v>2798</v>
      </c>
      <c r="Z405">
        <v>7</v>
      </c>
      <c r="AA405" t="s">
        <v>3784</v>
      </c>
      <c r="AC405">
        <v>0</v>
      </c>
      <c r="AD405">
        <v>2</v>
      </c>
      <c r="AE405">
        <v>3</v>
      </c>
      <c r="AF405">
        <v>62.54</v>
      </c>
      <c r="AI405" t="s">
        <v>3810</v>
      </c>
      <c r="AJ405">
        <v>18000</v>
      </c>
      <c r="AP405">
        <v>0.6</v>
      </c>
      <c r="AQ405" t="s">
        <v>127</v>
      </c>
      <c r="AR405" t="s">
        <v>4203</v>
      </c>
      <c r="AS405" t="s">
        <v>4210</v>
      </c>
      <c r="AT405" t="s">
        <v>4219</v>
      </c>
    </row>
    <row r="406" spans="1:46">
      <c r="A406" s="1">
        <f>HYPERLINK("https://lsnyc.legalserver.org/matter/dynamic-profile/view/0827777","17-0827777")</f>
        <v>0</v>
      </c>
      <c r="B406" t="s">
        <v>63</v>
      </c>
      <c r="C406" t="s">
        <v>217</v>
      </c>
      <c r="D406" t="s">
        <v>128</v>
      </c>
      <c r="E406" t="s">
        <v>573</v>
      </c>
      <c r="F406" t="s">
        <v>1084</v>
      </c>
      <c r="G406" t="s">
        <v>1539</v>
      </c>
      <c r="H406">
        <v>3</v>
      </c>
      <c r="I406">
        <v>11225</v>
      </c>
      <c r="J406" t="s">
        <v>2002</v>
      </c>
      <c r="K406" t="s">
        <v>2002</v>
      </c>
      <c r="N406" t="s">
        <v>2417</v>
      </c>
      <c r="O406" t="s">
        <v>2436</v>
      </c>
      <c r="P406" t="s">
        <v>2443</v>
      </c>
      <c r="Q406" t="s">
        <v>2002</v>
      </c>
      <c r="S406" t="s">
        <v>217</v>
      </c>
      <c r="T406">
        <v>468.21</v>
      </c>
      <c r="U406" t="s">
        <v>2512</v>
      </c>
      <c r="V406" t="s">
        <v>2518</v>
      </c>
      <c r="W406" t="s">
        <v>2561</v>
      </c>
      <c r="X406" t="s">
        <v>3231</v>
      </c>
      <c r="Y406" t="s">
        <v>3546</v>
      </c>
      <c r="Z406">
        <v>2</v>
      </c>
      <c r="AA406" t="s">
        <v>3783</v>
      </c>
      <c r="AC406">
        <v>19</v>
      </c>
      <c r="AD406">
        <v>2</v>
      </c>
      <c r="AE406">
        <v>1</v>
      </c>
      <c r="AF406">
        <v>54.83</v>
      </c>
      <c r="AI406" t="s">
        <v>3809</v>
      </c>
      <c r="AJ406">
        <v>11196</v>
      </c>
      <c r="AO406" t="s">
        <v>4143</v>
      </c>
      <c r="AP406">
        <v>0.7</v>
      </c>
      <c r="AQ406" t="s">
        <v>138</v>
      </c>
      <c r="AR406" t="s">
        <v>4185</v>
      </c>
      <c r="AS406" t="s">
        <v>4210</v>
      </c>
      <c r="AT406" t="s">
        <v>4219</v>
      </c>
    </row>
    <row r="407" spans="1:46">
      <c r="A407" s="1">
        <f>HYPERLINK("https://lsnyc.legalserver.org/matter/dynamic-profile/view/1875609","18-1875609")</f>
        <v>0</v>
      </c>
      <c r="B407" t="s">
        <v>63</v>
      </c>
      <c r="C407" t="s">
        <v>87</v>
      </c>
      <c r="D407" t="s">
        <v>313</v>
      </c>
      <c r="E407" t="s">
        <v>574</v>
      </c>
      <c r="F407" t="s">
        <v>866</v>
      </c>
      <c r="G407" t="s">
        <v>1467</v>
      </c>
      <c r="H407" t="s">
        <v>1834</v>
      </c>
      <c r="I407">
        <v>11221</v>
      </c>
      <c r="J407" t="s">
        <v>2002</v>
      </c>
      <c r="K407" t="s">
        <v>2002</v>
      </c>
      <c r="L407" t="s">
        <v>2005</v>
      </c>
      <c r="N407" t="s">
        <v>2027</v>
      </c>
      <c r="O407" t="s">
        <v>2440</v>
      </c>
      <c r="P407" t="s">
        <v>2443</v>
      </c>
      <c r="Q407" t="s">
        <v>2002</v>
      </c>
      <c r="S407" t="s">
        <v>104</v>
      </c>
      <c r="T407">
        <v>538.37</v>
      </c>
      <c r="U407" t="s">
        <v>2509</v>
      </c>
      <c r="V407" t="s">
        <v>2518</v>
      </c>
      <c r="W407" t="s">
        <v>2799</v>
      </c>
      <c r="X407">
        <v>4449660</v>
      </c>
      <c r="Y407" t="s">
        <v>3547</v>
      </c>
      <c r="Z407">
        <v>54</v>
      </c>
      <c r="AA407" t="s">
        <v>3783</v>
      </c>
      <c r="AC407">
        <v>19</v>
      </c>
      <c r="AD407">
        <v>1</v>
      </c>
      <c r="AE407">
        <v>0</v>
      </c>
      <c r="AF407">
        <v>79.08</v>
      </c>
      <c r="AI407" t="s">
        <v>3809</v>
      </c>
      <c r="AJ407">
        <v>9600</v>
      </c>
      <c r="AK407" t="s">
        <v>3829</v>
      </c>
      <c r="AP407">
        <v>0.1</v>
      </c>
      <c r="AQ407" t="s">
        <v>313</v>
      </c>
      <c r="AR407" t="s">
        <v>4199</v>
      </c>
      <c r="AS407" t="s">
        <v>4210</v>
      </c>
      <c r="AT407" t="s">
        <v>4219</v>
      </c>
    </row>
    <row r="408" spans="1:46">
      <c r="A408" s="1">
        <f>HYPERLINK("https://lsnyc.legalserver.org/matter/dynamic-profile/view/1875612","18-1875612")</f>
        <v>0</v>
      </c>
      <c r="B408" t="s">
        <v>63</v>
      </c>
      <c r="C408" t="s">
        <v>87</v>
      </c>
      <c r="D408" t="s">
        <v>313</v>
      </c>
      <c r="E408" t="s">
        <v>575</v>
      </c>
      <c r="F408" t="s">
        <v>1085</v>
      </c>
      <c r="G408" t="s">
        <v>1467</v>
      </c>
      <c r="H408" t="s">
        <v>1796</v>
      </c>
      <c r="I408">
        <v>11221</v>
      </c>
      <c r="J408" t="s">
        <v>2002</v>
      </c>
      <c r="K408" t="s">
        <v>2002</v>
      </c>
      <c r="L408" t="s">
        <v>2005</v>
      </c>
      <c r="N408" t="s">
        <v>2417</v>
      </c>
      <c r="O408" t="s">
        <v>2436</v>
      </c>
      <c r="P408" t="s">
        <v>2443</v>
      </c>
      <c r="Q408" t="s">
        <v>2002</v>
      </c>
      <c r="S408" t="s">
        <v>87</v>
      </c>
      <c r="T408">
        <v>0</v>
      </c>
      <c r="U408" t="s">
        <v>2509</v>
      </c>
      <c r="V408" t="s">
        <v>2518</v>
      </c>
      <c r="W408" t="s">
        <v>2669</v>
      </c>
      <c r="Y408" t="s">
        <v>3433</v>
      </c>
      <c r="Z408">
        <v>54</v>
      </c>
      <c r="AA408" t="s">
        <v>3783</v>
      </c>
      <c r="AC408">
        <v>7</v>
      </c>
      <c r="AD408">
        <v>1</v>
      </c>
      <c r="AE408">
        <v>0</v>
      </c>
      <c r="AF408">
        <v>79.08</v>
      </c>
      <c r="AI408" t="s">
        <v>3809</v>
      </c>
      <c r="AJ408">
        <v>9600</v>
      </c>
      <c r="AK408" t="s">
        <v>3829</v>
      </c>
      <c r="AP408">
        <v>0.1</v>
      </c>
      <c r="AQ408" t="s">
        <v>313</v>
      </c>
      <c r="AR408" t="s">
        <v>4199</v>
      </c>
      <c r="AS408" t="s">
        <v>4210</v>
      </c>
      <c r="AT408" t="s">
        <v>4219</v>
      </c>
    </row>
    <row r="409" spans="1:46">
      <c r="A409" s="1">
        <f>HYPERLINK("https://lsnyc.legalserver.org/matter/dynamic-profile/view/1892003","19-1892003")</f>
        <v>0</v>
      </c>
      <c r="B409" t="s">
        <v>63</v>
      </c>
      <c r="C409" t="s">
        <v>224</v>
      </c>
      <c r="D409" t="s">
        <v>290</v>
      </c>
      <c r="E409" t="s">
        <v>576</v>
      </c>
      <c r="F409" t="s">
        <v>984</v>
      </c>
      <c r="G409" t="s">
        <v>1505</v>
      </c>
      <c r="H409">
        <v>7</v>
      </c>
      <c r="I409">
        <v>11208</v>
      </c>
      <c r="J409" t="s">
        <v>2002</v>
      </c>
      <c r="K409" t="s">
        <v>2002</v>
      </c>
      <c r="M409" t="s">
        <v>2199</v>
      </c>
      <c r="N409" t="s">
        <v>2414</v>
      </c>
      <c r="O409" t="s">
        <v>2437</v>
      </c>
      <c r="P409" t="s">
        <v>2445</v>
      </c>
      <c r="Q409" t="s">
        <v>2002</v>
      </c>
      <c r="R409" t="s">
        <v>2451</v>
      </c>
      <c r="S409" t="s">
        <v>2463</v>
      </c>
      <c r="T409">
        <v>600</v>
      </c>
      <c r="U409" t="s">
        <v>2497</v>
      </c>
      <c r="V409" t="s">
        <v>2515</v>
      </c>
      <c r="W409" t="s">
        <v>2800</v>
      </c>
      <c r="Y409" t="s">
        <v>3548</v>
      </c>
      <c r="Z409">
        <v>7</v>
      </c>
      <c r="AA409" t="s">
        <v>3784</v>
      </c>
      <c r="AB409" t="s">
        <v>2006</v>
      </c>
      <c r="AC409">
        <v>2</v>
      </c>
      <c r="AD409">
        <v>1</v>
      </c>
      <c r="AE409">
        <v>0</v>
      </c>
      <c r="AF409">
        <v>0</v>
      </c>
      <c r="AI409" t="s">
        <v>3809</v>
      </c>
      <c r="AJ409">
        <v>0</v>
      </c>
      <c r="AK409" t="s">
        <v>3914</v>
      </c>
      <c r="AM409" t="s">
        <v>4117</v>
      </c>
      <c r="AP409">
        <v>0.1</v>
      </c>
      <c r="AQ409" t="s">
        <v>290</v>
      </c>
      <c r="AR409" t="s">
        <v>4185</v>
      </c>
      <c r="AS409" t="s">
        <v>4210</v>
      </c>
      <c r="AT409" t="s">
        <v>4219</v>
      </c>
    </row>
    <row r="410" spans="1:46">
      <c r="A410" s="1">
        <f>HYPERLINK("https://lsnyc.legalserver.org/matter/dynamic-profile/view/1891985","19-1891985")</f>
        <v>0</v>
      </c>
      <c r="B410" t="s">
        <v>63</v>
      </c>
      <c r="C410" t="s">
        <v>224</v>
      </c>
      <c r="D410" t="s">
        <v>290</v>
      </c>
      <c r="E410" t="s">
        <v>577</v>
      </c>
      <c r="F410" t="s">
        <v>1086</v>
      </c>
      <c r="G410" t="s">
        <v>1505</v>
      </c>
      <c r="H410">
        <v>1</v>
      </c>
      <c r="I410">
        <v>11208</v>
      </c>
      <c r="J410" t="s">
        <v>2002</v>
      </c>
      <c r="K410" t="s">
        <v>2002</v>
      </c>
      <c r="M410" t="s">
        <v>2199</v>
      </c>
      <c r="N410" t="s">
        <v>2414</v>
      </c>
      <c r="O410" t="s">
        <v>2437</v>
      </c>
      <c r="P410" t="s">
        <v>2445</v>
      </c>
      <c r="Q410" t="s">
        <v>2002</v>
      </c>
      <c r="R410" t="s">
        <v>2451</v>
      </c>
      <c r="S410" t="s">
        <v>2463</v>
      </c>
      <c r="T410">
        <v>450</v>
      </c>
      <c r="V410" t="s">
        <v>2515</v>
      </c>
      <c r="W410" t="s">
        <v>2801</v>
      </c>
      <c r="Z410">
        <v>7</v>
      </c>
      <c r="AA410" t="s">
        <v>2156</v>
      </c>
      <c r="AB410" t="s">
        <v>2006</v>
      </c>
      <c r="AC410">
        <v>5</v>
      </c>
      <c r="AD410">
        <v>2</v>
      </c>
      <c r="AE410">
        <v>0</v>
      </c>
      <c r="AF410">
        <v>58.19</v>
      </c>
      <c r="AI410" t="s">
        <v>3810</v>
      </c>
      <c r="AJ410">
        <v>9840</v>
      </c>
      <c r="AK410" t="s">
        <v>3915</v>
      </c>
      <c r="AM410" t="s">
        <v>4117</v>
      </c>
      <c r="AP410">
        <v>0.1</v>
      </c>
      <c r="AQ410" t="s">
        <v>290</v>
      </c>
      <c r="AR410" t="s">
        <v>4185</v>
      </c>
      <c r="AS410" t="s">
        <v>4210</v>
      </c>
      <c r="AT410" t="s">
        <v>4219</v>
      </c>
    </row>
    <row r="411" spans="1:46">
      <c r="A411" s="1">
        <f>HYPERLINK("https://lsnyc.legalserver.org/matter/dynamic-profile/view/1891980","19-1891980")</f>
        <v>0</v>
      </c>
      <c r="B411" t="s">
        <v>63</v>
      </c>
      <c r="C411" t="s">
        <v>224</v>
      </c>
      <c r="D411" t="s">
        <v>290</v>
      </c>
      <c r="E411" t="s">
        <v>572</v>
      </c>
      <c r="F411" t="s">
        <v>1083</v>
      </c>
      <c r="G411" t="s">
        <v>1505</v>
      </c>
      <c r="H411">
        <v>2</v>
      </c>
      <c r="I411">
        <v>11208</v>
      </c>
      <c r="J411" t="s">
        <v>2002</v>
      </c>
      <c r="K411" t="s">
        <v>2002</v>
      </c>
      <c r="M411" t="s">
        <v>2199</v>
      </c>
      <c r="N411" t="s">
        <v>2414</v>
      </c>
      <c r="O411" t="s">
        <v>2437</v>
      </c>
      <c r="P411" t="s">
        <v>2445</v>
      </c>
      <c r="Q411" t="s">
        <v>2002</v>
      </c>
      <c r="R411" t="s">
        <v>2451</v>
      </c>
      <c r="S411" t="s">
        <v>2463</v>
      </c>
      <c r="T411">
        <v>900</v>
      </c>
      <c r="U411" t="s">
        <v>2497</v>
      </c>
      <c r="V411" t="s">
        <v>2515</v>
      </c>
      <c r="W411" t="s">
        <v>2798</v>
      </c>
      <c r="Z411">
        <v>7</v>
      </c>
      <c r="AA411" t="s">
        <v>2156</v>
      </c>
      <c r="AB411" t="s">
        <v>2006</v>
      </c>
      <c r="AC411">
        <v>0</v>
      </c>
      <c r="AD411">
        <v>2</v>
      </c>
      <c r="AE411">
        <v>3</v>
      </c>
      <c r="AF411">
        <v>59.66</v>
      </c>
      <c r="AI411" t="s">
        <v>3810</v>
      </c>
      <c r="AJ411">
        <v>18000</v>
      </c>
      <c r="AK411" t="s">
        <v>3916</v>
      </c>
      <c r="AM411" t="s">
        <v>4117</v>
      </c>
      <c r="AP411">
        <v>0.1</v>
      </c>
      <c r="AQ411" t="s">
        <v>290</v>
      </c>
      <c r="AR411" t="s">
        <v>4185</v>
      </c>
      <c r="AS411" t="s">
        <v>4210</v>
      </c>
      <c r="AT411" t="s">
        <v>4219</v>
      </c>
    </row>
    <row r="412" spans="1:46">
      <c r="A412" s="1">
        <f>HYPERLINK("https://lsnyc.legalserver.org/matter/dynamic-profile/view/1891998","19-1891998")</f>
        <v>0</v>
      </c>
      <c r="B412" t="s">
        <v>63</v>
      </c>
      <c r="C412" t="s">
        <v>224</v>
      </c>
      <c r="D412" t="s">
        <v>181</v>
      </c>
      <c r="E412" t="s">
        <v>484</v>
      </c>
      <c r="F412" t="s">
        <v>1087</v>
      </c>
      <c r="G412" t="s">
        <v>1505</v>
      </c>
      <c r="H412" t="s">
        <v>1835</v>
      </c>
      <c r="I412">
        <v>11208</v>
      </c>
      <c r="J412" t="s">
        <v>2002</v>
      </c>
      <c r="K412" t="s">
        <v>2002</v>
      </c>
      <c r="M412" t="s">
        <v>2199</v>
      </c>
      <c r="N412" t="s">
        <v>2414</v>
      </c>
      <c r="O412" t="s">
        <v>2437</v>
      </c>
      <c r="P412" t="s">
        <v>2445</v>
      </c>
      <c r="Q412" t="s">
        <v>2002</v>
      </c>
      <c r="R412" t="s">
        <v>2451</v>
      </c>
      <c r="S412" t="s">
        <v>2463</v>
      </c>
      <c r="T412">
        <v>300</v>
      </c>
      <c r="U412" t="s">
        <v>2497</v>
      </c>
      <c r="V412" t="s">
        <v>2515</v>
      </c>
      <c r="W412" t="s">
        <v>2802</v>
      </c>
      <c r="Y412" t="s">
        <v>3549</v>
      </c>
      <c r="Z412">
        <v>7</v>
      </c>
      <c r="AA412" t="s">
        <v>3784</v>
      </c>
      <c r="AB412" t="s">
        <v>2006</v>
      </c>
      <c r="AC412">
        <v>3</v>
      </c>
      <c r="AD412">
        <v>1</v>
      </c>
      <c r="AE412">
        <v>0</v>
      </c>
      <c r="AF412">
        <v>76.86</v>
      </c>
      <c r="AI412" t="s">
        <v>3810</v>
      </c>
      <c r="AJ412">
        <v>9600</v>
      </c>
      <c r="AK412" t="s">
        <v>3917</v>
      </c>
      <c r="AM412" t="s">
        <v>4116</v>
      </c>
      <c r="AP412">
        <v>0.1</v>
      </c>
      <c r="AQ412" t="s">
        <v>181</v>
      </c>
      <c r="AR412" t="s">
        <v>4185</v>
      </c>
      <c r="AS412" t="s">
        <v>4210</v>
      </c>
      <c r="AT412" t="s">
        <v>4219</v>
      </c>
    </row>
    <row r="413" spans="1:46">
      <c r="A413" s="1">
        <f>HYPERLINK("https://lsnyc.legalserver.org/matter/dynamic-profile/view/1891990","19-1891990")</f>
        <v>0</v>
      </c>
      <c r="B413" t="s">
        <v>63</v>
      </c>
      <c r="C413" t="s">
        <v>224</v>
      </c>
      <c r="D413" t="s">
        <v>181</v>
      </c>
      <c r="E413" t="s">
        <v>540</v>
      </c>
      <c r="F413" t="s">
        <v>1049</v>
      </c>
      <c r="G413" t="s">
        <v>1505</v>
      </c>
      <c r="I413">
        <v>11208</v>
      </c>
      <c r="J413" t="s">
        <v>2002</v>
      </c>
      <c r="K413" t="s">
        <v>2002</v>
      </c>
      <c r="M413" t="s">
        <v>2199</v>
      </c>
      <c r="N413" t="s">
        <v>2414</v>
      </c>
      <c r="O413" t="s">
        <v>2437</v>
      </c>
      <c r="P413" t="s">
        <v>2445</v>
      </c>
      <c r="Q413" t="s">
        <v>2002</v>
      </c>
      <c r="R413" t="s">
        <v>2451</v>
      </c>
      <c r="S413" t="s">
        <v>2463</v>
      </c>
      <c r="T413">
        <v>320</v>
      </c>
      <c r="U413" t="s">
        <v>2497</v>
      </c>
      <c r="V413" t="s">
        <v>2515</v>
      </c>
      <c r="W413" t="s">
        <v>2755</v>
      </c>
      <c r="Y413" t="s">
        <v>3506</v>
      </c>
      <c r="Z413">
        <v>7</v>
      </c>
      <c r="AA413" t="s">
        <v>3784</v>
      </c>
      <c r="AC413">
        <v>4</v>
      </c>
      <c r="AD413">
        <v>1</v>
      </c>
      <c r="AE413">
        <v>0</v>
      </c>
      <c r="AF413">
        <v>78.01000000000001</v>
      </c>
      <c r="AI413" t="s">
        <v>3815</v>
      </c>
      <c r="AJ413">
        <v>9744</v>
      </c>
      <c r="AK413" t="s">
        <v>3918</v>
      </c>
      <c r="AM413" t="s">
        <v>4117</v>
      </c>
      <c r="AP413">
        <v>0.1</v>
      </c>
      <c r="AQ413" t="s">
        <v>181</v>
      </c>
      <c r="AR413" t="s">
        <v>4185</v>
      </c>
      <c r="AS413" t="s">
        <v>4210</v>
      </c>
      <c r="AT413" t="s">
        <v>4219</v>
      </c>
    </row>
    <row r="414" spans="1:46">
      <c r="A414" s="1">
        <f>HYPERLINK("https://lsnyc.legalserver.org/matter/dynamic-profile/view/1877277","18-1877277")</f>
        <v>0</v>
      </c>
      <c r="B414" t="s">
        <v>63</v>
      </c>
      <c r="C414" t="s">
        <v>81</v>
      </c>
      <c r="D414" t="s">
        <v>313</v>
      </c>
      <c r="E414" t="s">
        <v>578</v>
      </c>
      <c r="F414" t="s">
        <v>865</v>
      </c>
      <c r="G414" t="s">
        <v>1467</v>
      </c>
      <c r="H414" t="s">
        <v>1836</v>
      </c>
      <c r="I414">
        <v>11221</v>
      </c>
      <c r="J414" t="s">
        <v>2002</v>
      </c>
      <c r="K414" t="s">
        <v>2004</v>
      </c>
      <c r="L414" t="s">
        <v>2005</v>
      </c>
      <c r="N414" t="s">
        <v>2027</v>
      </c>
      <c r="O414" t="s">
        <v>2440</v>
      </c>
      <c r="P414" t="s">
        <v>2443</v>
      </c>
      <c r="S414" t="s">
        <v>2481</v>
      </c>
      <c r="T414">
        <v>378</v>
      </c>
      <c r="V414" t="s">
        <v>2518</v>
      </c>
      <c r="W414" t="s">
        <v>2803</v>
      </c>
      <c r="Z414">
        <v>54</v>
      </c>
      <c r="AA414" t="s">
        <v>3783</v>
      </c>
      <c r="AC414">
        <v>21</v>
      </c>
      <c r="AD414">
        <v>2</v>
      </c>
      <c r="AE414">
        <v>0</v>
      </c>
      <c r="AF414">
        <v>39.37</v>
      </c>
      <c r="AI414" t="s">
        <v>3809</v>
      </c>
      <c r="AJ414">
        <v>6480</v>
      </c>
      <c r="AP414">
        <v>0.1</v>
      </c>
      <c r="AQ414" t="s">
        <v>166</v>
      </c>
      <c r="AR414" t="s">
        <v>4185</v>
      </c>
      <c r="AS414" t="s">
        <v>4210</v>
      </c>
      <c r="AT414" t="s">
        <v>4219</v>
      </c>
    </row>
    <row r="415" spans="1:46">
      <c r="A415" s="1">
        <f>HYPERLINK("https://lsnyc.legalserver.org/matter/dynamic-profile/view/1882823","18-1882823")</f>
        <v>0</v>
      </c>
      <c r="B415" t="s">
        <v>63</v>
      </c>
      <c r="C415" t="s">
        <v>117</v>
      </c>
      <c r="D415" t="s">
        <v>290</v>
      </c>
      <c r="E415" t="s">
        <v>576</v>
      </c>
      <c r="F415" t="s">
        <v>984</v>
      </c>
      <c r="G415" t="s">
        <v>1505</v>
      </c>
      <c r="H415">
        <v>7</v>
      </c>
      <c r="I415">
        <v>11208</v>
      </c>
      <c r="J415" t="s">
        <v>2002</v>
      </c>
      <c r="K415" t="s">
        <v>2002</v>
      </c>
      <c r="M415" t="s">
        <v>2200</v>
      </c>
      <c r="N415" t="s">
        <v>2413</v>
      </c>
      <c r="O415" t="s">
        <v>2437</v>
      </c>
      <c r="P415" t="s">
        <v>2445</v>
      </c>
      <c r="Q415" t="s">
        <v>2002</v>
      </c>
      <c r="R415" t="s">
        <v>2451</v>
      </c>
      <c r="S415" t="s">
        <v>110</v>
      </c>
      <c r="T415">
        <v>600</v>
      </c>
      <c r="U415" t="s">
        <v>2494</v>
      </c>
      <c r="V415" t="s">
        <v>2515</v>
      </c>
      <c r="W415" t="s">
        <v>2800</v>
      </c>
      <c r="Y415" t="s">
        <v>3548</v>
      </c>
      <c r="Z415">
        <v>7</v>
      </c>
      <c r="AA415" t="s">
        <v>3784</v>
      </c>
      <c r="AB415" t="s">
        <v>2006</v>
      </c>
      <c r="AC415">
        <v>2</v>
      </c>
      <c r="AD415">
        <v>1</v>
      </c>
      <c r="AE415">
        <v>0</v>
      </c>
      <c r="AF415">
        <v>0</v>
      </c>
      <c r="AI415" t="s">
        <v>3809</v>
      </c>
      <c r="AJ415">
        <v>0</v>
      </c>
      <c r="AK415" t="s">
        <v>3919</v>
      </c>
      <c r="AL415" t="s">
        <v>4105</v>
      </c>
      <c r="AM415" t="s">
        <v>4117</v>
      </c>
      <c r="AN415" t="s">
        <v>4121</v>
      </c>
      <c r="AO415" t="s">
        <v>4144</v>
      </c>
      <c r="AP415">
        <v>0.1</v>
      </c>
      <c r="AQ415" t="s">
        <v>290</v>
      </c>
      <c r="AR415" t="s">
        <v>4185</v>
      </c>
      <c r="AS415" t="s">
        <v>4210</v>
      </c>
      <c r="AT415" t="s">
        <v>4219</v>
      </c>
    </row>
    <row r="416" spans="1:46">
      <c r="A416" s="1">
        <f>HYPERLINK("https://lsnyc.legalserver.org/matter/dynamic-profile/view/1882817","18-1882817")</f>
        <v>0</v>
      </c>
      <c r="B416" t="s">
        <v>63</v>
      </c>
      <c r="C416" t="s">
        <v>117</v>
      </c>
      <c r="D416" t="s">
        <v>290</v>
      </c>
      <c r="E416" t="s">
        <v>464</v>
      </c>
      <c r="F416" t="s">
        <v>1020</v>
      </c>
      <c r="G416" t="s">
        <v>1505</v>
      </c>
      <c r="H416" t="s">
        <v>1837</v>
      </c>
      <c r="I416">
        <v>11208</v>
      </c>
      <c r="J416" t="s">
        <v>2002</v>
      </c>
      <c r="K416" t="s">
        <v>2002</v>
      </c>
      <c r="M416" t="s">
        <v>2169</v>
      </c>
      <c r="N416" t="s">
        <v>2413</v>
      </c>
      <c r="O416" t="s">
        <v>2437</v>
      </c>
      <c r="P416" t="s">
        <v>2445</v>
      </c>
      <c r="Q416" t="s">
        <v>2002</v>
      </c>
      <c r="R416" t="s">
        <v>2451</v>
      </c>
      <c r="S416" t="s">
        <v>110</v>
      </c>
      <c r="T416">
        <v>0</v>
      </c>
      <c r="U416" t="s">
        <v>2494</v>
      </c>
      <c r="V416" t="s">
        <v>2515</v>
      </c>
      <c r="W416" t="s">
        <v>2804</v>
      </c>
      <c r="Y416" t="s">
        <v>3550</v>
      </c>
      <c r="Z416">
        <v>7</v>
      </c>
      <c r="AA416" t="s">
        <v>3783</v>
      </c>
      <c r="AC416">
        <v>17</v>
      </c>
      <c r="AD416">
        <v>1</v>
      </c>
      <c r="AE416">
        <v>0</v>
      </c>
      <c r="AF416">
        <v>39.54</v>
      </c>
      <c r="AI416" t="s">
        <v>3810</v>
      </c>
      <c r="AJ416">
        <v>4800</v>
      </c>
      <c r="AK416" t="s">
        <v>3920</v>
      </c>
      <c r="AL416" t="s">
        <v>4105</v>
      </c>
      <c r="AM416" t="s">
        <v>4117</v>
      </c>
      <c r="AN416" t="s">
        <v>4121</v>
      </c>
      <c r="AO416" t="s">
        <v>4144</v>
      </c>
      <c r="AP416">
        <v>5</v>
      </c>
      <c r="AQ416" t="s">
        <v>95</v>
      </c>
      <c r="AR416" t="s">
        <v>4185</v>
      </c>
      <c r="AS416" t="s">
        <v>4210</v>
      </c>
      <c r="AT416" t="s">
        <v>4219</v>
      </c>
    </row>
    <row r="417" spans="1:46">
      <c r="A417" s="1">
        <f>HYPERLINK("https://lsnyc.legalserver.org/matter/dynamic-profile/view/1882853","18-1882853")</f>
        <v>0</v>
      </c>
      <c r="B417" t="s">
        <v>63</v>
      </c>
      <c r="C417" t="s">
        <v>117</v>
      </c>
      <c r="D417" t="s">
        <v>290</v>
      </c>
      <c r="E417" t="s">
        <v>577</v>
      </c>
      <c r="F417" t="s">
        <v>1086</v>
      </c>
      <c r="G417" t="s">
        <v>1505</v>
      </c>
      <c r="H417">
        <v>1</v>
      </c>
      <c r="I417">
        <v>11208</v>
      </c>
      <c r="J417" t="s">
        <v>2002</v>
      </c>
      <c r="K417" t="s">
        <v>2002</v>
      </c>
      <c r="M417" t="s">
        <v>2200</v>
      </c>
      <c r="N417" t="s">
        <v>2413</v>
      </c>
      <c r="O417" t="s">
        <v>2437</v>
      </c>
      <c r="P417" t="s">
        <v>2445</v>
      </c>
      <c r="Q417" t="s">
        <v>2002</v>
      </c>
      <c r="R417" t="s">
        <v>2451</v>
      </c>
      <c r="S417" t="s">
        <v>110</v>
      </c>
      <c r="T417">
        <v>450</v>
      </c>
      <c r="U417" t="s">
        <v>2494</v>
      </c>
      <c r="V417" t="s">
        <v>2515</v>
      </c>
      <c r="W417" t="s">
        <v>2801</v>
      </c>
      <c r="X417" t="s">
        <v>2006</v>
      </c>
      <c r="Z417">
        <v>7</v>
      </c>
      <c r="AA417" t="s">
        <v>3784</v>
      </c>
      <c r="AB417" t="s">
        <v>2006</v>
      </c>
      <c r="AC417">
        <v>5</v>
      </c>
      <c r="AD417">
        <v>2</v>
      </c>
      <c r="AE417">
        <v>0</v>
      </c>
      <c r="AF417">
        <v>59.78</v>
      </c>
      <c r="AI417" t="s">
        <v>3810</v>
      </c>
      <c r="AJ417">
        <v>9840</v>
      </c>
      <c r="AK417" t="s">
        <v>3921</v>
      </c>
      <c r="AL417" t="s">
        <v>4105</v>
      </c>
      <c r="AM417" t="s">
        <v>4117</v>
      </c>
      <c r="AN417" t="s">
        <v>4121</v>
      </c>
      <c r="AO417" t="s">
        <v>4144</v>
      </c>
      <c r="AP417">
        <v>0.1</v>
      </c>
      <c r="AQ417" t="s">
        <v>290</v>
      </c>
      <c r="AR417" t="s">
        <v>4185</v>
      </c>
      <c r="AS417" t="s">
        <v>4210</v>
      </c>
      <c r="AT417" t="s">
        <v>4219</v>
      </c>
    </row>
    <row r="418" spans="1:46">
      <c r="A418" s="1">
        <f>HYPERLINK("https://lsnyc.legalserver.org/matter/dynamic-profile/view/1882850","18-1882850")</f>
        <v>0</v>
      </c>
      <c r="B418" t="s">
        <v>63</v>
      </c>
      <c r="C418" t="s">
        <v>117</v>
      </c>
      <c r="D418" t="s">
        <v>181</v>
      </c>
      <c r="E418" t="s">
        <v>484</v>
      </c>
      <c r="F418" t="s">
        <v>1087</v>
      </c>
      <c r="G418" t="s">
        <v>1505</v>
      </c>
      <c r="H418" t="s">
        <v>1835</v>
      </c>
      <c r="I418">
        <v>11208</v>
      </c>
      <c r="J418" t="s">
        <v>2002</v>
      </c>
      <c r="K418" t="s">
        <v>2002</v>
      </c>
      <c r="M418" t="s">
        <v>2169</v>
      </c>
      <c r="N418" t="s">
        <v>2413</v>
      </c>
      <c r="O418" t="s">
        <v>2437</v>
      </c>
      <c r="P418" t="s">
        <v>2445</v>
      </c>
      <c r="Q418" t="s">
        <v>2002</v>
      </c>
      <c r="R418" t="s">
        <v>2451</v>
      </c>
      <c r="S418" t="s">
        <v>110</v>
      </c>
      <c r="T418">
        <v>300</v>
      </c>
      <c r="V418" t="s">
        <v>2515</v>
      </c>
      <c r="W418" t="s">
        <v>2802</v>
      </c>
      <c r="X418" t="s">
        <v>2006</v>
      </c>
      <c r="Y418" t="s">
        <v>3549</v>
      </c>
      <c r="Z418">
        <v>7</v>
      </c>
      <c r="AA418" t="s">
        <v>3784</v>
      </c>
      <c r="AB418" t="s">
        <v>2006</v>
      </c>
      <c r="AC418">
        <v>3</v>
      </c>
      <c r="AD418">
        <v>1</v>
      </c>
      <c r="AE418">
        <v>0</v>
      </c>
      <c r="AF418">
        <v>107.08</v>
      </c>
      <c r="AI418" t="s">
        <v>3810</v>
      </c>
      <c r="AJ418">
        <v>13000</v>
      </c>
      <c r="AK418" t="s">
        <v>3922</v>
      </c>
      <c r="AL418" t="s">
        <v>4104</v>
      </c>
      <c r="AM418" t="s">
        <v>4118</v>
      </c>
      <c r="AN418" t="s">
        <v>4121</v>
      </c>
      <c r="AO418" t="s">
        <v>4145</v>
      </c>
      <c r="AP418">
        <v>0.1</v>
      </c>
      <c r="AQ418" t="s">
        <v>98</v>
      </c>
      <c r="AR418" t="s">
        <v>4185</v>
      </c>
      <c r="AS418" t="s">
        <v>4210</v>
      </c>
      <c r="AT418" t="s">
        <v>4219</v>
      </c>
    </row>
    <row r="419" spans="1:46">
      <c r="A419" s="1">
        <f>HYPERLINK("https://lsnyc.legalserver.org/matter/dynamic-profile/view/1877272","18-1877272")</f>
        <v>0</v>
      </c>
      <c r="B419" t="s">
        <v>63</v>
      </c>
      <c r="C419" t="s">
        <v>81</v>
      </c>
      <c r="D419" t="s">
        <v>313</v>
      </c>
      <c r="E419" t="s">
        <v>579</v>
      </c>
      <c r="F419" t="s">
        <v>1088</v>
      </c>
      <c r="G419" t="s">
        <v>1467</v>
      </c>
      <c r="H419" t="s">
        <v>1838</v>
      </c>
      <c r="I419">
        <v>11221</v>
      </c>
      <c r="J419" t="s">
        <v>2002</v>
      </c>
      <c r="K419" t="s">
        <v>2002</v>
      </c>
      <c r="L419" t="s">
        <v>2005</v>
      </c>
      <c r="N419" t="s">
        <v>2027</v>
      </c>
      <c r="O419" t="s">
        <v>2440</v>
      </c>
      <c r="P419" t="s">
        <v>2443</v>
      </c>
      <c r="S419" t="s">
        <v>2482</v>
      </c>
      <c r="T419">
        <v>800</v>
      </c>
      <c r="U419" t="s">
        <v>2505</v>
      </c>
      <c r="V419" t="s">
        <v>2518</v>
      </c>
      <c r="W419" t="s">
        <v>2805</v>
      </c>
      <c r="Z419">
        <v>54</v>
      </c>
      <c r="AA419" t="s">
        <v>3783</v>
      </c>
      <c r="AB419" t="s">
        <v>2495</v>
      </c>
      <c r="AC419">
        <v>6</v>
      </c>
      <c r="AD419">
        <v>1</v>
      </c>
      <c r="AE419">
        <v>0</v>
      </c>
      <c r="AF419">
        <v>72.65000000000001</v>
      </c>
      <c r="AI419" t="s">
        <v>3809</v>
      </c>
      <c r="AJ419">
        <v>8820</v>
      </c>
      <c r="AK419" t="s">
        <v>3923</v>
      </c>
      <c r="AP419">
        <v>0.1</v>
      </c>
      <c r="AQ419" t="s">
        <v>313</v>
      </c>
      <c r="AR419" t="s">
        <v>4185</v>
      </c>
      <c r="AS419" t="s">
        <v>4210</v>
      </c>
      <c r="AT419" t="s">
        <v>4219</v>
      </c>
    </row>
    <row r="420" spans="1:46">
      <c r="A420" s="1">
        <f>HYPERLINK("https://lsnyc.legalserver.org/matter/dynamic-profile/view/1877831","18-1877831")</f>
        <v>0</v>
      </c>
      <c r="B420" t="s">
        <v>63</v>
      </c>
      <c r="C420" t="s">
        <v>90</v>
      </c>
      <c r="D420" t="s">
        <v>313</v>
      </c>
      <c r="E420" t="s">
        <v>580</v>
      </c>
      <c r="F420" t="s">
        <v>1089</v>
      </c>
      <c r="G420" t="s">
        <v>1467</v>
      </c>
      <c r="H420" t="s">
        <v>1839</v>
      </c>
      <c r="I420">
        <v>11221</v>
      </c>
      <c r="J420" t="s">
        <v>2002</v>
      </c>
      <c r="K420" t="s">
        <v>2002</v>
      </c>
      <c r="L420" t="s">
        <v>2005</v>
      </c>
      <c r="N420" t="s">
        <v>2027</v>
      </c>
      <c r="O420" t="s">
        <v>2436</v>
      </c>
      <c r="P420" t="s">
        <v>2443</v>
      </c>
      <c r="Q420" t="s">
        <v>2002</v>
      </c>
      <c r="S420" t="s">
        <v>81</v>
      </c>
      <c r="T420">
        <v>1500</v>
      </c>
      <c r="U420" t="s">
        <v>2494</v>
      </c>
      <c r="V420" t="s">
        <v>2518</v>
      </c>
      <c r="W420" t="s">
        <v>2806</v>
      </c>
      <c r="Y420" t="s">
        <v>3551</v>
      </c>
      <c r="Z420">
        <v>54</v>
      </c>
      <c r="AA420" t="s">
        <v>3786</v>
      </c>
      <c r="AB420" t="s">
        <v>2495</v>
      </c>
      <c r="AC420">
        <v>12</v>
      </c>
      <c r="AD420">
        <v>1</v>
      </c>
      <c r="AE420">
        <v>0</v>
      </c>
      <c r="AF420">
        <v>84.70999999999999</v>
      </c>
      <c r="AI420" t="s">
        <v>3810</v>
      </c>
      <c r="AJ420">
        <v>10284</v>
      </c>
      <c r="AK420" t="s">
        <v>3923</v>
      </c>
      <c r="AP420">
        <v>2.2</v>
      </c>
      <c r="AQ420" t="s">
        <v>225</v>
      </c>
      <c r="AR420" t="s">
        <v>4185</v>
      </c>
      <c r="AS420" t="s">
        <v>4210</v>
      </c>
      <c r="AT420" t="s">
        <v>4219</v>
      </c>
    </row>
    <row r="421" spans="1:46">
      <c r="A421" s="1">
        <f>HYPERLINK("https://lsnyc.legalserver.org/matter/dynamic-profile/view/1881344","18-1881344")</f>
        <v>0</v>
      </c>
      <c r="B421" t="s">
        <v>63</v>
      </c>
      <c r="C421" t="s">
        <v>154</v>
      </c>
      <c r="D421" t="s">
        <v>313</v>
      </c>
      <c r="E421" t="s">
        <v>484</v>
      </c>
      <c r="F421" t="s">
        <v>1090</v>
      </c>
      <c r="G421" t="s">
        <v>1534</v>
      </c>
      <c r="H421" t="s">
        <v>1748</v>
      </c>
      <c r="I421">
        <v>11237</v>
      </c>
      <c r="J421" t="s">
        <v>2002</v>
      </c>
      <c r="K421" t="s">
        <v>2002</v>
      </c>
      <c r="L421" t="s">
        <v>2005</v>
      </c>
      <c r="N421" t="s">
        <v>2027</v>
      </c>
      <c r="O421" t="s">
        <v>2440</v>
      </c>
      <c r="P421" t="s">
        <v>2448</v>
      </c>
      <c r="Q421" t="s">
        <v>2002</v>
      </c>
      <c r="S421" t="s">
        <v>154</v>
      </c>
      <c r="T421">
        <v>1150</v>
      </c>
      <c r="U421" t="s">
        <v>2494</v>
      </c>
      <c r="V421" t="s">
        <v>2518</v>
      </c>
      <c r="W421" t="s">
        <v>2807</v>
      </c>
      <c r="X421" t="s">
        <v>3232</v>
      </c>
      <c r="Y421" t="s">
        <v>3552</v>
      </c>
      <c r="Z421">
        <v>6</v>
      </c>
      <c r="AA421" t="s">
        <v>3783</v>
      </c>
      <c r="AC421">
        <v>9</v>
      </c>
      <c r="AD421">
        <v>3</v>
      </c>
      <c r="AE421">
        <v>3</v>
      </c>
      <c r="AF421">
        <v>73.98</v>
      </c>
      <c r="AI421" t="s">
        <v>3810</v>
      </c>
      <c r="AJ421">
        <v>24960</v>
      </c>
      <c r="AP421">
        <v>1.4</v>
      </c>
      <c r="AQ421" t="s">
        <v>154</v>
      </c>
      <c r="AR421" t="s">
        <v>63</v>
      </c>
      <c r="AS421" t="s">
        <v>4210</v>
      </c>
      <c r="AT421" t="s">
        <v>4219</v>
      </c>
    </row>
    <row r="422" spans="1:46">
      <c r="A422" s="1">
        <f>HYPERLINK("https://lsnyc.legalserver.org/matter/dynamic-profile/view/1881339","18-1881339")</f>
        <v>0</v>
      </c>
      <c r="B422" t="s">
        <v>63</v>
      </c>
      <c r="C422" t="s">
        <v>154</v>
      </c>
      <c r="D422" t="s">
        <v>313</v>
      </c>
      <c r="E422" t="s">
        <v>504</v>
      </c>
      <c r="F422" t="s">
        <v>1090</v>
      </c>
      <c r="G422" t="s">
        <v>1534</v>
      </c>
      <c r="H422" t="s">
        <v>1768</v>
      </c>
      <c r="I422">
        <v>11237</v>
      </c>
      <c r="J422" t="s">
        <v>2002</v>
      </c>
      <c r="K422" t="s">
        <v>2002</v>
      </c>
      <c r="L422" t="s">
        <v>2005</v>
      </c>
      <c r="N422" t="s">
        <v>2027</v>
      </c>
      <c r="O422" t="s">
        <v>2440</v>
      </c>
      <c r="P422" t="s">
        <v>2448</v>
      </c>
      <c r="Q422" t="s">
        <v>2002</v>
      </c>
      <c r="S422" t="s">
        <v>154</v>
      </c>
      <c r="T422">
        <v>1080</v>
      </c>
      <c r="U422" t="s">
        <v>2494</v>
      </c>
      <c r="V422" t="s">
        <v>2518</v>
      </c>
      <c r="W422" t="s">
        <v>2808</v>
      </c>
      <c r="X422">
        <v>12563767</v>
      </c>
      <c r="Y422" t="s">
        <v>3552</v>
      </c>
      <c r="Z422">
        <v>6</v>
      </c>
      <c r="AA422" t="s">
        <v>3783</v>
      </c>
      <c r="AC422">
        <v>7</v>
      </c>
      <c r="AD422">
        <v>2</v>
      </c>
      <c r="AE422">
        <v>2</v>
      </c>
      <c r="AF422">
        <v>86.06</v>
      </c>
      <c r="AI422" t="s">
        <v>3810</v>
      </c>
      <c r="AJ422">
        <v>21600</v>
      </c>
      <c r="AP422">
        <v>0.6</v>
      </c>
      <c r="AQ422" t="s">
        <v>299</v>
      </c>
      <c r="AR422" t="s">
        <v>63</v>
      </c>
      <c r="AS422" t="s">
        <v>4210</v>
      </c>
      <c r="AT422" t="s">
        <v>4219</v>
      </c>
    </row>
    <row r="423" spans="1:46">
      <c r="A423" s="1">
        <f>HYPERLINK("https://lsnyc.legalserver.org/matter/dynamic-profile/view/1882846","18-1882846")</f>
        <v>0</v>
      </c>
      <c r="B423" t="s">
        <v>63</v>
      </c>
      <c r="C423" t="s">
        <v>117</v>
      </c>
      <c r="D423" t="s">
        <v>242</v>
      </c>
      <c r="E423" t="s">
        <v>491</v>
      </c>
      <c r="F423" t="s">
        <v>399</v>
      </c>
      <c r="G423" t="s">
        <v>1540</v>
      </c>
      <c r="H423" t="s">
        <v>1764</v>
      </c>
      <c r="I423">
        <v>11213</v>
      </c>
      <c r="J423" t="s">
        <v>2002</v>
      </c>
      <c r="K423" t="s">
        <v>2002</v>
      </c>
      <c r="N423" t="s">
        <v>2027</v>
      </c>
      <c r="O423" t="s">
        <v>2436</v>
      </c>
      <c r="P423" t="s">
        <v>2443</v>
      </c>
      <c r="Q423" t="s">
        <v>2002</v>
      </c>
      <c r="R423" t="s">
        <v>2451</v>
      </c>
      <c r="S423" t="s">
        <v>297</v>
      </c>
      <c r="T423">
        <v>789.13</v>
      </c>
      <c r="U423" t="s">
        <v>2494</v>
      </c>
      <c r="V423" t="s">
        <v>2515</v>
      </c>
      <c r="W423" t="s">
        <v>2809</v>
      </c>
      <c r="Z423">
        <v>35</v>
      </c>
      <c r="AA423" t="s">
        <v>3783</v>
      </c>
      <c r="AC423">
        <v>30</v>
      </c>
      <c r="AD423">
        <v>2</v>
      </c>
      <c r="AE423">
        <v>1</v>
      </c>
      <c r="AF423">
        <v>100.1</v>
      </c>
      <c r="AI423" t="s">
        <v>3809</v>
      </c>
      <c r="AJ423">
        <v>20800</v>
      </c>
      <c r="AP423">
        <v>3.1</v>
      </c>
      <c r="AQ423" t="s">
        <v>141</v>
      </c>
      <c r="AR423" t="s">
        <v>49</v>
      </c>
      <c r="AS423" t="s">
        <v>4210</v>
      </c>
      <c r="AT423" t="s">
        <v>4219</v>
      </c>
    </row>
    <row r="424" spans="1:46">
      <c r="A424" s="1">
        <f>HYPERLINK("https://lsnyc.legalserver.org/matter/dynamic-profile/view/1879584","18-1879584")</f>
        <v>0</v>
      </c>
      <c r="B424" t="s">
        <v>63</v>
      </c>
      <c r="C424" t="s">
        <v>93</v>
      </c>
      <c r="D424" t="s">
        <v>313</v>
      </c>
      <c r="E424" t="s">
        <v>566</v>
      </c>
      <c r="F424" t="s">
        <v>770</v>
      </c>
      <c r="G424" t="s">
        <v>1534</v>
      </c>
      <c r="H424" t="s">
        <v>1746</v>
      </c>
      <c r="I424">
        <v>11237</v>
      </c>
      <c r="J424" t="s">
        <v>2002</v>
      </c>
      <c r="K424" t="s">
        <v>2002</v>
      </c>
      <c r="L424" t="s">
        <v>2005</v>
      </c>
      <c r="N424" t="s">
        <v>2417</v>
      </c>
      <c r="O424" t="s">
        <v>2440</v>
      </c>
      <c r="P424" t="s">
        <v>2448</v>
      </c>
      <c r="Q424" t="s">
        <v>2002</v>
      </c>
      <c r="S424" t="s">
        <v>96</v>
      </c>
      <c r="T424">
        <v>972</v>
      </c>
      <c r="U424" t="s">
        <v>2497</v>
      </c>
      <c r="V424" t="s">
        <v>2518</v>
      </c>
      <c r="W424" t="s">
        <v>2790</v>
      </c>
      <c r="Z424">
        <v>6</v>
      </c>
      <c r="AA424" t="s">
        <v>3783</v>
      </c>
      <c r="AB424" t="s">
        <v>2006</v>
      </c>
      <c r="AC424">
        <v>19</v>
      </c>
      <c r="AD424">
        <v>3</v>
      </c>
      <c r="AE424">
        <v>0</v>
      </c>
      <c r="AF424">
        <v>81.81</v>
      </c>
      <c r="AI424" t="s">
        <v>3810</v>
      </c>
      <c r="AJ424">
        <v>17000</v>
      </c>
      <c r="AP424">
        <v>0.1</v>
      </c>
      <c r="AQ424" t="s">
        <v>299</v>
      </c>
      <c r="AR424" t="s">
        <v>4185</v>
      </c>
      <c r="AS424" t="s">
        <v>4210</v>
      </c>
      <c r="AT424" t="s">
        <v>4219</v>
      </c>
    </row>
    <row r="425" spans="1:46">
      <c r="A425" s="1">
        <f>HYPERLINK("https://lsnyc.legalserver.org/matter/dynamic-profile/view/1879590","18-1879590")</f>
        <v>0</v>
      </c>
      <c r="B425" t="s">
        <v>63</v>
      </c>
      <c r="C425" t="s">
        <v>93</v>
      </c>
      <c r="D425" t="s">
        <v>313</v>
      </c>
      <c r="E425" t="s">
        <v>581</v>
      </c>
      <c r="F425" t="s">
        <v>1091</v>
      </c>
      <c r="G425" t="s">
        <v>1534</v>
      </c>
      <c r="I425">
        <v>11237</v>
      </c>
      <c r="J425" t="s">
        <v>2002</v>
      </c>
      <c r="K425" t="s">
        <v>2002</v>
      </c>
      <c r="L425" t="s">
        <v>2005</v>
      </c>
      <c r="N425" t="s">
        <v>2027</v>
      </c>
      <c r="O425" t="s">
        <v>2440</v>
      </c>
      <c r="P425" t="s">
        <v>2448</v>
      </c>
      <c r="Q425" t="s">
        <v>2002</v>
      </c>
      <c r="S425" t="s">
        <v>96</v>
      </c>
      <c r="T425">
        <v>1100</v>
      </c>
      <c r="V425" t="s">
        <v>2518</v>
      </c>
      <c r="W425" t="s">
        <v>2810</v>
      </c>
      <c r="X425" t="s">
        <v>3233</v>
      </c>
      <c r="Z425">
        <v>6</v>
      </c>
      <c r="AA425" t="s">
        <v>3783</v>
      </c>
      <c r="AB425" t="s">
        <v>2006</v>
      </c>
      <c r="AC425">
        <v>9</v>
      </c>
      <c r="AD425">
        <v>2</v>
      </c>
      <c r="AE425">
        <v>2</v>
      </c>
      <c r="AF425">
        <v>179.28</v>
      </c>
      <c r="AI425" t="s">
        <v>3810</v>
      </c>
      <c r="AJ425">
        <v>45000</v>
      </c>
      <c r="AP425">
        <v>0.1</v>
      </c>
      <c r="AQ425" t="s">
        <v>299</v>
      </c>
      <c r="AR425" t="s">
        <v>4185</v>
      </c>
      <c r="AS425" t="s">
        <v>4210</v>
      </c>
      <c r="AT425" t="s">
        <v>4219</v>
      </c>
    </row>
    <row r="426" spans="1:46">
      <c r="A426" s="1">
        <f>HYPERLINK("https://lsnyc.legalserver.org/matter/dynamic-profile/view/1887516","19-1887516")</f>
        <v>0</v>
      </c>
      <c r="B426" t="s">
        <v>63</v>
      </c>
      <c r="C426" t="s">
        <v>75</v>
      </c>
      <c r="D426" t="s">
        <v>171</v>
      </c>
      <c r="E426" t="s">
        <v>351</v>
      </c>
      <c r="F426" t="s">
        <v>1079</v>
      </c>
      <c r="G426" t="s">
        <v>1535</v>
      </c>
      <c r="H426" t="s">
        <v>1752</v>
      </c>
      <c r="I426">
        <v>11233</v>
      </c>
      <c r="J426" t="s">
        <v>2002</v>
      </c>
      <c r="K426" t="s">
        <v>2002</v>
      </c>
      <c r="L426" t="s">
        <v>2005</v>
      </c>
      <c r="M426" t="s">
        <v>2201</v>
      </c>
      <c r="N426" t="s">
        <v>2424</v>
      </c>
      <c r="O426" t="s">
        <v>2441</v>
      </c>
      <c r="P426" t="s">
        <v>2449</v>
      </c>
      <c r="Q426" t="s">
        <v>2002</v>
      </c>
      <c r="S426" t="s">
        <v>96</v>
      </c>
      <c r="T426">
        <v>2350</v>
      </c>
      <c r="U426" t="s">
        <v>2497</v>
      </c>
      <c r="V426" t="s">
        <v>2523</v>
      </c>
      <c r="W426" t="s">
        <v>2791</v>
      </c>
      <c r="Y426" t="s">
        <v>3540</v>
      </c>
      <c r="Z426">
        <v>7</v>
      </c>
      <c r="AA426" t="s">
        <v>3783</v>
      </c>
      <c r="AB426" t="s">
        <v>2006</v>
      </c>
      <c r="AC426">
        <v>1</v>
      </c>
      <c r="AD426">
        <v>1</v>
      </c>
      <c r="AE426">
        <v>0</v>
      </c>
      <c r="AF426">
        <v>247.12</v>
      </c>
      <c r="AG426" t="s">
        <v>224</v>
      </c>
      <c r="AH426" t="s">
        <v>3806</v>
      </c>
      <c r="AI426" t="s">
        <v>3809</v>
      </c>
      <c r="AJ426">
        <v>30000</v>
      </c>
      <c r="AP426">
        <v>0.8</v>
      </c>
      <c r="AQ426" t="s">
        <v>76</v>
      </c>
      <c r="AR426" t="s">
        <v>49</v>
      </c>
      <c r="AS426" t="s">
        <v>4210</v>
      </c>
      <c r="AT426" t="s">
        <v>4219</v>
      </c>
    </row>
    <row r="427" spans="1:46">
      <c r="A427" s="1">
        <f>HYPERLINK("https://lsnyc.legalserver.org/matter/dynamic-profile/view/1887682","19-1887682")</f>
        <v>0</v>
      </c>
      <c r="B427" t="s">
        <v>63</v>
      </c>
      <c r="C427" t="s">
        <v>138</v>
      </c>
      <c r="D427" t="s">
        <v>128</v>
      </c>
      <c r="E427" t="s">
        <v>567</v>
      </c>
      <c r="F427" t="s">
        <v>658</v>
      </c>
      <c r="G427" t="s">
        <v>1536</v>
      </c>
      <c r="H427" t="s">
        <v>1748</v>
      </c>
      <c r="I427">
        <v>11233</v>
      </c>
      <c r="J427" t="s">
        <v>2002</v>
      </c>
      <c r="K427" t="s">
        <v>2002</v>
      </c>
      <c r="M427" t="s">
        <v>2202</v>
      </c>
      <c r="N427" t="s">
        <v>2424</v>
      </c>
      <c r="O427" t="s">
        <v>2441</v>
      </c>
      <c r="P427" t="s">
        <v>2448</v>
      </c>
      <c r="Q427" t="s">
        <v>2002</v>
      </c>
      <c r="S427" t="s">
        <v>96</v>
      </c>
      <c r="T427">
        <v>1433.14</v>
      </c>
      <c r="U427" t="s">
        <v>2505</v>
      </c>
      <c r="V427" t="s">
        <v>2518</v>
      </c>
      <c r="W427" t="s">
        <v>2792</v>
      </c>
      <c r="Y427" t="s">
        <v>3541</v>
      </c>
      <c r="Z427">
        <v>7</v>
      </c>
      <c r="AA427" t="s">
        <v>3783</v>
      </c>
      <c r="AC427">
        <v>3</v>
      </c>
      <c r="AD427">
        <v>2</v>
      </c>
      <c r="AE427">
        <v>0</v>
      </c>
      <c r="AF427">
        <v>282.27</v>
      </c>
      <c r="AG427" t="s">
        <v>224</v>
      </c>
      <c r="AH427" t="s">
        <v>3806</v>
      </c>
      <c r="AI427" t="s">
        <v>3809</v>
      </c>
      <c r="AJ427">
        <v>46462</v>
      </c>
      <c r="AM427" t="s">
        <v>2495</v>
      </c>
      <c r="AP427">
        <v>0.5</v>
      </c>
      <c r="AQ427" t="s">
        <v>82</v>
      </c>
      <c r="AR427" t="s">
        <v>49</v>
      </c>
      <c r="AS427" t="s">
        <v>4210</v>
      </c>
      <c r="AT427" t="s">
        <v>4219</v>
      </c>
    </row>
    <row r="428" spans="1:46">
      <c r="A428" s="1">
        <f>HYPERLINK("https://lsnyc.legalserver.org/matter/dynamic-profile/view/1887691","19-1887691")</f>
        <v>0</v>
      </c>
      <c r="B428" t="s">
        <v>63</v>
      </c>
      <c r="C428" t="s">
        <v>138</v>
      </c>
      <c r="D428" t="s">
        <v>171</v>
      </c>
      <c r="E428" t="s">
        <v>451</v>
      </c>
      <c r="F428" t="s">
        <v>984</v>
      </c>
      <c r="G428" t="s">
        <v>1535</v>
      </c>
      <c r="H428" t="s">
        <v>1746</v>
      </c>
      <c r="I428">
        <v>11233</v>
      </c>
      <c r="J428" t="s">
        <v>2002</v>
      </c>
      <c r="K428" t="s">
        <v>2002</v>
      </c>
      <c r="L428" t="s">
        <v>2005</v>
      </c>
      <c r="M428" t="s">
        <v>2203</v>
      </c>
      <c r="N428" t="s">
        <v>2424</v>
      </c>
      <c r="O428" t="s">
        <v>2441</v>
      </c>
      <c r="P428" t="s">
        <v>2449</v>
      </c>
      <c r="Q428" t="s">
        <v>2002</v>
      </c>
      <c r="S428" t="s">
        <v>96</v>
      </c>
      <c r="T428">
        <v>840</v>
      </c>
      <c r="U428" t="s">
        <v>2512</v>
      </c>
      <c r="V428" t="s">
        <v>2523</v>
      </c>
      <c r="W428" t="s">
        <v>2795</v>
      </c>
      <c r="Y428" t="s">
        <v>3543</v>
      </c>
      <c r="Z428">
        <v>7</v>
      </c>
      <c r="AA428" t="s">
        <v>3783</v>
      </c>
      <c r="AB428" t="s">
        <v>2006</v>
      </c>
      <c r="AC428">
        <v>30</v>
      </c>
      <c r="AD428">
        <v>1</v>
      </c>
      <c r="AE428">
        <v>0</v>
      </c>
      <c r="AF428">
        <v>576.61</v>
      </c>
      <c r="AI428" t="s">
        <v>3809</v>
      </c>
      <c r="AJ428">
        <v>70000</v>
      </c>
      <c r="AP428">
        <v>0.5</v>
      </c>
      <c r="AQ428" t="s">
        <v>278</v>
      </c>
      <c r="AR428" t="s">
        <v>49</v>
      </c>
      <c r="AS428" t="s">
        <v>4210</v>
      </c>
      <c r="AT428" t="s">
        <v>4219</v>
      </c>
    </row>
    <row r="429" spans="1:46">
      <c r="A429" s="1">
        <f>HYPERLINK("https://lsnyc.legalserver.org/matter/dynamic-profile/view/1882830","18-1882830")</f>
        <v>0</v>
      </c>
      <c r="B429" t="s">
        <v>63</v>
      </c>
      <c r="C429" t="s">
        <v>117</v>
      </c>
      <c r="D429" t="s">
        <v>141</v>
      </c>
      <c r="E429" t="s">
        <v>582</v>
      </c>
      <c r="F429" t="s">
        <v>351</v>
      </c>
      <c r="G429" t="s">
        <v>1541</v>
      </c>
      <c r="H429">
        <v>25</v>
      </c>
      <c r="I429">
        <v>11213</v>
      </c>
      <c r="J429" t="s">
        <v>2002</v>
      </c>
      <c r="K429" t="s">
        <v>2002</v>
      </c>
      <c r="N429" t="s">
        <v>2414</v>
      </c>
      <c r="O429" t="s">
        <v>2439</v>
      </c>
      <c r="P429" t="s">
        <v>2444</v>
      </c>
      <c r="Q429" t="s">
        <v>2002</v>
      </c>
      <c r="R429" t="s">
        <v>2451</v>
      </c>
      <c r="S429" t="s">
        <v>127</v>
      </c>
      <c r="T429">
        <v>1103.14</v>
      </c>
      <c r="U429" t="s">
        <v>2494</v>
      </c>
      <c r="V429" t="s">
        <v>2515</v>
      </c>
      <c r="W429" t="s">
        <v>2811</v>
      </c>
      <c r="Z429">
        <v>34</v>
      </c>
      <c r="AA429" t="s">
        <v>3783</v>
      </c>
      <c r="AC429">
        <v>25</v>
      </c>
      <c r="AD429">
        <v>1</v>
      </c>
      <c r="AE429">
        <v>0</v>
      </c>
      <c r="AF429">
        <v>257</v>
      </c>
      <c r="AG429" t="s">
        <v>138</v>
      </c>
      <c r="AH429" t="s">
        <v>3806</v>
      </c>
      <c r="AI429" t="s">
        <v>3809</v>
      </c>
      <c r="AJ429">
        <v>31200</v>
      </c>
      <c r="AP429">
        <v>0.8</v>
      </c>
      <c r="AQ429" t="s">
        <v>141</v>
      </c>
      <c r="AR429" t="s">
        <v>49</v>
      </c>
      <c r="AS429" t="s">
        <v>4210</v>
      </c>
      <c r="AT429" t="s">
        <v>4219</v>
      </c>
    </row>
    <row r="430" spans="1:46">
      <c r="A430" s="1">
        <f>HYPERLINK("https://lsnyc.legalserver.org/matter/dynamic-profile/view/1889315","19-1889315")</f>
        <v>0</v>
      </c>
      <c r="B430" t="s">
        <v>63</v>
      </c>
      <c r="C430" t="s">
        <v>134</v>
      </c>
      <c r="D430" t="s">
        <v>290</v>
      </c>
      <c r="E430" t="s">
        <v>576</v>
      </c>
      <c r="F430" t="s">
        <v>984</v>
      </c>
      <c r="G430" t="s">
        <v>1505</v>
      </c>
      <c r="H430">
        <v>7</v>
      </c>
      <c r="I430">
        <v>11208</v>
      </c>
      <c r="J430" t="s">
        <v>2002</v>
      </c>
      <c r="K430" t="s">
        <v>2002</v>
      </c>
      <c r="N430" t="s">
        <v>2417</v>
      </c>
      <c r="O430" t="s">
        <v>2436</v>
      </c>
      <c r="P430" t="s">
        <v>2443</v>
      </c>
      <c r="Q430" t="s">
        <v>2002</v>
      </c>
      <c r="R430" t="s">
        <v>2451</v>
      </c>
      <c r="S430" t="s">
        <v>137</v>
      </c>
      <c r="T430">
        <v>600</v>
      </c>
      <c r="U430" t="s">
        <v>2494</v>
      </c>
      <c r="V430" t="s">
        <v>2523</v>
      </c>
      <c r="W430" t="s">
        <v>2800</v>
      </c>
      <c r="Y430" t="s">
        <v>3548</v>
      </c>
      <c r="Z430">
        <v>7</v>
      </c>
      <c r="AA430" t="s">
        <v>3784</v>
      </c>
      <c r="AB430" t="s">
        <v>2006</v>
      </c>
      <c r="AC430">
        <v>2</v>
      </c>
      <c r="AD430">
        <v>1</v>
      </c>
      <c r="AE430">
        <v>0</v>
      </c>
      <c r="AF430">
        <v>0</v>
      </c>
      <c r="AI430" t="s">
        <v>3809</v>
      </c>
      <c r="AJ430">
        <v>0</v>
      </c>
      <c r="AP430">
        <v>0.1</v>
      </c>
      <c r="AQ430" t="s">
        <v>299</v>
      </c>
      <c r="AR430" t="s">
        <v>49</v>
      </c>
      <c r="AS430" t="s">
        <v>4210</v>
      </c>
      <c r="AT430" t="s">
        <v>4219</v>
      </c>
    </row>
    <row r="431" spans="1:46">
      <c r="A431" s="1">
        <f>HYPERLINK("https://lsnyc.legalserver.org/matter/dynamic-profile/view/1889318","19-1889318")</f>
        <v>0</v>
      </c>
      <c r="B431" t="s">
        <v>63</v>
      </c>
      <c r="C431" t="s">
        <v>134</v>
      </c>
      <c r="D431" t="s">
        <v>290</v>
      </c>
      <c r="E431" t="s">
        <v>464</v>
      </c>
      <c r="F431" t="s">
        <v>1020</v>
      </c>
      <c r="G431" t="s">
        <v>1505</v>
      </c>
      <c r="H431" t="s">
        <v>1837</v>
      </c>
      <c r="I431">
        <v>11208</v>
      </c>
      <c r="J431" t="s">
        <v>2002</v>
      </c>
      <c r="K431" t="s">
        <v>2002</v>
      </c>
      <c r="N431" t="s">
        <v>2417</v>
      </c>
      <c r="O431" t="s">
        <v>2436</v>
      </c>
      <c r="P431" t="s">
        <v>2443</v>
      </c>
      <c r="Q431" t="s">
        <v>2002</v>
      </c>
      <c r="R431" t="s">
        <v>2451</v>
      </c>
      <c r="S431" t="s">
        <v>137</v>
      </c>
      <c r="T431">
        <v>0</v>
      </c>
      <c r="U431" t="s">
        <v>2494</v>
      </c>
      <c r="V431" t="s">
        <v>2518</v>
      </c>
      <c r="W431" t="s">
        <v>2804</v>
      </c>
      <c r="Y431" t="s">
        <v>3550</v>
      </c>
      <c r="Z431">
        <v>7</v>
      </c>
      <c r="AA431" t="s">
        <v>3783</v>
      </c>
      <c r="AC431">
        <v>17</v>
      </c>
      <c r="AD431">
        <v>1</v>
      </c>
      <c r="AE431">
        <v>0</v>
      </c>
      <c r="AF431">
        <v>38.43</v>
      </c>
      <c r="AI431" t="s">
        <v>3810</v>
      </c>
      <c r="AJ431">
        <v>4800</v>
      </c>
      <c r="AP431">
        <v>0.6</v>
      </c>
      <c r="AQ431" t="s">
        <v>238</v>
      </c>
      <c r="AR431" t="s">
        <v>49</v>
      </c>
      <c r="AS431" t="s">
        <v>4210</v>
      </c>
      <c r="AT431" t="s">
        <v>4219</v>
      </c>
    </row>
    <row r="432" spans="1:46">
      <c r="A432" s="1">
        <f>HYPERLINK("https://lsnyc.legalserver.org/matter/dynamic-profile/view/1889304","19-1889304")</f>
        <v>0</v>
      </c>
      <c r="B432" t="s">
        <v>63</v>
      </c>
      <c r="C432" t="s">
        <v>134</v>
      </c>
      <c r="D432" t="s">
        <v>290</v>
      </c>
      <c r="E432" t="s">
        <v>577</v>
      </c>
      <c r="F432" t="s">
        <v>1086</v>
      </c>
      <c r="G432" t="s">
        <v>1505</v>
      </c>
      <c r="H432">
        <v>1</v>
      </c>
      <c r="I432">
        <v>11208</v>
      </c>
      <c r="J432" t="s">
        <v>2002</v>
      </c>
      <c r="K432" t="s">
        <v>2002</v>
      </c>
      <c r="M432" t="s">
        <v>2006</v>
      </c>
      <c r="N432" t="s">
        <v>2417</v>
      </c>
      <c r="O432" t="s">
        <v>2436</v>
      </c>
      <c r="P432" t="s">
        <v>2443</v>
      </c>
      <c r="Q432" t="s">
        <v>2002</v>
      </c>
      <c r="R432" t="s">
        <v>2451</v>
      </c>
      <c r="S432" t="s">
        <v>137</v>
      </c>
      <c r="T432">
        <v>450</v>
      </c>
      <c r="V432" t="s">
        <v>2518</v>
      </c>
      <c r="W432" t="s">
        <v>2801</v>
      </c>
      <c r="Z432">
        <v>7</v>
      </c>
      <c r="AA432" t="s">
        <v>3784</v>
      </c>
      <c r="AB432" t="s">
        <v>2006</v>
      </c>
      <c r="AC432">
        <v>5</v>
      </c>
      <c r="AD432">
        <v>2</v>
      </c>
      <c r="AE432">
        <v>0</v>
      </c>
      <c r="AF432">
        <v>58.19</v>
      </c>
      <c r="AI432" t="s">
        <v>3810</v>
      </c>
      <c r="AJ432">
        <v>9840</v>
      </c>
      <c r="AP432">
        <v>0.1</v>
      </c>
      <c r="AQ432" t="s">
        <v>299</v>
      </c>
      <c r="AR432" t="s">
        <v>49</v>
      </c>
      <c r="AS432" t="s">
        <v>4210</v>
      </c>
      <c r="AT432" t="s">
        <v>4219</v>
      </c>
    </row>
    <row r="433" spans="1:46">
      <c r="A433" s="1">
        <f>HYPERLINK("https://lsnyc.legalserver.org/matter/dynamic-profile/view/1889327","19-1889327")</f>
        <v>0</v>
      </c>
      <c r="B433" t="s">
        <v>63</v>
      </c>
      <c r="C433" t="s">
        <v>134</v>
      </c>
      <c r="D433" t="s">
        <v>181</v>
      </c>
      <c r="E433" t="s">
        <v>540</v>
      </c>
      <c r="F433" t="s">
        <v>1049</v>
      </c>
      <c r="G433" t="s">
        <v>1505</v>
      </c>
      <c r="I433">
        <v>11208</v>
      </c>
      <c r="J433" t="s">
        <v>2002</v>
      </c>
      <c r="K433" t="s">
        <v>2002</v>
      </c>
      <c r="N433" t="s">
        <v>2417</v>
      </c>
      <c r="O433" t="s">
        <v>2436</v>
      </c>
      <c r="P433" t="s">
        <v>2443</v>
      </c>
      <c r="Q433" t="s">
        <v>2002</v>
      </c>
      <c r="R433" t="s">
        <v>2451</v>
      </c>
      <c r="S433" t="s">
        <v>137</v>
      </c>
      <c r="T433">
        <v>320</v>
      </c>
      <c r="V433" t="s">
        <v>2515</v>
      </c>
      <c r="W433" t="s">
        <v>2755</v>
      </c>
      <c r="Y433" t="s">
        <v>3506</v>
      </c>
      <c r="Z433">
        <v>7</v>
      </c>
      <c r="AA433" t="s">
        <v>3784</v>
      </c>
      <c r="AC433">
        <v>4</v>
      </c>
      <c r="AD433">
        <v>1</v>
      </c>
      <c r="AE433">
        <v>0</v>
      </c>
      <c r="AF433">
        <v>78.01000000000001</v>
      </c>
      <c r="AI433" t="s">
        <v>3815</v>
      </c>
      <c r="AJ433">
        <v>9744</v>
      </c>
      <c r="AP433">
        <v>0.1</v>
      </c>
      <c r="AQ433" t="s">
        <v>299</v>
      </c>
      <c r="AR433" t="s">
        <v>49</v>
      </c>
      <c r="AS433" t="s">
        <v>4210</v>
      </c>
      <c r="AT433" t="s">
        <v>4219</v>
      </c>
    </row>
    <row r="434" spans="1:46">
      <c r="A434" s="1">
        <f>HYPERLINK("https://lsnyc.legalserver.org/matter/dynamic-profile/view/1889312","19-1889312")</f>
        <v>0</v>
      </c>
      <c r="B434" t="s">
        <v>63</v>
      </c>
      <c r="C434" t="s">
        <v>134</v>
      </c>
      <c r="D434" t="s">
        <v>181</v>
      </c>
      <c r="E434" t="s">
        <v>484</v>
      </c>
      <c r="F434" t="s">
        <v>1087</v>
      </c>
      <c r="G434" t="s">
        <v>1505</v>
      </c>
      <c r="H434" t="s">
        <v>1835</v>
      </c>
      <c r="I434">
        <v>11208</v>
      </c>
      <c r="J434" t="s">
        <v>2002</v>
      </c>
      <c r="K434" t="s">
        <v>2002</v>
      </c>
      <c r="N434" t="s">
        <v>2417</v>
      </c>
      <c r="O434" t="s">
        <v>2436</v>
      </c>
      <c r="P434" t="s">
        <v>2443</v>
      </c>
      <c r="Q434" t="s">
        <v>2002</v>
      </c>
      <c r="R434" t="s">
        <v>2451</v>
      </c>
      <c r="S434" t="s">
        <v>137</v>
      </c>
      <c r="T434">
        <v>300</v>
      </c>
      <c r="V434" t="s">
        <v>2518</v>
      </c>
      <c r="W434" t="s">
        <v>2802</v>
      </c>
      <c r="Y434" t="s">
        <v>3549</v>
      </c>
      <c r="Z434">
        <v>7</v>
      </c>
      <c r="AA434" t="s">
        <v>3784</v>
      </c>
      <c r="AB434" t="s">
        <v>2006</v>
      </c>
      <c r="AC434">
        <v>3</v>
      </c>
      <c r="AD434">
        <v>1</v>
      </c>
      <c r="AE434">
        <v>0</v>
      </c>
      <c r="AF434">
        <v>104.08</v>
      </c>
      <c r="AI434" t="s">
        <v>3810</v>
      </c>
      <c r="AJ434">
        <v>13000</v>
      </c>
      <c r="AP434">
        <v>0.1</v>
      </c>
      <c r="AQ434" t="s">
        <v>299</v>
      </c>
      <c r="AR434" t="s">
        <v>49</v>
      </c>
      <c r="AS434" t="s">
        <v>4210</v>
      </c>
      <c r="AT434" t="s">
        <v>4219</v>
      </c>
    </row>
    <row r="435" spans="1:46">
      <c r="A435" s="1">
        <f>HYPERLINK("https://lsnyc.legalserver.org/matter/dynamic-profile/view/1890304","19-1890304")</f>
        <v>0</v>
      </c>
      <c r="B435" t="s">
        <v>63</v>
      </c>
      <c r="C435" t="s">
        <v>225</v>
      </c>
      <c r="D435" t="s">
        <v>313</v>
      </c>
      <c r="E435" t="s">
        <v>484</v>
      </c>
      <c r="F435" t="s">
        <v>1090</v>
      </c>
      <c r="G435" t="s">
        <v>1534</v>
      </c>
      <c r="H435" t="s">
        <v>1748</v>
      </c>
      <c r="I435">
        <v>11237</v>
      </c>
      <c r="J435" t="s">
        <v>2002</v>
      </c>
      <c r="K435" t="s">
        <v>2002</v>
      </c>
      <c r="L435" t="s">
        <v>2005</v>
      </c>
      <c r="M435" t="s">
        <v>2027</v>
      </c>
      <c r="N435" t="s">
        <v>2417</v>
      </c>
      <c r="O435" t="s">
        <v>2440</v>
      </c>
      <c r="P435" t="s">
        <v>2448</v>
      </c>
      <c r="Q435" t="s">
        <v>2002</v>
      </c>
      <c r="S435" t="s">
        <v>317</v>
      </c>
      <c r="T435">
        <v>1150</v>
      </c>
      <c r="U435" t="s">
        <v>2494</v>
      </c>
      <c r="V435" t="s">
        <v>2518</v>
      </c>
      <c r="W435" t="s">
        <v>2807</v>
      </c>
      <c r="X435" t="s">
        <v>3232</v>
      </c>
      <c r="Y435" t="s">
        <v>3552</v>
      </c>
      <c r="Z435">
        <v>6</v>
      </c>
      <c r="AA435" t="s">
        <v>3783</v>
      </c>
      <c r="AC435">
        <v>9</v>
      </c>
      <c r="AD435">
        <v>3</v>
      </c>
      <c r="AE435">
        <v>3</v>
      </c>
      <c r="AF435">
        <v>67.65000000000001</v>
      </c>
      <c r="AI435" t="s">
        <v>3810</v>
      </c>
      <c r="AJ435">
        <v>23400</v>
      </c>
      <c r="AP435">
        <v>0.1</v>
      </c>
      <c r="AQ435" t="s">
        <v>299</v>
      </c>
      <c r="AR435" t="s">
        <v>4185</v>
      </c>
      <c r="AS435" t="s">
        <v>4210</v>
      </c>
      <c r="AT435" t="s">
        <v>4219</v>
      </c>
    </row>
    <row r="436" spans="1:46">
      <c r="A436" s="1">
        <f>HYPERLINK("https://lsnyc.legalserver.org/matter/dynamic-profile/view/1890309","19-1890309")</f>
        <v>0</v>
      </c>
      <c r="B436" t="s">
        <v>63</v>
      </c>
      <c r="C436" t="s">
        <v>225</v>
      </c>
      <c r="D436" t="s">
        <v>313</v>
      </c>
      <c r="E436" t="s">
        <v>504</v>
      </c>
      <c r="F436" t="s">
        <v>1090</v>
      </c>
      <c r="G436" t="s">
        <v>1534</v>
      </c>
      <c r="H436" t="s">
        <v>1768</v>
      </c>
      <c r="I436">
        <v>11237</v>
      </c>
      <c r="J436" t="s">
        <v>2002</v>
      </c>
      <c r="K436" t="s">
        <v>2002</v>
      </c>
      <c r="L436" t="s">
        <v>2005</v>
      </c>
      <c r="M436" t="s">
        <v>2027</v>
      </c>
      <c r="N436" t="s">
        <v>2417</v>
      </c>
      <c r="O436" t="s">
        <v>2440</v>
      </c>
      <c r="P436" t="s">
        <v>2448</v>
      </c>
      <c r="Q436" t="s">
        <v>2002</v>
      </c>
      <c r="S436" t="s">
        <v>317</v>
      </c>
      <c r="T436">
        <v>1080</v>
      </c>
      <c r="U436" t="s">
        <v>2494</v>
      </c>
      <c r="V436" t="s">
        <v>2518</v>
      </c>
      <c r="W436" t="s">
        <v>2808</v>
      </c>
      <c r="X436">
        <v>12563767</v>
      </c>
      <c r="Y436" t="s">
        <v>3552</v>
      </c>
      <c r="Z436">
        <v>6</v>
      </c>
      <c r="AA436" t="s">
        <v>3783</v>
      </c>
      <c r="AC436">
        <v>7</v>
      </c>
      <c r="AD436">
        <v>2</v>
      </c>
      <c r="AE436">
        <v>2</v>
      </c>
      <c r="AF436">
        <v>83.88</v>
      </c>
      <c r="AI436" t="s">
        <v>3810</v>
      </c>
      <c r="AJ436">
        <v>21600</v>
      </c>
      <c r="AP436">
        <v>0.1</v>
      </c>
      <c r="AQ436" t="s">
        <v>299</v>
      </c>
      <c r="AR436" t="s">
        <v>4185</v>
      </c>
      <c r="AS436" t="s">
        <v>4210</v>
      </c>
      <c r="AT436" t="s">
        <v>4219</v>
      </c>
    </row>
    <row r="437" spans="1:46">
      <c r="A437" s="1">
        <f>HYPERLINK("https://lsnyc.legalserver.org/matter/dynamic-profile/view/1887518","19-1887518")</f>
        <v>0</v>
      </c>
      <c r="B437" t="s">
        <v>63</v>
      </c>
      <c r="C437" t="s">
        <v>75</v>
      </c>
      <c r="D437" t="s">
        <v>128</v>
      </c>
      <c r="E437" t="s">
        <v>351</v>
      </c>
      <c r="F437" t="s">
        <v>1079</v>
      </c>
      <c r="G437" t="s">
        <v>1535</v>
      </c>
      <c r="H437" t="s">
        <v>1752</v>
      </c>
      <c r="I437">
        <v>11233</v>
      </c>
      <c r="J437" t="s">
        <v>2002</v>
      </c>
      <c r="K437" t="s">
        <v>2002</v>
      </c>
      <c r="N437" t="s">
        <v>2417</v>
      </c>
      <c r="O437" t="s">
        <v>2436</v>
      </c>
      <c r="P437" t="s">
        <v>2443</v>
      </c>
      <c r="Q437" t="s">
        <v>2002</v>
      </c>
      <c r="S437" t="s">
        <v>161</v>
      </c>
      <c r="T437">
        <v>2350</v>
      </c>
      <c r="U437" t="s">
        <v>2497</v>
      </c>
      <c r="V437" t="s">
        <v>2518</v>
      </c>
      <c r="W437" t="s">
        <v>2791</v>
      </c>
      <c r="Y437" t="s">
        <v>3540</v>
      </c>
      <c r="Z437">
        <v>7</v>
      </c>
      <c r="AA437" t="s">
        <v>3783</v>
      </c>
      <c r="AB437" t="s">
        <v>2006</v>
      </c>
      <c r="AC437">
        <v>1</v>
      </c>
      <c r="AD437">
        <v>1</v>
      </c>
      <c r="AE437">
        <v>0</v>
      </c>
      <c r="AF437">
        <v>247.12</v>
      </c>
      <c r="AG437" t="s">
        <v>224</v>
      </c>
      <c r="AH437" t="s">
        <v>3806</v>
      </c>
      <c r="AI437" t="s">
        <v>3809</v>
      </c>
      <c r="AJ437">
        <v>30000</v>
      </c>
      <c r="AM437" t="s">
        <v>2495</v>
      </c>
      <c r="AP437">
        <v>0.3</v>
      </c>
      <c r="AQ437" t="s">
        <v>138</v>
      </c>
      <c r="AR437" t="s">
        <v>49</v>
      </c>
      <c r="AS437" t="s">
        <v>4210</v>
      </c>
      <c r="AT437" t="s">
        <v>4219</v>
      </c>
    </row>
    <row r="438" spans="1:46">
      <c r="A438" s="1">
        <f>HYPERLINK("https://lsnyc.legalserver.org/matter/dynamic-profile/view/1887582","19-1887582")</f>
        <v>0</v>
      </c>
      <c r="B438" t="s">
        <v>63</v>
      </c>
      <c r="C438" t="s">
        <v>138</v>
      </c>
      <c r="D438" t="s">
        <v>128</v>
      </c>
      <c r="E438" t="s">
        <v>568</v>
      </c>
      <c r="F438" t="s">
        <v>942</v>
      </c>
      <c r="G438" t="s">
        <v>1535</v>
      </c>
      <c r="H438" t="s">
        <v>1768</v>
      </c>
      <c r="I438">
        <v>11233</v>
      </c>
      <c r="J438" t="s">
        <v>2002</v>
      </c>
      <c r="K438" t="s">
        <v>2002</v>
      </c>
      <c r="N438" t="s">
        <v>2417</v>
      </c>
      <c r="O438" t="s">
        <v>2436</v>
      </c>
      <c r="P438" t="s">
        <v>2443</v>
      </c>
      <c r="Q438" t="s">
        <v>2002</v>
      </c>
      <c r="S438" t="s">
        <v>161</v>
      </c>
      <c r="T438">
        <v>2400</v>
      </c>
      <c r="U438" t="s">
        <v>2512</v>
      </c>
      <c r="V438" t="s">
        <v>2518</v>
      </c>
      <c r="W438" t="s">
        <v>2793</v>
      </c>
      <c r="Y438" t="s">
        <v>3542</v>
      </c>
      <c r="Z438">
        <v>7</v>
      </c>
      <c r="AA438" t="s">
        <v>3783</v>
      </c>
      <c r="AB438" t="s">
        <v>2006</v>
      </c>
      <c r="AC438">
        <v>1</v>
      </c>
      <c r="AD438">
        <v>1</v>
      </c>
      <c r="AE438">
        <v>0</v>
      </c>
      <c r="AF438">
        <v>329.49</v>
      </c>
      <c r="AI438" t="s">
        <v>3809</v>
      </c>
      <c r="AJ438">
        <v>40000</v>
      </c>
      <c r="AM438" t="s">
        <v>2495</v>
      </c>
      <c r="AP438">
        <v>0.2</v>
      </c>
      <c r="AQ438" t="s">
        <v>138</v>
      </c>
      <c r="AR438" t="s">
        <v>49</v>
      </c>
      <c r="AS438" t="s">
        <v>4210</v>
      </c>
      <c r="AT438" t="s">
        <v>4219</v>
      </c>
    </row>
    <row r="439" spans="1:46">
      <c r="A439" s="1">
        <f>HYPERLINK("https://lsnyc.legalserver.org/matter/dynamic-profile/view/1887692","19-1887692")</f>
        <v>0</v>
      </c>
      <c r="B439" t="s">
        <v>63</v>
      </c>
      <c r="C439" t="s">
        <v>138</v>
      </c>
      <c r="D439" t="s">
        <v>128</v>
      </c>
      <c r="E439" t="s">
        <v>451</v>
      </c>
      <c r="F439" t="s">
        <v>984</v>
      </c>
      <c r="G439" t="s">
        <v>1535</v>
      </c>
      <c r="H439" t="s">
        <v>1746</v>
      </c>
      <c r="I439">
        <v>11233</v>
      </c>
      <c r="J439" t="s">
        <v>2002</v>
      </c>
      <c r="K439" t="s">
        <v>2002</v>
      </c>
      <c r="N439" t="s">
        <v>2417</v>
      </c>
      <c r="O439" t="s">
        <v>2436</v>
      </c>
      <c r="P439" t="s">
        <v>2443</v>
      </c>
      <c r="Q439" t="s">
        <v>2002</v>
      </c>
      <c r="S439" t="s">
        <v>161</v>
      </c>
      <c r="T439">
        <v>840</v>
      </c>
      <c r="U439" t="s">
        <v>2512</v>
      </c>
      <c r="V439" t="s">
        <v>2518</v>
      </c>
      <c r="W439" t="s">
        <v>2795</v>
      </c>
      <c r="Y439" t="s">
        <v>3543</v>
      </c>
      <c r="Z439">
        <v>7</v>
      </c>
      <c r="AA439" t="s">
        <v>3783</v>
      </c>
      <c r="AB439" t="s">
        <v>2006</v>
      </c>
      <c r="AC439">
        <v>30</v>
      </c>
      <c r="AD439">
        <v>1</v>
      </c>
      <c r="AE439">
        <v>0</v>
      </c>
      <c r="AF439">
        <v>6919.28</v>
      </c>
      <c r="AH439" t="s">
        <v>3806</v>
      </c>
      <c r="AI439" t="s">
        <v>3809</v>
      </c>
      <c r="AJ439">
        <v>840000</v>
      </c>
      <c r="AM439" t="s">
        <v>2495</v>
      </c>
      <c r="AP439">
        <v>0.2</v>
      </c>
      <c r="AQ439" t="s">
        <v>138</v>
      </c>
      <c r="AR439" t="s">
        <v>49</v>
      </c>
      <c r="AS439" t="s">
        <v>4210</v>
      </c>
      <c r="AT439" t="s">
        <v>4219</v>
      </c>
    </row>
    <row r="440" spans="1:46">
      <c r="A440" s="1">
        <f>HYPERLINK("https://lsnyc.legalserver.org/matter/dynamic-profile/view/1887685","19-1887685")</f>
        <v>0</v>
      </c>
      <c r="B440" t="s">
        <v>63</v>
      </c>
      <c r="C440" t="s">
        <v>138</v>
      </c>
      <c r="D440" t="s">
        <v>128</v>
      </c>
      <c r="E440" t="s">
        <v>567</v>
      </c>
      <c r="F440" t="s">
        <v>658</v>
      </c>
      <c r="G440" t="s">
        <v>1536</v>
      </c>
      <c r="H440" t="s">
        <v>1748</v>
      </c>
      <c r="I440">
        <v>11233</v>
      </c>
      <c r="J440" t="s">
        <v>2002</v>
      </c>
      <c r="K440" t="s">
        <v>2002</v>
      </c>
      <c r="N440" t="s">
        <v>2417</v>
      </c>
      <c r="O440" t="s">
        <v>2436</v>
      </c>
      <c r="P440" t="s">
        <v>2443</v>
      </c>
      <c r="Q440" t="s">
        <v>2002</v>
      </c>
      <c r="S440" t="s">
        <v>237</v>
      </c>
      <c r="T440">
        <v>1433.14</v>
      </c>
      <c r="U440" t="s">
        <v>2505</v>
      </c>
      <c r="V440" t="s">
        <v>2518</v>
      </c>
      <c r="W440" t="s">
        <v>2792</v>
      </c>
      <c r="Y440" t="s">
        <v>3541</v>
      </c>
      <c r="Z440">
        <v>7</v>
      </c>
      <c r="AA440" t="s">
        <v>3783</v>
      </c>
      <c r="AC440">
        <v>3</v>
      </c>
      <c r="AD440">
        <v>2</v>
      </c>
      <c r="AE440">
        <v>0</v>
      </c>
      <c r="AF440">
        <v>282.26</v>
      </c>
      <c r="AG440" t="s">
        <v>224</v>
      </c>
      <c r="AH440" t="s">
        <v>3806</v>
      </c>
      <c r="AI440" t="s">
        <v>3809</v>
      </c>
      <c r="AJ440">
        <v>46460</v>
      </c>
      <c r="AM440" t="s">
        <v>2495</v>
      </c>
      <c r="AP440">
        <v>0.2</v>
      </c>
      <c r="AQ440" t="s">
        <v>138</v>
      </c>
      <c r="AR440" t="s">
        <v>49</v>
      </c>
      <c r="AS440" t="s">
        <v>4210</v>
      </c>
      <c r="AT440" t="s">
        <v>4219</v>
      </c>
    </row>
    <row r="441" spans="1:46">
      <c r="A441" s="1">
        <f>HYPERLINK("https://lsnyc.legalserver.org/matter/dynamic-profile/view/1878536","18-1878536")</f>
        <v>0</v>
      </c>
      <c r="B441" t="s">
        <v>63</v>
      </c>
      <c r="C441" t="s">
        <v>115</v>
      </c>
      <c r="D441" t="s">
        <v>171</v>
      </c>
      <c r="E441" t="s">
        <v>569</v>
      </c>
      <c r="F441" t="s">
        <v>1080</v>
      </c>
      <c r="G441" t="s">
        <v>1535</v>
      </c>
      <c r="H441" t="s">
        <v>1735</v>
      </c>
      <c r="I441">
        <v>11233</v>
      </c>
      <c r="J441" t="s">
        <v>2002</v>
      </c>
      <c r="K441" t="s">
        <v>2002</v>
      </c>
      <c r="L441" t="s">
        <v>2005</v>
      </c>
      <c r="M441" t="s">
        <v>2204</v>
      </c>
      <c r="N441" t="s">
        <v>2424</v>
      </c>
      <c r="O441" t="s">
        <v>2441</v>
      </c>
      <c r="P441" t="s">
        <v>2449</v>
      </c>
      <c r="Q441" t="s">
        <v>2002</v>
      </c>
      <c r="S441" t="s">
        <v>219</v>
      </c>
      <c r="T441">
        <v>0</v>
      </c>
      <c r="U441" t="s">
        <v>2504</v>
      </c>
      <c r="V441" t="s">
        <v>2523</v>
      </c>
      <c r="W441" t="s">
        <v>2794</v>
      </c>
      <c r="Y441" t="s">
        <v>3552</v>
      </c>
      <c r="Z441">
        <v>7</v>
      </c>
      <c r="AA441" t="s">
        <v>3783</v>
      </c>
      <c r="AC441">
        <v>0</v>
      </c>
      <c r="AD441">
        <v>1</v>
      </c>
      <c r="AE441">
        <v>0</v>
      </c>
      <c r="AF441">
        <v>164.74</v>
      </c>
      <c r="AI441" t="s">
        <v>3809</v>
      </c>
      <c r="AJ441">
        <v>20000</v>
      </c>
      <c r="AP441">
        <v>1.8</v>
      </c>
      <c r="AQ441" t="s">
        <v>168</v>
      </c>
      <c r="AR441" t="s">
        <v>60</v>
      </c>
      <c r="AS441" t="s">
        <v>4210</v>
      </c>
      <c r="AT441" t="s">
        <v>4219</v>
      </c>
    </row>
    <row r="442" spans="1:46">
      <c r="A442" s="1">
        <f>HYPERLINK("https://lsnyc.legalserver.org/matter/dynamic-profile/view/1887590","19-1887590")</f>
        <v>0</v>
      </c>
      <c r="B442" t="s">
        <v>63</v>
      </c>
      <c r="C442" t="s">
        <v>138</v>
      </c>
      <c r="D442" t="s">
        <v>128</v>
      </c>
      <c r="E442" t="s">
        <v>569</v>
      </c>
      <c r="F442" t="s">
        <v>1080</v>
      </c>
      <c r="G442" t="s">
        <v>1535</v>
      </c>
      <c r="H442" t="s">
        <v>1735</v>
      </c>
      <c r="I442">
        <v>11233</v>
      </c>
      <c r="J442" t="s">
        <v>2002</v>
      </c>
      <c r="K442" t="s">
        <v>2002</v>
      </c>
      <c r="N442" t="s">
        <v>2417</v>
      </c>
      <c r="O442" t="s">
        <v>2436</v>
      </c>
      <c r="P442" t="s">
        <v>2443</v>
      </c>
      <c r="Q442" t="s">
        <v>2002</v>
      </c>
      <c r="S442" t="s">
        <v>219</v>
      </c>
      <c r="T442">
        <v>0</v>
      </c>
      <c r="U442" t="s">
        <v>2504</v>
      </c>
      <c r="V442" t="s">
        <v>2518</v>
      </c>
      <c r="W442" t="s">
        <v>2794</v>
      </c>
      <c r="Z442">
        <v>7</v>
      </c>
      <c r="AA442" t="s">
        <v>3783</v>
      </c>
      <c r="AC442">
        <v>0</v>
      </c>
      <c r="AD442">
        <v>1</v>
      </c>
      <c r="AE442">
        <v>0</v>
      </c>
      <c r="AF442">
        <v>453.05</v>
      </c>
      <c r="AI442" t="s">
        <v>3809</v>
      </c>
      <c r="AJ442">
        <v>55000</v>
      </c>
      <c r="AM442" t="s">
        <v>2495</v>
      </c>
      <c r="AP442">
        <v>0.2</v>
      </c>
      <c r="AQ442" t="s">
        <v>138</v>
      </c>
      <c r="AR442" t="s">
        <v>49</v>
      </c>
      <c r="AS442" t="s">
        <v>4210</v>
      </c>
      <c r="AT442" t="s">
        <v>4219</v>
      </c>
    </row>
    <row r="443" spans="1:46">
      <c r="A443" s="1">
        <f>HYPERLINK("https://lsnyc.legalserver.org/matter/dynamic-profile/view/1895470","19-1895470")</f>
        <v>0</v>
      </c>
      <c r="B443" t="s">
        <v>63</v>
      </c>
      <c r="C443" t="s">
        <v>181</v>
      </c>
      <c r="D443" t="s">
        <v>171</v>
      </c>
      <c r="E443" t="s">
        <v>531</v>
      </c>
      <c r="F443" t="s">
        <v>865</v>
      </c>
      <c r="G443" t="s">
        <v>1498</v>
      </c>
      <c r="H443" t="s">
        <v>1738</v>
      </c>
      <c r="I443">
        <v>11206</v>
      </c>
      <c r="J443" t="s">
        <v>2002</v>
      </c>
      <c r="K443" t="s">
        <v>2002</v>
      </c>
      <c r="L443" t="s">
        <v>2005</v>
      </c>
      <c r="M443" t="s">
        <v>2132</v>
      </c>
      <c r="N443" t="s">
        <v>2027</v>
      </c>
      <c r="O443" t="s">
        <v>2436</v>
      </c>
      <c r="P443" t="s">
        <v>2443</v>
      </c>
      <c r="Q443" t="s">
        <v>2002</v>
      </c>
      <c r="S443" t="s">
        <v>76</v>
      </c>
      <c r="T443">
        <v>1245</v>
      </c>
      <c r="U443" t="s">
        <v>2494</v>
      </c>
      <c r="V443" t="s">
        <v>2518</v>
      </c>
      <c r="W443" t="s">
        <v>2746</v>
      </c>
      <c r="X443" t="s">
        <v>3218</v>
      </c>
      <c r="Z443">
        <v>8</v>
      </c>
      <c r="AA443" t="s">
        <v>3783</v>
      </c>
      <c r="AB443" t="s">
        <v>3799</v>
      </c>
      <c r="AC443">
        <v>1</v>
      </c>
      <c r="AD443">
        <v>2</v>
      </c>
      <c r="AE443">
        <v>0</v>
      </c>
      <c r="AF443">
        <v>106.45</v>
      </c>
      <c r="AI443" t="s">
        <v>3809</v>
      </c>
      <c r="AJ443">
        <v>18000</v>
      </c>
      <c r="AK443" t="s">
        <v>3902</v>
      </c>
      <c r="AP443">
        <v>0.1</v>
      </c>
      <c r="AQ443" t="s">
        <v>278</v>
      </c>
      <c r="AR443" t="s">
        <v>49</v>
      </c>
      <c r="AS443" t="s">
        <v>4210</v>
      </c>
      <c r="AT443" t="s">
        <v>4219</v>
      </c>
    </row>
    <row r="444" spans="1:46">
      <c r="A444" s="1">
        <f>HYPERLINK("https://lsnyc.legalserver.org/matter/dynamic-profile/view/1895474","19-1895474")</f>
        <v>0</v>
      </c>
      <c r="B444" t="s">
        <v>63</v>
      </c>
      <c r="C444" t="s">
        <v>181</v>
      </c>
      <c r="D444" t="s">
        <v>171</v>
      </c>
      <c r="E444" t="s">
        <v>333</v>
      </c>
      <c r="F444" t="s">
        <v>1054</v>
      </c>
      <c r="G444" t="s">
        <v>1498</v>
      </c>
      <c r="I444">
        <v>11206</v>
      </c>
      <c r="J444" t="s">
        <v>2002</v>
      </c>
      <c r="K444" t="s">
        <v>2002</v>
      </c>
      <c r="L444" t="s">
        <v>2005</v>
      </c>
      <c r="M444" t="s">
        <v>2132</v>
      </c>
      <c r="N444" t="s">
        <v>2027</v>
      </c>
      <c r="O444" t="s">
        <v>2436</v>
      </c>
      <c r="P444" t="s">
        <v>2443</v>
      </c>
      <c r="Q444" t="s">
        <v>2002</v>
      </c>
      <c r="S444" t="s">
        <v>76</v>
      </c>
      <c r="T444">
        <v>588</v>
      </c>
      <c r="U444" t="s">
        <v>2497</v>
      </c>
      <c r="V444" t="s">
        <v>2518</v>
      </c>
      <c r="W444" t="s">
        <v>2761</v>
      </c>
      <c r="Y444" t="s">
        <v>3511</v>
      </c>
      <c r="Z444">
        <v>8</v>
      </c>
      <c r="AA444" t="s">
        <v>3783</v>
      </c>
      <c r="AC444">
        <v>4</v>
      </c>
      <c r="AD444">
        <v>1</v>
      </c>
      <c r="AE444">
        <v>1</v>
      </c>
      <c r="AF444">
        <v>182.14</v>
      </c>
      <c r="AI444" t="s">
        <v>3809</v>
      </c>
      <c r="AJ444">
        <v>30800</v>
      </c>
      <c r="AK444" t="s">
        <v>3904</v>
      </c>
      <c r="AP444">
        <v>0.1</v>
      </c>
      <c r="AQ444" t="s">
        <v>171</v>
      </c>
      <c r="AR444" t="s">
        <v>49</v>
      </c>
      <c r="AS444" t="s">
        <v>4210</v>
      </c>
      <c r="AT444" t="s">
        <v>4219</v>
      </c>
    </row>
    <row r="445" spans="1:46">
      <c r="A445" s="1">
        <f>HYPERLINK("https://lsnyc.legalserver.org/matter/dynamic-profile/view/1900631","19-1900631")</f>
        <v>0</v>
      </c>
      <c r="B445" t="s">
        <v>63</v>
      </c>
      <c r="C445" t="s">
        <v>226</v>
      </c>
      <c r="D445" t="s">
        <v>171</v>
      </c>
      <c r="E445" t="s">
        <v>583</v>
      </c>
      <c r="F445" t="s">
        <v>1092</v>
      </c>
      <c r="G445" t="s">
        <v>1542</v>
      </c>
      <c r="H445" t="s">
        <v>1758</v>
      </c>
      <c r="I445">
        <v>11212</v>
      </c>
      <c r="J445" t="s">
        <v>2002</v>
      </c>
      <c r="K445" t="s">
        <v>2004</v>
      </c>
      <c r="L445" t="s">
        <v>2005</v>
      </c>
      <c r="M445" t="s">
        <v>2058</v>
      </c>
      <c r="N445" t="s">
        <v>2027</v>
      </c>
      <c r="O445" t="s">
        <v>2436</v>
      </c>
      <c r="P445" t="s">
        <v>2443</v>
      </c>
      <c r="R445" t="s">
        <v>2451</v>
      </c>
      <c r="S445" t="s">
        <v>169</v>
      </c>
      <c r="T445">
        <v>1400</v>
      </c>
      <c r="U445" t="s">
        <v>2505</v>
      </c>
      <c r="V445" t="s">
        <v>2523</v>
      </c>
      <c r="W445" t="s">
        <v>2812</v>
      </c>
      <c r="Y445" t="s">
        <v>3553</v>
      </c>
      <c r="Z445">
        <v>4</v>
      </c>
      <c r="AA445" t="s">
        <v>3783</v>
      </c>
      <c r="AB445" t="s">
        <v>2006</v>
      </c>
      <c r="AC445">
        <v>3</v>
      </c>
      <c r="AD445">
        <v>1</v>
      </c>
      <c r="AE445">
        <v>0</v>
      </c>
      <c r="AF445">
        <v>181.49</v>
      </c>
      <c r="AI445" t="s">
        <v>3809</v>
      </c>
      <c r="AJ445">
        <v>22668</v>
      </c>
      <c r="AP445">
        <v>0.1</v>
      </c>
      <c r="AQ445" t="s">
        <v>171</v>
      </c>
      <c r="AR445" t="s">
        <v>4185</v>
      </c>
      <c r="AS445" t="s">
        <v>4210</v>
      </c>
      <c r="AT445" t="s">
        <v>4219</v>
      </c>
    </row>
    <row r="446" spans="1:46">
      <c r="A446" s="1">
        <f>HYPERLINK("https://lsnyc.legalserver.org/matter/dynamic-profile/view/1872938","18-1872938")</f>
        <v>0</v>
      </c>
      <c r="B446" t="s">
        <v>64</v>
      </c>
      <c r="C446" t="s">
        <v>227</v>
      </c>
      <c r="E446" t="s">
        <v>584</v>
      </c>
      <c r="F446" t="s">
        <v>1093</v>
      </c>
      <c r="G446" t="s">
        <v>1543</v>
      </c>
      <c r="H446" t="s">
        <v>1748</v>
      </c>
      <c r="I446">
        <v>11207</v>
      </c>
      <c r="J446" t="s">
        <v>2002</v>
      </c>
      <c r="K446" t="s">
        <v>2002</v>
      </c>
      <c r="L446" t="s">
        <v>2007</v>
      </c>
      <c r="M446" t="s">
        <v>2205</v>
      </c>
      <c r="N446" t="s">
        <v>2414</v>
      </c>
      <c r="O446" t="s">
        <v>2437</v>
      </c>
      <c r="S446" t="s">
        <v>203</v>
      </c>
      <c r="T446">
        <v>1515</v>
      </c>
      <c r="U446" t="s">
        <v>2493</v>
      </c>
      <c r="W446" t="s">
        <v>2813</v>
      </c>
      <c r="X446" t="s">
        <v>3234</v>
      </c>
      <c r="Y446" t="s">
        <v>3554</v>
      </c>
      <c r="Z446">
        <v>0</v>
      </c>
      <c r="AB446" t="s">
        <v>3796</v>
      </c>
      <c r="AC446">
        <v>-1</v>
      </c>
      <c r="AD446">
        <v>1</v>
      </c>
      <c r="AE446">
        <v>2</v>
      </c>
      <c r="AF446">
        <v>0</v>
      </c>
      <c r="AI446" t="s">
        <v>3809</v>
      </c>
      <c r="AJ446">
        <v>0</v>
      </c>
      <c r="AP446">
        <v>8.1</v>
      </c>
      <c r="AQ446" t="s">
        <v>4176</v>
      </c>
      <c r="AR446" t="s">
        <v>4189</v>
      </c>
      <c r="AS446" t="s">
        <v>4210</v>
      </c>
      <c r="AT446" t="s">
        <v>4219</v>
      </c>
    </row>
    <row r="447" spans="1:46">
      <c r="A447" s="1">
        <f>HYPERLINK("https://lsnyc.legalserver.org/matter/dynamic-profile/view/1872878","18-1872878")</f>
        <v>0</v>
      </c>
      <c r="B447" t="s">
        <v>64</v>
      </c>
      <c r="C447" t="s">
        <v>227</v>
      </c>
      <c r="D447" t="s">
        <v>235</v>
      </c>
      <c r="E447" t="s">
        <v>585</v>
      </c>
      <c r="F447" t="s">
        <v>890</v>
      </c>
      <c r="G447" t="s">
        <v>1544</v>
      </c>
      <c r="H447" t="s">
        <v>1840</v>
      </c>
      <c r="I447">
        <v>11212</v>
      </c>
      <c r="J447" t="s">
        <v>2002</v>
      </c>
      <c r="K447" t="s">
        <v>2002</v>
      </c>
      <c r="M447" t="s">
        <v>2206</v>
      </c>
      <c r="N447" t="s">
        <v>2413</v>
      </c>
      <c r="O447" t="s">
        <v>2439</v>
      </c>
      <c r="P447" t="s">
        <v>2444</v>
      </c>
      <c r="Q447" t="s">
        <v>2003</v>
      </c>
      <c r="S447" t="s">
        <v>308</v>
      </c>
      <c r="T447">
        <v>850</v>
      </c>
      <c r="U447" t="s">
        <v>2510</v>
      </c>
      <c r="V447" t="s">
        <v>2515</v>
      </c>
      <c r="W447" t="s">
        <v>2814</v>
      </c>
      <c r="X447" t="s">
        <v>3235</v>
      </c>
      <c r="Y447" t="s">
        <v>3555</v>
      </c>
      <c r="Z447">
        <v>2</v>
      </c>
      <c r="AA447" t="s">
        <v>3783</v>
      </c>
      <c r="AB447" t="s">
        <v>2006</v>
      </c>
      <c r="AC447">
        <v>1</v>
      </c>
      <c r="AD447">
        <v>1</v>
      </c>
      <c r="AE447">
        <v>1</v>
      </c>
      <c r="AF447">
        <v>0</v>
      </c>
      <c r="AI447" t="s">
        <v>3809</v>
      </c>
      <c r="AJ447">
        <v>0</v>
      </c>
      <c r="AK447" t="s">
        <v>3924</v>
      </c>
      <c r="AP447">
        <v>2.4</v>
      </c>
      <c r="AQ447" t="s">
        <v>227</v>
      </c>
      <c r="AR447" t="s">
        <v>4202</v>
      </c>
      <c r="AS447" t="s">
        <v>4210</v>
      </c>
      <c r="AT447" t="s">
        <v>4219</v>
      </c>
    </row>
    <row r="448" spans="1:46">
      <c r="A448" s="1">
        <f>HYPERLINK("https://lsnyc.legalserver.org/matter/dynamic-profile/view/1872795","18-1872795")</f>
        <v>0</v>
      </c>
      <c r="B448" t="s">
        <v>64</v>
      </c>
      <c r="C448" t="s">
        <v>203</v>
      </c>
      <c r="D448" t="s">
        <v>99</v>
      </c>
      <c r="E448" t="s">
        <v>586</v>
      </c>
      <c r="F448" t="s">
        <v>1094</v>
      </c>
      <c r="G448" t="s">
        <v>1545</v>
      </c>
      <c r="H448" t="s">
        <v>1841</v>
      </c>
      <c r="I448">
        <v>11207</v>
      </c>
      <c r="J448" t="s">
        <v>2002</v>
      </c>
      <c r="K448" t="s">
        <v>2002</v>
      </c>
      <c r="M448" t="s">
        <v>2207</v>
      </c>
      <c r="N448" t="s">
        <v>2415</v>
      </c>
      <c r="O448" t="s">
        <v>2437</v>
      </c>
      <c r="P448" t="s">
        <v>2445</v>
      </c>
      <c r="Q448" t="s">
        <v>2003</v>
      </c>
      <c r="R448" t="s">
        <v>2453</v>
      </c>
      <c r="S448" t="s">
        <v>308</v>
      </c>
      <c r="T448">
        <v>906</v>
      </c>
      <c r="U448" t="s">
        <v>2510</v>
      </c>
      <c r="V448" t="s">
        <v>2516</v>
      </c>
      <c r="W448" t="s">
        <v>2815</v>
      </c>
      <c r="X448" t="s">
        <v>3236</v>
      </c>
      <c r="Y448" t="s">
        <v>3556</v>
      </c>
      <c r="Z448">
        <v>7</v>
      </c>
      <c r="AA448" t="s">
        <v>3783</v>
      </c>
      <c r="AB448" t="s">
        <v>2006</v>
      </c>
      <c r="AC448">
        <v>3</v>
      </c>
      <c r="AD448">
        <v>2</v>
      </c>
      <c r="AE448">
        <v>1</v>
      </c>
      <c r="AF448">
        <v>63.73</v>
      </c>
      <c r="AI448" t="s">
        <v>3809</v>
      </c>
      <c r="AJ448">
        <v>13244</v>
      </c>
      <c r="AK448" t="s">
        <v>3924</v>
      </c>
      <c r="AL448" t="s">
        <v>4106</v>
      </c>
      <c r="AM448" t="s">
        <v>4108</v>
      </c>
      <c r="AN448" t="s">
        <v>4122</v>
      </c>
      <c r="AO448" t="s">
        <v>4146</v>
      </c>
      <c r="AP448">
        <v>23.5</v>
      </c>
      <c r="AQ448" t="s">
        <v>230</v>
      </c>
      <c r="AR448" t="s">
        <v>4202</v>
      </c>
      <c r="AS448" t="s">
        <v>4210</v>
      </c>
      <c r="AT448" t="s">
        <v>4219</v>
      </c>
    </row>
    <row r="449" spans="1:46">
      <c r="A449" s="1">
        <f>HYPERLINK("https://lsnyc.legalserver.org/matter/dynamic-profile/view/1871668","18-1871668")</f>
        <v>0</v>
      </c>
      <c r="B449" t="s">
        <v>64</v>
      </c>
      <c r="C449" t="s">
        <v>215</v>
      </c>
      <c r="E449" t="s">
        <v>587</v>
      </c>
      <c r="F449" t="s">
        <v>1095</v>
      </c>
      <c r="G449" t="s">
        <v>1546</v>
      </c>
      <c r="H449" t="s">
        <v>1842</v>
      </c>
      <c r="I449">
        <v>11239</v>
      </c>
      <c r="J449" t="s">
        <v>2002</v>
      </c>
      <c r="K449" t="s">
        <v>2002</v>
      </c>
      <c r="M449" t="s">
        <v>2208</v>
      </c>
      <c r="N449" t="s">
        <v>2413</v>
      </c>
      <c r="O449" t="s">
        <v>2437</v>
      </c>
      <c r="Q449" t="s">
        <v>2003</v>
      </c>
      <c r="S449" t="s">
        <v>308</v>
      </c>
      <c r="T449">
        <v>0</v>
      </c>
      <c r="U449" t="s">
        <v>2500</v>
      </c>
      <c r="W449" t="s">
        <v>2816</v>
      </c>
      <c r="Y449" t="s">
        <v>3557</v>
      </c>
      <c r="Z449">
        <v>1463</v>
      </c>
      <c r="AA449" t="s">
        <v>3787</v>
      </c>
      <c r="AB449" t="s">
        <v>3793</v>
      </c>
      <c r="AC449">
        <v>43</v>
      </c>
      <c r="AD449">
        <v>1</v>
      </c>
      <c r="AE449">
        <v>0</v>
      </c>
      <c r="AF449">
        <v>84.70999999999999</v>
      </c>
      <c r="AI449" t="s">
        <v>3809</v>
      </c>
      <c r="AJ449">
        <v>10284</v>
      </c>
      <c r="AK449" t="s">
        <v>3924</v>
      </c>
      <c r="AP449">
        <v>39.52</v>
      </c>
      <c r="AQ449" t="s">
        <v>3805</v>
      </c>
      <c r="AR449" t="s">
        <v>4202</v>
      </c>
      <c r="AS449" t="s">
        <v>4210</v>
      </c>
      <c r="AT449" t="s">
        <v>4219</v>
      </c>
    </row>
    <row r="450" spans="1:46">
      <c r="A450" s="1">
        <f>HYPERLINK("https://lsnyc.legalserver.org/matter/dynamic-profile/view/1874095","18-1874095")</f>
        <v>0</v>
      </c>
      <c r="B450" t="s">
        <v>64</v>
      </c>
      <c r="C450" t="s">
        <v>198</v>
      </c>
      <c r="D450" t="s">
        <v>235</v>
      </c>
      <c r="E450" t="s">
        <v>588</v>
      </c>
      <c r="F450" t="s">
        <v>1096</v>
      </c>
      <c r="G450" t="s">
        <v>1547</v>
      </c>
      <c r="H450" t="s">
        <v>1774</v>
      </c>
      <c r="I450">
        <v>11208</v>
      </c>
      <c r="J450" t="s">
        <v>2002</v>
      </c>
      <c r="K450" t="s">
        <v>2004</v>
      </c>
      <c r="L450" t="s">
        <v>2007</v>
      </c>
      <c r="M450" t="s">
        <v>2209</v>
      </c>
      <c r="N450" t="s">
        <v>2415</v>
      </c>
      <c r="O450" t="s">
        <v>2439</v>
      </c>
      <c r="P450" t="s">
        <v>2444</v>
      </c>
      <c r="Q450" t="s">
        <v>2003</v>
      </c>
      <c r="R450" t="s">
        <v>2455</v>
      </c>
      <c r="S450" t="s">
        <v>198</v>
      </c>
      <c r="T450">
        <v>1534</v>
      </c>
      <c r="U450" t="s">
        <v>2502</v>
      </c>
      <c r="V450" t="s">
        <v>2515</v>
      </c>
      <c r="W450" t="s">
        <v>2817</v>
      </c>
      <c r="X450">
        <v>34246674</v>
      </c>
      <c r="Y450" t="s">
        <v>3558</v>
      </c>
      <c r="Z450">
        <v>3</v>
      </c>
      <c r="AA450" t="s">
        <v>3784</v>
      </c>
      <c r="AB450" t="s">
        <v>3796</v>
      </c>
      <c r="AC450">
        <v>1</v>
      </c>
      <c r="AD450">
        <v>1</v>
      </c>
      <c r="AE450">
        <v>3</v>
      </c>
      <c r="AF450">
        <v>40.64</v>
      </c>
      <c r="AI450" t="s">
        <v>3809</v>
      </c>
      <c r="AJ450">
        <v>10200</v>
      </c>
      <c r="AP450">
        <v>4.1</v>
      </c>
      <c r="AQ450" t="s">
        <v>157</v>
      </c>
      <c r="AR450" t="s">
        <v>4193</v>
      </c>
      <c r="AS450" t="s">
        <v>4210</v>
      </c>
      <c r="AT450" t="s">
        <v>4219</v>
      </c>
    </row>
    <row r="451" spans="1:46">
      <c r="A451" s="1">
        <f>HYPERLINK("https://lsnyc.legalserver.org/matter/dynamic-profile/view/1875314","18-1875314")</f>
        <v>0</v>
      </c>
      <c r="B451" t="s">
        <v>64</v>
      </c>
      <c r="C451" t="s">
        <v>89</v>
      </c>
      <c r="E451" t="s">
        <v>589</v>
      </c>
      <c r="F451" t="s">
        <v>1097</v>
      </c>
      <c r="G451" t="s">
        <v>1548</v>
      </c>
      <c r="H451">
        <v>2</v>
      </c>
      <c r="I451">
        <v>11208</v>
      </c>
      <c r="J451" t="s">
        <v>2002</v>
      </c>
      <c r="K451" t="s">
        <v>2002</v>
      </c>
      <c r="M451" t="s">
        <v>2210</v>
      </c>
      <c r="N451" t="s">
        <v>2415</v>
      </c>
      <c r="O451" t="s">
        <v>2437</v>
      </c>
      <c r="Q451" t="s">
        <v>2003</v>
      </c>
      <c r="S451" t="s">
        <v>89</v>
      </c>
      <c r="T451">
        <v>1956</v>
      </c>
      <c r="U451" t="s">
        <v>2506</v>
      </c>
      <c r="W451" t="s">
        <v>2818</v>
      </c>
      <c r="X451" t="s">
        <v>3237</v>
      </c>
      <c r="Y451" t="s">
        <v>3559</v>
      </c>
      <c r="Z451">
        <v>2</v>
      </c>
      <c r="AA451" t="s">
        <v>3784</v>
      </c>
      <c r="AB451" t="s">
        <v>3795</v>
      </c>
      <c r="AC451">
        <v>-2</v>
      </c>
      <c r="AD451">
        <v>1</v>
      </c>
      <c r="AE451">
        <v>3</v>
      </c>
      <c r="AF451">
        <v>23.31</v>
      </c>
      <c r="AG451" t="s">
        <v>3803</v>
      </c>
      <c r="AH451" t="s">
        <v>3808</v>
      </c>
      <c r="AI451" t="s">
        <v>3810</v>
      </c>
      <c r="AJ451">
        <v>5850</v>
      </c>
      <c r="AN451" t="s">
        <v>4121</v>
      </c>
      <c r="AO451" t="s">
        <v>4147</v>
      </c>
      <c r="AP451">
        <v>14.55</v>
      </c>
      <c r="AQ451" t="s">
        <v>136</v>
      </c>
      <c r="AR451" t="s">
        <v>4202</v>
      </c>
      <c r="AS451" t="s">
        <v>4210</v>
      </c>
      <c r="AT451" t="s">
        <v>4220</v>
      </c>
    </row>
    <row r="452" spans="1:46">
      <c r="A452" s="1">
        <f>HYPERLINK("https://lsnyc.legalserver.org/matter/dynamic-profile/view/1875349","18-1875349")</f>
        <v>0</v>
      </c>
      <c r="B452" t="s">
        <v>64</v>
      </c>
      <c r="C452" t="s">
        <v>104</v>
      </c>
      <c r="D452" t="s">
        <v>294</v>
      </c>
      <c r="E452" t="s">
        <v>420</v>
      </c>
      <c r="F452" t="s">
        <v>1098</v>
      </c>
      <c r="G452" t="s">
        <v>1549</v>
      </c>
      <c r="H452">
        <v>1</v>
      </c>
      <c r="I452">
        <v>11208</v>
      </c>
      <c r="J452" t="s">
        <v>2002</v>
      </c>
      <c r="K452" t="s">
        <v>2002</v>
      </c>
      <c r="M452" t="s">
        <v>2211</v>
      </c>
      <c r="N452" t="s">
        <v>2413</v>
      </c>
      <c r="O452" t="s">
        <v>2439</v>
      </c>
      <c r="P452" t="s">
        <v>2444</v>
      </c>
      <c r="S452" t="s">
        <v>104</v>
      </c>
      <c r="T452">
        <v>1350</v>
      </c>
      <c r="U452" t="s">
        <v>2500</v>
      </c>
      <c r="V452" t="s">
        <v>2515</v>
      </c>
      <c r="W452" t="s">
        <v>2819</v>
      </c>
      <c r="Y452" t="s">
        <v>3560</v>
      </c>
      <c r="Z452">
        <v>2</v>
      </c>
      <c r="AA452" t="s">
        <v>3787</v>
      </c>
      <c r="AB452" t="s">
        <v>3793</v>
      </c>
      <c r="AC452">
        <v>7</v>
      </c>
      <c r="AD452">
        <v>1</v>
      </c>
      <c r="AE452">
        <v>0</v>
      </c>
      <c r="AF452">
        <v>74.14</v>
      </c>
      <c r="AI452" t="s">
        <v>3809</v>
      </c>
      <c r="AJ452">
        <v>9000</v>
      </c>
      <c r="AP452">
        <v>3.6</v>
      </c>
      <c r="AQ452" t="s">
        <v>90</v>
      </c>
      <c r="AR452" t="s">
        <v>4188</v>
      </c>
      <c r="AS452" t="s">
        <v>4210</v>
      </c>
      <c r="AT452" t="s">
        <v>4219</v>
      </c>
    </row>
    <row r="453" spans="1:46">
      <c r="A453" s="1">
        <f>HYPERLINK("https://lsnyc.legalserver.org/matter/dynamic-profile/view/1875487","18-1875487")</f>
        <v>0</v>
      </c>
      <c r="B453" t="s">
        <v>64</v>
      </c>
      <c r="C453" t="s">
        <v>86</v>
      </c>
      <c r="D453" t="s">
        <v>235</v>
      </c>
      <c r="E453" t="s">
        <v>590</v>
      </c>
      <c r="F453" t="s">
        <v>1099</v>
      </c>
      <c r="G453" t="s">
        <v>1550</v>
      </c>
      <c r="H453" t="s">
        <v>1748</v>
      </c>
      <c r="I453">
        <v>11212</v>
      </c>
      <c r="J453" t="s">
        <v>2002</v>
      </c>
      <c r="K453" t="s">
        <v>2002</v>
      </c>
      <c r="M453" t="s">
        <v>2212</v>
      </c>
      <c r="N453" t="s">
        <v>2415</v>
      </c>
      <c r="O453" t="s">
        <v>2439</v>
      </c>
      <c r="P453" t="s">
        <v>2444</v>
      </c>
      <c r="S453" t="s">
        <v>86</v>
      </c>
      <c r="T453">
        <v>1200</v>
      </c>
      <c r="U453" t="s">
        <v>2500</v>
      </c>
      <c r="V453" t="s">
        <v>2515</v>
      </c>
      <c r="W453" t="s">
        <v>2820</v>
      </c>
      <c r="Y453" t="s">
        <v>3561</v>
      </c>
      <c r="Z453">
        <v>0</v>
      </c>
      <c r="AB453" t="s">
        <v>2006</v>
      </c>
      <c r="AC453">
        <v>4</v>
      </c>
      <c r="AD453">
        <v>1</v>
      </c>
      <c r="AE453">
        <v>0</v>
      </c>
      <c r="AF453">
        <v>70.38</v>
      </c>
      <c r="AI453" t="s">
        <v>3809</v>
      </c>
      <c r="AJ453">
        <v>8544</v>
      </c>
      <c r="AK453" t="s">
        <v>3924</v>
      </c>
      <c r="AP453">
        <v>5.1</v>
      </c>
      <c r="AQ453" t="s">
        <v>91</v>
      </c>
      <c r="AR453" t="s">
        <v>4188</v>
      </c>
      <c r="AS453" t="s">
        <v>4210</v>
      </c>
      <c r="AT453" t="s">
        <v>4219</v>
      </c>
    </row>
    <row r="454" spans="1:46">
      <c r="A454" s="1">
        <f>HYPERLINK("https://lsnyc.legalserver.org/matter/dynamic-profile/view/1873622","18-1873622")</f>
        <v>0</v>
      </c>
      <c r="B454" t="s">
        <v>64</v>
      </c>
      <c r="C454" t="s">
        <v>85</v>
      </c>
      <c r="D454" t="s">
        <v>99</v>
      </c>
      <c r="E454" t="s">
        <v>591</v>
      </c>
      <c r="F454" t="s">
        <v>1100</v>
      </c>
      <c r="G454" t="s">
        <v>1551</v>
      </c>
      <c r="H454" t="s">
        <v>1768</v>
      </c>
      <c r="I454">
        <v>11212</v>
      </c>
      <c r="J454" t="s">
        <v>2002</v>
      </c>
      <c r="K454" t="s">
        <v>2002</v>
      </c>
      <c r="M454" t="s">
        <v>2213</v>
      </c>
      <c r="N454" t="s">
        <v>2415</v>
      </c>
      <c r="O454" t="s">
        <v>2437</v>
      </c>
      <c r="P454" t="s">
        <v>2445</v>
      </c>
      <c r="Q454" t="s">
        <v>2003</v>
      </c>
      <c r="R454" t="s">
        <v>2455</v>
      </c>
      <c r="S454" t="s">
        <v>86</v>
      </c>
      <c r="T454">
        <v>950</v>
      </c>
      <c r="U454" t="s">
        <v>2505</v>
      </c>
      <c r="V454" t="s">
        <v>2516</v>
      </c>
      <c r="W454" t="s">
        <v>2821</v>
      </c>
      <c r="X454" t="s">
        <v>3238</v>
      </c>
      <c r="Y454" t="s">
        <v>3562</v>
      </c>
      <c r="Z454">
        <v>6</v>
      </c>
      <c r="AA454" t="s">
        <v>3783</v>
      </c>
      <c r="AB454" t="s">
        <v>3795</v>
      </c>
      <c r="AC454">
        <v>10</v>
      </c>
      <c r="AD454">
        <v>1</v>
      </c>
      <c r="AE454">
        <v>3</v>
      </c>
      <c r="AF454">
        <v>71.70999999999999</v>
      </c>
      <c r="AI454" t="s">
        <v>3809</v>
      </c>
      <c r="AJ454">
        <v>18000</v>
      </c>
      <c r="AL454" t="s">
        <v>4106</v>
      </c>
      <c r="AM454" t="s">
        <v>4108</v>
      </c>
      <c r="AN454" t="s">
        <v>4122</v>
      </c>
      <c r="AO454" t="s">
        <v>4148</v>
      </c>
      <c r="AP454">
        <v>12.4</v>
      </c>
      <c r="AQ454" t="s">
        <v>4179</v>
      </c>
      <c r="AR454" t="s">
        <v>4185</v>
      </c>
      <c r="AS454" t="s">
        <v>4210</v>
      </c>
      <c r="AT454" t="s">
        <v>4219</v>
      </c>
    </row>
    <row r="455" spans="1:46">
      <c r="A455" s="1">
        <f>HYPERLINK("https://lsnyc.legalserver.org/matter/dynamic-profile/view/1875938","18-1875938")</f>
        <v>0</v>
      </c>
      <c r="B455" t="s">
        <v>64</v>
      </c>
      <c r="C455" t="s">
        <v>228</v>
      </c>
      <c r="D455" t="s">
        <v>294</v>
      </c>
      <c r="E455" t="s">
        <v>376</v>
      </c>
      <c r="F455" t="s">
        <v>1101</v>
      </c>
      <c r="G455" t="s">
        <v>1552</v>
      </c>
      <c r="H455" t="s">
        <v>1843</v>
      </c>
      <c r="I455">
        <v>11207</v>
      </c>
      <c r="J455" t="s">
        <v>2002</v>
      </c>
      <c r="K455" t="s">
        <v>2002</v>
      </c>
      <c r="M455" t="s">
        <v>2214</v>
      </c>
      <c r="N455" t="s">
        <v>2415</v>
      </c>
      <c r="O455" t="s">
        <v>2439</v>
      </c>
      <c r="P455" t="s">
        <v>2444</v>
      </c>
      <c r="Q455" t="s">
        <v>2003</v>
      </c>
      <c r="R455" t="s">
        <v>2452</v>
      </c>
      <c r="S455" t="s">
        <v>228</v>
      </c>
      <c r="T455">
        <v>1500</v>
      </c>
      <c r="U455" t="s">
        <v>2502</v>
      </c>
      <c r="V455" t="s">
        <v>2515</v>
      </c>
      <c r="W455" t="s">
        <v>2822</v>
      </c>
      <c r="Y455" t="s">
        <v>3563</v>
      </c>
      <c r="Z455">
        <v>22</v>
      </c>
      <c r="AA455" t="s">
        <v>3783</v>
      </c>
      <c r="AB455" t="s">
        <v>3794</v>
      </c>
      <c r="AC455">
        <v>3</v>
      </c>
      <c r="AD455">
        <v>2</v>
      </c>
      <c r="AE455">
        <v>1</v>
      </c>
      <c r="AF455">
        <v>0</v>
      </c>
      <c r="AI455" t="s">
        <v>3809</v>
      </c>
      <c r="AJ455">
        <v>0</v>
      </c>
      <c r="AP455">
        <v>2.8</v>
      </c>
      <c r="AQ455" t="s">
        <v>294</v>
      </c>
      <c r="AR455" t="s">
        <v>4204</v>
      </c>
      <c r="AS455" t="s">
        <v>4210</v>
      </c>
      <c r="AT455" t="s">
        <v>4219</v>
      </c>
    </row>
    <row r="456" spans="1:46">
      <c r="A456" s="1">
        <f>HYPERLINK("https://lsnyc.legalserver.org/matter/dynamic-profile/view/1876435","18-1876435")</f>
        <v>0</v>
      </c>
      <c r="B456" t="s">
        <v>64</v>
      </c>
      <c r="C456" t="s">
        <v>157</v>
      </c>
      <c r="D456" t="s">
        <v>235</v>
      </c>
      <c r="E456" t="s">
        <v>592</v>
      </c>
      <c r="F456" t="s">
        <v>1102</v>
      </c>
      <c r="G456" t="s">
        <v>1553</v>
      </c>
      <c r="H456">
        <v>1</v>
      </c>
      <c r="I456">
        <v>11233</v>
      </c>
      <c r="J456" t="s">
        <v>2002</v>
      </c>
      <c r="K456" t="s">
        <v>2002</v>
      </c>
      <c r="M456" t="s">
        <v>2215</v>
      </c>
      <c r="N456" t="s">
        <v>2415</v>
      </c>
      <c r="O456" t="s">
        <v>2439</v>
      </c>
      <c r="P456" t="s">
        <v>2444</v>
      </c>
      <c r="S456" t="s">
        <v>157</v>
      </c>
      <c r="T456">
        <v>0</v>
      </c>
      <c r="U456" t="s">
        <v>2495</v>
      </c>
      <c r="V456" t="s">
        <v>2515</v>
      </c>
      <c r="W456" t="s">
        <v>2823</v>
      </c>
      <c r="Y456" t="s">
        <v>3564</v>
      </c>
      <c r="Z456">
        <v>5</v>
      </c>
      <c r="AB456" t="s">
        <v>3798</v>
      </c>
      <c r="AC456">
        <v>3</v>
      </c>
      <c r="AD456">
        <v>1</v>
      </c>
      <c r="AE456">
        <v>0</v>
      </c>
      <c r="AF456">
        <v>25.8</v>
      </c>
      <c r="AI456" t="s">
        <v>3809</v>
      </c>
      <c r="AJ456">
        <v>3132</v>
      </c>
      <c r="AP456">
        <v>0.9</v>
      </c>
      <c r="AQ456" t="s">
        <v>157</v>
      </c>
      <c r="AR456" t="s">
        <v>4189</v>
      </c>
      <c r="AS456" t="s">
        <v>4210</v>
      </c>
      <c r="AT456" t="s">
        <v>4219</v>
      </c>
    </row>
    <row r="457" spans="1:46">
      <c r="A457" s="1">
        <f>HYPERLINK("https://lsnyc.legalserver.org/matter/dynamic-profile/view/1876894","18-1876894")</f>
        <v>0</v>
      </c>
      <c r="B457" t="s">
        <v>64</v>
      </c>
      <c r="C457" t="s">
        <v>81</v>
      </c>
      <c r="E457" t="s">
        <v>593</v>
      </c>
      <c r="F457" t="s">
        <v>1103</v>
      </c>
      <c r="G457" t="s">
        <v>1554</v>
      </c>
      <c r="H457" t="s">
        <v>1768</v>
      </c>
      <c r="I457">
        <v>11207</v>
      </c>
      <c r="J457" t="s">
        <v>2002</v>
      </c>
      <c r="K457" t="s">
        <v>2002</v>
      </c>
      <c r="L457" t="s">
        <v>2007</v>
      </c>
      <c r="M457" t="s">
        <v>2216</v>
      </c>
      <c r="N457" t="s">
        <v>2414</v>
      </c>
      <c r="O457" t="s">
        <v>2437</v>
      </c>
      <c r="S457" t="s">
        <v>157</v>
      </c>
      <c r="T457">
        <v>1100</v>
      </c>
      <c r="U457" t="s">
        <v>2500</v>
      </c>
      <c r="W457" t="s">
        <v>2824</v>
      </c>
      <c r="X457" t="s">
        <v>3239</v>
      </c>
      <c r="Y457" t="s">
        <v>3565</v>
      </c>
      <c r="Z457">
        <v>6</v>
      </c>
      <c r="AA457" t="s">
        <v>3787</v>
      </c>
      <c r="AB457" t="s">
        <v>3793</v>
      </c>
      <c r="AC457">
        <v>-8</v>
      </c>
      <c r="AD457">
        <v>2</v>
      </c>
      <c r="AE457">
        <v>0</v>
      </c>
      <c r="AF457">
        <v>194.41</v>
      </c>
      <c r="AI457" t="s">
        <v>3809</v>
      </c>
      <c r="AJ457">
        <v>32000</v>
      </c>
      <c r="AP457">
        <v>79.7</v>
      </c>
      <c r="AQ457" t="s">
        <v>309</v>
      </c>
      <c r="AR457" t="s">
        <v>4188</v>
      </c>
      <c r="AS457" t="s">
        <v>4210</v>
      </c>
      <c r="AT457" t="s">
        <v>4219</v>
      </c>
    </row>
    <row r="458" spans="1:46">
      <c r="A458" s="1">
        <f>HYPERLINK("https://lsnyc.legalserver.org/matter/dynamic-profile/view/1877590","18-1877590")</f>
        <v>0</v>
      </c>
      <c r="B458" t="s">
        <v>64</v>
      </c>
      <c r="C458" t="s">
        <v>195</v>
      </c>
      <c r="D458" t="s">
        <v>240</v>
      </c>
      <c r="E458" t="s">
        <v>359</v>
      </c>
      <c r="F458" t="s">
        <v>866</v>
      </c>
      <c r="G458" t="s">
        <v>1555</v>
      </c>
      <c r="H458" t="s">
        <v>1844</v>
      </c>
      <c r="I458">
        <v>11239</v>
      </c>
      <c r="J458" t="s">
        <v>2002</v>
      </c>
      <c r="K458" t="s">
        <v>2002</v>
      </c>
      <c r="M458" t="s">
        <v>2217</v>
      </c>
      <c r="N458" t="s">
        <v>2415</v>
      </c>
      <c r="O458" t="s">
        <v>2439</v>
      </c>
      <c r="P458" t="s">
        <v>2444</v>
      </c>
      <c r="Q458" t="s">
        <v>2003</v>
      </c>
      <c r="R458" t="s">
        <v>2453</v>
      </c>
      <c r="S458" t="s">
        <v>195</v>
      </c>
      <c r="T458">
        <v>1518</v>
      </c>
      <c r="U458" t="s">
        <v>2497</v>
      </c>
      <c r="V458" t="s">
        <v>2515</v>
      </c>
      <c r="W458" t="s">
        <v>2825</v>
      </c>
      <c r="Y458" t="s">
        <v>3566</v>
      </c>
      <c r="Z458">
        <v>2229</v>
      </c>
      <c r="AA458" t="s">
        <v>3787</v>
      </c>
      <c r="AB458" t="s">
        <v>3793</v>
      </c>
      <c r="AC458">
        <v>13</v>
      </c>
      <c r="AD458">
        <v>2</v>
      </c>
      <c r="AE458">
        <v>1</v>
      </c>
      <c r="AF458">
        <v>245.43</v>
      </c>
      <c r="AG458" t="s">
        <v>3802</v>
      </c>
      <c r="AH458" t="s">
        <v>3806</v>
      </c>
      <c r="AI458" t="s">
        <v>3809</v>
      </c>
      <c r="AJ458">
        <v>51000</v>
      </c>
      <c r="AP458">
        <v>2.5</v>
      </c>
      <c r="AQ458" t="s">
        <v>121</v>
      </c>
      <c r="AR458" t="s">
        <v>4185</v>
      </c>
      <c r="AS458" t="s">
        <v>4210</v>
      </c>
      <c r="AT458" t="s">
        <v>4219</v>
      </c>
    </row>
    <row r="459" spans="1:46">
      <c r="A459" s="1">
        <f>HYPERLINK("https://lsnyc.legalserver.org/matter/dynamic-profile/view/1876211","18-1876211")</f>
        <v>0</v>
      </c>
      <c r="B459" t="s">
        <v>64</v>
      </c>
      <c r="C459" t="s">
        <v>229</v>
      </c>
      <c r="D459" t="s">
        <v>311</v>
      </c>
      <c r="E459" t="s">
        <v>594</v>
      </c>
      <c r="F459" t="s">
        <v>1045</v>
      </c>
      <c r="G459" t="s">
        <v>1556</v>
      </c>
      <c r="H459" t="s">
        <v>1845</v>
      </c>
      <c r="I459">
        <v>11207</v>
      </c>
      <c r="J459" t="s">
        <v>2002</v>
      </c>
      <c r="K459" t="s">
        <v>2002</v>
      </c>
      <c r="M459" t="s">
        <v>2218</v>
      </c>
      <c r="N459" t="s">
        <v>2413</v>
      </c>
      <c r="O459" t="s">
        <v>2437</v>
      </c>
      <c r="P459" t="s">
        <v>2445</v>
      </c>
      <c r="Q459" t="s">
        <v>2003</v>
      </c>
      <c r="S459" t="s">
        <v>229</v>
      </c>
      <c r="T459">
        <v>900</v>
      </c>
      <c r="U459" t="s">
        <v>2497</v>
      </c>
      <c r="V459" t="s">
        <v>2516</v>
      </c>
      <c r="W459" t="s">
        <v>2826</v>
      </c>
      <c r="Y459" t="s">
        <v>3567</v>
      </c>
      <c r="Z459">
        <v>12</v>
      </c>
      <c r="AA459" t="s">
        <v>3783</v>
      </c>
      <c r="AB459" t="s">
        <v>2006</v>
      </c>
      <c r="AC459">
        <v>10</v>
      </c>
      <c r="AD459">
        <v>1</v>
      </c>
      <c r="AE459">
        <v>0</v>
      </c>
      <c r="AF459">
        <v>479.08</v>
      </c>
      <c r="AG459" t="s">
        <v>235</v>
      </c>
      <c r="AH459" t="s">
        <v>3806</v>
      </c>
      <c r="AI459" t="s">
        <v>3809</v>
      </c>
      <c r="AJ459">
        <v>58160</v>
      </c>
      <c r="AK459" t="s">
        <v>3925</v>
      </c>
      <c r="AL459" t="s">
        <v>4102</v>
      </c>
      <c r="AM459" t="s">
        <v>4119</v>
      </c>
      <c r="AN459" t="s">
        <v>4121</v>
      </c>
      <c r="AO459" t="s">
        <v>4149</v>
      </c>
      <c r="AP459">
        <v>24.5</v>
      </c>
      <c r="AQ459" t="s">
        <v>311</v>
      </c>
      <c r="AR459" t="s">
        <v>4185</v>
      </c>
      <c r="AS459" t="s">
        <v>4210</v>
      </c>
      <c r="AT459" t="s">
        <v>4219</v>
      </c>
    </row>
    <row r="460" spans="1:46">
      <c r="A460" s="1">
        <f>HYPERLINK("https://lsnyc.legalserver.org/matter/dynamic-profile/view/1876415","18-1876415")</f>
        <v>0</v>
      </c>
      <c r="B460" t="s">
        <v>64</v>
      </c>
      <c r="C460" t="s">
        <v>157</v>
      </c>
      <c r="D460" t="s">
        <v>245</v>
      </c>
      <c r="E460" t="s">
        <v>343</v>
      </c>
      <c r="F460" t="s">
        <v>1104</v>
      </c>
      <c r="G460" t="s">
        <v>1557</v>
      </c>
      <c r="H460" t="s">
        <v>1752</v>
      </c>
      <c r="I460">
        <v>11208</v>
      </c>
      <c r="J460" t="s">
        <v>2002</v>
      </c>
      <c r="K460" t="s">
        <v>2002</v>
      </c>
      <c r="L460" t="s">
        <v>2005</v>
      </c>
      <c r="M460" t="s">
        <v>2219</v>
      </c>
      <c r="N460" t="s">
        <v>2413</v>
      </c>
      <c r="O460" t="s">
        <v>2437</v>
      </c>
      <c r="P460" t="s">
        <v>2446</v>
      </c>
      <c r="Q460" t="s">
        <v>2003</v>
      </c>
      <c r="S460" t="s">
        <v>200</v>
      </c>
      <c r="T460">
        <v>1556</v>
      </c>
      <c r="U460" t="s">
        <v>2500</v>
      </c>
      <c r="V460" t="s">
        <v>2519</v>
      </c>
      <c r="W460" t="s">
        <v>2827</v>
      </c>
      <c r="X460" t="s">
        <v>2156</v>
      </c>
      <c r="Y460" t="s">
        <v>3568</v>
      </c>
      <c r="Z460">
        <v>3</v>
      </c>
      <c r="AA460" t="s">
        <v>3784</v>
      </c>
      <c r="AB460" t="s">
        <v>3793</v>
      </c>
      <c r="AC460">
        <v>4</v>
      </c>
      <c r="AD460">
        <v>1</v>
      </c>
      <c r="AE460">
        <v>0</v>
      </c>
      <c r="AF460">
        <v>72.45</v>
      </c>
      <c r="AI460" t="s">
        <v>3809</v>
      </c>
      <c r="AJ460">
        <v>8796</v>
      </c>
      <c r="AN460" t="s">
        <v>4121</v>
      </c>
      <c r="AO460" t="s">
        <v>4150</v>
      </c>
      <c r="AP460">
        <v>22.3</v>
      </c>
      <c r="AQ460" t="s">
        <v>142</v>
      </c>
      <c r="AR460" t="s">
        <v>4185</v>
      </c>
      <c r="AS460" t="s">
        <v>4210</v>
      </c>
      <c r="AT460" t="s">
        <v>4219</v>
      </c>
    </row>
    <row r="461" spans="1:46">
      <c r="A461" s="1">
        <f>HYPERLINK("https://lsnyc.legalserver.org/matter/dynamic-profile/view/1880127","18-1880127")</f>
        <v>0</v>
      </c>
      <c r="B461" t="s">
        <v>64</v>
      </c>
      <c r="C461" t="s">
        <v>113</v>
      </c>
      <c r="D461" t="s">
        <v>298</v>
      </c>
      <c r="E461" t="s">
        <v>595</v>
      </c>
      <c r="F461" t="s">
        <v>1105</v>
      </c>
      <c r="G461" t="s">
        <v>1558</v>
      </c>
      <c r="H461" t="s">
        <v>1778</v>
      </c>
      <c r="I461">
        <v>11208</v>
      </c>
      <c r="J461" t="s">
        <v>2002</v>
      </c>
      <c r="K461" t="s">
        <v>2002</v>
      </c>
      <c r="M461" t="s">
        <v>2220</v>
      </c>
      <c r="N461" t="s">
        <v>2415</v>
      </c>
      <c r="O461" t="s">
        <v>2439</v>
      </c>
      <c r="P461" t="s">
        <v>2444</v>
      </c>
      <c r="Q461" t="s">
        <v>2003</v>
      </c>
      <c r="R461" t="s">
        <v>2453</v>
      </c>
      <c r="S461" t="s">
        <v>113</v>
      </c>
      <c r="T461">
        <v>1700</v>
      </c>
      <c r="U461" t="s">
        <v>2500</v>
      </c>
      <c r="V461" t="s">
        <v>2515</v>
      </c>
      <c r="W461" t="s">
        <v>2828</v>
      </c>
      <c r="Y461" t="s">
        <v>3569</v>
      </c>
      <c r="Z461">
        <v>0</v>
      </c>
      <c r="AB461" t="s">
        <v>2006</v>
      </c>
      <c r="AC461">
        <v>4</v>
      </c>
      <c r="AD461">
        <v>2</v>
      </c>
      <c r="AE461">
        <v>3</v>
      </c>
      <c r="AF461">
        <v>150</v>
      </c>
      <c r="AI461" t="s">
        <v>3810</v>
      </c>
      <c r="AJ461">
        <v>44129.28</v>
      </c>
      <c r="AP461">
        <v>3.1</v>
      </c>
      <c r="AQ461" t="s">
        <v>298</v>
      </c>
      <c r="AR461" t="s">
        <v>4188</v>
      </c>
      <c r="AS461" t="s">
        <v>4210</v>
      </c>
      <c r="AT461" t="s">
        <v>4219</v>
      </c>
    </row>
    <row r="462" spans="1:46">
      <c r="A462" s="1">
        <f>HYPERLINK("https://lsnyc.legalserver.org/matter/dynamic-profile/view/1881509","18-1881509")</f>
        <v>0</v>
      </c>
      <c r="B462" t="s">
        <v>64</v>
      </c>
      <c r="C462" t="s">
        <v>156</v>
      </c>
      <c r="D462" t="s">
        <v>99</v>
      </c>
      <c r="E462" t="s">
        <v>596</v>
      </c>
      <c r="F462" t="s">
        <v>1106</v>
      </c>
      <c r="G462" t="s">
        <v>1559</v>
      </c>
      <c r="H462">
        <v>2</v>
      </c>
      <c r="I462">
        <v>11208</v>
      </c>
      <c r="J462" t="s">
        <v>2002</v>
      </c>
      <c r="K462" t="s">
        <v>2002</v>
      </c>
      <c r="N462" t="s">
        <v>2027</v>
      </c>
      <c r="O462" t="s">
        <v>2439</v>
      </c>
      <c r="P462" t="s">
        <v>2444</v>
      </c>
      <c r="Q462" t="s">
        <v>2003</v>
      </c>
      <c r="S462" t="s">
        <v>156</v>
      </c>
      <c r="T462">
        <v>850</v>
      </c>
      <c r="U462" t="s">
        <v>2506</v>
      </c>
      <c r="V462" t="s">
        <v>2515</v>
      </c>
      <c r="W462" t="s">
        <v>2829</v>
      </c>
      <c r="X462" t="s">
        <v>3240</v>
      </c>
      <c r="Y462" t="s">
        <v>3552</v>
      </c>
      <c r="Z462">
        <v>2</v>
      </c>
      <c r="AA462" t="s">
        <v>2156</v>
      </c>
      <c r="AC462">
        <v>21</v>
      </c>
      <c r="AD462">
        <v>2</v>
      </c>
      <c r="AE462">
        <v>2</v>
      </c>
      <c r="AF462">
        <v>18.6</v>
      </c>
      <c r="AG462" t="s">
        <v>3803</v>
      </c>
      <c r="AH462" t="s">
        <v>3808</v>
      </c>
      <c r="AI462" t="s">
        <v>3809</v>
      </c>
      <c r="AJ462">
        <v>4668</v>
      </c>
      <c r="AK462" t="s">
        <v>3924</v>
      </c>
      <c r="AP462">
        <v>2.75</v>
      </c>
      <c r="AQ462" t="s">
        <v>145</v>
      </c>
      <c r="AR462" t="s">
        <v>4184</v>
      </c>
      <c r="AS462" t="s">
        <v>4210</v>
      </c>
      <c r="AT462" t="s">
        <v>4220</v>
      </c>
    </row>
    <row r="463" spans="1:46">
      <c r="A463" s="1">
        <f>HYPERLINK("https://lsnyc.legalserver.org/matter/dynamic-profile/view/1881753","18-1881753")</f>
        <v>0</v>
      </c>
      <c r="B463" t="s">
        <v>64</v>
      </c>
      <c r="C463" t="s">
        <v>115</v>
      </c>
      <c r="E463" t="s">
        <v>597</v>
      </c>
      <c r="F463" t="s">
        <v>1107</v>
      </c>
      <c r="G463" t="s">
        <v>1560</v>
      </c>
      <c r="H463">
        <v>1</v>
      </c>
      <c r="I463">
        <v>11208</v>
      </c>
      <c r="J463" t="s">
        <v>2002</v>
      </c>
      <c r="K463" t="s">
        <v>2002</v>
      </c>
      <c r="L463" t="s">
        <v>2005</v>
      </c>
      <c r="M463" t="s">
        <v>2221</v>
      </c>
      <c r="N463" t="s">
        <v>2413</v>
      </c>
      <c r="O463" t="s">
        <v>2439</v>
      </c>
      <c r="Q463" t="s">
        <v>2003</v>
      </c>
      <c r="R463" t="s">
        <v>2451</v>
      </c>
      <c r="S463" t="s">
        <v>123</v>
      </c>
      <c r="T463">
        <v>1201</v>
      </c>
      <c r="U463" t="s">
        <v>2512</v>
      </c>
      <c r="W463" t="s">
        <v>2830</v>
      </c>
      <c r="X463" t="s">
        <v>3198</v>
      </c>
      <c r="Y463" t="s">
        <v>3570</v>
      </c>
      <c r="Z463">
        <v>3</v>
      </c>
      <c r="AA463" t="s">
        <v>3784</v>
      </c>
      <c r="AB463" t="s">
        <v>3793</v>
      </c>
      <c r="AC463">
        <v>4</v>
      </c>
      <c r="AD463">
        <v>1</v>
      </c>
      <c r="AE463">
        <v>0</v>
      </c>
      <c r="AF463">
        <v>78.09</v>
      </c>
      <c r="AI463" t="s">
        <v>3809</v>
      </c>
      <c r="AJ463">
        <v>9480</v>
      </c>
      <c r="AP463">
        <v>1.3</v>
      </c>
      <c r="AQ463" t="s">
        <v>290</v>
      </c>
      <c r="AR463" t="s">
        <v>4185</v>
      </c>
      <c r="AS463" t="s">
        <v>4210</v>
      </c>
      <c r="AT463" t="s">
        <v>4219</v>
      </c>
    </row>
    <row r="464" spans="1:46">
      <c r="A464" s="1">
        <f>HYPERLINK("https://lsnyc.legalserver.org/matter/dynamic-profile/view/1884268","18-1884268")</f>
        <v>0</v>
      </c>
      <c r="B464" t="s">
        <v>64</v>
      </c>
      <c r="C464" t="s">
        <v>125</v>
      </c>
      <c r="E464" t="s">
        <v>598</v>
      </c>
      <c r="F464" t="s">
        <v>1108</v>
      </c>
      <c r="G464" t="s">
        <v>1561</v>
      </c>
      <c r="I464">
        <v>11239</v>
      </c>
      <c r="J464" t="s">
        <v>2002</v>
      </c>
      <c r="K464" t="s">
        <v>2002</v>
      </c>
      <c r="M464" t="s">
        <v>2222</v>
      </c>
      <c r="N464" t="s">
        <v>2415</v>
      </c>
      <c r="O464" t="s">
        <v>2437</v>
      </c>
      <c r="Q464" t="s">
        <v>2003</v>
      </c>
      <c r="R464" t="s">
        <v>2454</v>
      </c>
      <c r="S464" t="s">
        <v>2483</v>
      </c>
      <c r="T464">
        <v>793</v>
      </c>
      <c r="U464" t="s">
        <v>2505</v>
      </c>
      <c r="W464" t="s">
        <v>2831</v>
      </c>
      <c r="X464" t="s">
        <v>2058</v>
      </c>
      <c r="Z464">
        <v>1092</v>
      </c>
      <c r="AA464" t="s">
        <v>2156</v>
      </c>
      <c r="AB464" t="s">
        <v>3793</v>
      </c>
      <c r="AC464">
        <v>30</v>
      </c>
      <c r="AD464">
        <v>1</v>
      </c>
      <c r="AE464">
        <v>0</v>
      </c>
      <c r="AF464">
        <v>280.07</v>
      </c>
      <c r="AG464" t="s">
        <v>224</v>
      </c>
      <c r="AH464" t="s">
        <v>3806</v>
      </c>
      <c r="AJ464">
        <v>34000</v>
      </c>
      <c r="AM464" t="s">
        <v>4108</v>
      </c>
      <c r="AN464" t="s">
        <v>4122</v>
      </c>
      <c r="AP464">
        <v>7.51</v>
      </c>
      <c r="AQ464" t="s">
        <v>4180</v>
      </c>
      <c r="AR464" t="s">
        <v>52</v>
      </c>
      <c r="AS464" t="s">
        <v>4210</v>
      </c>
      <c r="AT464" t="s">
        <v>4219</v>
      </c>
    </row>
    <row r="465" spans="1:46">
      <c r="A465" s="1">
        <f>HYPERLINK("https://lsnyc.legalserver.org/matter/dynamic-profile/view/1884298","18-1884298")</f>
        <v>0</v>
      </c>
      <c r="B465" t="s">
        <v>64</v>
      </c>
      <c r="C465" t="s">
        <v>125</v>
      </c>
      <c r="D465" t="s">
        <v>99</v>
      </c>
      <c r="E465" t="s">
        <v>599</v>
      </c>
      <c r="F465" t="s">
        <v>916</v>
      </c>
      <c r="G465" t="s">
        <v>1562</v>
      </c>
      <c r="H465">
        <v>2</v>
      </c>
      <c r="I465">
        <v>11207</v>
      </c>
      <c r="J465" t="s">
        <v>2002</v>
      </c>
      <c r="K465" t="s">
        <v>2002</v>
      </c>
      <c r="M465" t="s">
        <v>2223</v>
      </c>
      <c r="N465" t="s">
        <v>2415</v>
      </c>
      <c r="O465" t="s">
        <v>2436</v>
      </c>
      <c r="P465" t="s">
        <v>2444</v>
      </c>
      <c r="R465" t="s">
        <v>2456</v>
      </c>
      <c r="S465" t="s">
        <v>125</v>
      </c>
      <c r="T465">
        <v>1575</v>
      </c>
      <c r="U465" t="s">
        <v>2500</v>
      </c>
      <c r="V465" t="s">
        <v>2515</v>
      </c>
      <c r="W465" t="s">
        <v>2832</v>
      </c>
      <c r="Y465" t="s">
        <v>3571</v>
      </c>
      <c r="Z465">
        <v>4</v>
      </c>
      <c r="AC465">
        <v>2</v>
      </c>
      <c r="AD465">
        <v>2</v>
      </c>
      <c r="AE465">
        <v>2</v>
      </c>
      <c r="AF465">
        <v>108.89</v>
      </c>
      <c r="AI465" t="s">
        <v>3810</v>
      </c>
      <c r="AJ465">
        <v>27332</v>
      </c>
      <c r="AP465">
        <v>2.2</v>
      </c>
      <c r="AQ465" t="s">
        <v>97</v>
      </c>
      <c r="AR465" t="s">
        <v>4184</v>
      </c>
      <c r="AS465" t="s">
        <v>4210</v>
      </c>
      <c r="AT465" t="s">
        <v>4219</v>
      </c>
    </row>
    <row r="466" spans="1:46">
      <c r="A466" s="1">
        <f>HYPERLINK("https://lsnyc.legalserver.org/matter/dynamic-profile/view/1884173","18-1884173")</f>
        <v>0</v>
      </c>
      <c r="B466" t="s">
        <v>64</v>
      </c>
      <c r="C466" t="s">
        <v>230</v>
      </c>
      <c r="D466" t="s">
        <v>99</v>
      </c>
      <c r="E466" t="s">
        <v>600</v>
      </c>
      <c r="F466" t="s">
        <v>975</v>
      </c>
      <c r="G466" t="s">
        <v>1563</v>
      </c>
      <c r="I466">
        <v>11207</v>
      </c>
      <c r="J466" t="s">
        <v>2002</v>
      </c>
      <c r="K466" t="s">
        <v>2002</v>
      </c>
      <c r="M466" t="s">
        <v>2224</v>
      </c>
      <c r="N466" t="s">
        <v>2415</v>
      </c>
      <c r="O466" t="s">
        <v>2439</v>
      </c>
      <c r="P466" t="s">
        <v>2444</v>
      </c>
      <c r="Q466" t="s">
        <v>2003</v>
      </c>
      <c r="R466" t="s">
        <v>2453</v>
      </c>
      <c r="S466" t="s">
        <v>125</v>
      </c>
      <c r="T466">
        <v>1775</v>
      </c>
      <c r="U466" t="s">
        <v>2501</v>
      </c>
      <c r="V466" t="s">
        <v>2515</v>
      </c>
      <c r="W466" t="s">
        <v>2833</v>
      </c>
      <c r="Y466" t="s">
        <v>3572</v>
      </c>
      <c r="Z466">
        <v>4</v>
      </c>
      <c r="AA466" t="s">
        <v>3784</v>
      </c>
      <c r="AB466" t="s">
        <v>2006</v>
      </c>
      <c r="AC466">
        <v>2</v>
      </c>
      <c r="AD466">
        <v>2</v>
      </c>
      <c r="AE466">
        <v>1</v>
      </c>
      <c r="AF466">
        <v>125.12</v>
      </c>
      <c r="AI466" t="s">
        <v>3809</v>
      </c>
      <c r="AJ466">
        <v>26000</v>
      </c>
      <c r="AP466">
        <v>1.5</v>
      </c>
      <c r="AQ466" t="s">
        <v>230</v>
      </c>
      <c r="AR466" t="s">
        <v>49</v>
      </c>
      <c r="AS466" t="s">
        <v>4210</v>
      </c>
      <c r="AT466" t="s">
        <v>4219</v>
      </c>
    </row>
    <row r="467" spans="1:46">
      <c r="A467" s="1">
        <f>HYPERLINK("https://lsnyc.legalserver.org/matter/dynamic-profile/view/1884361","18-1884361")</f>
        <v>0</v>
      </c>
      <c r="B467" t="s">
        <v>64</v>
      </c>
      <c r="C467" t="s">
        <v>125</v>
      </c>
      <c r="D467" t="s">
        <v>99</v>
      </c>
      <c r="E467" t="s">
        <v>601</v>
      </c>
      <c r="F467" t="s">
        <v>1109</v>
      </c>
      <c r="G467" t="s">
        <v>1564</v>
      </c>
      <c r="H467" t="s">
        <v>1846</v>
      </c>
      <c r="I467">
        <v>11208</v>
      </c>
      <c r="J467" t="s">
        <v>2002</v>
      </c>
      <c r="K467" t="s">
        <v>2002</v>
      </c>
      <c r="M467" t="s">
        <v>2225</v>
      </c>
      <c r="N467" t="s">
        <v>2415</v>
      </c>
      <c r="O467" t="s">
        <v>2436</v>
      </c>
      <c r="P467" t="s">
        <v>2444</v>
      </c>
      <c r="S467" t="s">
        <v>125</v>
      </c>
      <c r="T467">
        <v>1400</v>
      </c>
      <c r="U467" t="s">
        <v>2495</v>
      </c>
      <c r="V467" t="s">
        <v>2515</v>
      </c>
      <c r="W467" t="s">
        <v>2834</v>
      </c>
      <c r="Y467" t="s">
        <v>3573</v>
      </c>
      <c r="Z467">
        <v>2</v>
      </c>
      <c r="AA467" t="s">
        <v>3783</v>
      </c>
      <c r="AC467">
        <v>4</v>
      </c>
      <c r="AD467">
        <v>1</v>
      </c>
      <c r="AE467">
        <v>0</v>
      </c>
      <c r="AF467">
        <v>205.93</v>
      </c>
      <c r="AI467" t="s">
        <v>3809</v>
      </c>
      <c r="AJ467">
        <v>25000</v>
      </c>
      <c r="AK467" t="s">
        <v>3924</v>
      </c>
      <c r="AP467">
        <v>1.7</v>
      </c>
      <c r="AQ467" t="s">
        <v>136</v>
      </c>
      <c r="AR467" t="s">
        <v>4184</v>
      </c>
      <c r="AS467" t="s">
        <v>4210</v>
      </c>
      <c r="AT467" t="s">
        <v>4219</v>
      </c>
    </row>
    <row r="468" spans="1:46">
      <c r="A468" s="1">
        <f>HYPERLINK("https://lsnyc.legalserver.org/matter/dynamic-profile/view/1884444","18-1884444")</f>
        <v>0</v>
      </c>
      <c r="B468" t="s">
        <v>64</v>
      </c>
      <c r="C468" t="s">
        <v>122</v>
      </c>
      <c r="E468" t="s">
        <v>511</v>
      </c>
      <c r="F468" t="s">
        <v>1037</v>
      </c>
      <c r="G468" t="s">
        <v>1500</v>
      </c>
      <c r="H468" t="s">
        <v>1847</v>
      </c>
      <c r="I468">
        <v>11207</v>
      </c>
      <c r="J468" t="s">
        <v>2004</v>
      </c>
      <c r="K468" t="s">
        <v>2004</v>
      </c>
      <c r="M468" t="s">
        <v>2027</v>
      </c>
      <c r="N468" t="s">
        <v>2414</v>
      </c>
      <c r="O468" t="s">
        <v>2436</v>
      </c>
      <c r="Q468" t="s">
        <v>2003</v>
      </c>
      <c r="R468" t="s">
        <v>2451</v>
      </c>
      <c r="S468" t="s">
        <v>230</v>
      </c>
      <c r="T468">
        <v>1300</v>
      </c>
      <c r="W468" t="s">
        <v>2835</v>
      </c>
      <c r="Y468" t="s">
        <v>3574</v>
      </c>
      <c r="Z468">
        <v>23</v>
      </c>
      <c r="AC468">
        <v>4</v>
      </c>
      <c r="AD468">
        <v>1</v>
      </c>
      <c r="AE468">
        <v>0</v>
      </c>
      <c r="AF468">
        <v>73.15000000000001</v>
      </c>
      <c r="AI468" t="s">
        <v>3809</v>
      </c>
      <c r="AJ468">
        <v>8880</v>
      </c>
      <c r="AP468">
        <v>2.35</v>
      </c>
      <c r="AQ468" t="s">
        <v>310</v>
      </c>
      <c r="AR468" t="s">
        <v>4197</v>
      </c>
      <c r="AS468" t="s">
        <v>4210</v>
      </c>
      <c r="AT468" t="s">
        <v>4219</v>
      </c>
    </row>
    <row r="469" spans="1:46">
      <c r="A469" s="1">
        <f>HYPERLINK("https://lsnyc.legalserver.org/matter/dynamic-profile/view/1877456","18-1877456")</f>
        <v>0</v>
      </c>
      <c r="B469" t="s">
        <v>64</v>
      </c>
      <c r="C469" t="s">
        <v>195</v>
      </c>
      <c r="D469" t="s">
        <v>99</v>
      </c>
      <c r="E469" t="s">
        <v>602</v>
      </c>
      <c r="F469" t="s">
        <v>1110</v>
      </c>
      <c r="G469" t="s">
        <v>1565</v>
      </c>
      <c r="H469" t="s">
        <v>1741</v>
      </c>
      <c r="I469">
        <v>11212</v>
      </c>
      <c r="J469" t="s">
        <v>2002</v>
      </c>
      <c r="K469" t="s">
        <v>2002</v>
      </c>
      <c r="M469" t="s">
        <v>2226</v>
      </c>
      <c r="N469" t="s">
        <v>2415</v>
      </c>
      <c r="O469" t="s">
        <v>2437</v>
      </c>
      <c r="P469" t="s">
        <v>2446</v>
      </c>
      <c r="Q469" t="s">
        <v>2003</v>
      </c>
      <c r="R469" t="s">
        <v>2451</v>
      </c>
      <c r="S469" t="s">
        <v>99</v>
      </c>
      <c r="T469">
        <v>1521</v>
      </c>
      <c r="U469" t="s">
        <v>2497</v>
      </c>
      <c r="V469" t="s">
        <v>2516</v>
      </c>
      <c r="W469" t="s">
        <v>2836</v>
      </c>
      <c r="X469" t="s">
        <v>3241</v>
      </c>
      <c r="Y469" t="s">
        <v>3575</v>
      </c>
      <c r="Z469">
        <v>6</v>
      </c>
      <c r="AA469" t="s">
        <v>3783</v>
      </c>
      <c r="AB469" t="s">
        <v>3800</v>
      </c>
      <c r="AC469">
        <v>24</v>
      </c>
      <c r="AD469">
        <v>1</v>
      </c>
      <c r="AE469">
        <v>0</v>
      </c>
      <c r="AF469">
        <v>96.08</v>
      </c>
      <c r="AI469" t="s">
        <v>3809</v>
      </c>
      <c r="AJ469">
        <v>11664</v>
      </c>
      <c r="AM469" t="s">
        <v>4108</v>
      </c>
      <c r="AN469" t="s">
        <v>4122</v>
      </c>
      <c r="AO469" t="s">
        <v>4125</v>
      </c>
      <c r="AP469">
        <v>3.6</v>
      </c>
      <c r="AQ469" t="s">
        <v>115</v>
      </c>
      <c r="AR469" t="s">
        <v>4185</v>
      </c>
      <c r="AS469" t="s">
        <v>4210</v>
      </c>
      <c r="AT469" t="s">
        <v>4219</v>
      </c>
    </row>
    <row r="470" spans="1:46">
      <c r="A470" s="1">
        <f>HYPERLINK("https://lsnyc.legalserver.org/matter/dynamic-profile/view/1882383","18-1882383")</f>
        <v>0</v>
      </c>
      <c r="B470" t="s">
        <v>64</v>
      </c>
      <c r="C470" t="s">
        <v>123</v>
      </c>
      <c r="D470" t="s">
        <v>99</v>
      </c>
      <c r="E470" t="s">
        <v>603</v>
      </c>
      <c r="F470" t="s">
        <v>1111</v>
      </c>
      <c r="G470" t="s">
        <v>1566</v>
      </c>
      <c r="H470">
        <v>2</v>
      </c>
      <c r="I470">
        <v>11233</v>
      </c>
      <c r="J470" t="s">
        <v>2002</v>
      </c>
      <c r="K470" t="s">
        <v>2002</v>
      </c>
      <c r="M470" t="s">
        <v>2227</v>
      </c>
      <c r="N470" t="s">
        <v>2415</v>
      </c>
      <c r="O470" t="s">
        <v>2439</v>
      </c>
      <c r="P470" t="s">
        <v>2444</v>
      </c>
      <c r="S470" t="s">
        <v>99</v>
      </c>
      <c r="T470">
        <v>2550</v>
      </c>
      <c r="U470" t="s">
        <v>2500</v>
      </c>
      <c r="V470" t="s">
        <v>2515</v>
      </c>
      <c r="W470" t="s">
        <v>2837</v>
      </c>
      <c r="X470" t="s">
        <v>3242</v>
      </c>
      <c r="Y470" t="s">
        <v>3576</v>
      </c>
      <c r="Z470">
        <v>3</v>
      </c>
      <c r="AB470" t="s">
        <v>2495</v>
      </c>
      <c r="AC470">
        <v>-5</v>
      </c>
      <c r="AD470">
        <v>1</v>
      </c>
      <c r="AE470">
        <v>1</v>
      </c>
      <c r="AF470">
        <v>188.34</v>
      </c>
      <c r="AI470" t="s">
        <v>3809</v>
      </c>
      <c r="AJ470">
        <v>31000</v>
      </c>
      <c r="AP470">
        <v>4.3</v>
      </c>
      <c r="AQ470" t="s">
        <v>120</v>
      </c>
      <c r="AR470" t="s">
        <v>4188</v>
      </c>
      <c r="AS470" t="s">
        <v>4210</v>
      </c>
      <c r="AT470" t="s">
        <v>4219</v>
      </c>
    </row>
    <row r="471" spans="1:46">
      <c r="A471" s="1">
        <f>HYPERLINK("https://lsnyc.legalserver.org/matter/dynamic-profile/view/1886444","18-1886444")</f>
        <v>0</v>
      </c>
      <c r="B471" t="s">
        <v>64</v>
      </c>
      <c r="C471" t="s">
        <v>231</v>
      </c>
      <c r="E471" t="s">
        <v>504</v>
      </c>
      <c r="F471" t="s">
        <v>1112</v>
      </c>
      <c r="G471" t="s">
        <v>1567</v>
      </c>
      <c r="H471" t="s">
        <v>1778</v>
      </c>
      <c r="I471">
        <v>11208</v>
      </c>
      <c r="J471" t="s">
        <v>2002</v>
      </c>
      <c r="K471" t="s">
        <v>2002</v>
      </c>
      <c r="M471" t="s">
        <v>2228</v>
      </c>
      <c r="N471" t="s">
        <v>2414</v>
      </c>
      <c r="O471" t="s">
        <v>2439</v>
      </c>
      <c r="Q471" t="s">
        <v>2003</v>
      </c>
      <c r="S471" t="s">
        <v>237</v>
      </c>
      <c r="T471">
        <v>600</v>
      </c>
      <c r="U471" t="s">
        <v>2500</v>
      </c>
      <c r="W471" t="s">
        <v>2838</v>
      </c>
      <c r="Y471" t="s">
        <v>3577</v>
      </c>
      <c r="Z471">
        <v>3</v>
      </c>
      <c r="AA471" t="s">
        <v>3784</v>
      </c>
      <c r="AB471" t="s">
        <v>2006</v>
      </c>
      <c r="AC471">
        <v>1</v>
      </c>
      <c r="AD471">
        <v>1</v>
      </c>
      <c r="AE471">
        <v>0</v>
      </c>
      <c r="AF471">
        <v>172.98</v>
      </c>
      <c r="AI471" t="s">
        <v>3809</v>
      </c>
      <c r="AJ471">
        <v>21000</v>
      </c>
      <c r="AP471">
        <v>0</v>
      </c>
      <c r="AR471" t="s">
        <v>49</v>
      </c>
      <c r="AS471" t="s">
        <v>4210</v>
      </c>
      <c r="AT471" t="s">
        <v>4219</v>
      </c>
    </row>
    <row r="472" spans="1:46">
      <c r="A472" s="1">
        <f>HYPERLINK("https://lsnyc.legalserver.org/matter/dynamic-profile/view/1886330","18-1886330")</f>
        <v>0</v>
      </c>
      <c r="B472" t="s">
        <v>64</v>
      </c>
      <c r="C472" t="s">
        <v>101</v>
      </c>
      <c r="D472" t="s">
        <v>318</v>
      </c>
      <c r="E472" t="s">
        <v>604</v>
      </c>
      <c r="F472" t="s">
        <v>1113</v>
      </c>
      <c r="G472" t="s">
        <v>1444</v>
      </c>
      <c r="H472" t="s">
        <v>1848</v>
      </c>
      <c r="I472">
        <v>11208</v>
      </c>
      <c r="J472" t="s">
        <v>2002</v>
      </c>
      <c r="K472" t="s">
        <v>2002</v>
      </c>
      <c r="M472" t="s">
        <v>2229</v>
      </c>
      <c r="N472" t="s">
        <v>2415</v>
      </c>
      <c r="O472" t="s">
        <v>2437</v>
      </c>
      <c r="P472" t="s">
        <v>2445</v>
      </c>
      <c r="Q472" t="s">
        <v>2003</v>
      </c>
      <c r="R472" t="s">
        <v>2451</v>
      </c>
      <c r="S472" t="s">
        <v>101</v>
      </c>
      <c r="T472">
        <v>247</v>
      </c>
      <c r="U472" t="s">
        <v>2494</v>
      </c>
      <c r="V472" t="s">
        <v>2516</v>
      </c>
      <c r="W472" t="s">
        <v>2839</v>
      </c>
      <c r="Y472" t="s">
        <v>3578</v>
      </c>
      <c r="Z472">
        <v>0</v>
      </c>
      <c r="AA472" t="s">
        <v>3787</v>
      </c>
      <c r="AC472">
        <v>9</v>
      </c>
      <c r="AD472">
        <v>1</v>
      </c>
      <c r="AE472">
        <v>0</v>
      </c>
      <c r="AF472">
        <v>38.35</v>
      </c>
      <c r="AI472" t="s">
        <v>3809</v>
      </c>
      <c r="AJ472">
        <v>4656</v>
      </c>
      <c r="AM472" t="s">
        <v>4108</v>
      </c>
      <c r="AN472" t="s">
        <v>4122</v>
      </c>
      <c r="AO472" t="s">
        <v>4151</v>
      </c>
      <c r="AP472">
        <v>18.3</v>
      </c>
      <c r="AQ472" t="s">
        <v>318</v>
      </c>
      <c r="AR472" t="s">
        <v>4204</v>
      </c>
      <c r="AS472" t="s">
        <v>4210</v>
      </c>
      <c r="AT472" t="s">
        <v>4219</v>
      </c>
    </row>
    <row r="473" spans="1:46">
      <c r="A473" s="1">
        <f>HYPERLINK("https://lsnyc.legalserver.org/matter/dynamic-profile/view/1886416","18-1886416")</f>
        <v>0</v>
      </c>
      <c r="B473" t="s">
        <v>64</v>
      </c>
      <c r="C473" t="s">
        <v>232</v>
      </c>
      <c r="D473" t="s">
        <v>311</v>
      </c>
      <c r="E473" t="s">
        <v>605</v>
      </c>
      <c r="F473" t="s">
        <v>902</v>
      </c>
      <c r="G473" t="s">
        <v>1568</v>
      </c>
      <c r="H473" t="s">
        <v>1849</v>
      </c>
      <c r="I473">
        <v>11212</v>
      </c>
      <c r="J473" t="s">
        <v>2002</v>
      </c>
      <c r="K473" t="s">
        <v>2002</v>
      </c>
      <c r="M473" t="s">
        <v>2230</v>
      </c>
      <c r="N473" t="s">
        <v>2415</v>
      </c>
      <c r="O473" t="s">
        <v>2439</v>
      </c>
      <c r="P473" t="s">
        <v>2444</v>
      </c>
      <c r="Q473" t="s">
        <v>2003</v>
      </c>
      <c r="S473" t="s">
        <v>232</v>
      </c>
      <c r="T473">
        <v>1001</v>
      </c>
      <c r="U473" t="s">
        <v>2495</v>
      </c>
      <c r="V473" t="s">
        <v>2515</v>
      </c>
      <c r="W473" t="s">
        <v>2840</v>
      </c>
      <c r="Y473" t="s">
        <v>3579</v>
      </c>
      <c r="Z473">
        <v>172</v>
      </c>
      <c r="AA473" t="s">
        <v>3783</v>
      </c>
      <c r="AB473" t="s">
        <v>2006</v>
      </c>
      <c r="AC473">
        <v>20</v>
      </c>
      <c r="AD473">
        <v>3</v>
      </c>
      <c r="AE473">
        <v>1</v>
      </c>
      <c r="AF473">
        <v>211.16</v>
      </c>
      <c r="AI473" t="s">
        <v>3809</v>
      </c>
      <c r="AJ473">
        <v>53000</v>
      </c>
      <c r="AK473" t="s">
        <v>3926</v>
      </c>
      <c r="AP473">
        <v>2.7</v>
      </c>
      <c r="AQ473" t="s">
        <v>173</v>
      </c>
      <c r="AR473" t="s">
        <v>49</v>
      </c>
      <c r="AS473" t="s">
        <v>4210</v>
      </c>
      <c r="AT473" t="s">
        <v>4219</v>
      </c>
    </row>
    <row r="474" spans="1:46">
      <c r="A474" s="1">
        <f>HYPERLINK("https://lsnyc.legalserver.org/matter/dynamic-profile/view/1883176","18-1883176")</f>
        <v>0</v>
      </c>
      <c r="B474" t="s">
        <v>64</v>
      </c>
      <c r="C474" t="s">
        <v>118</v>
      </c>
      <c r="E474" t="s">
        <v>606</v>
      </c>
      <c r="F474" t="s">
        <v>1062</v>
      </c>
      <c r="G474" t="s">
        <v>1569</v>
      </c>
      <c r="H474" t="s">
        <v>1737</v>
      </c>
      <c r="I474">
        <v>11208</v>
      </c>
      <c r="J474" t="s">
        <v>2002</v>
      </c>
      <c r="K474" t="s">
        <v>2002</v>
      </c>
      <c r="N474" t="s">
        <v>2027</v>
      </c>
      <c r="O474" t="s">
        <v>2439</v>
      </c>
      <c r="Q474" t="s">
        <v>2003</v>
      </c>
      <c r="S474" t="s">
        <v>74</v>
      </c>
      <c r="T474">
        <v>717</v>
      </c>
      <c r="U474" t="s">
        <v>2497</v>
      </c>
      <c r="W474" t="s">
        <v>2841</v>
      </c>
      <c r="Y474" t="s">
        <v>3580</v>
      </c>
      <c r="Z474">
        <v>6</v>
      </c>
      <c r="AB474" t="s">
        <v>2006</v>
      </c>
      <c r="AC474">
        <v>30</v>
      </c>
      <c r="AD474">
        <v>2</v>
      </c>
      <c r="AE474">
        <v>0</v>
      </c>
      <c r="AF474">
        <v>179.56</v>
      </c>
      <c r="AI474" t="s">
        <v>3810</v>
      </c>
      <c r="AJ474">
        <v>29556</v>
      </c>
      <c r="AP474">
        <v>1</v>
      </c>
      <c r="AQ474" t="s">
        <v>234</v>
      </c>
      <c r="AR474" t="s">
        <v>49</v>
      </c>
      <c r="AS474" t="s">
        <v>4210</v>
      </c>
      <c r="AT474" t="s">
        <v>4219</v>
      </c>
    </row>
    <row r="475" spans="1:46">
      <c r="A475" s="1">
        <f>HYPERLINK("https://lsnyc.legalserver.org/matter/dynamic-profile/view/1885920","18-1885920")</f>
        <v>0</v>
      </c>
      <c r="B475" t="s">
        <v>64</v>
      </c>
      <c r="C475" t="s">
        <v>161</v>
      </c>
      <c r="D475" t="s">
        <v>224</v>
      </c>
      <c r="E475" t="s">
        <v>351</v>
      </c>
      <c r="F475" t="s">
        <v>1114</v>
      </c>
      <c r="G475" t="s">
        <v>1570</v>
      </c>
      <c r="H475" t="s">
        <v>1850</v>
      </c>
      <c r="I475">
        <v>11233</v>
      </c>
      <c r="J475" t="s">
        <v>2002</v>
      </c>
      <c r="K475" t="s">
        <v>2002</v>
      </c>
      <c r="L475" t="s">
        <v>2005</v>
      </c>
      <c r="M475" t="s">
        <v>2231</v>
      </c>
      <c r="N475" t="s">
        <v>2415</v>
      </c>
      <c r="O475" t="s">
        <v>2437</v>
      </c>
      <c r="P475" t="s">
        <v>2446</v>
      </c>
      <c r="Q475" t="s">
        <v>2003</v>
      </c>
      <c r="S475" t="s">
        <v>315</v>
      </c>
      <c r="T475">
        <v>1304.95</v>
      </c>
      <c r="U475" t="s">
        <v>2499</v>
      </c>
      <c r="V475" t="s">
        <v>2516</v>
      </c>
      <c r="W475" t="s">
        <v>2842</v>
      </c>
      <c r="Y475" t="s">
        <v>3581</v>
      </c>
      <c r="Z475">
        <v>25</v>
      </c>
      <c r="AA475" t="s">
        <v>3783</v>
      </c>
      <c r="AB475" t="s">
        <v>2006</v>
      </c>
      <c r="AC475">
        <v>8</v>
      </c>
      <c r="AD475">
        <v>3</v>
      </c>
      <c r="AE475">
        <v>1</v>
      </c>
      <c r="AF475">
        <v>129.08</v>
      </c>
      <c r="AI475" t="s">
        <v>3809</v>
      </c>
      <c r="AJ475">
        <v>32400</v>
      </c>
      <c r="AL475" t="s">
        <v>4102</v>
      </c>
      <c r="AM475" t="s">
        <v>4108</v>
      </c>
      <c r="AN475" t="s">
        <v>4122</v>
      </c>
      <c r="AO475" t="s">
        <v>4152</v>
      </c>
      <c r="AP475">
        <v>6.1</v>
      </c>
      <c r="AQ475" t="s">
        <v>289</v>
      </c>
      <c r="AR475" t="s">
        <v>4204</v>
      </c>
      <c r="AS475" t="s">
        <v>4210</v>
      </c>
      <c r="AT475" t="s">
        <v>4219</v>
      </c>
    </row>
    <row r="476" spans="1:46">
      <c r="A476" s="1">
        <f>HYPERLINK("https://lsnyc.legalserver.org/matter/dynamic-profile/view/1887981","19-1887981")</f>
        <v>0</v>
      </c>
      <c r="B476" t="s">
        <v>64</v>
      </c>
      <c r="C476" t="s">
        <v>166</v>
      </c>
      <c r="D476" t="s">
        <v>306</v>
      </c>
      <c r="E476" t="s">
        <v>607</v>
      </c>
      <c r="F476" t="s">
        <v>1115</v>
      </c>
      <c r="G476" t="s">
        <v>1571</v>
      </c>
      <c r="H476" t="s">
        <v>1749</v>
      </c>
      <c r="I476">
        <v>11208</v>
      </c>
      <c r="J476" t="s">
        <v>2002</v>
      </c>
      <c r="K476" t="s">
        <v>2002</v>
      </c>
      <c r="M476" t="s">
        <v>2232</v>
      </c>
      <c r="N476" t="s">
        <v>2413</v>
      </c>
      <c r="O476" t="s">
        <v>2436</v>
      </c>
      <c r="P476" t="s">
        <v>2443</v>
      </c>
      <c r="Q476" t="s">
        <v>2003</v>
      </c>
      <c r="S476" t="s">
        <v>166</v>
      </c>
      <c r="T476">
        <v>1725</v>
      </c>
      <c r="U476" t="s">
        <v>2508</v>
      </c>
      <c r="V476" t="s">
        <v>2515</v>
      </c>
      <c r="W476" t="s">
        <v>2843</v>
      </c>
      <c r="Y476" t="s">
        <v>3582</v>
      </c>
      <c r="Z476">
        <v>4</v>
      </c>
      <c r="AC476">
        <v>10</v>
      </c>
      <c r="AD476">
        <v>1</v>
      </c>
      <c r="AE476">
        <v>0</v>
      </c>
      <c r="AF476">
        <v>64.25</v>
      </c>
      <c r="AI476" t="s">
        <v>3810</v>
      </c>
      <c r="AJ476">
        <v>7800</v>
      </c>
      <c r="AP476">
        <v>2.2</v>
      </c>
      <c r="AQ476" t="s">
        <v>289</v>
      </c>
      <c r="AR476" t="s">
        <v>4205</v>
      </c>
      <c r="AS476" t="s">
        <v>4210</v>
      </c>
      <c r="AT476" t="s">
        <v>4219</v>
      </c>
    </row>
    <row r="477" spans="1:46">
      <c r="A477" s="1">
        <f>HYPERLINK("https://lsnyc.legalserver.org/matter/dynamic-profile/view/1888395","19-1888395")</f>
        <v>0</v>
      </c>
      <c r="B477" t="s">
        <v>64</v>
      </c>
      <c r="C477" t="s">
        <v>233</v>
      </c>
      <c r="D477" t="s">
        <v>257</v>
      </c>
      <c r="E477" t="s">
        <v>608</v>
      </c>
      <c r="F477" t="s">
        <v>1116</v>
      </c>
      <c r="G477" t="s">
        <v>1572</v>
      </c>
      <c r="H477" t="s">
        <v>1851</v>
      </c>
      <c r="I477">
        <v>11233</v>
      </c>
      <c r="J477" t="s">
        <v>2002</v>
      </c>
      <c r="K477" t="s">
        <v>2002</v>
      </c>
      <c r="M477" t="s">
        <v>2233</v>
      </c>
      <c r="N477" t="s">
        <v>2415</v>
      </c>
      <c r="O477" t="s">
        <v>2439</v>
      </c>
      <c r="P477" t="s">
        <v>2444</v>
      </c>
      <c r="Q477" t="s">
        <v>2003</v>
      </c>
      <c r="S477" t="s">
        <v>257</v>
      </c>
      <c r="T477">
        <v>2400</v>
      </c>
      <c r="U477" t="s">
        <v>2501</v>
      </c>
      <c r="V477" t="s">
        <v>2515</v>
      </c>
      <c r="W477" t="s">
        <v>2844</v>
      </c>
      <c r="X477" t="s">
        <v>3243</v>
      </c>
      <c r="Y477" t="s">
        <v>3583</v>
      </c>
      <c r="Z477">
        <v>119</v>
      </c>
      <c r="AA477" t="s">
        <v>3785</v>
      </c>
      <c r="AC477">
        <v>1</v>
      </c>
      <c r="AD477">
        <v>1</v>
      </c>
      <c r="AE477">
        <v>1</v>
      </c>
      <c r="AF477">
        <v>0</v>
      </c>
      <c r="AH477" t="s">
        <v>3806</v>
      </c>
      <c r="AI477" t="s">
        <v>3809</v>
      </c>
      <c r="AJ477">
        <v>0</v>
      </c>
      <c r="AP477">
        <v>3.5</v>
      </c>
      <c r="AQ477" t="s">
        <v>162</v>
      </c>
      <c r="AR477" t="s">
        <v>4206</v>
      </c>
      <c r="AS477" t="s">
        <v>4210</v>
      </c>
      <c r="AT477" t="s">
        <v>4219</v>
      </c>
    </row>
    <row r="478" spans="1:46">
      <c r="A478" s="1">
        <f>HYPERLINK("https://lsnyc.legalserver.org/matter/dynamic-profile/view/1883701","18-1883701")</f>
        <v>0</v>
      </c>
      <c r="B478" t="s">
        <v>64</v>
      </c>
      <c r="C478" t="s">
        <v>234</v>
      </c>
      <c r="E478" t="s">
        <v>370</v>
      </c>
      <c r="F478" t="s">
        <v>993</v>
      </c>
      <c r="G478" t="s">
        <v>1573</v>
      </c>
      <c r="H478" t="s">
        <v>1737</v>
      </c>
      <c r="I478">
        <v>11233</v>
      </c>
      <c r="J478" t="s">
        <v>2002</v>
      </c>
      <c r="K478" t="s">
        <v>2002</v>
      </c>
      <c r="M478" t="s">
        <v>2234</v>
      </c>
      <c r="N478" t="s">
        <v>2415</v>
      </c>
      <c r="O478" t="s">
        <v>2437</v>
      </c>
      <c r="Q478" t="s">
        <v>2003</v>
      </c>
      <c r="R478" t="s">
        <v>2451</v>
      </c>
      <c r="S478" t="s">
        <v>287</v>
      </c>
      <c r="T478">
        <v>1400</v>
      </c>
      <c r="U478" t="s">
        <v>2505</v>
      </c>
      <c r="W478" t="s">
        <v>2845</v>
      </c>
      <c r="X478" t="s">
        <v>3244</v>
      </c>
      <c r="Y478" t="s">
        <v>3584</v>
      </c>
      <c r="Z478">
        <v>44</v>
      </c>
      <c r="AA478" t="s">
        <v>3787</v>
      </c>
      <c r="AB478" t="s">
        <v>3793</v>
      </c>
      <c r="AC478">
        <v>32</v>
      </c>
      <c r="AD478">
        <v>1</v>
      </c>
      <c r="AE478">
        <v>0</v>
      </c>
      <c r="AF478">
        <v>79.08</v>
      </c>
      <c r="AI478" t="s">
        <v>3809</v>
      </c>
      <c r="AJ478">
        <v>9600</v>
      </c>
      <c r="AP478">
        <v>6.4</v>
      </c>
      <c r="AQ478" t="s">
        <v>2462</v>
      </c>
      <c r="AR478" t="s">
        <v>4185</v>
      </c>
      <c r="AS478" t="s">
        <v>4210</v>
      </c>
      <c r="AT478" t="s">
        <v>4219</v>
      </c>
    </row>
    <row r="479" spans="1:46">
      <c r="A479" s="1">
        <f>HYPERLINK("https://lsnyc.legalserver.org/matter/dynamic-profile/view/1878029","18-1878029")</f>
        <v>0</v>
      </c>
      <c r="B479" t="s">
        <v>64</v>
      </c>
      <c r="C479" t="s">
        <v>235</v>
      </c>
      <c r="D479" t="s">
        <v>224</v>
      </c>
      <c r="E479" t="s">
        <v>351</v>
      </c>
      <c r="F479" t="s">
        <v>1117</v>
      </c>
      <c r="G479" t="s">
        <v>1482</v>
      </c>
      <c r="H479" t="s">
        <v>1852</v>
      </c>
      <c r="I479">
        <v>11233</v>
      </c>
      <c r="J479" t="s">
        <v>2002</v>
      </c>
      <c r="K479" t="s">
        <v>2002</v>
      </c>
      <c r="M479" t="s">
        <v>2235</v>
      </c>
      <c r="N479" t="s">
        <v>2415</v>
      </c>
      <c r="O479" t="s">
        <v>2437</v>
      </c>
      <c r="P479" t="s">
        <v>2446</v>
      </c>
      <c r="Q479" t="s">
        <v>2003</v>
      </c>
      <c r="S479" t="s">
        <v>287</v>
      </c>
      <c r="T479">
        <v>955.08</v>
      </c>
      <c r="U479" t="s">
        <v>2504</v>
      </c>
      <c r="V479" t="s">
        <v>2516</v>
      </c>
      <c r="W479" t="s">
        <v>2846</v>
      </c>
      <c r="X479">
        <v>6004868123</v>
      </c>
      <c r="Y479" t="s">
        <v>3585</v>
      </c>
      <c r="Z479">
        <v>764</v>
      </c>
      <c r="AA479" t="s">
        <v>3783</v>
      </c>
      <c r="AB479" t="s">
        <v>2006</v>
      </c>
      <c r="AC479">
        <v>16</v>
      </c>
      <c r="AD479">
        <v>2</v>
      </c>
      <c r="AE479">
        <v>0</v>
      </c>
      <c r="AF479">
        <v>83.37</v>
      </c>
      <c r="AI479" t="s">
        <v>3809</v>
      </c>
      <c r="AJ479">
        <v>13722.36</v>
      </c>
      <c r="AM479" t="s">
        <v>4108</v>
      </c>
      <c r="AN479" t="s">
        <v>4122</v>
      </c>
      <c r="AO479" t="s">
        <v>4153</v>
      </c>
      <c r="AP479">
        <v>13.9</v>
      </c>
      <c r="AQ479" t="s">
        <v>269</v>
      </c>
      <c r="AR479" t="s">
        <v>4185</v>
      </c>
      <c r="AS479" t="s">
        <v>4210</v>
      </c>
      <c r="AT479" t="s">
        <v>4219</v>
      </c>
    </row>
    <row r="480" spans="1:46">
      <c r="A480" s="1">
        <f>HYPERLINK("https://lsnyc.legalserver.org/matter/dynamic-profile/view/1883833","18-1883833")</f>
        <v>0</v>
      </c>
      <c r="B480" t="s">
        <v>64</v>
      </c>
      <c r="C480" t="s">
        <v>236</v>
      </c>
      <c r="E480" t="s">
        <v>609</v>
      </c>
      <c r="F480" t="s">
        <v>1118</v>
      </c>
      <c r="G480" t="s">
        <v>1574</v>
      </c>
      <c r="H480" t="s">
        <v>1837</v>
      </c>
      <c r="I480">
        <v>11208</v>
      </c>
      <c r="J480" t="s">
        <v>2002</v>
      </c>
      <c r="K480" t="s">
        <v>2002</v>
      </c>
      <c r="M480" t="s">
        <v>2236</v>
      </c>
      <c r="N480" t="s">
        <v>2413</v>
      </c>
      <c r="O480" t="s">
        <v>2439</v>
      </c>
      <c r="S480" t="s">
        <v>287</v>
      </c>
      <c r="T480">
        <v>0</v>
      </c>
      <c r="U480" t="s">
        <v>2500</v>
      </c>
      <c r="V480" t="s">
        <v>2515</v>
      </c>
      <c r="W480" t="s">
        <v>2847</v>
      </c>
      <c r="Y480" t="s">
        <v>3586</v>
      </c>
      <c r="Z480">
        <v>2</v>
      </c>
      <c r="AB480" t="s">
        <v>2006</v>
      </c>
      <c r="AC480">
        <v>40</v>
      </c>
      <c r="AD480">
        <v>3</v>
      </c>
      <c r="AE480">
        <v>0</v>
      </c>
      <c r="AF480">
        <v>150.14</v>
      </c>
      <c r="AI480" t="s">
        <v>3809</v>
      </c>
      <c r="AJ480">
        <v>31200</v>
      </c>
      <c r="AP480">
        <v>4.6</v>
      </c>
      <c r="AQ480" t="s">
        <v>159</v>
      </c>
      <c r="AR480" t="s">
        <v>4188</v>
      </c>
      <c r="AS480" t="s">
        <v>4210</v>
      </c>
      <c r="AT480" t="s">
        <v>4219</v>
      </c>
    </row>
    <row r="481" spans="1:46">
      <c r="A481" s="1">
        <f>HYPERLINK("https://lsnyc.legalserver.org/matter/dynamic-profile/view/1886259","18-1886259")</f>
        <v>0</v>
      </c>
      <c r="B481" t="s">
        <v>64</v>
      </c>
      <c r="C481" t="s">
        <v>237</v>
      </c>
      <c r="D481" t="s">
        <v>311</v>
      </c>
      <c r="E481" t="s">
        <v>610</v>
      </c>
      <c r="F481" t="s">
        <v>1119</v>
      </c>
      <c r="G481" t="s">
        <v>1575</v>
      </c>
      <c r="H481" t="s">
        <v>1752</v>
      </c>
      <c r="I481">
        <v>11212</v>
      </c>
      <c r="J481" t="s">
        <v>2002</v>
      </c>
      <c r="K481" t="s">
        <v>2002</v>
      </c>
      <c r="M481" t="s">
        <v>2237</v>
      </c>
      <c r="N481" t="s">
        <v>2415</v>
      </c>
      <c r="O481" t="s">
        <v>2439</v>
      </c>
      <c r="P481" t="s">
        <v>2444</v>
      </c>
      <c r="Q481" t="s">
        <v>2003</v>
      </c>
      <c r="R481" t="s">
        <v>2451</v>
      </c>
      <c r="S481" t="s">
        <v>311</v>
      </c>
      <c r="T481">
        <v>1750</v>
      </c>
      <c r="V481" t="s">
        <v>2515</v>
      </c>
      <c r="W481" t="s">
        <v>2848</v>
      </c>
      <c r="X481">
        <v>6359075</v>
      </c>
      <c r="Y481" t="s">
        <v>3587</v>
      </c>
      <c r="Z481">
        <v>4</v>
      </c>
      <c r="AA481" t="s">
        <v>3784</v>
      </c>
      <c r="AB481" t="s">
        <v>3795</v>
      </c>
      <c r="AC481">
        <v>3</v>
      </c>
      <c r="AD481">
        <v>1</v>
      </c>
      <c r="AE481">
        <v>1</v>
      </c>
      <c r="AF481">
        <v>14.22</v>
      </c>
      <c r="AI481" t="s">
        <v>3809</v>
      </c>
      <c r="AJ481">
        <v>2340</v>
      </c>
      <c r="AP481">
        <v>5.55</v>
      </c>
      <c r="AQ481" t="s">
        <v>257</v>
      </c>
      <c r="AR481" t="s">
        <v>4197</v>
      </c>
      <c r="AS481" t="s">
        <v>4210</v>
      </c>
      <c r="AT481" t="s">
        <v>4219</v>
      </c>
    </row>
    <row r="482" spans="1:46">
      <c r="A482" s="1">
        <f>HYPERLINK("https://lsnyc.legalserver.org/matter/dynamic-profile/view/1889030","19-1889030")</f>
        <v>0</v>
      </c>
      <c r="B482" t="s">
        <v>64</v>
      </c>
      <c r="C482" t="s">
        <v>132</v>
      </c>
      <c r="E482" t="s">
        <v>611</v>
      </c>
      <c r="F482" t="s">
        <v>866</v>
      </c>
      <c r="G482" t="s">
        <v>1576</v>
      </c>
      <c r="H482" t="s">
        <v>1746</v>
      </c>
      <c r="I482">
        <v>11233</v>
      </c>
      <c r="J482" t="s">
        <v>2002</v>
      </c>
      <c r="K482" t="s">
        <v>2002</v>
      </c>
      <c r="L482" t="s">
        <v>2005</v>
      </c>
      <c r="M482" t="s">
        <v>2238</v>
      </c>
      <c r="N482" t="s">
        <v>2413</v>
      </c>
      <c r="O482" t="s">
        <v>2437</v>
      </c>
      <c r="Q482" t="s">
        <v>2450</v>
      </c>
      <c r="R482" t="s">
        <v>2451</v>
      </c>
      <c r="S482" t="s">
        <v>178</v>
      </c>
      <c r="T482">
        <v>1162</v>
      </c>
      <c r="U482" t="s">
        <v>2499</v>
      </c>
      <c r="W482" t="s">
        <v>2849</v>
      </c>
      <c r="X482" t="s">
        <v>2006</v>
      </c>
      <c r="Y482" t="s">
        <v>3588</v>
      </c>
      <c r="Z482">
        <v>8</v>
      </c>
      <c r="AA482" t="s">
        <v>3783</v>
      </c>
      <c r="AB482" t="s">
        <v>2006</v>
      </c>
      <c r="AC482">
        <v>26</v>
      </c>
      <c r="AD482">
        <v>4</v>
      </c>
      <c r="AE482">
        <v>0</v>
      </c>
      <c r="AF482">
        <v>184.47</v>
      </c>
      <c r="AI482" t="s">
        <v>3809</v>
      </c>
      <c r="AJ482">
        <v>47500</v>
      </c>
      <c r="AP482">
        <v>30</v>
      </c>
      <c r="AQ482" t="s">
        <v>332</v>
      </c>
      <c r="AR482" t="s">
        <v>4185</v>
      </c>
      <c r="AS482" t="s">
        <v>4210</v>
      </c>
      <c r="AT482" t="s">
        <v>4219</v>
      </c>
    </row>
    <row r="483" spans="1:46">
      <c r="A483" s="1">
        <f>HYPERLINK("https://lsnyc.legalserver.org/matter/dynamic-profile/view/1890898","19-1890898")</f>
        <v>0</v>
      </c>
      <c r="B483" t="s">
        <v>64</v>
      </c>
      <c r="C483" t="s">
        <v>238</v>
      </c>
      <c r="D483" t="s">
        <v>306</v>
      </c>
      <c r="E483" t="s">
        <v>466</v>
      </c>
      <c r="F483" t="s">
        <v>1120</v>
      </c>
      <c r="G483" t="s">
        <v>1577</v>
      </c>
      <c r="H483">
        <v>2</v>
      </c>
      <c r="I483">
        <v>11208</v>
      </c>
      <c r="J483" t="s">
        <v>2002</v>
      </c>
      <c r="K483" t="s">
        <v>2002</v>
      </c>
      <c r="M483" t="s">
        <v>2239</v>
      </c>
      <c r="N483" t="s">
        <v>2413</v>
      </c>
      <c r="O483" t="s">
        <v>2436</v>
      </c>
      <c r="P483" t="s">
        <v>2444</v>
      </c>
      <c r="Q483" t="s">
        <v>2003</v>
      </c>
      <c r="R483" t="s">
        <v>2455</v>
      </c>
      <c r="S483" t="s">
        <v>179</v>
      </c>
      <c r="T483">
        <v>2100</v>
      </c>
      <c r="U483" t="s">
        <v>2497</v>
      </c>
      <c r="V483" t="s">
        <v>2515</v>
      </c>
      <c r="W483" t="s">
        <v>2850</v>
      </c>
      <c r="X483">
        <v>6654584</v>
      </c>
      <c r="Y483" t="s">
        <v>3589</v>
      </c>
      <c r="Z483">
        <v>3</v>
      </c>
      <c r="AA483" t="s">
        <v>3784</v>
      </c>
      <c r="AB483" t="s">
        <v>3793</v>
      </c>
      <c r="AC483">
        <v>1</v>
      </c>
      <c r="AD483">
        <v>3</v>
      </c>
      <c r="AE483">
        <v>1</v>
      </c>
      <c r="AF483">
        <v>20.19</v>
      </c>
      <c r="AI483" t="s">
        <v>3809</v>
      </c>
      <c r="AJ483">
        <v>5200</v>
      </c>
      <c r="AP483">
        <v>1.2</v>
      </c>
      <c r="AQ483" t="s">
        <v>179</v>
      </c>
      <c r="AR483" t="s">
        <v>4185</v>
      </c>
      <c r="AS483" t="s">
        <v>4210</v>
      </c>
      <c r="AT483" t="s">
        <v>4219</v>
      </c>
    </row>
    <row r="484" spans="1:46">
      <c r="A484" s="1">
        <f>HYPERLINK("https://lsnyc.legalserver.org/matter/dynamic-profile/view/1891536","19-1891536")</f>
        <v>0</v>
      </c>
      <c r="B484" t="s">
        <v>64</v>
      </c>
      <c r="C484" t="s">
        <v>164</v>
      </c>
      <c r="D484" t="s">
        <v>224</v>
      </c>
      <c r="E484" t="s">
        <v>612</v>
      </c>
      <c r="F484" t="s">
        <v>1121</v>
      </c>
      <c r="G484" t="s">
        <v>1578</v>
      </c>
      <c r="H484" t="s">
        <v>1749</v>
      </c>
      <c r="I484">
        <v>11208</v>
      </c>
      <c r="J484" t="s">
        <v>2002</v>
      </c>
      <c r="K484" t="s">
        <v>2002</v>
      </c>
      <c r="M484" t="s">
        <v>2240</v>
      </c>
      <c r="N484" t="s">
        <v>2413</v>
      </c>
      <c r="O484" t="s">
        <v>2436</v>
      </c>
      <c r="P484" t="s">
        <v>2443</v>
      </c>
      <c r="S484" t="s">
        <v>164</v>
      </c>
      <c r="T484">
        <v>1500</v>
      </c>
      <c r="U484" t="s">
        <v>2500</v>
      </c>
      <c r="V484" t="s">
        <v>2514</v>
      </c>
      <c r="W484" t="s">
        <v>2851</v>
      </c>
      <c r="Y484" t="s">
        <v>3590</v>
      </c>
      <c r="Z484">
        <v>6</v>
      </c>
      <c r="AA484" t="s">
        <v>3784</v>
      </c>
      <c r="AC484">
        <v>3</v>
      </c>
      <c r="AD484">
        <v>1</v>
      </c>
      <c r="AE484">
        <v>2</v>
      </c>
      <c r="AF484">
        <v>107.83</v>
      </c>
      <c r="AI484" t="s">
        <v>3810</v>
      </c>
      <c r="AJ484">
        <v>23000</v>
      </c>
      <c r="AP484">
        <v>1.2</v>
      </c>
      <c r="AQ484" t="s">
        <v>164</v>
      </c>
      <c r="AR484" t="s">
        <v>4184</v>
      </c>
      <c r="AS484" t="s">
        <v>4210</v>
      </c>
      <c r="AT484" t="s">
        <v>4219</v>
      </c>
    </row>
    <row r="485" spans="1:46">
      <c r="A485" s="1">
        <f>HYPERLINK("https://lsnyc.legalserver.org/matter/dynamic-profile/view/1879361","18-1879361")</f>
        <v>0</v>
      </c>
      <c r="B485" t="s">
        <v>64</v>
      </c>
      <c r="C485" t="s">
        <v>239</v>
      </c>
      <c r="E485" t="s">
        <v>613</v>
      </c>
      <c r="F485" t="s">
        <v>1122</v>
      </c>
      <c r="G485" t="s">
        <v>1579</v>
      </c>
      <c r="H485" t="s">
        <v>1744</v>
      </c>
      <c r="I485">
        <v>11239</v>
      </c>
      <c r="J485" t="s">
        <v>2002</v>
      </c>
      <c r="K485" t="s">
        <v>2002</v>
      </c>
      <c r="M485" t="s">
        <v>2241</v>
      </c>
      <c r="N485" t="s">
        <v>2415</v>
      </c>
      <c r="O485" t="s">
        <v>2437</v>
      </c>
      <c r="S485" t="s">
        <v>103</v>
      </c>
      <c r="T485">
        <v>3260</v>
      </c>
      <c r="U485" t="s">
        <v>2500</v>
      </c>
      <c r="W485" t="s">
        <v>2852</v>
      </c>
      <c r="X485" t="s">
        <v>3245</v>
      </c>
      <c r="Y485" t="s">
        <v>3591</v>
      </c>
      <c r="Z485">
        <v>84</v>
      </c>
      <c r="AB485" t="s">
        <v>2495</v>
      </c>
      <c r="AC485">
        <v>43</v>
      </c>
      <c r="AD485">
        <v>1</v>
      </c>
      <c r="AE485">
        <v>1</v>
      </c>
      <c r="AF485">
        <v>0</v>
      </c>
      <c r="AI485" t="s">
        <v>3809</v>
      </c>
      <c r="AJ485">
        <v>0</v>
      </c>
      <c r="AP485">
        <v>9.5</v>
      </c>
      <c r="AQ485" t="s">
        <v>76</v>
      </c>
      <c r="AR485" t="s">
        <v>4188</v>
      </c>
      <c r="AS485" t="s">
        <v>4210</v>
      </c>
      <c r="AT485" t="s">
        <v>4219</v>
      </c>
    </row>
    <row r="486" spans="1:46">
      <c r="A486" s="1">
        <f>HYPERLINK("https://lsnyc.legalserver.org/matter/dynamic-profile/view/1890831","19-1890831")</f>
        <v>0</v>
      </c>
      <c r="B486" t="s">
        <v>64</v>
      </c>
      <c r="C486" t="s">
        <v>238</v>
      </c>
      <c r="E486" t="s">
        <v>614</v>
      </c>
      <c r="F486" t="s">
        <v>1123</v>
      </c>
      <c r="G486" t="s">
        <v>1580</v>
      </c>
      <c r="H486" t="s">
        <v>1754</v>
      </c>
      <c r="I486">
        <v>11207</v>
      </c>
      <c r="J486" t="s">
        <v>2002</v>
      </c>
      <c r="K486" t="s">
        <v>2002</v>
      </c>
      <c r="M486" t="s">
        <v>2242</v>
      </c>
      <c r="N486" t="s">
        <v>2415</v>
      </c>
      <c r="O486" t="s">
        <v>2437</v>
      </c>
      <c r="Q486" t="s">
        <v>2003</v>
      </c>
      <c r="S486" t="s">
        <v>103</v>
      </c>
      <c r="T486">
        <v>160</v>
      </c>
      <c r="U486" t="s">
        <v>2508</v>
      </c>
      <c r="W486" t="s">
        <v>2853</v>
      </c>
      <c r="Y486" t="s">
        <v>3592</v>
      </c>
      <c r="Z486">
        <v>4</v>
      </c>
      <c r="AA486" t="s">
        <v>3787</v>
      </c>
      <c r="AC486">
        <v>14</v>
      </c>
      <c r="AD486">
        <v>2</v>
      </c>
      <c r="AE486">
        <v>0</v>
      </c>
      <c r="AF486">
        <v>65.29000000000001</v>
      </c>
      <c r="AI486" t="s">
        <v>3810</v>
      </c>
      <c r="AJ486">
        <v>11040</v>
      </c>
      <c r="AP486">
        <v>20.65</v>
      </c>
      <c r="AQ486" t="s">
        <v>3805</v>
      </c>
      <c r="AR486" t="s">
        <v>4187</v>
      </c>
      <c r="AS486" t="s">
        <v>4210</v>
      </c>
      <c r="AT486" t="s">
        <v>4219</v>
      </c>
    </row>
    <row r="487" spans="1:46">
      <c r="A487" s="1">
        <f>HYPERLINK("https://lsnyc.legalserver.org/matter/dynamic-profile/view/1877946","18-1877946")</f>
        <v>0</v>
      </c>
      <c r="B487" t="s">
        <v>64</v>
      </c>
      <c r="C487" t="s">
        <v>235</v>
      </c>
      <c r="E487" t="s">
        <v>615</v>
      </c>
      <c r="F487" t="s">
        <v>1124</v>
      </c>
      <c r="G487" t="s">
        <v>1581</v>
      </c>
      <c r="H487">
        <v>21</v>
      </c>
      <c r="I487">
        <v>11206</v>
      </c>
      <c r="J487" t="s">
        <v>2002</v>
      </c>
      <c r="K487" t="s">
        <v>2002</v>
      </c>
      <c r="M487" t="s">
        <v>2243</v>
      </c>
      <c r="N487" t="s">
        <v>2415</v>
      </c>
      <c r="O487" t="s">
        <v>2437</v>
      </c>
      <c r="S487" t="s">
        <v>103</v>
      </c>
      <c r="T487">
        <v>0</v>
      </c>
      <c r="U487" t="s">
        <v>2500</v>
      </c>
      <c r="W487" t="s">
        <v>2854</v>
      </c>
      <c r="Y487" t="s">
        <v>3593</v>
      </c>
      <c r="Z487">
        <v>0</v>
      </c>
      <c r="AB487" t="s">
        <v>3793</v>
      </c>
      <c r="AC487">
        <v>15</v>
      </c>
      <c r="AD487">
        <v>1</v>
      </c>
      <c r="AE487">
        <v>0</v>
      </c>
      <c r="AF487">
        <v>76.11</v>
      </c>
      <c r="AI487" t="s">
        <v>3809</v>
      </c>
      <c r="AJ487">
        <v>9240</v>
      </c>
      <c r="AP487">
        <v>10.3</v>
      </c>
      <c r="AQ487" t="s">
        <v>290</v>
      </c>
      <c r="AR487" t="s">
        <v>4188</v>
      </c>
      <c r="AS487" t="s">
        <v>4210</v>
      </c>
      <c r="AT487" t="s">
        <v>4219</v>
      </c>
    </row>
    <row r="488" spans="1:46">
      <c r="A488" s="1">
        <f>HYPERLINK("https://lsnyc.legalserver.org/matter/dynamic-profile/view/1881098","18-1881098")</f>
        <v>0</v>
      </c>
      <c r="B488" t="s">
        <v>64</v>
      </c>
      <c r="C488" t="s">
        <v>240</v>
      </c>
      <c r="E488" t="s">
        <v>616</v>
      </c>
      <c r="F488" t="s">
        <v>926</v>
      </c>
      <c r="G488" t="s">
        <v>1582</v>
      </c>
      <c r="H488" t="s">
        <v>1765</v>
      </c>
      <c r="I488">
        <v>11208</v>
      </c>
      <c r="J488" t="s">
        <v>2002</v>
      </c>
      <c r="K488" t="s">
        <v>2002</v>
      </c>
      <c r="M488" t="s">
        <v>2244</v>
      </c>
      <c r="N488" t="s">
        <v>2415</v>
      </c>
      <c r="O488" t="s">
        <v>2437</v>
      </c>
      <c r="Q488" t="s">
        <v>2003</v>
      </c>
      <c r="S488" t="s">
        <v>103</v>
      </c>
      <c r="T488">
        <v>1088</v>
      </c>
      <c r="U488" t="s">
        <v>2500</v>
      </c>
      <c r="W488" t="s">
        <v>2855</v>
      </c>
      <c r="X488" t="s">
        <v>3246</v>
      </c>
      <c r="Y488" t="s">
        <v>3594</v>
      </c>
      <c r="Z488">
        <v>6</v>
      </c>
      <c r="AB488" t="s">
        <v>3793</v>
      </c>
      <c r="AC488">
        <v>13</v>
      </c>
      <c r="AD488">
        <v>1</v>
      </c>
      <c r="AE488">
        <v>1</v>
      </c>
      <c r="AF488">
        <v>78.98</v>
      </c>
      <c r="AI488" t="s">
        <v>3809</v>
      </c>
      <c r="AJ488">
        <v>13000</v>
      </c>
      <c r="AP488">
        <v>18.7</v>
      </c>
      <c r="AQ488" t="s">
        <v>310</v>
      </c>
      <c r="AR488" t="s">
        <v>4188</v>
      </c>
      <c r="AS488" t="s">
        <v>4210</v>
      </c>
      <c r="AT488" t="s">
        <v>4219</v>
      </c>
    </row>
    <row r="489" spans="1:46">
      <c r="A489" s="1">
        <f>HYPERLINK("https://lsnyc.legalserver.org/matter/dynamic-profile/view/1875659","18-1875659")</f>
        <v>0</v>
      </c>
      <c r="B489" t="s">
        <v>64</v>
      </c>
      <c r="C489" t="s">
        <v>87</v>
      </c>
      <c r="D489" t="s">
        <v>183</v>
      </c>
      <c r="E489" t="s">
        <v>375</v>
      </c>
      <c r="F489" t="s">
        <v>1005</v>
      </c>
      <c r="G489" t="s">
        <v>1583</v>
      </c>
      <c r="H489" t="s">
        <v>1738</v>
      </c>
      <c r="I489">
        <v>11233</v>
      </c>
      <c r="J489" t="s">
        <v>2002</v>
      </c>
      <c r="K489" t="s">
        <v>2002</v>
      </c>
      <c r="M489" t="s">
        <v>2245</v>
      </c>
      <c r="N489" t="s">
        <v>2415</v>
      </c>
      <c r="O489" t="s">
        <v>2437</v>
      </c>
      <c r="P489" t="s">
        <v>2446</v>
      </c>
      <c r="Q489" t="s">
        <v>2003</v>
      </c>
      <c r="S489" t="s">
        <v>103</v>
      </c>
      <c r="T489">
        <v>997</v>
      </c>
      <c r="U489" t="s">
        <v>2496</v>
      </c>
      <c r="V489" t="s">
        <v>2516</v>
      </c>
      <c r="W489" t="s">
        <v>2856</v>
      </c>
      <c r="Y489" t="s">
        <v>3595</v>
      </c>
      <c r="Z489">
        <v>12</v>
      </c>
      <c r="AB489" t="s">
        <v>3793</v>
      </c>
      <c r="AC489">
        <v>20</v>
      </c>
      <c r="AD489">
        <v>2</v>
      </c>
      <c r="AE489">
        <v>0</v>
      </c>
      <c r="AF489">
        <v>133.95</v>
      </c>
      <c r="AI489" t="s">
        <v>3809</v>
      </c>
      <c r="AJ489">
        <v>22048</v>
      </c>
      <c r="AL489" t="s">
        <v>4102</v>
      </c>
      <c r="AM489" t="s">
        <v>4108</v>
      </c>
      <c r="AN489" t="s">
        <v>4122</v>
      </c>
      <c r="AO489" t="s">
        <v>4133</v>
      </c>
      <c r="AP489">
        <v>30</v>
      </c>
      <c r="AQ489" t="s">
        <v>171</v>
      </c>
      <c r="AR489" t="s">
        <v>4189</v>
      </c>
      <c r="AS489" t="s">
        <v>4210</v>
      </c>
      <c r="AT489" t="s">
        <v>4219</v>
      </c>
    </row>
    <row r="490" spans="1:46">
      <c r="A490" s="1">
        <f>HYPERLINK("https://lsnyc.legalserver.org/matter/dynamic-profile/view/1887643","19-1887643")</f>
        <v>0</v>
      </c>
      <c r="B490" t="s">
        <v>64</v>
      </c>
      <c r="C490" t="s">
        <v>138</v>
      </c>
      <c r="E490" t="s">
        <v>617</v>
      </c>
      <c r="F490" t="s">
        <v>1125</v>
      </c>
      <c r="G490" t="s">
        <v>1584</v>
      </c>
      <c r="H490" t="s">
        <v>1787</v>
      </c>
      <c r="I490">
        <v>11208</v>
      </c>
      <c r="J490" t="s">
        <v>2002</v>
      </c>
      <c r="K490" t="s">
        <v>2002</v>
      </c>
      <c r="M490" t="s">
        <v>2246</v>
      </c>
      <c r="N490" t="s">
        <v>2415</v>
      </c>
      <c r="O490" t="s">
        <v>2437</v>
      </c>
      <c r="Q490" t="s">
        <v>2003</v>
      </c>
      <c r="S490" t="s">
        <v>103</v>
      </c>
      <c r="T490">
        <v>2000</v>
      </c>
      <c r="U490" t="s">
        <v>2500</v>
      </c>
      <c r="W490" t="s">
        <v>2857</v>
      </c>
      <c r="Y490" t="s">
        <v>3596</v>
      </c>
      <c r="Z490">
        <v>2</v>
      </c>
      <c r="AA490" t="s">
        <v>3784</v>
      </c>
      <c r="AB490" t="s">
        <v>3793</v>
      </c>
      <c r="AC490">
        <v>1</v>
      </c>
      <c r="AD490">
        <v>2</v>
      </c>
      <c r="AE490">
        <v>1</v>
      </c>
      <c r="AF490">
        <v>173.46</v>
      </c>
      <c r="AI490" t="s">
        <v>3809</v>
      </c>
      <c r="AJ490">
        <v>36044</v>
      </c>
      <c r="AP490">
        <v>12.8</v>
      </c>
      <c r="AQ490" t="s">
        <v>249</v>
      </c>
      <c r="AR490" t="s">
        <v>49</v>
      </c>
      <c r="AS490" t="s">
        <v>4210</v>
      </c>
      <c r="AT490" t="s">
        <v>4219</v>
      </c>
    </row>
    <row r="491" spans="1:46">
      <c r="A491" s="1">
        <f>HYPERLINK("https://lsnyc.legalserver.org/matter/dynamic-profile/view/1890108","19-1890108")</f>
        <v>0</v>
      </c>
      <c r="B491" t="s">
        <v>64</v>
      </c>
      <c r="C491" t="s">
        <v>178</v>
      </c>
      <c r="D491" t="s">
        <v>103</v>
      </c>
      <c r="E491" t="s">
        <v>618</v>
      </c>
      <c r="F491" t="s">
        <v>1126</v>
      </c>
      <c r="G491" t="s">
        <v>1585</v>
      </c>
      <c r="H491" t="s">
        <v>1745</v>
      </c>
      <c r="I491">
        <v>11207</v>
      </c>
      <c r="J491" t="s">
        <v>2002</v>
      </c>
      <c r="K491" t="s">
        <v>2002</v>
      </c>
      <c r="M491" t="s">
        <v>2247</v>
      </c>
      <c r="N491" t="s">
        <v>2413</v>
      </c>
      <c r="O491" t="s">
        <v>2439</v>
      </c>
      <c r="P491" t="s">
        <v>2444</v>
      </c>
      <c r="Q491" t="s">
        <v>2003</v>
      </c>
      <c r="S491" t="s">
        <v>103</v>
      </c>
      <c r="T491">
        <v>500</v>
      </c>
      <c r="U491" t="s">
        <v>2512</v>
      </c>
      <c r="V491" t="s">
        <v>2515</v>
      </c>
      <c r="W491" t="s">
        <v>2858</v>
      </c>
      <c r="Y491" t="s">
        <v>3597</v>
      </c>
      <c r="Z491">
        <v>2</v>
      </c>
      <c r="AA491" t="s">
        <v>3784</v>
      </c>
      <c r="AB491" t="s">
        <v>2006</v>
      </c>
      <c r="AC491">
        <v>2</v>
      </c>
      <c r="AD491">
        <v>1</v>
      </c>
      <c r="AE491">
        <v>0</v>
      </c>
      <c r="AF491">
        <v>240.19</v>
      </c>
      <c r="AI491" t="s">
        <v>3809</v>
      </c>
      <c r="AJ491">
        <v>30000</v>
      </c>
      <c r="AP491">
        <v>1.4</v>
      </c>
      <c r="AQ491" t="s">
        <v>103</v>
      </c>
      <c r="AR491" t="s">
        <v>49</v>
      </c>
      <c r="AS491" t="s">
        <v>4210</v>
      </c>
      <c r="AT491" t="s">
        <v>4219</v>
      </c>
    </row>
    <row r="492" spans="1:46">
      <c r="A492" s="1">
        <f>HYPERLINK("https://lsnyc.legalserver.org/matter/dynamic-profile/view/1893524","19-1893524")</f>
        <v>0</v>
      </c>
      <c r="B492" t="s">
        <v>64</v>
      </c>
      <c r="C492" t="s">
        <v>241</v>
      </c>
      <c r="D492" t="s">
        <v>323</v>
      </c>
      <c r="E492" t="s">
        <v>619</v>
      </c>
      <c r="F492" t="s">
        <v>954</v>
      </c>
      <c r="G492" t="s">
        <v>1444</v>
      </c>
      <c r="H492" t="s">
        <v>1853</v>
      </c>
      <c r="I492">
        <v>11208</v>
      </c>
      <c r="J492" t="s">
        <v>2002</v>
      </c>
      <c r="K492" t="s">
        <v>2002</v>
      </c>
      <c r="L492" t="s">
        <v>2005</v>
      </c>
      <c r="M492" t="s">
        <v>2248</v>
      </c>
      <c r="N492" t="s">
        <v>2415</v>
      </c>
      <c r="O492" t="s">
        <v>2437</v>
      </c>
      <c r="P492" t="s">
        <v>2445</v>
      </c>
      <c r="Q492" t="s">
        <v>2003</v>
      </c>
      <c r="R492" t="s">
        <v>2455</v>
      </c>
      <c r="S492" t="s">
        <v>103</v>
      </c>
      <c r="T492">
        <v>1255</v>
      </c>
      <c r="U492" t="s">
        <v>2497</v>
      </c>
      <c r="V492" t="s">
        <v>2516</v>
      </c>
      <c r="W492" t="s">
        <v>2859</v>
      </c>
      <c r="X492" t="s">
        <v>2058</v>
      </c>
      <c r="Y492" t="s">
        <v>3598</v>
      </c>
      <c r="Z492">
        <v>272</v>
      </c>
      <c r="AA492" t="s">
        <v>3783</v>
      </c>
      <c r="AB492" t="s">
        <v>3797</v>
      </c>
      <c r="AC492">
        <v>7</v>
      </c>
      <c r="AD492">
        <v>1</v>
      </c>
      <c r="AE492">
        <v>0</v>
      </c>
      <c r="AF492">
        <v>310.04</v>
      </c>
      <c r="AG492" t="s">
        <v>279</v>
      </c>
      <c r="AH492" t="s">
        <v>3806</v>
      </c>
      <c r="AI492" t="s">
        <v>3809</v>
      </c>
      <c r="AJ492">
        <v>38724</v>
      </c>
      <c r="AM492" t="s">
        <v>4108</v>
      </c>
      <c r="AN492" t="s">
        <v>4122</v>
      </c>
      <c r="AO492" t="s">
        <v>4154</v>
      </c>
      <c r="AP492">
        <v>9.9</v>
      </c>
      <c r="AQ492" t="s">
        <v>323</v>
      </c>
      <c r="AR492" t="s">
        <v>4196</v>
      </c>
      <c r="AS492" t="s">
        <v>4210</v>
      </c>
      <c r="AT492" t="s">
        <v>4219</v>
      </c>
    </row>
    <row r="493" spans="1:46">
      <c r="A493" s="1">
        <f>HYPERLINK("https://lsnyc.legalserver.org/matter/dynamic-profile/view/1892147","19-1892147")</f>
        <v>0</v>
      </c>
      <c r="B493" t="s">
        <v>64</v>
      </c>
      <c r="C493" t="s">
        <v>242</v>
      </c>
      <c r="D493" t="s">
        <v>288</v>
      </c>
      <c r="E493" t="s">
        <v>620</v>
      </c>
      <c r="F493" t="s">
        <v>936</v>
      </c>
      <c r="G493" t="s">
        <v>1586</v>
      </c>
      <c r="H493" t="s">
        <v>1768</v>
      </c>
      <c r="I493">
        <v>11208</v>
      </c>
      <c r="J493" t="s">
        <v>2002</v>
      </c>
      <c r="K493" t="s">
        <v>2002</v>
      </c>
      <c r="M493" t="s">
        <v>2249</v>
      </c>
      <c r="N493" t="s">
        <v>2415</v>
      </c>
      <c r="O493" t="s">
        <v>2439</v>
      </c>
      <c r="P493" t="s">
        <v>2444</v>
      </c>
      <c r="Q493" t="s">
        <v>2003</v>
      </c>
      <c r="S493" t="s">
        <v>288</v>
      </c>
      <c r="T493">
        <v>835</v>
      </c>
      <c r="V493" t="s">
        <v>2515</v>
      </c>
      <c r="W493" t="s">
        <v>2860</v>
      </c>
      <c r="Y493" t="s">
        <v>3599</v>
      </c>
      <c r="Z493">
        <v>6</v>
      </c>
      <c r="AA493" t="s">
        <v>3783</v>
      </c>
      <c r="AB493" t="s">
        <v>3793</v>
      </c>
      <c r="AC493">
        <v>0</v>
      </c>
      <c r="AD493">
        <v>1</v>
      </c>
      <c r="AE493">
        <v>0</v>
      </c>
      <c r="AF493">
        <v>15.03</v>
      </c>
      <c r="AI493" t="s">
        <v>3809</v>
      </c>
      <c r="AJ493">
        <v>1877.2</v>
      </c>
      <c r="AP493">
        <v>1.4</v>
      </c>
      <c r="AQ493" t="s">
        <v>241</v>
      </c>
      <c r="AR493" t="s">
        <v>49</v>
      </c>
      <c r="AS493" t="s">
        <v>4210</v>
      </c>
      <c r="AT493" t="s">
        <v>4219</v>
      </c>
    </row>
    <row r="494" spans="1:46">
      <c r="A494" s="1">
        <f>HYPERLINK("https://lsnyc.legalserver.org/matter/dynamic-profile/view/1891295","19-1891295")</f>
        <v>0</v>
      </c>
      <c r="B494" t="s">
        <v>64</v>
      </c>
      <c r="C494" t="s">
        <v>243</v>
      </c>
      <c r="E494" t="s">
        <v>621</v>
      </c>
      <c r="F494" t="s">
        <v>1127</v>
      </c>
      <c r="G494" t="s">
        <v>1587</v>
      </c>
      <c r="H494" t="s">
        <v>1854</v>
      </c>
      <c r="I494">
        <v>11212</v>
      </c>
      <c r="J494" t="s">
        <v>2002</v>
      </c>
      <c r="K494" t="s">
        <v>2003</v>
      </c>
      <c r="L494" t="s">
        <v>2005</v>
      </c>
      <c r="M494" t="s">
        <v>2250</v>
      </c>
      <c r="N494" t="s">
        <v>2415</v>
      </c>
      <c r="O494" t="s">
        <v>2437</v>
      </c>
      <c r="Q494" t="s">
        <v>2003</v>
      </c>
      <c r="R494" t="s">
        <v>2451</v>
      </c>
      <c r="S494" t="s">
        <v>165</v>
      </c>
      <c r="T494">
        <v>246</v>
      </c>
      <c r="U494" t="s">
        <v>2512</v>
      </c>
      <c r="W494" t="s">
        <v>2861</v>
      </c>
      <c r="X494" t="s">
        <v>3247</v>
      </c>
      <c r="Y494" t="s">
        <v>3600</v>
      </c>
      <c r="Z494">
        <v>172</v>
      </c>
      <c r="AA494" t="s">
        <v>3787</v>
      </c>
      <c r="AB494" t="s">
        <v>3793</v>
      </c>
      <c r="AC494">
        <v>2</v>
      </c>
      <c r="AD494">
        <v>1</v>
      </c>
      <c r="AE494">
        <v>0</v>
      </c>
      <c r="AF494">
        <v>70.62</v>
      </c>
      <c r="AI494" t="s">
        <v>3809</v>
      </c>
      <c r="AJ494">
        <v>8820</v>
      </c>
      <c r="AP494">
        <v>10.1</v>
      </c>
      <c r="AQ494" t="s">
        <v>326</v>
      </c>
      <c r="AR494" t="s">
        <v>4185</v>
      </c>
      <c r="AS494" t="s">
        <v>4210</v>
      </c>
      <c r="AT494" t="s">
        <v>4219</v>
      </c>
    </row>
    <row r="495" spans="1:46">
      <c r="A495" s="1">
        <f>HYPERLINK("https://lsnyc.legalserver.org/matter/dynamic-profile/view/1894146","19-1894146")</f>
        <v>0</v>
      </c>
      <c r="B495" t="s">
        <v>64</v>
      </c>
      <c r="C495" t="s">
        <v>244</v>
      </c>
      <c r="D495" t="s">
        <v>245</v>
      </c>
      <c r="E495" t="s">
        <v>622</v>
      </c>
      <c r="F495" t="s">
        <v>943</v>
      </c>
      <c r="G495" t="s">
        <v>1588</v>
      </c>
      <c r="H495" t="s">
        <v>1765</v>
      </c>
      <c r="I495">
        <v>11233</v>
      </c>
      <c r="J495" t="s">
        <v>2002</v>
      </c>
      <c r="K495" t="s">
        <v>2002</v>
      </c>
      <c r="L495" t="s">
        <v>2005</v>
      </c>
      <c r="M495" t="s">
        <v>2251</v>
      </c>
      <c r="N495" t="s">
        <v>2413</v>
      </c>
      <c r="O495" t="s">
        <v>2439</v>
      </c>
      <c r="P495" t="s">
        <v>2444</v>
      </c>
      <c r="Q495" t="s">
        <v>2450</v>
      </c>
      <c r="S495" t="s">
        <v>139</v>
      </c>
      <c r="T495">
        <v>650</v>
      </c>
      <c r="U495" t="s">
        <v>2507</v>
      </c>
      <c r="V495" t="s">
        <v>2515</v>
      </c>
      <c r="W495" t="s">
        <v>2862</v>
      </c>
      <c r="X495" t="s">
        <v>2006</v>
      </c>
      <c r="Y495" t="s">
        <v>3601</v>
      </c>
      <c r="Z495">
        <v>10</v>
      </c>
      <c r="AC495">
        <v>3</v>
      </c>
      <c r="AD495">
        <v>1</v>
      </c>
      <c r="AE495">
        <v>0</v>
      </c>
      <c r="AF495">
        <v>73.98</v>
      </c>
      <c r="AI495" t="s">
        <v>3809</v>
      </c>
      <c r="AJ495">
        <v>9240</v>
      </c>
      <c r="AP495">
        <v>2.2</v>
      </c>
      <c r="AQ495" t="s">
        <v>139</v>
      </c>
      <c r="AR495" t="s">
        <v>4205</v>
      </c>
      <c r="AS495" t="s">
        <v>4210</v>
      </c>
      <c r="AT495" t="s">
        <v>4219</v>
      </c>
    </row>
    <row r="496" spans="1:46">
      <c r="A496" s="1">
        <f>HYPERLINK("https://lsnyc.legalserver.org/matter/dynamic-profile/view/1894836","19-1894836")</f>
        <v>0</v>
      </c>
      <c r="B496" t="s">
        <v>64</v>
      </c>
      <c r="C496" t="s">
        <v>245</v>
      </c>
      <c r="D496" t="s">
        <v>105</v>
      </c>
      <c r="E496" t="s">
        <v>623</v>
      </c>
      <c r="F496" t="s">
        <v>1128</v>
      </c>
      <c r="G496" t="s">
        <v>1589</v>
      </c>
      <c r="H496">
        <v>1</v>
      </c>
      <c r="I496">
        <v>11208</v>
      </c>
      <c r="J496" t="s">
        <v>2002</v>
      </c>
      <c r="K496" t="s">
        <v>2002</v>
      </c>
      <c r="L496" t="s">
        <v>2005</v>
      </c>
      <c r="M496" t="s">
        <v>2252</v>
      </c>
      <c r="N496" t="s">
        <v>2413</v>
      </c>
      <c r="O496" t="s">
        <v>2439</v>
      </c>
      <c r="P496" t="s">
        <v>2444</v>
      </c>
      <c r="Q496" t="s">
        <v>2003</v>
      </c>
      <c r="S496" t="s">
        <v>247</v>
      </c>
      <c r="T496">
        <v>1215</v>
      </c>
      <c r="V496" t="s">
        <v>2515</v>
      </c>
      <c r="W496" t="s">
        <v>2863</v>
      </c>
      <c r="X496" t="s">
        <v>3160</v>
      </c>
      <c r="Y496" t="s">
        <v>3602</v>
      </c>
      <c r="Z496">
        <v>5</v>
      </c>
      <c r="AA496" t="s">
        <v>3784</v>
      </c>
      <c r="AB496" t="s">
        <v>3799</v>
      </c>
      <c r="AC496">
        <v>1</v>
      </c>
      <c r="AD496">
        <v>1</v>
      </c>
      <c r="AE496">
        <v>0</v>
      </c>
      <c r="AF496">
        <v>187.35</v>
      </c>
      <c r="AI496" t="s">
        <v>3812</v>
      </c>
      <c r="AJ496">
        <v>23400</v>
      </c>
      <c r="AP496">
        <v>0.6</v>
      </c>
      <c r="AQ496" t="s">
        <v>245</v>
      </c>
      <c r="AR496" t="s">
        <v>4198</v>
      </c>
      <c r="AS496" t="s">
        <v>4210</v>
      </c>
      <c r="AT496" t="s">
        <v>4219</v>
      </c>
    </row>
    <row r="497" spans="1:46">
      <c r="A497" s="1">
        <f>HYPERLINK("https://lsnyc.legalserver.org/matter/dynamic-profile/view/1898747","19-1898747")</f>
        <v>0</v>
      </c>
      <c r="B497" t="s">
        <v>64</v>
      </c>
      <c r="C497" t="s">
        <v>246</v>
      </c>
      <c r="D497" t="s">
        <v>307</v>
      </c>
      <c r="E497" t="s">
        <v>624</v>
      </c>
      <c r="F497" t="s">
        <v>1129</v>
      </c>
      <c r="G497" t="s">
        <v>1590</v>
      </c>
      <c r="H497" t="s">
        <v>1734</v>
      </c>
      <c r="I497">
        <v>11239</v>
      </c>
      <c r="J497" t="s">
        <v>2002</v>
      </c>
      <c r="K497" t="s">
        <v>2002</v>
      </c>
      <c r="L497" t="s">
        <v>2005</v>
      </c>
      <c r="M497" t="s">
        <v>2253</v>
      </c>
      <c r="N497" t="s">
        <v>2421</v>
      </c>
      <c r="O497" t="s">
        <v>2437</v>
      </c>
      <c r="P497" t="s">
        <v>2446</v>
      </c>
      <c r="Q497" t="s">
        <v>2003</v>
      </c>
      <c r="R497" t="s">
        <v>2456</v>
      </c>
      <c r="S497" t="s">
        <v>290</v>
      </c>
      <c r="T497">
        <v>100</v>
      </c>
      <c r="U497" t="s">
        <v>2497</v>
      </c>
      <c r="V497" t="s">
        <v>2516</v>
      </c>
      <c r="W497" t="s">
        <v>2864</v>
      </c>
      <c r="Y497" t="s">
        <v>3603</v>
      </c>
      <c r="Z497">
        <v>20</v>
      </c>
      <c r="AC497">
        <v>3</v>
      </c>
      <c r="AD497">
        <v>1</v>
      </c>
      <c r="AE497">
        <v>0</v>
      </c>
      <c r="AF497">
        <v>74.08</v>
      </c>
      <c r="AI497" t="s">
        <v>3809</v>
      </c>
      <c r="AJ497">
        <v>9252</v>
      </c>
      <c r="AM497" t="s">
        <v>2495</v>
      </c>
      <c r="AN497" t="s">
        <v>4122</v>
      </c>
      <c r="AO497" t="s">
        <v>4155</v>
      </c>
      <c r="AP497">
        <v>9.300000000000001</v>
      </c>
      <c r="AQ497" t="s">
        <v>150</v>
      </c>
      <c r="AR497" t="s">
        <v>4184</v>
      </c>
      <c r="AS497" t="s">
        <v>4210</v>
      </c>
      <c r="AT497" t="s">
        <v>4219</v>
      </c>
    </row>
    <row r="498" spans="1:46">
      <c r="A498" s="1">
        <f>HYPERLINK("https://lsnyc.legalserver.org/matter/dynamic-profile/view/1894768","19-1894768")</f>
        <v>0</v>
      </c>
      <c r="B498" t="s">
        <v>64</v>
      </c>
      <c r="C498" t="s">
        <v>245</v>
      </c>
      <c r="D498" t="s">
        <v>183</v>
      </c>
      <c r="E498" t="s">
        <v>506</v>
      </c>
      <c r="F498" t="s">
        <v>1120</v>
      </c>
      <c r="G498" t="s">
        <v>1591</v>
      </c>
      <c r="H498" t="s">
        <v>1745</v>
      </c>
      <c r="I498">
        <v>11208</v>
      </c>
      <c r="J498" t="s">
        <v>2002</v>
      </c>
      <c r="K498" t="s">
        <v>2002</v>
      </c>
      <c r="L498" t="s">
        <v>2005</v>
      </c>
      <c r="M498" t="s">
        <v>2254</v>
      </c>
      <c r="N498" t="s">
        <v>2415</v>
      </c>
      <c r="O498" t="s">
        <v>2437</v>
      </c>
      <c r="P498" t="s">
        <v>2446</v>
      </c>
      <c r="Q498" t="s">
        <v>2003</v>
      </c>
      <c r="R498" t="s">
        <v>2451</v>
      </c>
      <c r="S498" t="s">
        <v>168</v>
      </c>
      <c r="T498">
        <v>1980</v>
      </c>
      <c r="U498" t="s">
        <v>2497</v>
      </c>
      <c r="V498" t="s">
        <v>2516</v>
      </c>
      <c r="W498" t="s">
        <v>2865</v>
      </c>
      <c r="Y498" t="s">
        <v>3604</v>
      </c>
      <c r="Z498">
        <v>2</v>
      </c>
      <c r="AA498" t="s">
        <v>3784</v>
      </c>
      <c r="AB498" t="s">
        <v>3795</v>
      </c>
      <c r="AC498">
        <v>0</v>
      </c>
      <c r="AD498">
        <v>2</v>
      </c>
      <c r="AE498">
        <v>5</v>
      </c>
      <c r="AF498">
        <v>0.77</v>
      </c>
      <c r="AI498" t="s">
        <v>3809</v>
      </c>
      <c r="AJ498">
        <v>300</v>
      </c>
      <c r="AM498" t="s">
        <v>4108</v>
      </c>
      <c r="AN498" t="s">
        <v>4122</v>
      </c>
      <c r="AO498" t="s">
        <v>4156</v>
      </c>
      <c r="AP498">
        <v>6.8</v>
      </c>
      <c r="AQ498" t="s">
        <v>183</v>
      </c>
      <c r="AR498" t="s">
        <v>49</v>
      </c>
      <c r="AS498" t="s">
        <v>4210</v>
      </c>
      <c r="AT498" t="s">
        <v>4219</v>
      </c>
    </row>
    <row r="499" spans="1:46">
      <c r="A499" s="1">
        <f>HYPERLINK("https://lsnyc.legalserver.org/matter/dynamic-profile/view/1894962","19-1894962")</f>
        <v>0</v>
      </c>
      <c r="B499" t="s">
        <v>64</v>
      </c>
      <c r="C499" t="s">
        <v>247</v>
      </c>
      <c r="E499" t="s">
        <v>625</v>
      </c>
      <c r="F499" t="s">
        <v>866</v>
      </c>
      <c r="G499" t="s">
        <v>1561</v>
      </c>
      <c r="H499" t="s">
        <v>1824</v>
      </c>
      <c r="I499">
        <v>11239</v>
      </c>
      <c r="J499" t="s">
        <v>2002</v>
      </c>
      <c r="K499" t="s">
        <v>2002</v>
      </c>
      <c r="L499" t="s">
        <v>2005</v>
      </c>
      <c r="M499" t="s">
        <v>2255</v>
      </c>
      <c r="N499" t="s">
        <v>2415</v>
      </c>
      <c r="O499" t="s">
        <v>2437</v>
      </c>
      <c r="Q499" t="s">
        <v>2003</v>
      </c>
      <c r="R499" t="s">
        <v>2451</v>
      </c>
      <c r="S499" t="s">
        <v>269</v>
      </c>
      <c r="T499">
        <v>975</v>
      </c>
      <c r="W499" t="s">
        <v>2866</v>
      </c>
      <c r="Y499" t="s">
        <v>3605</v>
      </c>
      <c r="Z499">
        <v>60</v>
      </c>
      <c r="AA499" t="s">
        <v>3787</v>
      </c>
      <c r="AC499">
        <v>27</v>
      </c>
      <c r="AD499">
        <v>2</v>
      </c>
      <c r="AE499">
        <v>0</v>
      </c>
      <c r="AF499">
        <v>59.33</v>
      </c>
      <c r="AI499" t="s">
        <v>3809</v>
      </c>
      <c r="AJ499">
        <v>10032</v>
      </c>
      <c r="AP499">
        <v>10.2</v>
      </c>
      <c r="AQ499" t="s">
        <v>332</v>
      </c>
      <c r="AR499" t="s">
        <v>64</v>
      </c>
      <c r="AS499" t="s">
        <v>4210</v>
      </c>
      <c r="AT499" t="s">
        <v>4219</v>
      </c>
    </row>
    <row r="500" spans="1:46">
      <c r="A500" s="1">
        <f>HYPERLINK("https://lsnyc.legalserver.org/matter/dynamic-profile/view/1889508","19-1889508")</f>
        <v>0</v>
      </c>
      <c r="B500" t="s">
        <v>64</v>
      </c>
      <c r="C500" t="s">
        <v>173</v>
      </c>
      <c r="D500" t="s">
        <v>250</v>
      </c>
      <c r="E500" t="s">
        <v>536</v>
      </c>
      <c r="F500" t="s">
        <v>1130</v>
      </c>
      <c r="G500" t="s">
        <v>1592</v>
      </c>
      <c r="H500" t="s">
        <v>1734</v>
      </c>
      <c r="I500">
        <v>11239</v>
      </c>
      <c r="J500" t="s">
        <v>2002</v>
      </c>
      <c r="K500" t="s">
        <v>2002</v>
      </c>
      <c r="L500" t="s">
        <v>2005</v>
      </c>
      <c r="M500" t="s">
        <v>2256</v>
      </c>
      <c r="N500" t="s">
        <v>2415</v>
      </c>
      <c r="O500" t="s">
        <v>2437</v>
      </c>
      <c r="P500" t="s">
        <v>2446</v>
      </c>
      <c r="Q500" t="s">
        <v>2003</v>
      </c>
      <c r="R500" t="s">
        <v>2454</v>
      </c>
      <c r="S500" t="s">
        <v>252</v>
      </c>
      <c r="T500">
        <v>808.13</v>
      </c>
      <c r="U500" t="s">
        <v>2497</v>
      </c>
      <c r="V500" t="s">
        <v>2516</v>
      </c>
      <c r="W500" t="s">
        <v>2867</v>
      </c>
      <c r="X500" t="s">
        <v>2006</v>
      </c>
      <c r="Y500" t="s">
        <v>3606</v>
      </c>
      <c r="Z500">
        <v>51</v>
      </c>
      <c r="AA500" t="s">
        <v>3783</v>
      </c>
      <c r="AB500" t="s">
        <v>3793</v>
      </c>
      <c r="AC500">
        <v>6</v>
      </c>
      <c r="AD500">
        <v>1</v>
      </c>
      <c r="AE500">
        <v>0</v>
      </c>
      <c r="AF500">
        <v>177.74</v>
      </c>
      <c r="AI500" t="s">
        <v>3809</v>
      </c>
      <c r="AJ500">
        <v>22200</v>
      </c>
      <c r="AK500" t="s">
        <v>3927</v>
      </c>
      <c r="AM500" t="s">
        <v>4108</v>
      </c>
      <c r="AN500" t="s">
        <v>4122</v>
      </c>
      <c r="AO500" t="s">
        <v>4133</v>
      </c>
      <c r="AP500">
        <v>9.199999999999999</v>
      </c>
      <c r="AQ500" t="s">
        <v>250</v>
      </c>
      <c r="AR500" t="s">
        <v>4185</v>
      </c>
      <c r="AS500" t="s">
        <v>4210</v>
      </c>
      <c r="AT500" t="s">
        <v>4219</v>
      </c>
    </row>
    <row r="501" spans="1:46">
      <c r="A501" s="1">
        <f>HYPERLINK("https://lsnyc.legalserver.org/matter/dynamic-profile/view/1898591","19-1898591")</f>
        <v>0</v>
      </c>
      <c r="B501" t="s">
        <v>64</v>
      </c>
      <c r="C501" t="s">
        <v>170</v>
      </c>
      <c r="E501" t="s">
        <v>626</v>
      </c>
      <c r="F501" t="s">
        <v>1131</v>
      </c>
      <c r="G501" t="s">
        <v>1593</v>
      </c>
      <c r="H501">
        <v>1</v>
      </c>
      <c r="I501">
        <v>11207</v>
      </c>
      <c r="J501" t="s">
        <v>2002</v>
      </c>
      <c r="K501" t="s">
        <v>2002</v>
      </c>
      <c r="L501" t="s">
        <v>2005</v>
      </c>
      <c r="M501" t="s">
        <v>2027</v>
      </c>
      <c r="N501" t="s">
        <v>2027</v>
      </c>
      <c r="O501" t="s">
        <v>2436</v>
      </c>
      <c r="Q501" t="s">
        <v>2003</v>
      </c>
      <c r="R501" t="s">
        <v>2451</v>
      </c>
      <c r="S501" t="s">
        <v>170</v>
      </c>
      <c r="T501">
        <v>1487.41</v>
      </c>
      <c r="U501" t="s">
        <v>2497</v>
      </c>
      <c r="W501" t="s">
        <v>2868</v>
      </c>
      <c r="X501" t="s">
        <v>2156</v>
      </c>
      <c r="Y501" t="s">
        <v>3607</v>
      </c>
      <c r="Z501">
        <v>6</v>
      </c>
      <c r="AA501" t="s">
        <v>3783</v>
      </c>
      <c r="AC501">
        <v>8</v>
      </c>
      <c r="AD501">
        <v>2</v>
      </c>
      <c r="AE501">
        <v>0</v>
      </c>
      <c r="AF501">
        <v>156.12</v>
      </c>
      <c r="AI501" t="s">
        <v>3809</v>
      </c>
      <c r="AJ501">
        <v>26400</v>
      </c>
      <c r="AP501">
        <v>8.699999999999999</v>
      </c>
      <c r="AQ501" t="s">
        <v>3805</v>
      </c>
      <c r="AR501" t="s">
        <v>4185</v>
      </c>
      <c r="AS501" t="s">
        <v>4210</v>
      </c>
      <c r="AT501" t="s">
        <v>4219</v>
      </c>
    </row>
    <row r="502" spans="1:46">
      <c r="A502" s="1">
        <f>HYPERLINK("https://lsnyc.legalserver.org/matter/dynamic-profile/view/1897956","19-1897956")</f>
        <v>0</v>
      </c>
      <c r="B502" t="s">
        <v>64</v>
      </c>
      <c r="C502" t="s">
        <v>248</v>
      </c>
      <c r="D502" t="s">
        <v>148</v>
      </c>
      <c r="E502" t="s">
        <v>627</v>
      </c>
      <c r="F502" t="s">
        <v>865</v>
      </c>
      <c r="G502" t="s">
        <v>1594</v>
      </c>
      <c r="H502" t="s">
        <v>1855</v>
      </c>
      <c r="I502">
        <v>11233</v>
      </c>
      <c r="J502" t="s">
        <v>2002</v>
      </c>
      <c r="K502" t="s">
        <v>2003</v>
      </c>
      <c r="L502" t="s">
        <v>2005</v>
      </c>
      <c r="M502" t="s">
        <v>2257</v>
      </c>
      <c r="N502" t="s">
        <v>2415</v>
      </c>
      <c r="O502" t="s">
        <v>2439</v>
      </c>
      <c r="P502" t="s">
        <v>2444</v>
      </c>
      <c r="Q502" t="s">
        <v>2003</v>
      </c>
      <c r="R502" t="s">
        <v>2451</v>
      </c>
      <c r="S502" t="s">
        <v>2484</v>
      </c>
      <c r="T502">
        <v>1090</v>
      </c>
      <c r="U502" t="s">
        <v>2500</v>
      </c>
      <c r="V502" t="s">
        <v>2515</v>
      </c>
      <c r="W502" t="s">
        <v>2869</v>
      </c>
      <c r="X502">
        <v>176531211</v>
      </c>
      <c r="Y502" t="s">
        <v>3608</v>
      </c>
      <c r="Z502">
        <v>101</v>
      </c>
      <c r="AA502" t="s">
        <v>2156</v>
      </c>
      <c r="AC502">
        <v>2</v>
      </c>
      <c r="AD502">
        <v>4</v>
      </c>
      <c r="AE502">
        <v>0</v>
      </c>
      <c r="AF502">
        <v>139.81</v>
      </c>
      <c r="AI502" t="s">
        <v>3810</v>
      </c>
      <c r="AJ502">
        <v>36000</v>
      </c>
      <c r="AK502" t="s">
        <v>3839</v>
      </c>
      <c r="AP502">
        <v>1.2</v>
      </c>
      <c r="AQ502" t="s">
        <v>302</v>
      </c>
      <c r="AR502" t="s">
        <v>4189</v>
      </c>
      <c r="AS502" t="s">
        <v>4210</v>
      </c>
      <c r="AT502" t="s">
        <v>4219</v>
      </c>
    </row>
    <row r="503" spans="1:46">
      <c r="A503" s="1">
        <f>HYPERLINK("https://lsnyc.legalserver.org/matter/dynamic-profile/view/1898325","19-1898325")</f>
        <v>0</v>
      </c>
      <c r="B503" t="s">
        <v>64</v>
      </c>
      <c r="C503" t="s">
        <v>182</v>
      </c>
      <c r="D503" t="s">
        <v>249</v>
      </c>
      <c r="E503" t="s">
        <v>351</v>
      </c>
      <c r="F503" t="s">
        <v>863</v>
      </c>
      <c r="G503" t="s">
        <v>1595</v>
      </c>
      <c r="H503" t="s">
        <v>1856</v>
      </c>
      <c r="I503">
        <v>11233</v>
      </c>
      <c r="J503" t="s">
        <v>2002</v>
      </c>
      <c r="K503" t="s">
        <v>2003</v>
      </c>
      <c r="L503" t="s">
        <v>2005</v>
      </c>
      <c r="M503" t="s">
        <v>2027</v>
      </c>
      <c r="N503" t="s">
        <v>2423</v>
      </c>
      <c r="O503" t="s">
        <v>2439</v>
      </c>
      <c r="P503" t="s">
        <v>2444</v>
      </c>
      <c r="Q503" t="s">
        <v>2003</v>
      </c>
      <c r="R503" t="s">
        <v>2451</v>
      </c>
      <c r="S503" t="s">
        <v>183</v>
      </c>
      <c r="T503">
        <v>77</v>
      </c>
      <c r="U503" t="s">
        <v>2501</v>
      </c>
      <c r="V503" t="s">
        <v>2515</v>
      </c>
      <c r="W503" t="s">
        <v>2618</v>
      </c>
      <c r="Y503" t="s">
        <v>3609</v>
      </c>
      <c r="Z503">
        <v>32</v>
      </c>
      <c r="AA503" t="s">
        <v>3783</v>
      </c>
      <c r="AB503" t="s">
        <v>3793</v>
      </c>
      <c r="AC503">
        <v>1</v>
      </c>
      <c r="AD503">
        <v>1</v>
      </c>
      <c r="AE503">
        <v>0</v>
      </c>
      <c r="AF503">
        <v>145.72</v>
      </c>
      <c r="AI503" t="s">
        <v>3809</v>
      </c>
      <c r="AJ503">
        <v>18200</v>
      </c>
      <c r="AP503">
        <v>4.4</v>
      </c>
      <c r="AQ503" t="s">
        <v>183</v>
      </c>
      <c r="AR503" t="s">
        <v>4193</v>
      </c>
      <c r="AS503" t="s">
        <v>4210</v>
      </c>
      <c r="AT503" t="s">
        <v>4219</v>
      </c>
    </row>
    <row r="504" spans="1:46">
      <c r="A504" s="1">
        <f>HYPERLINK("https://lsnyc.legalserver.org/matter/dynamic-profile/view/1896403","19-1896403")</f>
        <v>0</v>
      </c>
      <c r="B504" t="s">
        <v>64</v>
      </c>
      <c r="C504" t="s">
        <v>102</v>
      </c>
      <c r="D504" t="s">
        <v>318</v>
      </c>
      <c r="E504" t="s">
        <v>628</v>
      </c>
      <c r="F504" t="s">
        <v>1132</v>
      </c>
      <c r="G504" t="s">
        <v>1596</v>
      </c>
      <c r="H504" t="s">
        <v>1797</v>
      </c>
      <c r="I504">
        <v>11207</v>
      </c>
      <c r="J504" t="s">
        <v>2002</v>
      </c>
      <c r="K504" t="s">
        <v>2002</v>
      </c>
      <c r="L504" t="s">
        <v>2005</v>
      </c>
      <c r="M504" t="s">
        <v>2258</v>
      </c>
      <c r="N504" t="s">
        <v>2415</v>
      </c>
      <c r="O504" t="s">
        <v>2437</v>
      </c>
      <c r="P504" t="s">
        <v>2445</v>
      </c>
      <c r="Q504" t="s">
        <v>2003</v>
      </c>
      <c r="R504" t="s">
        <v>2451</v>
      </c>
      <c r="S504" t="s">
        <v>2485</v>
      </c>
      <c r="T504">
        <v>1699</v>
      </c>
      <c r="U504" t="s">
        <v>2501</v>
      </c>
      <c r="V504" t="s">
        <v>2516</v>
      </c>
      <c r="W504" t="s">
        <v>2870</v>
      </c>
      <c r="Y504" t="s">
        <v>3610</v>
      </c>
      <c r="Z504">
        <v>168</v>
      </c>
      <c r="AA504" t="s">
        <v>3786</v>
      </c>
      <c r="AB504" t="s">
        <v>3800</v>
      </c>
      <c r="AC504">
        <v>23</v>
      </c>
      <c r="AD504">
        <v>1</v>
      </c>
      <c r="AE504">
        <v>0</v>
      </c>
      <c r="AF504">
        <v>0</v>
      </c>
      <c r="AI504" t="s">
        <v>3809</v>
      </c>
      <c r="AJ504">
        <v>0</v>
      </c>
      <c r="AM504" t="s">
        <v>4108</v>
      </c>
      <c r="AN504" t="s">
        <v>4122</v>
      </c>
      <c r="AO504" t="s">
        <v>4157</v>
      </c>
      <c r="AP504">
        <v>11.6</v>
      </c>
      <c r="AQ504" t="s">
        <v>318</v>
      </c>
      <c r="AR504" t="s">
        <v>4196</v>
      </c>
      <c r="AS504" t="s">
        <v>4210</v>
      </c>
      <c r="AT504" t="s">
        <v>4219</v>
      </c>
    </row>
    <row r="505" spans="1:46">
      <c r="A505" s="1">
        <f>HYPERLINK("https://lsnyc.legalserver.org/matter/dynamic-profile/view/1899962","19-1899962")</f>
        <v>0</v>
      </c>
      <c r="B505" t="s">
        <v>64</v>
      </c>
      <c r="C505" t="s">
        <v>249</v>
      </c>
      <c r="E505" t="s">
        <v>629</v>
      </c>
      <c r="F505" t="s">
        <v>1133</v>
      </c>
      <c r="G505" t="s">
        <v>1597</v>
      </c>
      <c r="H505">
        <v>413</v>
      </c>
      <c r="I505">
        <v>11207</v>
      </c>
      <c r="J505" t="s">
        <v>2002</v>
      </c>
      <c r="K505" t="s">
        <v>2004</v>
      </c>
      <c r="L505" t="s">
        <v>2005</v>
      </c>
      <c r="M505" t="s">
        <v>2259</v>
      </c>
      <c r="N505" t="s">
        <v>2415</v>
      </c>
      <c r="O505" t="s">
        <v>2437</v>
      </c>
      <c r="Q505" t="s">
        <v>2003</v>
      </c>
      <c r="R505" t="s">
        <v>2451</v>
      </c>
      <c r="S505" t="s">
        <v>171</v>
      </c>
      <c r="T505">
        <v>906</v>
      </c>
      <c r="W505" t="s">
        <v>2871</v>
      </c>
      <c r="Y505" t="s">
        <v>3611</v>
      </c>
      <c r="Z505">
        <v>98</v>
      </c>
      <c r="AC505">
        <v>8</v>
      </c>
      <c r="AD505">
        <v>1</v>
      </c>
      <c r="AE505">
        <v>1</v>
      </c>
      <c r="AF505">
        <v>0</v>
      </c>
      <c r="AI505" t="s">
        <v>3809</v>
      </c>
      <c r="AJ505">
        <v>0</v>
      </c>
      <c r="AP505">
        <v>5.9</v>
      </c>
      <c r="AQ505" t="s">
        <v>310</v>
      </c>
      <c r="AR505" t="s">
        <v>49</v>
      </c>
      <c r="AS505" t="s">
        <v>4210</v>
      </c>
      <c r="AT505" t="s">
        <v>4219</v>
      </c>
    </row>
    <row r="506" spans="1:46">
      <c r="A506" s="1">
        <f>HYPERLINK("https://lsnyc.legalserver.org/matter/dynamic-profile/view/1887641","19-1887641")</f>
        <v>0</v>
      </c>
      <c r="B506" t="s">
        <v>64</v>
      </c>
      <c r="C506" t="s">
        <v>138</v>
      </c>
      <c r="E506" t="s">
        <v>399</v>
      </c>
      <c r="F506" t="s">
        <v>1134</v>
      </c>
      <c r="G506" t="s">
        <v>1598</v>
      </c>
      <c r="H506" t="s">
        <v>1781</v>
      </c>
      <c r="I506">
        <v>11233</v>
      </c>
      <c r="J506" t="s">
        <v>2002</v>
      </c>
      <c r="K506" t="s">
        <v>2002</v>
      </c>
      <c r="L506" t="s">
        <v>2005</v>
      </c>
      <c r="M506" t="s">
        <v>2260</v>
      </c>
      <c r="N506" t="s">
        <v>2415</v>
      </c>
      <c r="O506" t="s">
        <v>2437</v>
      </c>
      <c r="Q506" t="s">
        <v>2003</v>
      </c>
      <c r="R506" t="s">
        <v>2451</v>
      </c>
      <c r="S506" t="s">
        <v>171</v>
      </c>
      <c r="T506">
        <v>1132</v>
      </c>
      <c r="U506" t="s">
        <v>2497</v>
      </c>
      <c r="W506" t="s">
        <v>2872</v>
      </c>
      <c r="X506" t="s">
        <v>3248</v>
      </c>
      <c r="Y506" t="s">
        <v>3612</v>
      </c>
      <c r="Z506">
        <v>40</v>
      </c>
      <c r="AA506" t="s">
        <v>3783</v>
      </c>
      <c r="AB506" t="s">
        <v>3798</v>
      </c>
      <c r="AC506">
        <v>13</v>
      </c>
      <c r="AD506">
        <v>2</v>
      </c>
      <c r="AE506">
        <v>0</v>
      </c>
      <c r="AF506">
        <v>30.96</v>
      </c>
      <c r="AI506" t="s">
        <v>3809</v>
      </c>
      <c r="AJ506">
        <v>5096</v>
      </c>
      <c r="AP506">
        <v>6</v>
      </c>
      <c r="AQ506" t="s">
        <v>241</v>
      </c>
      <c r="AR506" t="s">
        <v>4185</v>
      </c>
      <c r="AS506" t="s">
        <v>4210</v>
      </c>
      <c r="AT506" t="s">
        <v>4219</v>
      </c>
    </row>
    <row r="507" spans="1:46">
      <c r="A507" s="1">
        <f>HYPERLINK("https://lsnyc.legalserver.org/matter/dynamic-profile/view/1884304","18-1884304")</f>
        <v>0</v>
      </c>
      <c r="B507" t="s">
        <v>64</v>
      </c>
      <c r="C507" t="s">
        <v>125</v>
      </c>
      <c r="E507" t="s">
        <v>630</v>
      </c>
      <c r="F507" t="s">
        <v>866</v>
      </c>
      <c r="G507" t="s">
        <v>1599</v>
      </c>
      <c r="H507" t="s">
        <v>1857</v>
      </c>
      <c r="I507">
        <v>11212</v>
      </c>
      <c r="J507" t="s">
        <v>2002</v>
      </c>
      <c r="K507" t="s">
        <v>2002</v>
      </c>
      <c r="L507" t="s">
        <v>2005</v>
      </c>
      <c r="M507" t="s">
        <v>2027</v>
      </c>
      <c r="N507" t="s">
        <v>2419</v>
      </c>
      <c r="O507" t="s">
        <v>2437</v>
      </c>
      <c r="Q507" t="s">
        <v>2003</v>
      </c>
      <c r="R507" t="s">
        <v>2451</v>
      </c>
      <c r="S507" t="s">
        <v>171</v>
      </c>
      <c r="T507">
        <v>254</v>
      </c>
      <c r="U507" t="s">
        <v>2503</v>
      </c>
      <c r="W507" t="s">
        <v>2873</v>
      </c>
      <c r="X507" t="s">
        <v>3249</v>
      </c>
      <c r="Y507" t="s">
        <v>3613</v>
      </c>
      <c r="Z507">
        <v>162</v>
      </c>
      <c r="AA507" t="s">
        <v>3790</v>
      </c>
      <c r="AB507" t="s">
        <v>3800</v>
      </c>
      <c r="AC507">
        <v>32</v>
      </c>
      <c r="AD507">
        <v>1</v>
      </c>
      <c r="AE507">
        <v>2</v>
      </c>
      <c r="AF507">
        <v>49.03</v>
      </c>
      <c r="AI507" t="s">
        <v>3809</v>
      </c>
      <c r="AJ507">
        <v>10188</v>
      </c>
      <c r="AP507">
        <v>35.3</v>
      </c>
      <c r="AQ507" t="s">
        <v>318</v>
      </c>
      <c r="AR507" t="s">
        <v>4185</v>
      </c>
      <c r="AS507" t="s">
        <v>4210</v>
      </c>
      <c r="AT507" t="s">
        <v>4219</v>
      </c>
    </row>
    <row r="508" spans="1:46">
      <c r="A508" s="1">
        <f>HYPERLINK("https://lsnyc.legalserver.org/matter/dynamic-profile/view/1899732","19-1899732")</f>
        <v>0</v>
      </c>
      <c r="B508" t="s">
        <v>64</v>
      </c>
      <c r="C508" t="s">
        <v>250</v>
      </c>
      <c r="E508" t="s">
        <v>460</v>
      </c>
      <c r="F508" t="s">
        <v>1135</v>
      </c>
      <c r="G508" t="s">
        <v>1600</v>
      </c>
      <c r="H508" t="s">
        <v>1791</v>
      </c>
      <c r="I508">
        <v>11233</v>
      </c>
      <c r="J508" t="s">
        <v>2002</v>
      </c>
      <c r="K508" t="s">
        <v>2004</v>
      </c>
      <c r="L508" t="s">
        <v>2005</v>
      </c>
      <c r="M508" t="s">
        <v>2261</v>
      </c>
      <c r="N508" t="s">
        <v>2415</v>
      </c>
      <c r="O508" t="s">
        <v>2437</v>
      </c>
      <c r="Q508" t="s">
        <v>2003</v>
      </c>
      <c r="R508" t="s">
        <v>2455</v>
      </c>
      <c r="S508" t="s">
        <v>171</v>
      </c>
      <c r="T508">
        <v>1322</v>
      </c>
      <c r="U508" t="s">
        <v>2502</v>
      </c>
      <c r="W508" t="s">
        <v>2874</v>
      </c>
      <c r="X508" t="s">
        <v>3250</v>
      </c>
      <c r="Y508" t="s">
        <v>3614</v>
      </c>
      <c r="Z508">
        <v>48</v>
      </c>
      <c r="AA508" t="s">
        <v>3783</v>
      </c>
      <c r="AB508" t="s">
        <v>3795</v>
      </c>
      <c r="AC508">
        <v>3</v>
      </c>
      <c r="AD508">
        <v>1</v>
      </c>
      <c r="AE508">
        <v>0</v>
      </c>
      <c r="AF508">
        <v>53.77</v>
      </c>
      <c r="AI508" t="s">
        <v>3809</v>
      </c>
      <c r="AJ508">
        <v>6715.8</v>
      </c>
      <c r="AP508">
        <v>21.4</v>
      </c>
      <c r="AQ508" t="s">
        <v>3805</v>
      </c>
      <c r="AR508" t="s">
        <v>4185</v>
      </c>
      <c r="AS508" t="s">
        <v>4210</v>
      </c>
      <c r="AT508" t="s">
        <v>4219</v>
      </c>
    </row>
    <row r="509" spans="1:46">
      <c r="A509" s="1">
        <f>HYPERLINK("https://lsnyc.legalserver.org/matter/dynamic-profile/view/1901172","19-1901172")</f>
        <v>0</v>
      </c>
      <c r="B509" t="s">
        <v>64</v>
      </c>
      <c r="C509" t="s">
        <v>171</v>
      </c>
      <c r="E509" t="s">
        <v>631</v>
      </c>
      <c r="F509" t="s">
        <v>1136</v>
      </c>
      <c r="G509" t="s">
        <v>1601</v>
      </c>
      <c r="H509" t="s">
        <v>1858</v>
      </c>
      <c r="I509">
        <v>11212</v>
      </c>
      <c r="J509" t="s">
        <v>2002</v>
      </c>
      <c r="K509" t="s">
        <v>2004</v>
      </c>
      <c r="L509" t="s">
        <v>2005</v>
      </c>
      <c r="M509" t="s">
        <v>2006</v>
      </c>
      <c r="N509" t="s">
        <v>2414</v>
      </c>
      <c r="O509" t="s">
        <v>2442</v>
      </c>
      <c r="Q509" t="s">
        <v>2003</v>
      </c>
      <c r="S509" t="s">
        <v>171</v>
      </c>
      <c r="T509">
        <v>1640</v>
      </c>
      <c r="U509" t="s">
        <v>2495</v>
      </c>
      <c r="W509" t="s">
        <v>2875</v>
      </c>
      <c r="Y509" t="s">
        <v>3615</v>
      </c>
      <c r="Z509">
        <v>3</v>
      </c>
      <c r="AA509" t="s">
        <v>3784</v>
      </c>
      <c r="AB509" t="s">
        <v>2495</v>
      </c>
      <c r="AC509">
        <v>5</v>
      </c>
      <c r="AD509">
        <v>2</v>
      </c>
      <c r="AE509">
        <v>0</v>
      </c>
      <c r="AF509">
        <v>54.71</v>
      </c>
      <c r="AI509" t="s">
        <v>3809</v>
      </c>
      <c r="AJ509">
        <v>9252</v>
      </c>
      <c r="AP509">
        <v>1.3</v>
      </c>
      <c r="AQ509" t="s">
        <v>261</v>
      </c>
      <c r="AR509" t="s">
        <v>49</v>
      </c>
      <c r="AS509" t="s">
        <v>4210</v>
      </c>
      <c r="AT509" t="s">
        <v>4219</v>
      </c>
    </row>
    <row r="510" spans="1:46">
      <c r="A510" s="1">
        <f>HYPERLINK("https://lsnyc.legalserver.org/matter/dynamic-profile/view/1895077","19-1895077")</f>
        <v>0</v>
      </c>
      <c r="B510" t="s">
        <v>64</v>
      </c>
      <c r="C510" t="s">
        <v>251</v>
      </c>
      <c r="E510" t="s">
        <v>632</v>
      </c>
      <c r="F510" t="s">
        <v>984</v>
      </c>
      <c r="G510" t="s">
        <v>1602</v>
      </c>
      <c r="H510">
        <v>426</v>
      </c>
      <c r="I510">
        <v>11208</v>
      </c>
      <c r="J510" t="s">
        <v>2002</v>
      </c>
      <c r="K510" t="s">
        <v>2004</v>
      </c>
      <c r="L510" t="s">
        <v>2005</v>
      </c>
      <c r="M510" t="s">
        <v>2262</v>
      </c>
      <c r="N510" t="s">
        <v>2415</v>
      </c>
      <c r="O510" t="s">
        <v>2437</v>
      </c>
      <c r="Q510" t="s">
        <v>2003</v>
      </c>
      <c r="R510" t="s">
        <v>2451</v>
      </c>
      <c r="S510" t="s">
        <v>171</v>
      </c>
      <c r="T510">
        <v>208</v>
      </c>
      <c r="U510" t="s">
        <v>2508</v>
      </c>
      <c r="W510" t="s">
        <v>2876</v>
      </c>
      <c r="Y510" t="s">
        <v>3616</v>
      </c>
      <c r="Z510">
        <v>40</v>
      </c>
      <c r="AA510" t="s">
        <v>3787</v>
      </c>
      <c r="AB510" t="s">
        <v>3793</v>
      </c>
      <c r="AC510">
        <v>11</v>
      </c>
      <c r="AD510">
        <v>1</v>
      </c>
      <c r="AE510">
        <v>0</v>
      </c>
      <c r="AF510">
        <v>83.2</v>
      </c>
      <c r="AI510" t="s">
        <v>3809</v>
      </c>
      <c r="AJ510">
        <v>10392</v>
      </c>
      <c r="AP510">
        <v>10.9</v>
      </c>
      <c r="AQ510" t="s">
        <v>4168</v>
      </c>
      <c r="AR510" t="s">
        <v>4205</v>
      </c>
      <c r="AS510" t="s">
        <v>4210</v>
      </c>
      <c r="AT510" t="s">
        <v>4219</v>
      </c>
    </row>
    <row r="511" spans="1:46">
      <c r="A511" s="1">
        <f>HYPERLINK("https://lsnyc.legalserver.org/matter/dynamic-profile/view/1896032","19-1896032")</f>
        <v>0</v>
      </c>
      <c r="B511" t="s">
        <v>64</v>
      </c>
      <c r="C511" t="s">
        <v>147</v>
      </c>
      <c r="E511" t="s">
        <v>633</v>
      </c>
      <c r="F511" t="s">
        <v>1137</v>
      </c>
      <c r="G511" t="s">
        <v>1603</v>
      </c>
      <c r="H511" t="s">
        <v>1844</v>
      </c>
      <c r="I511">
        <v>11212</v>
      </c>
      <c r="J511" t="s">
        <v>2002</v>
      </c>
      <c r="K511" t="s">
        <v>2003</v>
      </c>
      <c r="L511" t="s">
        <v>2005</v>
      </c>
      <c r="M511" t="s">
        <v>2263</v>
      </c>
      <c r="N511" t="s">
        <v>2415</v>
      </c>
      <c r="O511" t="s">
        <v>2437</v>
      </c>
      <c r="Q511" t="s">
        <v>2003</v>
      </c>
      <c r="R511" t="s">
        <v>2451</v>
      </c>
      <c r="S511" t="s">
        <v>171</v>
      </c>
      <c r="T511">
        <v>668.4</v>
      </c>
      <c r="U511" t="s">
        <v>2497</v>
      </c>
      <c r="W511" t="s">
        <v>2877</v>
      </c>
      <c r="Y511" t="s">
        <v>3617</v>
      </c>
      <c r="Z511">
        <v>40</v>
      </c>
      <c r="AA511" t="s">
        <v>3783</v>
      </c>
      <c r="AB511" t="s">
        <v>3797</v>
      </c>
      <c r="AC511">
        <v>34</v>
      </c>
      <c r="AD511">
        <v>1</v>
      </c>
      <c r="AE511">
        <v>1</v>
      </c>
      <c r="AF511">
        <v>113.59</v>
      </c>
      <c r="AI511" t="s">
        <v>3809</v>
      </c>
      <c r="AJ511">
        <v>19208.28</v>
      </c>
      <c r="AP511">
        <v>5.6</v>
      </c>
      <c r="AQ511" t="s">
        <v>310</v>
      </c>
      <c r="AR511" t="s">
        <v>49</v>
      </c>
      <c r="AS511" t="s">
        <v>4210</v>
      </c>
      <c r="AT511" t="s">
        <v>4219</v>
      </c>
    </row>
    <row r="512" spans="1:46">
      <c r="A512" s="1">
        <f>HYPERLINK("https://lsnyc.legalserver.org/matter/dynamic-profile/view/1898488","19-1898488")</f>
        <v>0</v>
      </c>
      <c r="B512" t="s">
        <v>64</v>
      </c>
      <c r="C512" t="s">
        <v>252</v>
      </c>
      <c r="E512" t="s">
        <v>634</v>
      </c>
      <c r="F512" t="s">
        <v>1138</v>
      </c>
      <c r="G512" t="s">
        <v>1604</v>
      </c>
      <c r="H512" t="s">
        <v>1734</v>
      </c>
      <c r="I512">
        <v>11233</v>
      </c>
      <c r="J512" t="s">
        <v>2002</v>
      </c>
      <c r="K512" t="s">
        <v>2003</v>
      </c>
      <c r="L512" t="s">
        <v>2005</v>
      </c>
      <c r="M512" t="s">
        <v>2264</v>
      </c>
      <c r="N512" t="s">
        <v>2415</v>
      </c>
      <c r="O512" t="s">
        <v>2437</v>
      </c>
      <c r="Q512" t="s">
        <v>2003</v>
      </c>
      <c r="R512" t="s">
        <v>2451</v>
      </c>
      <c r="S512" t="s">
        <v>171</v>
      </c>
      <c r="T512">
        <v>901</v>
      </c>
      <c r="U512" t="s">
        <v>2505</v>
      </c>
      <c r="W512" t="s">
        <v>2878</v>
      </c>
      <c r="Y512" t="s">
        <v>3618</v>
      </c>
      <c r="Z512">
        <v>16</v>
      </c>
      <c r="AA512" t="s">
        <v>3790</v>
      </c>
      <c r="AB512" t="s">
        <v>2006</v>
      </c>
      <c r="AC512">
        <v>9</v>
      </c>
      <c r="AD512">
        <v>1</v>
      </c>
      <c r="AE512">
        <v>2</v>
      </c>
      <c r="AF512">
        <v>121.46</v>
      </c>
      <c r="AI512" t="s">
        <v>3809</v>
      </c>
      <c r="AJ512">
        <v>25908</v>
      </c>
      <c r="AP512">
        <v>10.2</v>
      </c>
      <c r="AQ512" t="s">
        <v>310</v>
      </c>
      <c r="AR512" t="s">
        <v>49</v>
      </c>
      <c r="AS512" t="s">
        <v>4210</v>
      </c>
      <c r="AT512" t="s">
        <v>4219</v>
      </c>
    </row>
    <row r="513" spans="1:46">
      <c r="A513" s="1">
        <f>HYPERLINK("https://lsnyc.legalserver.org/matter/dynamic-profile/view/1888613","19-1888613")</f>
        <v>0</v>
      </c>
      <c r="B513" t="s">
        <v>64</v>
      </c>
      <c r="C513" t="s">
        <v>253</v>
      </c>
      <c r="D513" t="s">
        <v>263</v>
      </c>
      <c r="E513" t="s">
        <v>398</v>
      </c>
      <c r="F513" t="s">
        <v>351</v>
      </c>
      <c r="G513" t="s">
        <v>1605</v>
      </c>
      <c r="H513" t="s">
        <v>1736</v>
      </c>
      <c r="I513">
        <v>11233</v>
      </c>
      <c r="J513" t="s">
        <v>2002</v>
      </c>
      <c r="K513" t="s">
        <v>2003</v>
      </c>
      <c r="L513" t="s">
        <v>2005</v>
      </c>
      <c r="M513" t="s">
        <v>2265</v>
      </c>
      <c r="N513" t="s">
        <v>2413</v>
      </c>
      <c r="O513" t="s">
        <v>2437</v>
      </c>
      <c r="P513" t="s">
        <v>2445</v>
      </c>
      <c r="Q513" t="s">
        <v>2003</v>
      </c>
      <c r="R513" t="s">
        <v>2451</v>
      </c>
      <c r="S513" t="s">
        <v>171</v>
      </c>
      <c r="T513">
        <v>860.1900000000001</v>
      </c>
      <c r="U513" t="s">
        <v>2508</v>
      </c>
      <c r="V513" t="s">
        <v>2516</v>
      </c>
      <c r="W513" t="s">
        <v>2879</v>
      </c>
      <c r="X513" t="s">
        <v>2058</v>
      </c>
      <c r="Y513" t="s">
        <v>3619</v>
      </c>
      <c r="Z513">
        <v>36</v>
      </c>
      <c r="AA513" t="s">
        <v>3783</v>
      </c>
      <c r="AB513" t="s">
        <v>2006</v>
      </c>
      <c r="AC513">
        <v>15</v>
      </c>
      <c r="AD513">
        <v>2</v>
      </c>
      <c r="AE513">
        <v>1</v>
      </c>
      <c r="AF513">
        <v>138.66</v>
      </c>
      <c r="AI513" t="s">
        <v>3809</v>
      </c>
      <c r="AJ513">
        <v>29575.68</v>
      </c>
      <c r="AN513" t="s">
        <v>4122</v>
      </c>
      <c r="AP513">
        <v>4</v>
      </c>
      <c r="AQ513" t="s">
        <v>290</v>
      </c>
      <c r="AR513" t="s">
        <v>49</v>
      </c>
      <c r="AS513" t="s">
        <v>4210</v>
      </c>
      <c r="AT513" t="s">
        <v>4219</v>
      </c>
    </row>
    <row r="514" spans="1:46">
      <c r="A514" s="1">
        <f>HYPERLINK("https://lsnyc.legalserver.org/matter/dynamic-profile/view/1896462","19-1896462")</f>
        <v>0</v>
      </c>
      <c r="B514" t="s">
        <v>64</v>
      </c>
      <c r="C514" t="s">
        <v>168</v>
      </c>
      <c r="E514" t="s">
        <v>635</v>
      </c>
      <c r="F514" t="s">
        <v>902</v>
      </c>
      <c r="G514" t="s">
        <v>1606</v>
      </c>
      <c r="H514" t="s">
        <v>1734</v>
      </c>
      <c r="I514">
        <v>11208</v>
      </c>
      <c r="J514" t="s">
        <v>2002</v>
      </c>
      <c r="K514" t="s">
        <v>2002</v>
      </c>
      <c r="L514" t="s">
        <v>2005</v>
      </c>
      <c r="M514" t="s">
        <v>2266</v>
      </c>
      <c r="N514" t="s">
        <v>2413</v>
      </c>
      <c r="O514" t="s">
        <v>2437</v>
      </c>
      <c r="Q514" t="s">
        <v>2003</v>
      </c>
      <c r="R514" t="s">
        <v>2451</v>
      </c>
      <c r="S514" t="s">
        <v>171</v>
      </c>
      <c r="T514">
        <v>1550</v>
      </c>
      <c r="U514" t="s">
        <v>2500</v>
      </c>
      <c r="W514" t="s">
        <v>2800</v>
      </c>
      <c r="X514" t="s">
        <v>3251</v>
      </c>
      <c r="Y514" t="s">
        <v>3620</v>
      </c>
      <c r="Z514">
        <v>4</v>
      </c>
      <c r="AA514" t="s">
        <v>3784</v>
      </c>
      <c r="AB514" t="s">
        <v>3794</v>
      </c>
      <c r="AC514">
        <v>4</v>
      </c>
      <c r="AD514">
        <v>2</v>
      </c>
      <c r="AE514">
        <v>1</v>
      </c>
      <c r="AF514">
        <v>146.27</v>
      </c>
      <c r="AI514" t="s">
        <v>3809</v>
      </c>
      <c r="AJ514">
        <v>31200</v>
      </c>
      <c r="AP514">
        <v>13.9</v>
      </c>
      <c r="AQ514" t="s">
        <v>321</v>
      </c>
      <c r="AR514" t="s">
        <v>4185</v>
      </c>
      <c r="AS514" t="s">
        <v>4210</v>
      </c>
      <c r="AT514" t="s">
        <v>4219</v>
      </c>
    </row>
    <row r="515" spans="1:46">
      <c r="A515" s="1">
        <f>HYPERLINK("https://lsnyc.legalserver.org/matter/dynamic-profile/view/1894446","19-1894446")</f>
        <v>0</v>
      </c>
      <c r="B515" t="s">
        <v>64</v>
      </c>
      <c r="C515" t="s">
        <v>165</v>
      </c>
      <c r="D515" t="s">
        <v>310</v>
      </c>
      <c r="E515" t="s">
        <v>636</v>
      </c>
      <c r="F515" t="s">
        <v>1139</v>
      </c>
      <c r="G515" t="s">
        <v>1607</v>
      </c>
      <c r="H515" t="s">
        <v>1859</v>
      </c>
      <c r="I515">
        <v>11233</v>
      </c>
      <c r="J515" t="s">
        <v>2002</v>
      </c>
      <c r="K515" t="s">
        <v>2003</v>
      </c>
      <c r="L515" t="s">
        <v>2005</v>
      </c>
      <c r="M515" t="s">
        <v>2267</v>
      </c>
      <c r="N515" t="s">
        <v>2413</v>
      </c>
      <c r="O515" t="s">
        <v>2437</v>
      </c>
      <c r="P515" t="s">
        <v>2445</v>
      </c>
      <c r="Q515" t="s">
        <v>2003</v>
      </c>
      <c r="S515" t="s">
        <v>171</v>
      </c>
      <c r="T515">
        <v>1365</v>
      </c>
      <c r="U515" t="s">
        <v>2495</v>
      </c>
      <c r="V515" t="s">
        <v>2516</v>
      </c>
      <c r="W515" t="s">
        <v>2880</v>
      </c>
      <c r="Y515" t="s">
        <v>3621</v>
      </c>
      <c r="Z515">
        <v>8</v>
      </c>
      <c r="AA515" t="s">
        <v>3783</v>
      </c>
      <c r="AB515" t="s">
        <v>3793</v>
      </c>
      <c r="AC515">
        <v>23</v>
      </c>
      <c r="AD515">
        <v>2</v>
      </c>
      <c r="AE515">
        <v>0</v>
      </c>
      <c r="AF515">
        <v>153.76</v>
      </c>
      <c r="AI515" t="s">
        <v>3810</v>
      </c>
      <c r="AJ515">
        <v>26000</v>
      </c>
      <c r="AM515" t="s">
        <v>4120</v>
      </c>
      <c r="AN515" t="s">
        <v>4122</v>
      </c>
      <c r="AO515" t="s">
        <v>4158</v>
      </c>
      <c r="AP515">
        <v>7.7</v>
      </c>
      <c r="AQ515" t="s">
        <v>254</v>
      </c>
      <c r="AR515" t="s">
        <v>49</v>
      </c>
      <c r="AS515" t="s">
        <v>4210</v>
      </c>
      <c r="AT515" t="s">
        <v>4219</v>
      </c>
    </row>
    <row r="516" spans="1:46">
      <c r="A516" s="1">
        <f>HYPERLINK("https://lsnyc.legalserver.org/matter/dynamic-profile/view/1900382","19-1900382")</f>
        <v>0</v>
      </c>
      <c r="B516" t="s">
        <v>64</v>
      </c>
      <c r="C516" t="s">
        <v>167</v>
      </c>
      <c r="E516" t="s">
        <v>637</v>
      </c>
      <c r="F516" t="s">
        <v>1140</v>
      </c>
      <c r="G516" t="s">
        <v>1608</v>
      </c>
      <c r="H516" t="s">
        <v>1765</v>
      </c>
      <c r="I516">
        <v>11212</v>
      </c>
      <c r="J516" t="s">
        <v>2002</v>
      </c>
      <c r="K516" t="s">
        <v>2004</v>
      </c>
      <c r="L516" t="s">
        <v>2005</v>
      </c>
      <c r="M516" t="s">
        <v>2006</v>
      </c>
      <c r="N516" t="s">
        <v>2413</v>
      </c>
      <c r="O516" t="s">
        <v>2436</v>
      </c>
      <c r="Q516" t="s">
        <v>2003</v>
      </c>
      <c r="R516" t="s">
        <v>2451</v>
      </c>
      <c r="S516" t="s">
        <v>171</v>
      </c>
      <c r="T516">
        <v>1400</v>
      </c>
      <c r="U516" t="s">
        <v>2500</v>
      </c>
      <c r="W516" t="s">
        <v>2881</v>
      </c>
      <c r="X516" t="s">
        <v>2006</v>
      </c>
      <c r="Y516" t="s">
        <v>3622</v>
      </c>
      <c r="Z516">
        <v>4</v>
      </c>
      <c r="AA516" t="s">
        <v>3784</v>
      </c>
      <c r="AB516" t="s">
        <v>2006</v>
      </c>
      <c r="AC516">
        <v>16</v>
      </c>
      <c r="AD516">
        <v>1</v>
      </c>
      <c r="AE516">
        <v>0</v>
      </c>
      <c r="AF516">
        <v>156.41</v>
      </c>
      <c r="AI516" t="s">
        <v>3809</v>
      </c>
      <c r="AJ516">
        <v>19536</v>
      </c>
      <c r="AP516">
        <v>2.6</v>
      </c>
      <c r="AQ516" t="s">
        <v>4171</v>
      </c>
      <c r="AR516" t="s">
        <v>4185</v>
      </c>
      <c r="AS516" t="s">
        <v>4210</v>
      </c>
      <c r="AT516" t="s">
        <v>4219</v>
      </c>
    </row>
    <row r="517" spans="1:46">
      <c r="A517" s="1">
        <f>HYPERLINK("https://lsnyc.legalserver.org/matter/dynamic-profile/view/1902327","19-1902327")</f>
        <v>0</v>
      </c>
      <c r="B517" t="s">
        <v>64</v>
      </c>
      <c r="C517" t="s">
        <v>254</v>
      </c>
      <c r="E517" t="s">
        <v>636</v>
      </c>
      <c r="F517" t="s">
        <v>1139</v>
      </c>
      <c r="G517" t="s">
        <v>1607</v>
      </c>
      <c r="H517" t="s">
        <v>1859</v>
      </c>
      <c r="I517">
        <v>11233</v>
      </c>
      <c r="J517" t="s">
        <v>2002</v>
      </c>
      <c r="K517" t="s">
        <v>2004</v>
      </c>
      <c r="L517" t="s">
        <v>2005</v>
      </c>
      <c r="N517" t="s">
        <v>2415</v>
      </c>
      <c r="O517" t="s">
        <v>2442</v>
      </c>
      <c r="Q517" t="s">
        <v>2003</v>
      </c>
      <c r="R517" t="s">
        <v>2451</v>
      </c>
      <c r="S517" t="s">
        <v>171</v>
      </c>
      <c r="T517">
        <v>1365</v>
      </c>
      <c r="U517" t="s">
        <v>2495</v>
      </c>
      <c r="W517" t="s">
        <v>2880</v>
      </c>
      <c r="X517" t="s">
        <v>2006</v>
      </c>
      <c r="Y517" t="s">
        <v>3621</v>
      </c>
      <c r="Z517">
        <v>8</v>
      </c>
      <c r="AA517" t="s">
        <v>3783</v>
      </c>
      <c r="AB517" t="s">
        <v>3793</v>
      </c>
      <c r="AC517">
        <v>23</v>
      </c>
      <c r="AD517">
        <v>2</v>
      </c>
      <c r="AE517">
        <v>0</v>
      </c>
      <c r="AF517">
        <v>331.16</v>
      </c>
      <c r="AI517" t="s">
        <v>3810</v>
      </c>
      <c r="AJ517">
        <v>56000</v>
      </c>
      <c r="AK517" t="s">
        <v>3862</v>
      </c>
      <c r="AP517">
        <v>0.1</v>
      </c>
      <c r="AQ517" t="s">
        <v>310</v>
      </c>
      <c r="AR517" t="s">
        <v>4185</v>
      </c>
      <c r="AS517" t="s">
        <v>4210</v>
      </c>
      <c r="AT517" t="s">
        <v>4219</v>
      </c>
    </row>
    <row r="518" spans="1:46">
      <c r="A518" s="1">
        <f>HYPERLINK("https://lsnyc.legalserver.org/matter/dynamic-profile/view/1899599","19-1899599")</f>
        <v>0</v>
      </c>
      <c r="B518" t="s">
        <v>64</v>
      </c>
      <c r="C518" t="s">
        <v>148</v>
      </c>
      <c r="E518" t="s">
        <v>638</v>
      </c>
      <c r="F518" t="s">
        <v>1141</v>
      </c>
      <c r="G518" t="s">
        <v>1609</v>
      </c>
      <c r="H518" t="s">
        <v>1778</v>
      </c>
      <c r="I518">
        <v>11207</v>
      </c>
      <c r="J518" t="s">
        <v>2002</v>
      </c>
      <c r="K518" t="s">
        <v>2004</v>
      </c>
      <c r="L518" t="s">
        <v>2005</v>
      </c>
      <c r="M518" t="s">
        <v>2268</v>
      </c>
      <c r="N518" t="s">
        <v>2413</v>
      </c>
      <c r="O518" t="s">
        <v>2437</v>
      </c>
      <c r="Q518" t="s">
        <v>2003</v>
      </c>
      <c r="R518" t="s">
        <v>2451</v>
      </c>
      <c r="S518" t="s">
        <v>313</v>
      </c>
      <c r="T518">
        <v>600</v>
      </c>
      <c r="W518" t="s">
        <v>2882</v>
      </c>
      <c r="Y518" t="s">
        <v>3623</v>
      </c>
      <c r="Z518">
        <v>2</v>
      </c>
      <c r="AA518" t="s">
        <v>3784</v>
      </c>
      <c r="AB518" t="s">
        <v>2495</v>
      </c>
      <c r="AC518">
        <v>10</v>
      </c>
      <c r="AD518">
        <v>1</v>
      </c>
      <c r="AE518">
        <v>1</v>
      </c>
      <c r="AF518">
        <v>147.84</v>
      </c>
      <c r="AI518" t="s">
        <v>3809</v>
      </c>
      <c r="AJ518">
        <v>25000</v>
      </c>
      <c r="AP518">
        <v>18.5</v>
      </c>
      <c r="AQ518" t="s">
        <v>318</v>
      </c>
      <c r="AR518" t="s">
        <v>49</v>
      </c>
      <c r="AS518" t="s">
        <v>4210</v>
      </c>
      <c r="AT518" t="s">
        <v>4219</v>
      </c>
    </row>
    <row r="519" spans="1:46">
      <c r="A519" s="1">
        <f>HYPERLINK("https://lsnyc.legalserver.org/matter/dynamic-profile/view/1901677","19-1901677")</f>
        <v>0</v>
      </c>
      <c r="B519" t="s">
        <v>64</v>
      </c>
      <c r="C519" t="s">
        <v>172</v>
      </c>
      <c r="D519" t="s">
        <v>310</v>
      </c>
      <c r="E519" t="s">
        <v>343</v>
      </c>
      <c r="F519" t="s">
        <v>1142</v>
      </c>
      <c r="G519" t="s">
        <v>1610</v>
      </c>
      <c r="H519" t="s">
        <v>1856</v>
      </c>
      <c r="I519">
        <v>11207</v>
      </c>
      <c r="J519" t="s">
        <v>2002</v>
      </c>
      <c r="K519" t="s">
        <v>2004</v>
      </c>
      <c r="L519" t="s">
        <v>2005</v>
      </c>
      <c r="M519" t="s">
        <v>2269</v>
      </c>
      <c r="N519" t="s">
        <v>2413</v>
      </c>
      <c r="O519" t="s">
        <v>2439</v>
      </c>
      <c r="P519" t="s">
        <v>2444</v>
      </c>
      <c r="Q519" t="s">
        <v>2003</v>
      </c>
      <c r="R519" t="s">
        <v>2451</v>
      </c>
      <c r="S519" t="s">
        <v>312</v>
      </c>
      <c r="T519">
        <v>846.5</v>
      </c>
      <c r="U519" t="s">
        <v>2502</v>
      </c>
      <c r="V519" t="s">
        <v>2515</v>
      </c>
      <c r="W519" t="s">
        <v>2883</v>
      </c>
      <c r="X519" t="s">
        <v>2006</v>
      </c>
      <c r="Y519" t="s">
        <v>3624</v>
      </c>
      <c r="Z519">
        <v>241</v>
      </c>
      <c r="AA519" t="s">
        <v>3783</v>
      </c>
      <c r="AB519" t="s">
        <v>2006</v>
      </c>
      <c r="AC519">
        <v>1</v>
      </c>
      <c r="AD519">
        <v>1</v>
      </c>
      <c r="AE519">
        <v>0</v>
      </c>
      <c r="AF519">
        <v>201.76</v>
      </c>
      <c r="AH519" t="s">
        <v>3806</v>
      </c>
      <c r="AI519" t="s">
        <v>3809</v>
      </c>
      <c r="AJ519">
        <v>25200</v>
      </c>
      <c r="AK519" t="s">
        <v>3928</v>
      </c>
      <c r="AP519">
        <v>4.1</v>
      </c>
      <c r="AQ519" t="s">
        <v>323</v>
      </c>
      <c r="AR519" t="s">
        <v>4185</v>
      </c>
      <c r="AS519" t="s">
        <v>4210</v>
      </c>
      <c r="AT519" t="s">
        <v>4219</v>
      </c>
    </row>
    <row r="520" spans="1:46">
      <c r="A520" s="1">
        <f>HYPERLINK("https://lsnyc.legalserver.org/matter/dynamic-profile/view/1903654","19-1903654")</f>
        <v>0</v>
      </c>
      <c r="B520" t="s">
        <v>64</v>
      </c>
      <c r="C520" t="s">
        <v>255</v>
      </c>
      <c r="E520" t="s">
        <v>639</v>
      </c>
      <c r="F520" t="s">
        <v>1143</v>
      </c>
      <c r="G520" t="s">
        <v>1611</v>
      </c>
      <c r="H520" t="s">
        <v>1737</v>
      </c>
      <c r="I520">
        <v>11225</v>
      </c>
      <c r="J520" t="s">
        <v>2002</v>
      </c>
      <c r="K520" t="s">
        <v>2004</v>
      </c>
      <c r="L520" t="s">
        <v>2005</v>
      </c>
      <c r="M520" t="s">
        <v>2270</v>
      </c>
      <c r="N520" t="s">
        <v>2415</v>
      </c>
      <c r="O520" t="s">
        <v>2437</v>
      </c>
      <c r="Q520" t="s">
        <v>2003</v>
      </c>
      <c r="R520" t="s">
        <v>2455</v>
      </c>
      <c r="S520" t="s">
        <v>326</v>
      </c>
      <c r="T520">
        <v>678</v>
      </c>
      <c r="U520" t="s">
        <v>2497</v>
      </c>
      <c r="W520" t="s">
        <v>2884</v>
      </c>
      <c r="X520" t="s">
        <v>2006</v>
      </c>
      <c r="Y520" t="s">
        <v>3625</v>
      </c>
      <c r="Z520">
        <v>26</v>
      </c>
      <c r="AB520" t="s">
        <v>3800</v>
      </c>
      <c r="AC520">
        <v>19</v>
      </c>
      <c r="AD520">
        <v>2</v>
      </c>
      <c r="AE520">
        <v>3</v>
      </c>
      <c r="AF520">
        <v>95.66</v>
      </c>
      <c r="AH520" t="s">
        <v>3807</v>
      </c>
      <c r="AI520" t="s">
        <v>3809</v>
      </c>
      <c r="AJ520">
        <v>28860</v>
      </c>
      <c r="AP520">
        <v>1.4</v>
      </c>
      <c r="AQ520" t="s">
        <v>326</v>
      </c>
      <c r="AR520" t="s">
        <v>4185</v>
      </c>
      <c r="AS520" t="s">
        <v>4210</v>
      </c>
      <c r="AT520" t="s">
        <v>4219</v>
      </c>
    </row>
    <row r="521" spans="1:46">
      <c r="A521" s="1">
        <f>HYPERLINK("https://lsnyc.legalserver.org/matter/dynamic-profile/view/1903176","19-1903176")</f>
        <v>0</v>
      </c>
      <c r="B521" t="s">
        <v>64</v>
      </c>
      <c r="C521" t="s">
        <v>256</v>
      </c>
      <c r="E521" t="s">
        <v>640</v>
      </c>
      <c r="F521" t="s">
        <v>945</v>
      </c>
      <c r="G521" t="s">
        <v>1612</v>
      </c>
      <c r="H521" t="s">
        <v>1737</v>
      </c>
      <c r="I521">
        <v>11233</v>
      </c>
      <c r="J521" t="s">
        <v>2002</v>
      </c>
      <c r="K521" t="s">
        <v>2004</v>
      </c>
      <c r="L521" t="s">
        <v>2005</v>
      </c>
      <c r="M521" t="s">
        <v>2271</v>
      </c>
      <c r="N521" t="s">
        <v>2415</v>
      </c>
      <c r="Q521" t="s">
        <v>2003</v>
      </c>
      <c r="R521" t="s">
        <v>2451</v>
      </c>
      <c r="S521" t="s">
        <v>326</v>
      </c>
      <c r="T521">
        <v>1300</v>
      </c>
      <c r="U521" t="s">
        <v>2502</v>
      </c>
      <c r="W521" t="s">
        <v>2885</v>
      </c>
      <c r="X521" t="s">
        <v>2006</v>
      </c>
      <c r="Y521" t="s">
        <v>3626</v>
      </c>
      <c r="Z521">
        <v>6</v>
      </c>
      <c r="AA521" t="s">
        <v>3783</v>
      </c>
      <c r="AB521" t="s">
        <v>2006</v>
      </c>
      <c r="AC521">
        <v>10</v>
      </c>
      <c r="AD521">
        <v>1</v>
      </c>
      <c r="AE521">
        <v>0</v>
      </c>
      <c r="AF521">
        <v>376.3</v>
      </c>
      <c r="AI521" t="s">
        <v>3809</v>
      </c>
      <c r="AJ521">
        <v>47000</v>
      </c>
      <c r="AP521">
        <v>1.4</v>
      </c>
      <c r="AQ521" t="s">
        <v>332</v>
      </c>
      <c r="AR521" t="s">
        <v>4185</v>
      </c>
      <c r="AS521" t="s">
        <v>4210</v>
      </c>
      <c r="AT521" t="s">
        <v>4219</v>
      </c>
    </row>
    <row r="522" spans="1:46">
      <c r="A522" s="1">
        <f>HYPERLINK("https://lsnyc.legalserver.org/matter/dynamic-profile/view/1888436","19-1888436")</f>
        <v>0</v>
      </c>
      <c r="B522" t="s">
        <v>65</v>
      </c>
      <c r="C522" t="s">
        <v>159</v>
      </c>
      <c r="E522" t="s">
        <v>420</v>
      </c>
      <c r="F522" t="s">
        <v>1144</v>
      </c>
      <c r="G522" t="s">
        <v>1613</v>
      </c>
      <c r="H522" t="s">
        <v>1751</v>
      </c>
      <c r="I522">
        <v>11226</v>
      </c>
      <c r="J522" t="s">
        <v>2002</v>
      </c>
      <c r="K522" t="s">
        <v>2002</v>
      </c>
      <c r="M522" t="s">
        <v>2272</v>
      </c>
      <c r="N522" t="s">
        <v>2415</v>
      </c>
      <c r="O522" t="s">
        <v>2439</v>
      </c>
      <c r="Q522" t="s">
        <v>2003</v>
      </c>
      <c r="S522" t="s">
        <v>216</v>
      </c>
      <c r="T522">
        <v>1850</v>
      </c>
      <c r="U522" t="s">
        <v>2506</v>
      </c>
      <c r="W522" t="s">
        <v>2886</v>
      </c>
      <c r="X522" t="s">
        <v>3252</v>
      </c>
      <c r="Y522" t="s">
        <v>3627</v>
      </c>
      <c r="Z522">
        <v>16</v>
      </c>
      <c r="AA522" t="s">
        <v>3783</v>
      </c>
      <c r="AC522">
        <v>10</v>
      </c>
      <c r="AD522">
        <v>1</v>
      </c>
      <c r="AE522">
        <v>0</v>
      </c>
      <c r="AF522">
        <v>0</v>
      </c>
      <c r="AG522" t="s">
        <v>3803</v>
      </c>
      <c r="AH522" t="s">
        <v>3808</v>
      </c>
      <c r="AI522" t="s">
        <v>3809</v>
      </c>
      <c r="AJ522">
        <v>0</v>
      </c>
      <c r="AK522" t="s">
        <v>3929</v>
      </c>
      <c r="AP522">
        <v>3.1</v>
      </c>
      <c r="AQ522" t="s">
        <v>318</v>
      </c>
      <c r="AR522" t="s">
        <v>49</v>
      </c>
      <c r="AS522" t="s">
        <v>4214</v>
      </c>
      <c r="AT522" t="s">
        <v>4219</v>
      </c>
    </row>
    <row r="523" spans="1:46">
      <c r="A523" s="1">
        <f>HYPERLINK("https://lsnyc.legalserver.org/matter/dynamic-profile/view/1883805","18-1883805")</f>
        <v>0</v>
      </c>
      <c r="B523" t="s">
        <v>65</v>
      </c>
      <c r="C523" t="s">
        <v>236</v>
      </c>
      <c r="D523" t="s">
        <v>196</v>
      </c>
      <c r="E523" t="s">
        <v>641</v>
      </c>
      <c r="F523" t="s">
        <v>1005</v>
      </c>
      <c r="G523" t="s">
        <v>1381</v>
      </c>
      <c r="H523" t="s">
        <v>1860</v>
      </c>
      <c r="I523">
        <v>11212</v>
      </c>
      <c r="J523" t="s">
        <v>2002</v>
      </c>
      <c r="K523" t="s">
        <v>2002</v>
      </c>
      <c r="M523" t="s">
        <v>2273</v>
      </c>
      <c r="N523" t="s">
        <v>2415</v>
      </c>
      <c r="O523" t="s">
        <v>2440</v>
      </c>
      <c r="P523" t="s">
        <v>2449</v>
      </c>
      <c r="Q523" t="s">
        <v>2003</v>
      </c>
      <c r="R523" t="s">
        <v>2453</v>
      </c>
      <c r="S523" t="s">
        <v>2482</v>
      </c>
      <c r="T523">
        <v>0</v>
      </c>
      <c r="U523" t="s">
        <v>2504</v>
      </c>
      <c r="V523" t="s">
        <v>2524</v>
      </c>
      <c r="W523" t="s">
        <v>2887</v>
      </c>
      <c r="X523" t="s">
        <v>2006</v>
      </c>
      <c r="Y523" t="s">
        <v>3628</v>
      </c>
      <c r="Z523">
        <v>72</v>
      </c>
      <c r="AA523" t="s">
        <v>3783</v>
      </c>
      <c r="AB523" t="s">
        <v>2495</v>
      </c>
      <c r="AC523">
        <v>3</v>
      </c>
      <c r="AD523">
        <v>1</v>
      </c>
      <c r="AE523">
        <v>1</v>
      </c>
      <c r="AF523">
        <v>233.07</v>
      </c>
      <c r="AI523" t="s">
        <v>3809</v>
      </c>
      <c r="AJ523">
        <v>38364</v>
      </c>
      <c r="AK523" t="s">
        <v>3930</v>
      </c>
      <c r="AP523">
        <v>10.25</v>
      </c>
      <c r="AQ523" t="s">
        <v>196</v>
      </c>
      <c r="AR523" t="s">
        <v>4185</v>
      </c>
      <c r="AS523" t="s">
        <v>4214</v>
      </c>
      <c r="AT523" t="s">
        <v>4219</v>
      </c>
    </row>
    <row r="524" spans="1:46">
      <c r="A524" s="1">
        <f>HYPERLINK("https://lsnyc.legalserver.org/matter/dynamic-profile/view/1883573","18-1883573")</f>
        <v>0</v>
      </c>
      <c r="B524" t="s">
        <v>65</v>
      </c>
      <c r="C524" t="s">
        <v>145</v>
      </c>
      <c r="D524" t="s">
        <v>324</v>
      </c>
      <c r="E524" t="s">
        <v>642</v>
      </c>
      <c r="F524" t="s">
        <v>1145</v>
      </c>
      <c r="G524" t="s">
        <v>1614</v>
      </c>
      <c r="I524">
        <v>11207</v>
      </c>
      <c r="J524" t="s">
        <v>2002</v>
      </c>
      <c r="K524" t="s">
        <v>2002</v>
      </c>
      <c r="M524" t="s">
        <v>2274</v>
      </c>
      <c r="N524" t="s">
        <v>2425</v>
      </c>
      <c r="O524" t="s">
        <v>2436</v>
      </c>
      <c r="P524" t="s">
        <v>2448</v>
      </c>
      <c r="Q524" t="s">
        <v>2003</v>
      </c>
      <c r="R524" t="s">
        <v>2454</v>
      </c>
      <c r="S524" t="s">
        <v>328</v>
      </c>
      <c r="T524">
        <v>1200</v>
      </c>
      <c r="U524" t="s">
        <v>2497</v>
      </c>
      <c r="V524" t="s">
        <v>2518</v>
      </c>
      <c r="W524" t="s">
        <v>2888</v>
      </c>
      <c r="X524" t="s">
        <v>3253</v>
      </c>
      <c r="Y524" t="s">
        <v>3629</v>
      </c>
      <c r="Z524">
        <v>6</v>
      </c>
      <c r="AA524" t="s">
        <v>3783</v>
      </c>
      <c r="AB524" t="s">
        <v>3796</v>
      </c>
      <c r="AC524">
        <v>6</v>
      </c>
      <c r="AD524">
        <v>2</v>
      </c>
      <c r="AE524">
        <v>1</v>
      </c>
      <c r="AF524">
        <v>36.96</v>
      </c>
      <c r="AI524" t="s">
        <v>3809</v>
      </c>
      <c r="AJ524">
        <v>7680</v>
      </c>
      <c r="AP524">
        <v>13.5</v>
      </c>
      <c r="AQ524" t="s">
        <v>324</v>
      </c>
      <c r="AR524" t="s">
        <v>49</v>
      </c>
      <c r="AS524" t="s">
        <v>4210</v>
      </c>
      <c r="AT524" t="s">
        <v>4219</v>
      </c>
    </row>
    <row r="525" spans="1:46">
      <c r="A525" s="1">
        <f>HYPERLINK("https://lsnyc.legalserver.org/matter/dynamic-profile/view/1882302","18-1882302")</f>
        <v>0</v>
      </c>
      <c r="B525" t="s">
        <v>65</v>
      </c>
      <c r="C525" t="s">
        <v>223</v>
      </c>
      <c r="D525" t="s">
        <v>318</v>
      </c>
      <c r="E525" t="s">
        <v>386</v>
      </c>
      <c r="F525" t="s">
        <v>895</v>
      </c>
      <c r="G525" t="s">
        <v>1393</v>
      </c>
      <c r="H525" t="s">
        <v>1752</v>
      </c>
      <c r="I525">
        <v>11207</v>
      </c>
      <c r="J525" t="s">
        <v>2002</v>
      </c>
      <c r="K525" t="s">
        <v>2002</v>
      </c>
      <c r="M525" t="s">
        <v>2044</v>
      </c>
      <c r="N525" t="s">
        <v>2429</v>
      </c>
      <c r="O525" t="s">
        <v>2441</v>
      </c>
      <c r="P525" t="s">
        <v>2449</v>
      </c>
      <c r="Q525" t="s">
        <v>2003</v>
      </c>
      <c r="R525" t="s">
        <v>2451</v>
      </c>
      <c r="S525" t="s">
        <v>96</v>
      </c>
      <c r="T525">
        <v>1277</v>
      </c>
      <c r="U525" t="s">
        <v>2497</v>
      </c>
      <c r="V525" t="s">
        <v>2524</v>
      </c>
      <c r="W525" t="s">
        <v>2581</v>
      </c>
      <c r="X525" t="s">
        <v>3169</v>
      </c>
      <c r="Y525" t="s">
        <v>3353</v>
      </c>
      <c r="Z525">
        <v>6</v>
      </c>
      <c r="AA525" t="s">
        <v>3783</v>
      </c>
      <c r="AB525" t="s">
        <v>3795</v>
      </c>
      <c r="AC525">
        <v>23</v>
      </c>
      <c r="AD525">
        <v>2</v>
      </c>
      <c r="AE525">
        <v>1</v>
      </c>
      <c r="AF525">
        <v>86.58</v>
      </c>
      <c r="AI525" t="s">
        <v>3809</v>
      </c>
      <c r="AJ525">
        <v>17992</v>
      </c>
      <c r="AP525">
        <v>48.25</v>
      </c>
      <c r="AQ525" t="s">
        <v>318</v>
      </c>
      <c r="AR525" t="s">
        <v>4185</v>
      </c>
      <c r="AS525" t="s">
        <v>4214</v>
      </c>
      <c r="AT525" t="s">
        <v>4219</v>
      </c>
    </row>
    <row r="526" spans="1:46">
      <c r="A526" s="1">
        <f>HYPERLINK("https://lsnyc.legalserver.org/matter/dynamic-profile/view/1882304","18-1882304")</f>
        <v>0</v>
      </c>
      <c r="B526" t="s">
        <v>65</v>
      </c>
      <c r="C526" t="s">
        <v>223</v>
      </c>
      <c r="D526" t="s">
        <v>251</v>
      </c>
      <c r="E526" t="s">
        <v>378</v>
      </c>
      <c r="F526" t="s">
        <v>889</v>
      </c>
      <c r="G526" t="s">
        <v>1385</v>
      </c>
      <c r="H526">
        <v>2</v>
      </c>
      <c r="I526">
        <v>11208</v>
      </c>
      <c r="J526" t="s">
        <v>2002</v>
      </c>
      <c r="K526" t="s">
        <v>2002</v>
      </c>
      <c r="M526" t="s">
        <v>2037</v>
      </c>
      <c r="N526" t="s">
        <v>2422</v>
      </c>
      <c r="O526" t="s">
        <v>2441</v>
      </c>
      <c r="P526" t="s">
        <v>2449</v>
      </c>
      <c r="Q526" t="s">
        <v>2003</v>
      </c>
      <c r="R526" t="s">
        <v>2451</v>
      </c>
      <c r="S526" t="s">
        <v>223</v>
      </c>
      <c r="T526">
        <v>1975</v>
      </c>
      <c r="U526" t="s">
        <v>2500</v>
      </c>
      <c r="V526" t="s">
        <v>2524</v>
      </c>
      <c r="W526" t="s">
        <v>2573</v>
      </c>
      <c r="X526" t="s">
        <v>3165</v>
      </c>
      <c r="Y526" t="s">
        <v>3346</v>
      </c>
      <c r="Z526">
        <v>4</v>
      </c>
      <c r="AA526" t="s">
        <v>3784</v>
      </c>
      <c r="AB526" t="s">
        <v>3794</v>
      </c>
      <c r="AC526">
        <v>3</v>
      </c>
      <c r="AD526">
        <v>2</v>
      </c>
      <c r="AE526">
        <v>4</v>
      </c>
      <c r="AF526">
        <v>100.18</v>
      </c>
      <c r="AI526" t="s">
        <v>3809</v>
      </c>
      <c r="AJ526">
        <v>33800</v>
      </c>
      <c r="AP526">
        <v>28</v>
      </c>
      <c r="AQ526" t="s">
        <v>251</v>
      </c>
      <c r="AR526" t="s">
        <v>4185</v>
      </c>
      <c r="AS526" t="s">
        <v>4214</v>
      </c>
      <c r="AT526" t="s">
        <v>4219</v>
      </c>
    </row>
    <row r="527" spans="1:46">
      <c r="A527" s="1">
        <f>HYPERLINK("https://lsnyc.legalserver.org/matter/dynamic-profile/view/1885067","18-1885067")</f>
        <v>0</v>
      </c>
      <c r="B527" t="s">
        <v>65</v>
      </c>
      <c r="C527" t="s">
        <v>97</v>
      </c>
      <c r="D527" t="s">
        <v>128</v>
      </c>
      <c r="E527" t="s">
        <v>398</v>
      </c>
      <c r="F527" t="s">
        <v>1146</v>
      </c>
      <c r="G527" t="s">
        <v>1615</v>
      </c>
      <c r="H527" t="s">
        <v>1861</v>
      </c>
      <c r="I527">
        <v>11239</v>
      </c>
      <c r="J527" t="s">
        <v>2002</v>
      </c>
      <c r="K527" t="s">
        <v>2002</v>
      </c>
      <c r="M527" t="s">
        <v>2027</v>
      </c>
      <c r="N527" t="s">
        <v>2430</v>
      </c>
      <c r="O527" t="s">
        <v>2440</v>
      </c>
      <c r="P527" t="s">
        <v>2444</v>
      </c>
      <c r="Q527" t="s">
        <v>2003</v>
      </c>
      <c r="R527" t="s">
        <v>2451</v>
      </c>
      <c r="S527" t="s">
        <v>137</v>
      </c>
      <c r="T527">
        <v>0</v>
      </c>
      <c r="U527" t="s">
        <v>2509</v>
      </c>
      <c r="V527" t="s">
        <v>2515</v>
      </c>
      <c r="W527" t="s">
        <v>2889</v>
      </c>
      <c r="X527" t="s">
        <v>3254</v>
      </c>
      <c r="Y527" t="s">
        <v>3630</v>
      </c>
      <c r="Z527">
        <v>1463</v>
      </c>
      <c r="AA527" t="s">
        <v>3787</v>
      </c>
      <c r="AC527">
        <v>0</v>
      </c>
      <c r="AD527">
        <v>3</v>
      </c>
      <c r="AE527">
        <v>0</v>
      </c>
      <c r="AF527">
        <v>32.92</v>
      </c>
      <c r="AI527" t="s">
        <v>3809</v>
      </c>
      <c r="AJ527">
        <v>6840</v>
      </c>
      <c r="AP527">
        <v>1.65</v>
      </c>
      <c r="AQ527" t="s">
        <v>129</v>
      </c>
      <c r="AR527" t="s">
        <v>4204</v>
      </c>
      <c r="AS527" t="s">
        <v>4210</v>
      </c>
      <c r="AT527" t="s">
        <v>4219</v>
      </c>
    </row>
    <row r="528" spans="1:46">
      <c r="A528" s="1">
        <f>HYPERLINK("https://lsnyc.legalserver.org/matter/dynamic-profile/view/1885286","18-1885286")</f>
        <v>0</v>
      </c>
      <c r="B528" t="s">
        <v>65</v>
      </c>
      <c r="C528" t="s">
        <v>98</v>
      </c>
      <c r="D528" t="s">
        <v>324</v>
      </c>
      <c r="E528" t="s">
        <v>643</v>
      </c>
      <c r="F528" t="s">
        <v>1147</v>
      </c>
      <c r="G528" t="s">
        <v>1616</v>
      </c>
      <c r="H528" t="s">
        <v>1737</v>
      </c>
      <c r="I528">
        <v>11208</v>
      </c>
      <c r="J528" t="s">
        <v>2002</v>
      </c>
      <c r="K528" t="s">
        <v>2002</v>
      </c>
      <c r="M528" t="s">
        <v>2027</v>
      </c>
      <c r="N528" t="s">
        <v>2431</v>
      </c>
      <c r="O528" t="s">
        <v>2436</v>
      </c>
      <c r="P528" t="s">
        <v>2443</v>
      </c>
      <c r="Q528" t="s">
        <v>2003</v>
      </c>
      <c r="R528" t="s">
        <v>2451</v>
      </c>
      <c r="S528" t="s">
        <v>137</v>
      </c>
      <c r="T528">
        <v>1268</v>
      </c>
      <c r="U528" t="s">
        <v>2497</v>
      </c>
      <c r="V528" t="s">
        <v>2518</v>
      </c>
      <c r="W528" t="s">
        <v>2890</v>
      </c>
      <c r="X528" t="s">
        <v>3255</v>
      </c>
      <c r="Y528" t="s">
        <v>3631</v>
      </c>
      <c r="Z528">
        <v>0</v>
      </c>
      <c r="AA528" t="s">
        <v>3783</v>
      </c>
      <c r="AB528" t="s">
        <v>3794</v>
      </c>
      <c r="AC528">
        <v>4</v>
      </c>
      <c r="AD528">
        <v>1</v>
      </c>
      <c r="AE528">
        <v>0</v>
      </c>
      <c r="AF528">
        <v>119.93</v>
      </c>
      <c r="AI528" t="s">
        <v>3809</v>
      </c>
      <c r="AJ528">
        <v>14560</v>
      </c>
      <c r="AP528">
        <v>3.75</v>
      </c>
      <c r="AQ528" t="s">
        <v>324</v>
      </c>
      <c r="AR528" t="s">
        <v>4185</v>
      </c>
      <c r="AS528" t="s">
        <v>4210</v>
      </c>
      <c r="AT528" t="s">
        <v>4219</v>
      </c>
    </row>
    <row r="529" spans="1:46">
      <c r="A529" s="1">
        <f>HYPERLINK("https://lsnyc.legalserver.org/matter/dynamic-profile/view/1889163","19-1889163")</f>
        <v>0</v>
      </c>
      <c r="B529" t="s">
        <v>65</v>
      </c>
      <c r="C529" t="s">
        <v>257</v>
      </c>
      <c r="E529" t="s">
        <v>644</v>
      </c>
      <c r="F529" t="s">
        <v>1148</v>
      </c>
      <c r="G529" t="s">
        <v>1617</v>
      </c>
      <c r="H529" t="s">
        <v>1862</v>
      </c>
      <c r="I529">
        <v>11208</v>
      </c>
      <c r="J529" t="s">
        <v>2002</v>
      </c>
      <c r="K529" t="s">
        <v>2002</v>
      </c>
      <c r="M529" t="s">
        <v>2275</v>
      </c>
      <c r="N529" t="s">
        <v>2430</v>
      </c>
      <c r="O529" t="s">
        <v>2441</v>
      </c>
      <c r="Q529" t="s">
        <v>2003</v>
      </c>
      <c r="S529" t="s">
        <v>131</v>
      </c>
      <c r="T529">
        <v>0</v>
      </c>
      <c r="U529" t="s">
        <v>2501</v>
      </c>
      <c r="W529" t="s">
        <v>2891</v>
      </c>
      <c r="X529" t="s">
        <v>3256</v>
      </c>
      <c r="Y529" t="s">
        <v>3632</v>
      </c>
      <c r="Z529">
        <v>3</v>
      </c>
      <c r="AC529">
        <v>0</v>
      </c>
      <c r="AD529">
        <v>3</v>
      </c>
      <c r="AE529">
        <v>2</v>
      </c>
      <c r="AF529">
        <v>69.75</v>
      </c>
      <c r="AI529" t="s">
        <v>3809</v>
      </c>
      <c r="AJ529">
        <v>21044</v>
      </c>
      <c r="AP529">
        <v>4.6</v>
      </c>
      <c r="AQ529" t="s">
        <v>249</v>
      </c>
      <c r="AR529" t="s">
        <v>49</v>
      </c>
      <c r="AS529" t="s">
        <v>4214</v>
      </c>
      <c r="AT529" t="s">
        <v>4219</v>
      </c>
    </row>
    <row r="530" spans="1:46">
      <c r="A530" s="1">
        <f>HYPERLINK("https://lsnyc.legalserver.org/matter/dynamic-profile/view/1882893","18-1882893")</f>
        <v>0</v>
      </c>
      <c r="B530" t="s">
        <v>65</v>
      </c>
      <c r="C530" t="s">
        <v>117</v>
      </c>
      <c r="E530" t="s">
        <v>432</v>
      </c>
      <c r="F530" t="s">
        <v>941</v>
      </c>
      <c r="G530" t="s">
        <v>1440</v>
      </c>
      <c r="H530" t="s">
        <v>1748</v>
      </c>
      <c r="I530">
        <v>11233</v>
      </c>
      <c r="J530" t="s">
        <v>2002</v>
      </c>
      <c r="K530" t="s">
        <v>2002</v>
      </c>
      <c r="M530" t="s">
        <v>2095</v>
      </c>
      <c r="N530" t="s">
        <v>2422</v>
      </c>
      <c r="O530" t="s">
        <v>2441</v>
      </c>
      <c r="Q530" t="s">
        <v>2003</v>
      </c>
      <c r="R530" t="s">
        <v>2454</v>
      </c>
      <c r="S530" t="s">
        <v>232</v>
      </c>
      <c r="T530">
        <v>1515</v>
      </c>
      <c r="U530" t="s">
        <v>2500</v>
      </c>
      <c r="V530" t="s">
        <v>2513</v>
      </c>
      <c r="W530" t="s">
        <v>2629</v>
      </c>
      <c r="X530" t="s">
        <v>3194</v>
      </c>
      <c r="Y530" t="s">
        <v>3398</v>
      </c>
      <c r="Z530">
        <v>6</v>
      </c>
      <c r="AA530" t="s">
        <v>3783</v>
      </c>
      <c r="AB530" t="s">
        <v>3799</v>
      </c>
      <c r="AC530">
        <v>5</v>
      </c>
      <c r="AD530">
        <v>1</v>
      </c>
      <c r="AE530">
        <v>0</v>
      </c>
      <c r="AF530">
        <v>18.2</v>
      </c>
      <c r="AI530" t="s">
        <v>3809</v>
      </c>
      <c r="AJ530">
        <v>2210</v>
      </c>
      <c r="AP530">
        <v>12.75</v>
      </c>
      <c r="AQ530" t="s">
        <v>318</v>
      </c>
      <c r="AR530" t="s">
        <v>49</v>
      </c>
      <c r="AS530" t="s">
        <v>4214</v>
      </c>
      <c r="AT530" t="s">
        <v>4219</v>
      </c>
    </row>
    <row r="531" spans="1:46">
      <c r="A531" s="1">
        <f>HYPERLINK("https://lsnyc.legalserver.org/matter/dynamic-profile/view/1885309","18-1885309")</f>
        <v>0</v>
      </c>
      <c r="B531" t="s">
        <v>65</v>
      </c>
      <c r="C531" t="s">
        <v>98</v>
      </c>
      <c r="D531" t="s">
        <v>318</v>
      </c>
      <c r="E531" t="s">
        <v>434</v>
      </c>
      <c r="F531" t="s">
        <v>882</v>
      </c>
      <c r="G531" t="s">
        <v>1442</v>
      </c>
      <c r="H531" t="s">
        <v>1772</v>
      </c>
      <c r="I531">
        <v>11207</v>
      </c>
      <c r="J531" t="s">
        <v>2002</v>
      </c>
      <c r="K531" t="s">
        <v>2002</v>
      </c>
      <c r="M531" t="s">
        <v>2097</v>
      </c>
      <c r="N531" t="s">
        <v>2431</v>
      </c>
      <c r="O531" t="s">
        <v>2441</v>
      </c>
      <c r="P531" t="s">
        <v>2449</v>
      </c>
      <c r="Q531" t="s">
        <v>2003</v>
      </c>
      <c r="R531" t="s">
        <v>2454</v>
      </c>
      <c r="S531" t="s">
        <v>231</v>
      </c>
      <c r="T531">
        <v>2006</v>
      </c>
      <c r="U531" t="s">
        <v>2497</v>
      </c>
      <c r="V531" t="s">
        <v>2524</v>
      </c>
      <c r="W531" t="s">
        <v>2631</v>
      </c>
      <c r="X531">
        <v>33709173</v>
      </c>
      <c r="Y531" t="s">
        <v>3400</v>
      </c>
      <c r="Z531">
        <v>14</v>
      </c>
      <c r="AA531" t="s">
        <v>3783</v>
      </c>
      <c r="AB531" t="s">
        <v>3794</v>
      </c>
      <c r="AC531">
        <v>3</v>
      </c>
      <c r="AD531">
        <v>3</v>
      </c>
      <c r="AE531">
        <v>2</v>
      </c>
      <c r="AF531">
        <v>61.18</v>
      </c>
      <c r="AI531" t="s">
        <v>3809</v>
      </c>
      <c r="AJ531">
        <v>18000</v>
      </c>
      <c r="AP531">
        <v>43.75</v>
      </c>
      <c r="AQ531" t="s">
        <v>196</v>
      </c>
      <c r="AR531" t="s">
        <v>4185</v>
      </c>
      <c r="AS531" t="s">
        <v>4214</v>
      </c>
      <c r="AT531" t="s">
        <v>4219</v>
      </c>
    </row>
    <row r="532" spans="1:46">
      <c r="A532" s="1">
        <f>HYPERLINK("https://lsnyc.legalserver.org/matter/dynamic-profile/view/1886701","18-1886701")</f>
        <v>0</v>
      </c>
      <c r="B532" t="s">
        <v>65</v>
      </c>
      <c r="C532" t="s">
        <v>219</v>
      </c>
      <c r="D532" t="s">
        <v>238</v>
      </c>
      <c r="E532" t="s">
        <v>435</v>
      </c>
      <c r="F532" t="s">
        <v>942</v>
      </c>
      <c r="G532" t="s">
        <v>1443</v>
      </c>
      <c r="H532" t="s">
        <v>1782</v>
      </c>
      <c r="I532">
        <v>11233</v>
      </c>
      <c r="J532" t="s">
        <v>2002</v>
      </c>
      <c r="K532" t="s">
        <v>2002</v>
      </c>
      <c r="M532" t="s">
        <v>2098</v>
      </c>
      <c r="N532" t="s">
        <v>2422</v>
      </c>
      <c r="O532" t="s">
        <v>2440</v>
      </c>
      <c r="P532" t="s">
        <v>2449</v>
      </c>
      <c r="Q532" t="s">
        <v>2003</v>
      </c>
      <c r="R532" t="s">
        <v>2451</v>
      </c>
      <c r="S532" t="s">
        <v>129</v>
      </c>
      <c r="T532">
        <v>1542</v>
      </c>
      <c r="U532" t="s">
        <v>2509</v>
      </c>
      <c r="V532" t="s">
        <v>2524</v>
      </c>
      <c r="W532" t="s">
        <v>2632</v>
      </c>
      <c r="X532" t="s">
        <v>3195</v>
      </c>
      <c r="Y532" t="s">
        <v>3401</v>
      </c>
      <c r="Z532">
        <v>200</v>
      </c>
      <c r="AA532" t="s">
        <v>3783</v>
      </c>
      <c r="AB532" t="s">
        <v>3793</v>
      </c>
      <c r="AC532">
        <v>10</v>
      </c>
      <c r="AD532">
        <v>1</v>
      </c>
      <c r="AE532">
        <v>2</v>
      </c>
      <c r="AF532">
        <v>159.15</v>
      </c>
      <c r="AI532" t="s">
        <v>3809</v>
      </c>
      <c r="AJ532">
        <v>33072</v>
      </c>
      <c r="AP532">
        <v>5.5</v>
      </c>
      <c r="AQ532" t="s">
        <v>238</v>
      </c>
      <c r="AR532" t="s">
        <v>49</v>
      </c>
      <c r="AS532" t="s">
        <v>4214</v>
      </c>
      <c r="AT532" t="s">
        <v>4219</v>
      </c>
    </row>
    <row r="533" spans="1:46">
      <c r="A533" s="1">
        <f>HYPERLINK("https://lsnyc.legalserver.org/matter/dynamic-profile/view/1892183","19-1892183")</f>
        <v>0</v>
      </c>
      <c r="B533" t="s">
        <v>65</v>
      </c>
      <c r="C533" t="s">
        <v>242</v>
      </c>
      <c r="D533" t="s">
        <v>321</v>
      </c>
      <c r="E533" t="s">
        <v>429</v>
      </c>
      <c r="F533" t="s">
        <v>951</v>
      </c>
      <c r="G533" t="s">
        <v>1451</v>
      </c>
      <c r="H533">
        <v>414</v>
      </c>
      <c r="I533">
        <v>11207</v>
      </c>
      <c r="J533" t="s">
        <v>2002</v>
      </c>
      <c r="K533" t="s">
        <v>2002</v>
      </c>
      <c r="M533" t="s">
        <v>2107</v>
      </c>
      <c r="N533" t="s">
        <v>2415</v>
      </c>
      <c r="O533" t="s">
        <v>2441</v>
      </c>
      <c r="P533" t="s">
        <v>2449</v>
      </c>
      <c r="Q533" t="s">
        <v>2003</v>
      </c>
      <c r="S533" t="s">
        <v>138</v>
      </c>
      <c r="T533">
        <v>1275</v>
      </c>
      <c r="V533" t="s">
        <v>2524</v>
      </c>
      <c r="W533" t="s">
        <v>2642</v>
      </c>
      <c r="Y533" t="s">
        <v>3411</v>
      </c>
      <c r="Z533">
        <v>0</v>
      </c>
      <c r="AA533" t="s">
        <v>3783</v>
      </c>
      <c r="AC533">
        <v>1</v>
      </c>
      <c r="AD533">
        <v>3</v>
      </c>
      <c r="AE533">
        <v>1</v>
      </c>
      <c r="AF533">
        <v>220.77</v>
      </c>
      <c r="AI533" t="s">
        <v>3812</v>
      </c>
      <c r="AJ533">
        <v>56848</v>
      </c>
      <c r="AP533">
        <v>10</v>
      </c>
      <c r="AQ533" t="s">
        <v>321</v>
      </c>
      <c r="AR533" t="s">
        <v>49</v>
      </c>
      <c r="AS533" t="s">
        <v>4214</v>
      </c>
      <c r="AT533" t="s">
        <v>4219</v>
      </c>
    </row>
    <row r="534" spans="1:46">
      <c r="A534" s="1">
        <f>HYPERLINK("https://lsnyc.legalserver.org/matter/dynamic-profile/view/1889837","19-1889837")</f>
        <v>0</v>
      </c>
      <c r="B534" t="s">
        <v>65</v>
      </c>
      <c r="C534" t="s">
        <v>160</v>
      </c>
      <c r="D534" t="s">
        <v>314</v>
      </c>
      <c r="E534" t="s">
        <v>645</v>
      </c>
      <c r="F534" t="s">
        <v>1149</v>
      </c>
      <c r="G534" t="s">
        <v>1618</v>
      </c>
      <c r="H534" t="s">
        <v>1760</v>
      </c>
      <c r="I534">
        <v>11208</v>
      </c>
      <c r="J534" t="s">
        <v>2002</v>
      </c>
      <c r="K534" t="s">
        <v>2002</v>
      </c>
      <c r="M534" t="s">
        <v>2027</v>
      </c>
      <c r="N534" t="s">
        <v>2422</v>
      </c>
      <c r="O534" t="s">
        <v>2440</v>
      </c>
      <c r="P534" t="s">
        <v>2449</v>
      </c>
      <c r="Q534" t="s">
        <v>2003</v>
      </c>
      <c r="S534" t="s">
        <v>103</v>
      </c>
      <c r="T534">
        <v>1303</v>
      </c>
      <c r="U534" t="s">
        <v>2497</v>
      </c>
      <c r="V534" t="s">
        <v>2524</v>
      </c>
      <c r="W534" t="s">
        <v>2892</v>
      </c>
      <c r="X534" t="s">
        <v>3257</v>
      </c>
      <c r="Y534" t="s">
        <v>3633</v>
      </c>
      <c r="Z534">
        <v>12</v>
      </c>
      <c r="AA534" t="s">
        <v>2156</v>
      </c>
      <c r="AB534" t="s">
        <v>3795</v>
      </c>
      <c r="AC534">
        <v>2</v>
      </c>
      <c r="AD534">
        <v>1</v>
      </c>
      <c r="AE534">
        <v>1</v>
      </c>
      <c r="AF534">
        <v>97.70999999999999</v>
      </c>
      <c r="AI534" t="s">
        <v>3810</v>
      </c>
      <c r="AJ534">
        <v>16523</v>
      </c>
      <c r="AP534">
        <v>65.5</v>
      </c>
      <c r="AQ534" t="s">
        <v>314</v>
      </c>
      <c r="AR534" t="s">
        <v>4185</v>
      </c>
      <c r="AS534" t="s">
        <v>4214</v>
      </c>
      <c r="AT534" t="s">
        <v>4219</v>
      </c>
    </row>
    <row r="535" spans="1:46">
      <c r="A535" s="1">
        <f>HYPERLINK("https://lsnyc.legalserver.org/matter/dynamic-profile/view/1889794","19-1889794")</f>
        <v>0</v>
      </c>
      <c r="B535" t="s">
        <v>65</v>
      </c>
      <c r="C535" t="s">
        <v>160</v>
      </c>
      <c r="D535" t="s">
        <v>324</v>
      </c>
      <c r="E535" t="s">
        <v>545</v>
      </c>
      <c r="F535" t="s">
        <v>511</v>
      </c>
      <c r="G535" t="s">
        <v>1495</v>
      </c>
      <c r="H535" t="s">
        <v>1863</v>
      </c>
      <c r="I535">
        <v>11236</v>
      </c>
      <c r="J535" t="s">
        <v>2002</v>
      </c>
      <c r="K535" t="s">
        <v>2002</v>
      </c>
      <c r="M535" t="s">
        <v>2276</v>
      </c>
      <c r="N535" t="s">
        <v>2422</v>
      </c>
      <c r="O535" t="s">
        <v>2441</v>
      </c>
      <c r="P535" t="s">
        <v>2449</v>
      </c>
      <c r="Q535" t="s">
        <v>2003</v>
      </c>
      <c r="R535" t="s">
        <v>2454</v>
      </c>
      <c r="S535" t="s">
        <v>103</v>
      </c>
      <c r="T535">
        <v>869</v>
      </c>
      <c r="U535" t="s">
        <v>2494</v>
      </c>
      <c r="V535" t="s">
        <v>2524</v>
      </c>
      <c r="W535" t="s">
        <v>2893</v>
      </c>
      <c r="Y535" t="s">
        <v>3634</v>
      </c>
      <c r="Z535">
        <v>113</v>
      </c>
      <c r="AA535" t="s">
        <v>3783</v>
      </c>
      <c r="AB535" t="s">
        <v>2006</v>
      </c>
      <c r="AC535">
        <v>15</v>
      </c>
      <c r="AD535">
        <v>1</v>
      </c>
      <c r="AE535">
        <v>0</v>
      </c>
      <c r="AF535">
        <v>457.97</v>
      </c>
      <c r="AI535" t="s">
        <v>3809</v>
      </c>
      <c r="AJ535">
        <v>57200</v>
      </c>
      <c r="AK535" t="s">
        <v>3931</v>
      </c>
      <c r="AP535">
        <v>4.25</v>
      </c>
      <c r="AQ535" t="s">
        <v>324</v>
      </c>
      <c r="AR535" t="s">
        <v>49</v>
      </c>
      <c r="AS535" t="s">
        <v>4214</v>
      </c>
      <c r="AT535" t="s">
        <v>4219</v>
      </c>
    </row>
    <row r="536" spans="1:46">
      <c r="A536" s="1">
        <f>HYPERLINK("https://lsnyc.legalserver.org/matter/dynamic-profile/view/1900750","19-1900750")</f>
        <v>0</v>
      </c>
      <c r="B536" t="s">
        <v>65</v>
      </c>
      <c r="C536" t="s">
        <v>258</v>
      </c>
      <c r="D536" t="s">
        <v>325</v>
      </c>
      <c r="E536" t="s">
        <v>421</v>
      </c>
      <c r="F536" t="s">
        <v>952</v>
      </c>
      <c r="G536" t="s">
        <v>1452</v>
      </c>
      <c r="H536" t="s">
        <v>1746</v>
      </c>
      <c r="I536">
        <v>11233</v>
      </c>
      <c r="J536" t="s">
        <v>2002</v>
      </c>
      <c r="K536" t="s">
        <v>2004</v>
      </c>
      <c r="L536" t="s">
        <v>2007</v>
      </c>
      <c r="N536" t="s">
        <v>2422</v>
      </c>
      <c r="O536" t="s">
        <v>2439</v>
      </c>
      <c r="P536" t="s">
        <v>2444</v>
      </c>
      <c r="Q536" t="s">
        <v>2003</v>
      </c>
      <c r="R536" t="s">
        <v>2451</v>
      </c>
      <c r="S536" t="s">
        <v>241</v>
      </c>
      <c r="T536">
        <v>1200</v>
      </c>
      <c r="U536" t="s">
        <v>2495</v>
      </c>
      <c r="V536" t="s">
        <v>2525</v>
      </c>
      <c r="W536" t="s">
        <v>2643</v>
      </c>
      <c r="X536" t="s">
        <v>3199</v>
      </c>
      <c r="Y536" t="s">
        <v>3412</v>
      </c>
      <c r="Z536">
        <v>6</v>
      </c>
      <c r="AA536" t="s">
        <v>3783</v>
      </c>
      <c r="AB536" t="s">
        <v>3796</v>
      </c>
      <c r="AC536">
        <v>10</v>
      </c>
      <c r="AD536">
        <v>1</v>
      </c>
      <c r="AE536">
        <v>2</v>
      </c>
      <c r="AF536">
        <v>0</v>
      </c>
      <c r="AI536" t="s">
        <v>3809</v>
      </c>
      <c r="AJ536">
        <v>0</v>
      </c>
      <c r="AP536">
        <v>1.5</v>
      </c>
      <c r="AQ536" t="s">
        <v>325</v>
      </c>
      <c r="AR536" t="s">
        <v>4185</v>
      </c>
      <c r="AS536" t="s">
        <v>4214</v>
      </c>
      <c r="AT536" t="s">
        <v>4219</v>
      </c>
    </row>
    <row r="537" spans="1:46">
      <c r="A537" s="1">
        <f>HYPERLINK("https://lsnyc.legalserver.org/matter/dynamic-profile/view/1894711","19-1894711")</f>
        <v>0</v>
      </c>
      <c r="B537" t="s">
        <v>65</v>
      </c>
      <c r="C537" t="s">
        <v>139</v>
      </c>
      <c r="E537" t="s">
        <v>424</v>
      </c>
      <c r="F537" t="s">
        <v>933</v>
      </c>
      <c r="G537" t="s">
        <v>1432</v>
      </c>
      <c r="H537" t="s">
        <v>1779</v>
      </c>
      <c r="I537">
        <v>11208</v>
      </c>
      <c r="J537" t="s">
        <v>2002</v>
      </c>
      <c r="K537" t="s">
        <v>2003</v>
      </c>
      <c r="L537" t="s">
        <v>2005</v>
      </c>
      <c r="N537" t="s">
        <v>2430</v>
      </c>
      <c r="O537" t="s">
        <v>2440</v>
      </c>
      <c r="Q537" t="s">
        <v>2003</v>
      </c>
      <c r="R537" t="s">
        <v>2451</v>
      </c>
      <c r="S537" t="s">
        <v>247</v>
      </c>
      <c r="T537">
        <v>859</v>
      </c>
      <c r="U537" t="s">
        <v>2502</v>
      </c>
      <c r="W537" t="s">
        <v>2621</v>
      </c>
      <c r="X537" t="s">
        <v>2058</v>
      </c>
      <c r="Y537" t="s">
        <v>3391</v>
      </c>
      <c r="Z537">
        <v>1276</v>
      </c>
      <c r="AA537" t="s">
        <v>3783</v>
      </c>
      <c r="AB537" t="s">
        <v>3793</v>
      </c>
      <c r="AC537">
        <v>2</v>
      </c>
      <c r="AD537">
        <v>1</v>
      </c>
      <c r="AE537">
        <v>0</v>
      </c>
      <c r="AF537">
        <v>176.11</v>
      </c>
      <c r="AI537" t="s">
        <v>3809</v>
      </c>
      <c r="AJ537">
        <v>21996</v>
      </c>
      <c r="AP537">
        <v>2.25</v>
      </c>
      <c r="AQ537" t="s">
        <v>158</v>
      </c>
      <c r="AR537" t="s">
        <v>4185</v>
      </c>
      <c r="AS537" t="s">
        <v>4210</v>
      </c>
      <c r="AT537" t="s">
        <v>4219</v>
      </c>
    </row>
    <row r="538" spans="1:46">
      <c r="A538" s="1">
        <f>HYPERLINK("https://lsnyc.legalserver.org/matter/dynamic-profile/view/1894799","19-1894799")</f>
        <v>0</v>
      </c>
      <c r="B538" t="s">
        <v>65</v>
      </c>
      <c r="C538" t="s">
        <v>245</v>
      </c>
      <c r="E538" t="s">
        <v>485</v>
      </c>
      <c r="F538" t="s">
        <v>1150</v>
      </c>
      <c r="G538" t="s">
        <v>1619</v>
      </c>
      <c r="H538">
        <v>212</v>
      </c>
      <c r="I538">
        <v>11208</v>
      </c>
      <c r="J538" t="s">
        <v>2002</v>
      </c>
      <c r="K538" t="s">
        <v>2002</v>
      </c>
      <c r="M538" t="s">
        <v>2277</v>
      </c>
      <c r="N538" t="s">
        <v>2415</v>
      </c>
      <c r="O538" t="s">
        <v>2441</v>
      </c>
      <c r="Q538" t="s">
        <v>2003</v>
      </c>
      <c r="R538" t="s">
        <v>2451</v>
      </c>
      <c r="S538" t="s">
        <v>251</v>
      </c>
      <c r="T538">
        <v>1092</v>
      </c>
      <c r="U538" t="s">
        <v>2501</v>
      </c>
      <c r="W538" t="s">
        <v>2894</v>
      </c>
      <c r="X538" t="s">
        <v>3258</v>
      </c>
      <c r="Y538" t="s">
        <v>3635</v>
      </c>
      <c r="Z538">
        <v>323</v>
      </c>
      <c r="AA538" t="s">
        <v>3783</v>
      </c>
      <c r="AB538" t="s">
        <v>2006</v>
      </c>
      <c r="AC538">
        <v>3</v>
      </c>
      <c r="AD538">
        <v>1</v>
      </c>
      <c r="AE538">
        <v>1</v>
      </c>
      <c r="AF538">
        <v>169.44</v>
      </c>
      <c r="AI538" t="s">
        <v>3809</v>
      </c>
      <c r="AJ538">
        <v>28652</v>
      </c>
      <c r="AP538">
        <v>12</v>
      </c>
      <c r="AQ538" t="s">
        <v>260</v>
      </c>
      <c r="AR538" t="s">
        <v>49</v>
      </c>
      <c r="AS538" t="s">
        <v>4214</v>
      </c>
      <c r="AT538" t="s">
        <v>4219</v>
      </c>
    </row>
    <row r="539" spans="1:46">
      <c r="A539" s="1">
        <f>HYPERLINK("https://lsnyc.legalserver.org/matter/dynamic-profile/view/1895735","19-1895735")</f>
        <v>0</v>
      </c>
      <c r="B539" t="s">
        <v>65</v>
      </c>
      <c r="C539" t="s">
        <v>259</v>
      </c>
      <c r="D539" t="s">
        <v>321</v>
      </c>
      <c r="E539" t="s">
        <v>646</v>
      </c>
      <c r="F539" t="s">
        <v>1151</v>
      </c>
      <c r="G539" t="s">
        <v>1620</v>
      </c>
      <c r="H539" t="s">
        <v>1751</v>
      </c>
      <c r="I539">
        <v>11212</v>
      </c>
      <c r="J539" t="s">
        <v>2002</v>
      </c>
      <c r="K539" t="s">
        <v>2002</v>
      </c>
      <c r="M539" t="s">
        <v>2278</v>
      </c>
      <c r="N539" t="s">
        <v>2422</v>
      </c>
      <c r="O539" t="s">
        <v>2441</v>
      </c>
      <c r="P539" t="s">
        <v>2449</v>
      </c>
      <c r="Q539" t="s">
        <v>2003</v>
      </c>
      <c r="R539" t="s">
        <v>2454</v>
      </c>
      <c r="S539" t="s">
        <v>290</v>
      </c>
      <c r="T539">
        <v>1650</v>
      </c>
      <c r="U539" t="s">
        <v>2497</v>
      </c>
      <c r="V539" t="s">
        <v>2524</v>
      </c>
      <c r="W539" t="s">
        <v>2895</v>
      </c>
      <c r="X539" t="s">
        <v>3259</v>
      </c>
      <c r="Y539" t="s">
        <v>3636</v>
      </c>
      <c r="Z539">
        <v>49</v>
      </c>
      <c r="AA539" t="s">
        <v>3783</v>
      </c>
      <c r="AB539" t="s">
        <v>3796</v>
      </c>
      <c r="AC539">
        <v>8</v>
      </c>
      <c r="AD539">
        <v>1</v>
      </c>
      <c r="AE539">
        <v>1</v>
      </c>
      <c r="AF539">
        <v>150.68</v>
      </c>
      <c r="AI539" t="s">
        <v>3809</v>
      </c>
      <c r="AJ539">
        <v>25480</v>
      </c>
      <c r="AP539">
        <v>8.800000000000001</v>
      </c>
      <c r="AQ539" t="s">
        <v>321</v>
      </c>
      <c r="AR539" t="s">
        <v>49</v>
      </c>
      <c r="AS539" t="s">
        <v>4214</v>
      </c>
      <c r="AT539" t="s">
        <v>4219</v>
      </c>
    </row>
    <row r="540" spans="1:46">
      <c r="A540" s="1">
        <f>HYPERLINK("https://lsnyc.legalserver.org/matter/dynamic-profile/view/1895214","19-1895214")</f>
        <v>0</v>
      </c>
      <c r="B540" t="s">
        <v>65</v>
      </c>
      <c r="C540" t="s">
        <v>105</v>
      </c>
      <c r="E540" t="s">
        <v>647</v>
      </c>
      <c r="F540" t="s">
        <v>1152</v>
      </c>
      <c r="G540" t="s">
        <v>1621</v>
      </c>
      <c r="H540" t="s">
        <v>1758</v>
      </c>
      <c r="I540">
        <v>11233</v>
      </c>
      <c r="J540" t="s">
        <v>2002</v>
      </c>
      <c r="K540" t="s">
        <v>2002</v>
      </c>
      <c r="M540" t="s">
        <v>2006</v>
      </c>
      <c r="N540" t="s">
        <v>2432</v>
      </c>
      <c r="O540" t="s">
        <v>2440</v>
      </c>
      <c r="Q540" t="s">
        <v>2003</v>
      </c>
      <c r="R540" t="s">
        <v>2451</v>
      </c>
      <c r="S540" t="s">
        <v>147</v>
      </c>
      <c r="T540">
        <v>1113</v>
      </c>
      <c r="U540" t="s">
        <v>2497</v>
      </c>
      <c r="W540" t="s">
        <v>2896</v>
      </c>
      <c r="X540" t="s">
        <v>3260</v>
      </c>
      <c r="Y540" t="s">
        <v>3637</v>
      </c>
      <c r="Z540">
        <v>66</v>
      </c>
      <c r="AA540" t="s">
        <v>3790</v>
      </c>
      <c r="AB540" t="s">
        <v>3796</v>
      </c>
      <c r="AC540">
        <v>1</v>
      </c>
      <c r="AD540">
        <v>1</v>
      </c>
      <c r="AE540">
        <v>2</v>
      </c>
      <c r="AF540">
        <v>46.21</v>
      </c>
      <c r="AI540" t="s">
        <v>3809</v>
      </c>
      <c r="AJ540">
        <v>9857</v>
      </c>
      <c r="AP540">
        <v>11.5</v>
      </c>
      <c r="AQ540" t="s">
        <v>312</v>
      </c>
      <c r="AR540" t="s">
        <v>4185</v>
      </c>
      <c r="AS540" t="s">
        <v>4214</v>
      </c>
      <c r="AT540" t="s">
        <v>4219</v>
      </c>
    </row>
    <row r="541" spans="1:46">
      <c r="A541" s="1">
        <f>HYPERLINK("https://lsnyc.legalserver.org/matter/dynamic-profile/view/1895932","19-1895932")</f>
        <v>0</v>
      </c>
      <c r="B541" t="s">
        <v>65</v>
      </c>
      <c r="C541" t="s">
        <v>147</v>
      </c>
      <c r="E541" t="s">
        <v>648</v>
      </c>
      <c r="F541" t="s">
        <v>1153</v>
      </c>
      <c r="G541" t="s">
        <v>1622</v>
      </c>
      <c r="H541">
        <v>226</v>
      </c>
      <c r="I541">
        <v>11233</v>
      </c>
      <c r="J541" t="s">
        <v>2002</v>
      </c>
      <c r="K541" t="s">
        <v>2002</v>
      </c>
      <c r="M541" t="s">
        <v>2279</v>
      </c>
      <c r="N541" t="s">
        <v>2415</v>
      </c>
      <c r="O541" t="s">
        <v>2441</v>
      </c>
      <c r="Q541" t="s">
        <v>2003</v>
      </c>
      <c r="S541" t="s">
        <v>102</v>
      </c>
      <c r="T541">
        <v>1208</v>
      </c>
      <c r="W541" t="s">
        <v>2897</v>
      </c>
      <c r="X541" t="s">
        <v>3261</v>
      </c>
      <c r="Z541">
        <v>137</v>
      </c>
      <c r="AA541" t="s">
        <v>3783</v>
      </c>
      <c r="AB541" t="s">
        <v>3796</v>
      </c>
      <c r="AC541">
        <v>1</v>
      </c>
      <c r="AD541">
        <v>1</v>
      </c>
      <c r="AE541">
        <v>1</v>
      </c>
      <c r="AF541">
        <v>12.99</v>
      </c>
      <c r="AI541" t="s">
        <v>3809</v>
      </c>
      <c r="AJ541">
        <v>2196</v>
      </c>
      <c r="AP541">
        <v>6.25</v>
      </c>
      <c r="AQ541" t="s">
        <v>182</v>
      </c>
      <c r="AR541" t="s">
        <v>49</v>
      </c>
      <c r="AS541" t="s">
        <v>4214</v>
      </c>
      <c r="AT541" t="s">
        <v>4219</v>
      </c>
    </row>
    <row r="542" spans="1:46">
      <c r="A542" s="1">
        <f>HYPERLINK("https://lsnyc.legalserver.org/matter/dynamic-profile/view/1895447","19-1895447")</f>
        <v>0</v>
      </c>
      <c r="B542" t="s">
        <v>65</v>
      </c>
      <c r="C542" t="s">
        <v>181</v>
      </c>
      <c r="E542" t="s">
        <v>619</v>
      </c>
      <c r="F542" t="s">
        <v>954</v>
      </c>
      <c r="G542" t="s">
        <v>1444</v>
      </c>
      <c r="H542" t="s">
        <v>1853</v>
      </c>
      <c r="I542">
        <v>11208</v>
      </c>
      <c r="J542" t="s">
        <v>2002</v>
      </c>
      <c r="K542" t="s">
        <v>2002</v>
      </c>
      <c r="M542" t="s">
        <v>2248</v>
      </c>
      <c r="N542" t="s">
        <v>2430</v>
      </c>
      <c r="O542" t="s">
        <v>2441</v>
      </c>
      <c r="Q542" t="s">
        <v>2003</v>
      </c>
      <c r="S542" t="s">
        <v>102</v>
      </c>
      <c r="T542">
        <v>1255</v>
      </c>
      <c r="U542" t="s">
        <v>2497</v>
      </c>
      <c r="W542" t="s">
        <v>2859</v>
      </c>
      <c r="Y542" t="s">
        <v>3598</v>
      </c>
      <c r="Z542">
        <v>272</v>
      </c>
      <c r="AA542" t="s">
        <v>3783</v>
      </c>
      <c r="AB542" t="s">
        <v>3797</v>
      </c>
      <c r="AC542">
        <v>7</v>
      </c>
      <c r="AD542">
        <v>1</v>
      </c>
      <c r="AE542">
        <v>0</v>
      </c>
      <c r="AF542">
        <v>310.04</v>
      </c>
      <c r="AI542" t="s">
        <v>3809</v>
      </c>
      <c r="AJ542">
        <v>38724</v>
      </c>
      <c r="AP542">
        <v>5.75</v>
      </c>
      <c r="AQ542" t="s">
        <v>250</v>
      </c>
      <c r="AR542" t="s">
        <v>49</v>
      </c>
      <c r="AS542" t="s">
        <v>4214</v>
      </c>
      <c r="AT542" t="s">
        <v>4219</v>
      </c>
    </row>
    <row r="543" spans="1:46">
      <c r="A543" s="1">
        <f>HYPERLINK("https://lsnyc.legalserver.org/matter/dynamic-profile/view/1891270","19-1891270")</f>
        <v>0</v>
      </c>
      <c r="B543" t="s">
        <v>65</v>
      </c>
      <c r="C543" t="s">
        <v>179</v>
      </c>
      <c r="D543" t="s">
        <v>318</v>
      </c>
      <c r="E543" t="s">
        <v>506</v>
      </c>
      <c r="F543" t="s">
        <v>1120</v>
      </c>
      <c r="G543" t="s">
        <v>1591</v>
      </c>
      <c r="H543" t="s">
        <v>1745</v>
      </c>
      <c r="I543">
        <v>11208</v>
      </c>
      <c r="J543" t="s">
        <v>2002</v>
      </c>
      <c r="K543" t="s">
        <v>2002</v>
      </c>
      <c r="M543" t="s">
        <v>2254</v>
      </c>
      <c r="N543" t="s">
        <v>2432</v>
      </c>
      <c r="O543" t="s">
        <v>2441</v>
      </c>
      <c r="P543" t="s">
        <v>2449</v>
      </c>
      <c r="Q543" t="s">
        <v>2003</v>
      </c>
      <c r="S543" t="s">
        <v>144</v>
      </c>
      <c r="T543">
        <v>1980</v>
      </c>
      <c r="V543" t="s">
        <v>2524</v>
      </c>
      <c r="W543" t="s">
        <v>2865</v>
      </c>
      <c r="Y543" t="s">
        <v>3604</v>
      </c>
      <c r="Z543">
        <v>0</v>
      </c>
      <c r="AA543" t="s">
        <v>3784</v>
      </c>
      <c r="AB543" t="s">
        <v>3795</v>
      </c>
      <c r="AC543">
        <v>0</v>
      </c>
      <c r="AD543">
        <v>2</v>
      </c>
      <c r="AE543">
        <v>5</v>
      </c>
      <c r="AF543">
        <v>9.23</v>
      </c>
      <c r="AI543" t="s">
        <v>3809</v>
      </c>
      <c r="AJ543">
        <v>3600</v>
      </c>
      <c r="AP543">
        <v>15.5</v>
      </c>
      <c r="AQ543" t="s">
        <v>318</v>
      </c>
      <c r="AR543" t="s">
        <v>49</v>
      </c>
      <c r="AS543" t="s">
        <v>4214</v>
      </c>
      <c r="AT543" t="s">
        <v>4219</v>
      </c>
    </row>
    <row r="544" spans="1:46">
      <c r="A544" s="1">
        <f>HYPERLINK("https://lsnyc.legalserver.org/matter/dynamic-profile/view/1897598","19-1897598")</f>
        <v>0</v>
      </c>
      <c r="B544" t="s">
        <v>65</v>
      </c>
      <c r="C544" t="s">
        <v>180</v>
      </c>
      <c r="D544" t="s">
        <v>326</v>
      </c>
      <c r="E544" t="s">
        <v>649</v>
      </c>
      <c r="F544" t="s">
        <v>1154</v>
      </c>
      <c r="G544" t="s">
        <v>1623</v>
      </c>
      <c r="H544" t="s">
        <v>1864</v>
      </c>
      <c r="I544">
        <v>11212</v>
      </c>
      <c r="J544" t="s">
        <v>2002</v>
      </c>
      <c r="K544" t="s">
        <v>2002</v>
      </c>
      <c r="M544" t="s">
        <v>2280</v>
      </c>
      <c r="N544" t="s">
        <v>2422</v>
      </c>
      <c r="O544" t="s">
        <v>2441</v>
      </c>
      <c r="P544" t="s">
        <v>2449</v>
      </c>
      <c r="Q544" t="s">
        <v>2003</v>
      </c>
      <c r="R544" t="s">
        <v>2456</v>
      </c>
      <c r="S544" t="s">
        <v>144</v>
      </c>
      <c r="T544">
        <v>911</v>
      </c>
      <c r="U544" t="s">
        <v>2500</v>
      </c>
      <c r="V544" t="s">
        <v>2524</v>
      </c>
      <c r="W544" t="s">
        <v>2898</v>
      </c>
      <c r="X544" t="s">
        <v>3262</v>
      </c>
      <c r="Y544" t="s">
        <v>3638</v>
      </c>
      <c r="Z544">
        <v>0</v>
      </c>
      <c r="AA544" t="s">
        <v>3783</v>
      </c>
      <c r="AB544" t="s">
        <v>3795</v>
      </c>
      <c r="AC544">
        <v>9</v>
      </c>
      <c r="AD544">
        <v>1</v>
      </c>
      <c r="AE544">
        <v>2</v>
      </c>
      <c r="AF544">
        <v>23.65</v>
      </c>
      <c r="AI544" t="s">
        <v>3809</v>
      </c>
      <c r="AJ544">
        <v>5044</v>
      </c>
      <c r="AP544">
        <v>2.75</v>
      </c>
      <c r="AQ544" t="s">
        <v>314</v>
      </c>
      <c r="AR544" t="s">
        <v>49</v>
      </c>
      <c r="AS544" t="s">
        <v>4214</v>
      </c>
      <c r="AT544" t="s">
        <v>4219</v>
      </c>
    </row>
    <row r="545" spans="1:46">
      <c r="A545" s="1">
        <f>HYPERLINK("https://lsnyc.legalserver.org/matter/dynamic-profile/view/1902750","19-1902750")</f>
        <v>0</v>
      </c>
      <c r="B545" t="s">
        <v>65</v>
      </c>
      <c r="C545" t="s">
        <v>163</v>
      </c>
      <c r="E545" t="s">
        <v>650</v>
      </c>
      <c r="F545" t="s">
        <v>1125</v>
      </c>
      <c r="G545" t="s">
        <v>1624</v>
      </c>
      <c r="H545" t="s">
        <v>1749</v>
      </c>
      <c r="I545">
        <v>11207</v>
      </c>
      <c r="J545" t="s">
        <v>2002</v>
      </c>
      <c r="K545" t="s">
        <v>2004</v>
      </c>
      <c r="L545" t="s">
        <v>2007</v>
      </c>
      <c r="M545" t="s">
        <v>2281</v>
      </c>
      <c r="N545" t="s">
        <v>2422</v>
      </c>
      <c r="O545" t="s">
        <v>2441</v>
      </c>
      <c r="Q545" t="s">
        <v>2003</v>
      </c>
      <c r="S545" t="s">
        <v>248</v>
      </c>
      <c r="T545">
        <v>1762.77</v>
      </c>
      <c r="U545" t="s">
        <v>2500</v>
      </c>
      <c r="W545" t="s">
        <v>2899</v>
      </c>
      <c r="X545" t="s">
        <v>3263</v>
      </c>
      <c r="Y545" t="s">
        <v>3639</v>
      </c>
      <c r="Z545">
        <v>6</v>
      </c>
      <c r="AA545" t="s">
        <v>3783</v>
      </c>
      <c r="AC545">
        <v>11</v>
      </c>
      <c r="AD545">
        <v>1</v>
      </c>
      <c r="AE545">
        <v>2</v>
      </c>
      <c r="AF545">
        <v>60.95</v>
      </c>
      <c r="AI545" t="s">
        <v>3812</v>
      </c>
      <c r="AJ545">
        <v>13000</v>
      </c>
      <c r="AP545">
        <v>6</v>
      </c>
      <c r="AQ545" t="s">
        <v>318</v>
      </c>
      <c r="AR545" t="s">
        <v>49</v>
      </c>
      <c r="AS545" t="s">
        <v>4214</v>
      </c>
      <c r="AT545" t="s">
        <v>4219</v>
      </c>
    </row>
    <row r="546" spans="1:46">
      <c r="A546" s="1">
        <f>HYPERLINK("https://lsnyc.legalserver.org/matter/dynamic-profile/view/1903141","19-1903141")</f>
        <v>0</v>
      </c>
      <c r="B546" t="s">
        <v>65</v>
      </c>
      <c r="C546" t="s">
        <v>256</v>
      </c>
      <c r="E546" t="s">
        <v>415</v>
      </c>
      <c r="F546" t="s">
        <v>925</v>
      </c>
      <c r="G546" t="s">
        <v>1423</v>
      </c>
      <c r="H546" t="s">
        <v>1776</v>
      </c>
      <c r="I546">
        <v>11233</v>
      </c>
      <c r="J546" t="s">
        <v>2002</v>
      </c>
      <c r="K546" t="s">
        <v>2004</v>
      </c>
      <c r="L546" t="s">
        <v>2007</v>
      </c>
      <c r="M546" t="s">
        <v>2076</v>
      </c>
      <c r="N546" t="s">
        <v>2422</v>
      </c>
      <c r="O546" t="s">
        <v>2436</v>
      </c>
      <c r="Q546" t="s">
        <v>2003</v>
      </c>
      <c r="S546" t="s">
        <v>170</v>
      </c>
      <c r="T546">
        <v>850</v>
      </c>
      <c r="U546" t="s">
        <v>2500</v>
      </c>
      <c r="W546" t="s">
        <v>2612</v>
      </c>
      <c r="X546" t="s">
        <v>3186</v>
      </c>
      <c r="Z546">
        <v>107</v>
      </c>
      <c r="AA546" t="s">
        <v>3789</v>
      </c>
      <c r="AB546" t="s">
        <v>3795</v>
      </c>
      <c r="AC546">
        <v>4</v>
      </c>
      <c r="AD546">
        <v>1</v>
      </c>
      <c r="AE546">
        <v>3</v>
      </c>
      <c r="AF546">
        <v>57.18</v>
      </c>
      <c r="AI546" t="s">
        <v>3809</v>
      </c>
      <c r="AJ546">
        <v>14724</v>
      </c>
      <c r="AP546">
        <v>6.75</v>
      </c>
      <c r="AQ546" t="s">
        <v>3805</v>
      </c>
      <c r="AR546" t="s">
        <v>49</v>
      </c>
      <c r="AS546" t="s">
        <v>4214</v>
      </c>
      <c r="AT546" t="s">
        <v>4219</v>
      </c>
    </row>
    <row r="547" spans="1:46">
      <c r="A547" s="1">
        <f>HYPERLINK("https://lsnyc.legalserver.org/matter/dynamic-profile/view/1896498","19-1896498")</f>
        <v>0</v>
      </c>
      <c r="B547" t="s">
        <v>65</v>
      </c>
      <c r="C547" t="s">
        <v>168</v>
      </c>
      <c r="E547" t="s">
        <v>376</v>
      </c>
      <c r="F547" t="s">
        <v>919</v>
      </c>
      <c r="G547" t="s">
        <v>1418</v>
      </c>
      <c r="H547" t="s">
        <v>1773</v>
      </c>
      <c r="I547">
        <v>11207</v>
      </c>
      <c r="J547" t="s">
        <v>2002</v>
      </c>
      <c r="K547" t="s">
        <v>2002</v>
      </c>
      <c r="L547" t="s">
        <v>2005</v>
      </c>
      <c r="M547" t="s">
        <v>2070</v>
      </c>
      <c r="N547" t="s">
        <v>2422</v>
      </c>
      <c r="O547" t="s">
        <v>2441</v>
      </c>
      <c r="Q547" t="s">
        <v>2003</v>
      </c>
      <c r="S547" t="s">
        <v>2484</v>
      </c>
      <c r="T547">
        <v>0</v>
      </c>
      <c r="W547" t="s">
        <v>2606</v>
      </c>
      <c r="X547" t="s">
        <v>3264</v>
      </c>
      <c r="Y547" t="s">
        <v>3377</v>
      </c>
      <c r="Z547">
        <v>0</v>
      </c>
      <c r="AC547">
        <v>0</v>
      </c>
      <c r="AD547">
        <v>2</v>
      </c>
      <c r="AE547">
        <v>0</v>
      </c>
      <c r="AF547">
        <v>118.27</v>
      </c>
      <c r="AI547" t="s">
        <v>3809</v>
      </c>
      <c r="AJ547">
        <v>20000</v>
      </c>
      <c r="AK547" t="s">
        <v>3932</v>
      </c>
      <c r="AP547">
        <v>17.25</v>
      </c>
      <c r="AQ547" t="s">
        <v>314</v>
      </c>
      <c r="AR547" t="s">
        <v>49</v>
      </c>
      <c r="AS547" t="s">
        <v>4214</v>
      </c>
      <c r="AT547" t="s">
        <v>4219</v>
      </c>
    </row>
    <row r="548" spans="1:46">
      <c r="A548" s="1">
        <f>HYPERLINK("https://lsnyc.legalserver.org/matter/dynamic-profile/view/1897972","19-1897972")</f>
        <v>0</v>
      </c>
      <c r="B548" t="s">
        <v>65</v>
      </c>
      <c r="C548" t="s">
        <v>248</v>
      </c>
      <c r="D548" t="s">
        <v>327</v>
      </c>
      <c r="E548" t="s">
        <v>627</v>
      </c>
      <c r="F548" t="s">
        <v>865</v>
      </c>
      <c r="G548" t="s">
        <v>1594</v>
      </c>
      <c r="H548" t="s">
        <v>1855</v>
      </c>
      <c r="I548">
        <v>11233</v>
      </c>
      <c r="J548" t="s">
        <v>2002</v>
      </c>
      <c r="K548" t="s">
        <v>2003</v>
      </c>
      <c r="L548" t="s">
        <v>2005</v>
      </c>
      <c r="M548" t="s">
        <v>2282</v>
      </c>
      <c r="N548" t="s">
        <v>2422</v>
      </c>
      <c r="O548" t="s">
        <v>2441</v>
      </c>
      <c r="P548" t="s">
        <v>2444</v>
      </c>
      <c r="Q548" t="s">
        <v>2003</v>
      </c>
      <c r="R548" t="s">
        <v>2451</v>
      </c>
      <c r="S548" t="s">
        <v>2484</v>
      </c>
      <c r="T548">
        <v>1090</v>
      </c>
      <c r="U548" t="s">
        <v>2500</v>
      </c>
      <c r="V548" t="s">
        <v>2525</v>
      </c>
      <c r="W548" t="s">
        <v>2869</v>
      </c>
      <c r="X548">
        <v>176531211</v>
      </c>
      <c r="Y548" t="s">
        <v>3608</v>
      </c>
      <c r="Z548">
        <v>101</v>
      </c>
      <c r="AA548" t="s">
        <v>2156</v>
      </c>
      <c r="AC548">
        <v>2</v>
      </c>
      <c r="AD548">
        <v>4</v>
      </c>
      <c r="AE548">
        <v>0</v>
      </c>
      <c r="AF548">
        <v>139.81</v>
      </c>
      <c r="AI548" t="s">
        <v>3810</v>
      </c>
      <c r="AJ548">
        <v>36000</v>
      </c>
      <c r="AP548">
        <v>1.5</v>
      </c>
      <c r="AQ548" t="s">
        <v>327</v>
      </c>
      <c r="AR548" t="s">
        <v>4189</v>
      </c>
      <c r="AS548" t="s">
        <v>4214</v>
      </c>
      <c r="AT548" t="s">
        <v>4219</v>
      </c>
    </row>
    <row r="549" spans="1:46">
      <c r="A549" s="1">
        <f>HYPERLINK("https://lsnyc.legalserver.org/matter/dynamic-profile/view/1899551","19-1899551")</f>
        <v>0</v>
      </c>
      <c r="B549" t="s">
        <v>65</v>
      </c>
      <c r="C549" t="s">
        <v>148</v>
      </c>
      <c r="D549" t="s">
        <v>327</v>
      </c>
      <c r="E549" t="s">
        <v>651</v>
      </c>
      <c r="F549" t="s">
        <v>1155</v>
      </c>
      <c r="G549" t="s">
        <v>1625</v>
      </c>
      <c r="H549" t="s">
        <v>1865</v>
      </c>
      <c r="I549">
        <v>11233</v>
      </c>
      <c r="J549" t="s">
        <v>2002</v>
      </c>
      <c r="K549" t="s">
        <v>2004</v>
      </c>
      <c r="L549" t="s">
        <v>2005</v>
      </c>
      <c r="M549" t="s">
        <v>2058</v>
      </c>
      <c r="N549" t="s">
        <v>2027</v>
      </c>
      <c r="O549" t="s">
        <v>2439</v>
      </c>
      <c r="P549" t="s">
        <v>2444</v>
      </c>
      <c r="Q549" t="s">
        <v>2003</v>
      </c>
      <c r="R549" t="s">
        <v>2451</v>
      </c>
      <c r="S549" t="s">
        <v>303</v>
      </c>
      <c r="T549">
        <v>2150</v>
      </c>
      <c r="U549" t="s">
        <v>2512</v>
      </c>
      <c r="V549" t="s">
        <v>2515</v>
      </c>
      <c r="W549" t="s">
        <v>2900</v>
      </c>
      <c r="X549" t="s">
        <v>2058</v>
      </c>
      <c r="Y549" t="s">
        <v>3640</v>
      </c>
      <c r="Z549">
        <v>2</v>
      </c>
      <c r="AA549" t="s">
        <v>3784</v>
      </c>
      <c r="AB549" t="s">
        <v>2006</v>
      </c>
      <c r="AC549">
        <v>1</v>
      </c>
      <c r="AD549">
        <v>2</v>
      </c>
      <c r="AE549">
        <v>0</v>
      </c>
      <c r="AF549">
        <v>206.98</v>
      </c>
      <c r="AI549" t="s">
        <v>3809</v>
      </c>
      <c r="AJ549">
        <v>35000</v>
      </c>
      <c r="AP549">
        <v>3.5</v>
      </c>
      <c r="AQ549" t="s">
        <v>327</v>
      </c>
      <c r="AR549" t="s">
        <v>4197</v>
      </c>
      <c r="AS549" t="s">
        <v>4210</v>
      </c>
      <c r="AT549" t="s">
        <v>4219</v>
      </c>
    </row>
    <row r="550" spans="1:46">
      <c r="A550" s="1">
        <f>HYPERLINK("https://lsnyc.legalserver.org/matter/dynamic-profile/view/1901364","19-1901364")</f>
        <v>0</v>
      </c>
      <c r="B550" t="s">
        <v>65</v>
      </c>
      <c r="C550" t="s">
        <v>260</v>
      </c>
      <c r="E550" t="s">
        <v>418</v>
      </c>
      <c r="F550" t="s">
        <v>928</v>
      </c>
      <c r="G550" t="s">
        <v>1426</v>
      </c>
      <c r="H550" t="s">
        <v>1744</v>
      </c>
      <c r="I550">
        <v>11233</v>
      </c>
      <c r="J550" t="s">
        <v>2002</v>
      </c>
      <c r="K550" t="s">
        <v>2004</v>
      </c>
      <c r="L550" t="s">
        <v>2007</v>
      </c>
      <c r="M550" t="s">
        <v>2079</v>
      </c>
      <c r="N550" t="s">
        <v>2432</v>
      </c>
      <c r="O550" t="s">
        <v>2441</v>
      </c>
      <c r="Q550" t="s">
        <v>2003</v>
      </c>
      <c r="R550" t="s">
        <v>2451</v>
      </c>
      <c r="S550" t="s">
        <v>258</v>
      </c>
      <c r="T550">
        <v>944</v>
      </c>
      <c r="U550" t="s">
        <v>2507</v>
      </c>
      <c r="W550" t="s">
        <v>2615</v>
      </c>
      <c r="X550" t="s">
        <v>3188</v>
      </c>
      <c r="Y550" t="s">
        <v>3385</v>
      </c>
      <c r="Z550">
        <v>20</v>
      </c>
      <c r="AA550" t="s">
        <v>3783</v>
      </c>
      <c r="AB550" t="s">
        <v>2495</v>
      </c>
      <c r="AC550">
        <v>3</v>
      </c>
      <c r="AD550">
        <v>1</v>
      </c>
      <c r="AE550">
        <v>1</v>
      </c>
      <c r="AF550">
        <v>67.42</v>
      </c>
      <c r="AI550" t="s">
        <v>3809</v>
      </c>
      <c r="AJ550">
        <v>11400</v>
      </c>
      <c r="AP550">
        <v>13</v>
      </c>
      <c r="AQ550" t="s">
        <v>4171</v>
      </c>
      <c r="AR550" t="s">
        <v>4185</v>
      </c>
      <c r="AS550" t="s">
        <v>4214</v>
      </c>
      <c r="AT550" t="s">
        <v>4219</v>
      </c>
    </row>
    <row r="551" spans="1:46">
      <c r="A551" s="1">
        <f>HYPERLINK("https://lsnyc.legalserver.org/matter/dynamic-profile/view/1901492","19-1901492")</f>
        <v>0</v>
      </c>
      <c r="B551" t="s">
        <v>65</v>
      </c>
      <c r="C551" t="s">
        <v>261</v>
      </c>
      <c r="E551" t="s">
        <v>518</v>
      </c>
      <c r="F551" t="s">
        <v>1030</v>
      </c>
      <c r="G551" t="s">
        <v>1397</v>
      </c>
      <c r="H551" t="s">
        <v>1754</v>
      </c>
      <c r="I551">
        <v>11208</v>
      </c>
      <c r="J551" t="s">
        <v>2002</v>
      </c>
      <c r="K551" t="s">
        <v>2004</v>
      </c>
      <c r="L551" t="s">
        <v>2005</v>
      </c>
      <c r="M551" t="s">
        <v>2149</v>
      </c>
      <c r="N551" t="s">
        <v>2429</v>
      </c>
      <c r="Q551" t="s">
        <v>2003</v>
      </c>
      <c r="R551" t="s">
        <v>2454</v>
      </c>
      <c r="S551" t="s">
        <v>260</v>
      </c>
      <c r="T551">
        <v>0</v>
      </c>
      <c r="W551" t="s">
        <v>2731</v>
      </c>
      <c r="X551" t="s">
        <v>3210</v>
      </c>
      <c r="Y551" t="s">
        <v>3484</v>
      </c>
      <c r="Z551">
        <v>0</v>
      </c>
      <c r="AB551" t="s">
        <v>3795</v>
      </c>
      <c r="AC551">
        <v>0</v>
      </c>
      <c r="AD551">
        <v>1</v>
      </c>
      <c r="AE551">
        <v>1</v>
      </c>
      <c r="AF551">
        <v>56.77</v>
      </c>
      <c r="AI551" t="s">
        <v>3809</v>
      </c>
      <c r="AJ551">
        <v>9600</v>
      </c>
      <c r="AP551">
        <v>1.75</v>
      </c>
      <c r="AQ551" t="s">
        <v>327</v>
      </c>
      <c r="AR551" t="s">
        <v>4185</v>
      </c>
      <c r="AS551" t="s">
        <v>4214</v>
      </c>
      <c r="AT551" t="s">
        <v>4219</v>
      </c>
    </row>
    <row r="552" spans="1:46">
      <c r="A552" s="1">
        <f>HYPERLINK("https://lsnyc.legalserver.org/matter/dynamic-profile/view/1900794","19-1900794")</f>
        <v>0</v>
      </c>
      <c r="B552" t="s">
        <v>65</v>
      </c>
      <c r="C552" t="s">
        <v>262</v>
      </c>
      <c r="E552" t="s">
        <v>634</v>
      </c>
      <c r="F552" t="s">
        <v>1138</v>
      </c>
      <c r="G552" t="s">
        <v>1604</v>
      </c>
      <c r="H552" t="s">
        <v>1734</v>
      </c>
      <c r="I552">
        <v>11233</v>
      </c>
      <c r="J552" t="s">
        <v>2002</v>
      </c>
      <c r="K552" t="s">
        <v>2004</v>
      </c>
      <c r="L552" t="s">
        <v>2005</v>
      </c>
      <c r="M552" t="s">
        <v>2264</v>
      </c>
      <c r="N552" t="s">
        <v>2422</v>
      </c>
      <c r="O552" t="s">
        <v>2441</v>
      </c>
      <c r="Q552" t="s">
        <v>2003</v>
      </c>
      <c r="S552" t="s">
        <v>107</v>
      </c>
      <c r="T552">
        <v>901</v>
      </c>
      <c r="U552" t="s">
        <v>2505</v>
      </c>
      <c r="W552" t="s">
        <v>2878</v>
      </c>
      <c r="X552" t="s">
        <v>3163</v>
      </c>
      <c r="Y552" t="s">
        <v>3618</v>
      </c>
      <c r="Z552">
        <v>16</v>
      </c>
      <c r="AA552" t="s">
        <v>3790</v>
      </c>
      <c r="AB552" t="s">
        <v>2006</v>
      </c>
      <c r="AC552">
        <v>9</v>
      </c>
      <c r="AD552">
        <v>1</v>
      </c>
      <c r="AE552">
        <v>2</v>
      </c>
      <c r="AF552">
        <v>121.52</v>
      </c>
      <c r="AI552" t="s">
        <v>3809</v>
      </c>
      <c r="AJ552">
        <v>25920</v>
      </c>
      <c r="AP552">
        <v>15.75</v>
      </c>
      <c r="AQ552" t="s">
        <v>310</v>
      </c>
      <c r="AR552" t="s">
        <v>49</v>
      </c>
      <c r="AS552" t="s">
        <v>4214</v>
      </c>
      <c r="AT552" t="s">
        <v>4219</v>
      </c>
    </row>
    <row r="553" spans="1:46">
      <c r="A553" s="1">
        <f>HYPERLINK("https://lsnyc.legalserver.org/matter/dynamic-profile/view/1902486","19-1902486")</f>
        <v>0</v>
      </c>
      <c r="B553" t="s">
        <v>65</v>
      </c>
      <c r="C553" t="s">
        <v>263</v>
      </c>
      <c r="E553" t="s">
        <v>467</v>
      </c>
      <c r="F553" t="s">
        <v>1156</v>
      </c>
      <c r="G553" t="s">
        <v>1626</v>
      </c>
      <c r="H553" t="s">
        <v>1866</v>
      </c>
      <c r="I553">
        <v>11239</v>
      </c>
      <c r="J553" t="s">
        <v>2002</v>
      </c>
      <c r="K553" t="s">
        <v>2004</v>
      </c>
      <c r="L553" t="s">
        <v>2005</v>
      </c>
      <c r="M553" t="s">
        <v>2132</v>
      </c>
      <c r="N553" t="s">
        <v>2027</v>
      </c>
      <c r="O553" t="s">
        <v>2436</v>
      </c>
      <c r="Q553" t="s">
        <v>2003</v>
      </c>
      <c r="R553" t="s">
        <v>2451</v>
      </c>
      <c r="S553" t="s">
        <v>323</v>
      </c>
      <c r="T553">
        <v>898.5</v>
      </c>
      <c r="U553" t="s">
        <v>2501</v>
      </c>
      <c r="W553" t="s">
        <v>2901</v>
      </c>
      <c r="X553" t="s">
        <v>3265</v>
      </c>
      <c r="Y553" t="s">
        <v>3641</v>
      </c>
      <c r="Z553">
        <v>84</v>
      </c>
      <c r="AA553" t="s">
        <v>3787</v>
      </c>
      <c r="AB553" t="s">
        <v>2006</v>
      </c>
      <c r="AC553">
        <v>1</v>
      </c>
      <c r="AD553">
        <v>1</v>
      </c>
      <c r="AE553">
        <v>0</v>
      </c>
      <c r="AF553">
        <v>93.19</v>
      </c>
      <c r="AI553" t="s">
        <v>3809</v>
      </c>
      <c r="AJ553">
        <v>11640</v>
      </c>
      <c r="AP553">
        <v>4</v>
      </c>
      <c r="AQ553" t="s">
        <v>4165</v>
      </c>
      <c r="AR553" t="s">
        <v>4191</v>
      </c>
      <c r="AS553" t="s">
        <v>4210</v>
      </c>
      <c r="AT553" t="s">
        <v>4219</v>
      </c>
    </row>
    <row r="554" spans="1:46">
      <c r="A554" s="1">
        <f>HYPERLINK("https://lsnyc.legalserver.org/matter/dynamic-profile/view/1880023","18-1880023")</f>
        <v>0</v>
      </c>
      <c r="B554" t="s">
        <v>66</v>
      </c>
      <c r="C554" t="s">
        <v>121</v>
      </c>
      <c r="E554" t="s">
        <v>484</v>
      </c>
      <c r="F554" t="s">
        <v>868</v>
      </c>
      <c r="G554" t="s">
        <v>1517</v>
      </c>
      <c r="H554" t="s">
        <v>1746</v>
      </c>
      <c r="I554">
        <v>11207</v>
      </c>
      <c r="J554" t="s">
        <v>2002</v>
      </c>
      <c r="K554" t="s">
        <v>2002</v>
      </c>
      <c r="M554" t="s">
        <v>2027</v>
      </c>
      <c r="N554" t="s">
        <v>2424</v>
      </c>
      <c r="O554" t="s">
        <v>2441</v>
      </c>
      <c r="Q554" t="s">
        <v>2002</v>
      </c>
      <c r="R554" t="s">
        <v>2451</v>
      </c>
      <c r="S554" t="s">
        <v>2459</v>
      </c>
      <c r="T554">
        <v>1365</v>
      </c>
      <c r="U554" t="s">
        <v>2497</v>
      </c>
      <c r="V554" t="s">
        <v>2518</v>
      </c>
      <c r="W554" t="s">
        <v>2775</v>
      </c>
      <c r="X554" t="s">
        <v>3160</v>
      </c>
      <c r="Y554" t="s">
        <v>3525</v>
      </c>
      <c r="Z554">
        <v>6</v>
      </c>
      <c r="AA554" t="s">
        <v>3783</v>
      </c>
      <c r="AB554" t="s">
        <v>3798</v>
      </c>
      <c r="AC554">
        <v>5</v>
      </c>
      <c r="AD554">
        <v>2</v>
      </c>
      <c r="AE554">
        <v>0</v>
      </c>
      <c r="AF554">
        <v>55.12</v>
      </c>
      <c r="AI554" t="s">
        <v>3809</v>
      </c>
      <c r="AJ554">
        <v>9072</v>
      </c>
      <c r="AK554" t="s">
        <v>3909</v>
      </c>
      <c r="AP554">
        <v>0.5</v>
      </c>
      <c r="AQ554" t="s">
        <v>166</v>
      </c>
      <c r="AR554" t="s">
        <v>4185</v>
      </c>
      <c r="AS554" t="s">
        <v>4210</v>
      </c>
      <c r="AT554" t="s">
        <v>4219</v>
      </c>
    </row>
    <row r="555" spans="1:46">
      <c r="A555" s="1">
        <f>HYPERLINK("https://lsnyc.legalserver.org/matter/dynamic-profile/view/1873456","18-1873456")</f>
        <v>0</v>
      </c>
      <c r="B555" t="s">
        <v>66</v>
      </c>
      <c r="C555" t="s">
        <v>264</v>
      </c>
      <c r="D555" t="s">
        <v>292</v>
      </c>
      <c r="E555" t="s">
        <v>652</v>
      </c>
      <c r="F555" t="s">
        <v>1157</v>
      </c>
      <c r="G555" t="s">
        <v>1627</v>
      </c>
      <c r="H555" t="s">
        <v>1773</v>
      </c>
      <c r="I555">
        <v>11217</v>
      </c>
      <c r="J555" t="s">
        <v>2002</v>
      </c>
      <c r="K555" t="s">
        <v>2002</v>
      </c>
      <c r="M555" t="s">
        <v>2283</v>
      </c>
      <c r="N555" t="s">
        <v>2413</v>
      </c>
      <c r="O555" t="s">
        <v>2439</v>
      </c>
      <c r="P555" t="s">
        <v>2444</v>
      </c>
      <c r="Q555" t="s">
        <v>2003</v>
      </c>
      <c r="S555" t="s">
        <v>264</v>
      </c>
      <c r="T555">
        <v>1113.78</v>
      </c>
      <c r="U555" t="s">
        <v>2497</v>
      </c>
      <c r="V555" t="s">
        <v>2516</v>
      </c>
      <c r="W555" t="s">
        <v>2902</v>
      </c>
      <c r="X555" t="s">
        <v>3266</v>
      </c>
      <c r="Y555" t="s">
        <v>3642</v>
      </c>
      <c r="Z555">
        <v>36</v>
      </c>
      <c r="AA555" t="s">
        <v>3783</v>
      </c>
      <c r="AB555" t="s">
        <v>3799</v>
      </c>
      <c r="AC555">
        <v>20</v>
      </c>
      <c r="AD555">
        <v>1</v>
      </c>
      <c r="AE555">
        <v>0</v>
      </c>
      <c r="AF555">
        <v>8.199999999999999</v>
      </c>
      <c r="AI555" t="s">
        <v>3809</v>
      </c>
      <c r="AJ555">
        <v>996</v>
      </c>
      <c r="AP555">
        <v>0.5</v>
      </c>
      <c r="AQ555" t="s">
        <v>292</v>
      </c>
      <c r="AR555" t="s">
        <v>66</v>
      </c>
      <c r="AS555" t="s">
        <v>4210</v>
      </c>
      <c r="AT555" t="s">
        <v>4219</v>
      </c>
    </row>
    <row r="556" spans="1:46">
      <c r="A556" s="1">
        <f>HYPERLINK("https://lsnyc.legalserver.org/matter/dynamic-profile/view/1874661","18-1874661")</f>
        <v>0</v>
      </c>
      <c r="B556" t="s">
        <v>66</v>
      </c>
      <c r="C556" t="s">
        <v>152</v>
      </c>
      <c r="D556" t="s">
        <v>328</v>
      </c>
      <c r="E556" t="s">
        <v>653</v>
      </c>
      <c r="F556" t="s">
        <v>1158</v>
      </c>
      <c r="G556" t="s">
        <v>1537</v>
      </c>
      <c r="H556" t="s">
        <v>1867</v>
      </c>
      <c r="I556">
        <v>11213</v>
      </c>
      <c r="J556" t="s">
        <v>2002</v>
      </c>
      <c r="K556" t="s">
        <v>2003</v>
      </c>
      <c r="M556" t="s">
        <v>2284</v>
      </c>
      <c r="N556" t="s">
        <v>2415</v>
      </c>
      <c r="O556" t="s">
        <v>2437</v>
      </c>
      <c r="P556" t="s">
        <v>2445</v>
      </c>
      <c r="Q556" t="s">
        <v>2002</v>
      </c>
      <c r="S556" t="s">
        <v>2476</v>
      </c>
      <c r="T556">
        <v>590.58</v>
      </c>
      <c r="U556" t="s">
        <v>2497</v>
      </c>
      <c r="V556" t="s">
        <v>2516</v>
      </c>
      <c r="W556" t="s">
        <v>2903</v>
      </c>
      <c r="Y556" t="s">
        <v>3643</v>
      </c>
      <c r="Z556">
        <v>23</v>
      </c>
      <c r="AA556" t="s">
        <v>3783</v>
      </c>
      <c r="AC556">
        <v>45</v>
      </c>
      <c r="AD556">
        <v>1</v>
      </c>
      <c r="AE556">
        <v>0</v>
      </c>
      <c r="AF556">
        <v>83.03</v>
      </c>
      <c r="AI556" t="s">
        <v>3810</v>
      </c>
      <c r="AJ556">
        <v>10080</v>
      </c>
      <c r="AM556" t="s">
        <v>4107</v>
      </c>
      <c r="AN556" t="s">
        <v>4122</v>
      </c>
      <c r="AO556" t="s">
        <v>4159</v>
      </c>
      <c r="AP556">
        <v>1.3</v>
      </c>
      <c r="AQ556" t="s">
        <v>328</v>
      </c>
      <c r="AR556" t="s">
        <v>63</v>
      </c>
      <c r="AS556" t="s">
        <v>4210</v>
      </c>
      <c r="AT556" t="s">
        <v>4219</v>
      </c>
    </row>
    <row r="557" spans="1:46">
      <c r="A557" s="1">
        <f>HYPERLINK("https://lsnyc.legalserver.org/matter/dynamic-profile/view/1869405","18-1869405")</f>
        <v>0</v>
      </c>
      <c r="B557" t="s">
        <v>66</v>
      </c>
      <c r="C557" t="s">
        <v>265</v>
      </c>
      <c r="D557" t="s">
        <v>197</v>
      </c>
      <c r="E557" t="s">
        <v>654</v>
      </c>
      <c r="F557" t="s">
        <v>1159</v>
      </c>
      <c r="G557" t="s">
        <v>1628</v>
      </c>
      <c r="H557">
        <v>1</v>
      </c>
      <c r="I557">
        <v>11208</v>
      </c>
      <c r="J557" t="s">
        <v>2002</v>
      </c>
      <c r="K557" t="s">
        <v>2002</v>
      </c>
      <c r="M557" t="s">
        <v>2285</v>
      </c>
      <c r="N557" t="s">
        <v>2421</v>
      </c>
      <c r="O557" t="s">
        <v>2437</v>
      </c>
      <c r="P557" t="s">
        <v>2448</v>
      </c>
      <c r="Q557" t="s">
        <v>2003</v>
      </c>
      <c r="S557" t="s">
        <v>197</v>
      </c>
      <c r="T557">
        <v>405</v>
      </c>
      <c r="U557" t="s">
        <v>2496</v>
      </c>
      <c r="V557" t="s">
        <v>2515</v>
      </c>
      <c r="W557" t="s">
        <v>2904</v>
      </c>
      <c r="Y557" t="s">
        <v>3644</v>
      </c>
      <c r="Z557">
        <v>4</v>
      </c>
      <c r="AA557" t="s">
        <v>3784</v>
      </c>
      <c r="AB557" t="s">
        <v>2006</v>
      </c>
      <c r="AC557">
        <v>-1</v>
      </c>
      <c r="AD557">
        <v>1</v>
      </c>
      <c r="AE557">
        <v>0</v>
      </c>
      <c r="AF557">
        <v>74.14</v>
      </c>
      <c r="AI557" t="s">
        <v>3809</v>
      </c>
      <c r="AJ557">
        <v>9000</v>
      </c>
      <c r="AP557">
        <v>15.1</v>
      </c>
      <c r="AQ557" t="s">
        <v>4181</v>
      </c>
      <c r="AR557" t="s">
        <v>4202</v>
      </c>
      <c r="AS557" t="s">
        <v>4210</v>
      </c>
      <c r="AT557" t="s">
        <v>4219</v>
      </c>
    </row>
    <row r="558" spans="1:46">
      <c r="A558" s="1">
        <f>HYPERLINK("https://lsnyc.legalserver.org/matter/dynamic-profile/view/1875578","18-1875578")</f>
        <v>0</v>
      </c>
      <c r="B558" t="s">
        <v>66</v>
      </c>
      <c r="C558" t="s">
        <v>87</v>
      </c>
      <c r="D558" t="s">
        <v>103</v>
      </c>
      <c r="E558" t="s">
        <v>655</v>
      </c>
      <c r="F558" t="s">
        <v>868</v>
      </c>
      <c r="G558" t="s">
        <v>1629</v>
      </c>
      <c r="H558" t="s">
        <v>1868</v>
      </c>
      <c r="I558">
        <v>11212</v>
      </c>
      <c r="J558" t="s">
        <v>2002</v>
      </c>
      <c r="K558" t="s">
        <v>2002</v>
      </c>
      <c r="M558" t="s">
        <v>2286</v>
      </c>
      <c r="N558" t="s">
        <v>2413</v>
      </c>
      <c r="O558" t="s">
        <v>2437</v>
      </c>
      <c r="P558" t="s">
        <v>2445</v>
      </c>
      <c r="Q558" t="s">
        <v>2003</v>
      </c>
      <c r="S558" t="s">
        <v>87</v>
      </c>
      <c r="T558">
        <v>1116.59</v>
      </c>
      <c r="U558" t="s">
        <v>2495</v>
      </c>
      <c r="V558" t="s">
        <v>2516</v>
      </c>
      <c r="W558" t="s">
        <v>2905</v>
      </c>
      <c r="Y558" t="s">
        <v>3645</v>
      </c>
      <c r="Z558">
        <v>0</v>
      </c>
      <c r="AA558" t="s">
        <v>3783</v>
      </c>
      <c r="AC558">
        <v>25</v>
      </c>
      <c r="AD558">
        <v>4</v>
      </c>
      <c r="AE558">
        <v>0</v>
      </c>
      <c r="AF558">
        <v>205.34</v>
      </c>
      <c r="AG558" t="s">
        <v>113</v>
      </c>
      <c r="AH558" t="s">
        <v>3806</v>
      </c>
      <c r="AI558" t="s">
        <v>3809</v>
      </c>
      <c r="AJ558">
        <v>51540</v>
      </c>
      <c r="AP558">
        <v>17.2</v>
      </c>
      <c r="AQ558" t="s">
        <v>173</v>
      </c>
      <c r="AR558" t="s">
        <v>66</v>
      </c>
      <c r="AS558" t="s">
        <v>4210</v>
      </c>
      <c r="AT558" t="s">
        <v>4219</v>
      </c>
    </row>
    <row r="559" spans="1:46">
      <c r="A559" s="1">
        <f>HYPERLINK("https://lsnyc.legalserver.org/matter/dynamic-profile/view/1876504","18-1876504")</f>
        <v>0</v>
      </c>
      <c r="B559" t="s">
        <v>66</v>
      </c>
      <c r="C559" t="s">
        <v>176</v>
      </c>
      <c r="E559" t="s">
        <v>656</v>
      </c>
      <c r="F559" t="s">
        <v>1160</v>
      </c>
      <c r="G559" t="s">
        <v>1541</v>
      </c>
      <c r="H559">
        <v>24</v>
      </c>
      <c r="I559">
        <v>11213</v>
      </c>
      <c r="J559" t="s">
        <v>2002</v>
      </c>
      <c r="K559" t="s">
        <v>2002</v>
      </c>
      <c r="M559" t="s">
        <v>2287</v>
      </c>
      <c r="N559" t="s">
        <v>2414</v>
      </c>
      <c r="O559" t="s">
        <v>2437</v>
      </c>
      <c r="Q559" t="s">
        <v>2002</v>
      </c>
      <c r="S559" t="s">
        <v>193</v>
      </c>
      <c r="T559">
        <v>917</v>
      </c>
      <c r="U559" t="s">
        <v>2496</v>
      </c>
      <c r="W559" t="s">
        <v>2906</v>
      </c>
      <c r="Y559" t="s">
        <v>3646</v>
      </c>
      <c r="Z559">
        <v>31</v>
      </c>
      <c r="AA559" t="s">
        <v>3783</v>
      </c>
      <c r="AB559" t="s">
        <v>2006</v>
      </c>
      <c r="AC559">
        <v>18</v>
      </c>
      <c r="AD559">
        <v>3</v>
      </c>
      <c r="AE559">
        <v>0</v>
      </c>
      <c r="AF559">
        <v>203.08</v>
      </c>
      <c r="AG559" t="s">
        <v>224</v>
      </c>
      <c r="AH559" t="s">
        <v>3806</v>
      </c>
      <c r="AI559" t="s">
        <v>3809</v>
      </c>
      <c r="AJ559">
        <v>42200</v>
      </c>
      <c r="AP559">
        <v>429.1</v>
      </c>
      <c r="AQ559" t="s">
        <v>318</v>
      </c>
      <c r="AR559" t="s">
        <v>4185</v>
      </c>
      <c r="AS559" t="s">
        <v>4210</v>
      </c>
      <c r="AT559" t="s">
        <v>4219</v>
      </c>
    </row>
    <row r="560" spans="1:46">
      <c r="A560" s="1">
        <f>HYPERLINK("https://lsnyc.legalserver.org/matter/dynamic-profile/view/1877487","18-1877487")</f>
        <v>0</v>
      </c>
      <c r="B560" t="s">
        <v>66</v>
      </c>
      <c r="C560" t="s">
        <v>195</v>
      </c>
      <c r="D560" t="s">
        <v>329</v>
      </c>
      <c r="E560" t="s">
        <v>657</v>
      </c>
      <c r="F560" t="s">
        <v>1161</v>
      </c>
      <c r="G560" t="s">
        <v>1630</v>
      </c>
      <c r="H560" t="s">
        <v>1869</v>
      </c>
      <c r="I560">
        <v>11239</v>
      </c>
      <c r="J560" t="s">
        <v>2002</v>
      </c>
      <c r="K560" t="s">
        <v>2002</v>
      </c>
      <c r="L560" t="s">
        <v>2005</v>
      </c>
      <c r="M560" t="s">
        <v>2288</v>
      </c>
      <c r="N560" t="s">
        <v>2415</v>
      </c>
      <c r="O560" t="s">
        <v>2437</v>
      </c>
      <c r="P560" t="s">
        <v>2446</v>
      </c>
      <c r="Q560" t="s">
        <v>2003</v>
      </c>
      <c r="S560" t="s">
        <v>110</v>
      </c>
      <c r="T560">
        <v>2300</v>
      </c>
      <c r="U560" t="s">
        <v>2497</v>
      </c>
      <c r="V560" t="s">
        <v>2516</v>
      </c>
      <c r="W560" t="s">
        <v>2907</v>
      </c>
      <c r="Y560" t="s">
        <v>3647</v>
      </c>
      <c r="Z560">
        <v>1463</v>
      </c>
      <c r="AA560" t="s">
        <v>3787</v>
      </c>
      <c r="AB560" t="s">
        <v>3793</v>
      </c>
      <c r="AC560">
        <v>3</v>
      </c>
      <c r="AD560">
        <v>1</v>
      </c>
      <c r="AE560">
        <v>2</v>
      </c>
      <c r="AF560">
        <v>185.27</v>
      </c>
      <c r="AI560" t="s">
        <v>3809</v>
      </c>
      <c r="AJ560">
        <v>38500</v>
      </c>
      <c r="AK560" t="s">
        <v>3829</v>
      </c>
      <c r="AP560">
        <v>6.5</v>
      </c>
      <c r="AQ560" t="s">
        <v>95</v>
      </c>
      <c r="AR560" t="s">
        <v>4185</v>
      </c>
      <c r="AS560" t="s">
        <v>4210</v>
      </c>
      <c r="AT560" t="s">
        <v>4219</v>
      </c>
    </row>
    <row r="561" spans="1:46">
      <c r="A561" s="1">
        <f>HYPERLINK("https://lsnyc.legalserver.org/matter/dynamic-profile/view/1879814","18-1879814")</f>
        <v>0</v>
      </c>
      <c r="B561" t="s">
        <v>66</v>
      </c>
      <c r="C561" t="s">
        <v>266</v>
      </c>
      <c r="D561" t="s">
        <v>254</v>
      </c>
      <c r="E561" t="s">
        <v>658</v>
      </c>
      <c r="F561" t="s">
        <v>1162</v>
      </c>
      <c r="G561" t="s">
        <v>1631</v>
      </c>
      <c r="I561">
        <v>11233</v>
      </c>
      <c r="J561" t="s">
        <v>2002</v>
      </c>
      <c r="K561" t="s">
        <v>2002</v>
      </c>
      <c r="M561" t="s">
        <v>2289</v>
      </c>
      <c r="N561" t="s">
        <v>2415</v>
      </c>
      <c r="O561" t="s">
        <v>2437</v>
      </c>
      <c r="P561" t="s">
        <v>2446</v>
      </c>
      <c r="Q561" t="s">
        <v>2003</v>
      </c>
      <c r="S561" t="s">
        <v>266</v>
      </c>
      <c r="T561">
        <v>1236</v>
      </c>
      <c r="U561" t="s">
        <v>2497</v>
      </c>
      <c r="V561" t="s">
        <v>2516</v>
      </c>
      <c r="W561" t="s">
        <v>2908</v>
      </c>
      <c r="X561" t="s">
        <v>3160</v>
      </c>
      <c r="Y561" t="s">
        <v>3648</v>
      </c>
      <c r="Z561">
        <v>43</v>
      </c>
      <c r="AA561" t="s">
        <v>3783</v>
      </c>
      <c r="AB561" t="s">
        <v>3798</v>
      </c>
      <c r="AC561">
        <v>10</v>
      </c>
      <c r="AD561">
        <v>1</v>
      </c>
      <c r="AE561">
        <v>0</v>
      </c>
      <c r="AF561">
        <v>82.14</v>
      </c>
      <c r="AI561" t="s">
        <v>3809</v>
      </c>
      <c r="AJ561">
        <v>9972</v>
      </c>
      <c r="AK561" t="s">
        <v>3829</v>
      </c>
      <c r="AP561">
        <v>11.2</v>
      </c>
      <c r="AQ561" t="s">
        <v>210</v>
      </c>
      <c r="AR561" t="s">
        <v>4185</v>
      </c>
      <c r="AS561" t="s">
        <v>4210</v>
      </c>
      <c r="AT561" t="s">
        <v>4219</v>
      </c>
    </row>
    <row r="562" spans="1:46">
      <c r="A562" s="1">
        <f>HYPERLINK("https://lsnyc.legalserver.org/matter/dynamic-profile/view/1881553","18-1881553")</f>
        <v>0</v>
      </c>
      <c r="B562" t="s">
        <v>66</v>
      </c>
      <c r="C562" t="s">
        <v>156</v>
      </c>
      <c r="D562" t="s">
        <v>242</v>
      </c>
      <c r="E562" t="s">
        <v>659</v>
      </c>
      <c r="F562" t="s">
        <v>1163</v>
      </c>
      <c r="G562" t="s">
        <v>1540</v>
      </c>
      <c r="H562" t="s">
        <v>1849</v>
      </c>
      <c r="I562">
        <v>11213</v>
      </c>
      <c r="J562" t="s">
        <v>2002</v>
      </c>
      <c r="K562" t="s">
        <v>2002</v>
      </c>
      <c r="M562" t="s">
        <v>2027</v>
      </c>
      <c r="N562" t="s">
        <v>2027</v>
      </c>
      <c r="O562" t="s">
        <v>2439</v>
      </c>
      <c r="P562" t="s">
        <v>2444</v>
      </c>
      <c r="Q562" t="s">
        <v>2002</v>
      </c>
      <c r="R562" t="s">
        <v>2451</v>
      </c>
      <c r="S562" t="s">
        <v>114</v>
      </c>
      <c r="T562">
        <v>794</v>
      </c>
      <c r="U562" t="s">
        <v>2496</v>
      </c>
      <c r="V562" t="s">
        <v>2515</v>
      </c>
      <c r="W562" t="s">
        <v>2909</v>
      </c>
      <c r="X562" t="s">
        <v>2006</v>
      </c>
      <c r="Y562" t="s">
        <v>3649</v>
      </c>
      <c r="Z562">
        <v>35</v>
      </c>
      <c r="AA562" t="s">
        <v>3783</v>
      </c>
      <c r="AB562" t="s">
        <v>2006</v>
      </c>
      <c r="AC562">
        <v>20</v>
      </c>
      <c r="AD562">
        <v>2</v>
      </c>
      <c r="AE562">
        <v>2</v>
      </c>
      <c r="AF562">
        <v>454.18</v>
      </c>
      <c r="AH562" t="s">
        <v>3806</v>
      </c>
      <c r="AI562" t="s">
        <v>3809</v>
      </c>
      <c r="AJ562">
        <v>114000</v>
      </c>
      <c r="AK562" t="s">
        <v>3830</v>
      </c>
      <c r="AP562">
        <v>1.5</v>
      </c>
      <c r="AQ562" t="s">
        <v>191</v>
      </c>
      <c r="AR562" t="s">
        <v>4185</v>
      </c>
      <c r="AS562" t="s">
        <v>4210</v>
      </c>
      <c r="AT562" t="s">
        <v>4219</v>
      </c>
    </row>
    <row r="563" spans="1:46">
      <c r="A563" s="1">
        <f>HYPERLINK("https://lsnyc.legalserver.org/matter/dynamic-profile/view/1880033","18-1880033")</f>
        <v>0</v>
      </c>
      <c r="B563" t="s">
        <v>66</v>
      </c>
      <c r="C563" t="s">
        <v>121</v>
      </c>
      <c r="E563" t="s">
        <v>484</v>
      </c>
      <c r="F563" t="s">
        <v>868</v>
      </c>
      <c r="G563" t="s">
        <v>1517</v>
      </c>
      <c r="H563" t="s">
        <v>1746</v>
      </c>
      <c r="I563">
        <v>11207</v>
      </c>
      <c r="J563" t="s">
        <v>2002</v>
      </c>
      <c r="K563" t="s">
        <v>2002</v>
      </c>
      <c r="M563" t="s">
        <v>2027</v>
      </c>
      <c r="N563" t="s">
        <v>2420</v>
      </c>
      <c r="O563" t="s">
        <v>2437</v>
      </c>
      <c r="Q563" t="s">
        <v>2002</v>
      </c>
      <c r="R563" t="s">
        <v>2451</v>
      </c>
      <c r="S563" t="s">
        <v>328</v>
      </c>
      <c r="T563">
        <v>1365</v>
      </c>
      <c r="U563" t="s">
        <v>2497</v>
      </c>
      <c r="W563" t="s">
        <v>2775</v>
      </c>
      <c r="X563" t="s">
        <v>3160</v>
      </c>
      <c r="Y563" t="s">
        <v>3525</v>
      </c>
      <c r="Z563">
        <v>6</v>
      </c>
      <c r="AA563" t="s">
        <v>3783</v>
      </c>
      <c r="AB563" t="s">
        <v>3798</v>
      </c>
      <c r="AC563">
        <v>5</v>
      </c>
      <c r="AD563">
        <v>2</v>
      </c>
      <c r="AE563">
        <v>0</v>
      </c>
      <c r="AF563">
        <v>55.12</v>
      </c>
      <c r="AI563" t="s">
        <v>3809</v>
      </c>
      <c r="AJ563">
        <v>9072</v>
      </c>
      <c r="AK563" t="s">
        <v>3909</v>
      </c>
      <c r="AP563">
        <v>0.25</v>
      </c>
      <c r="AQ563" t="s">
        <v>161</v>
      </c>
      <c r="AR563" t="s">
        <v>4185</v>
      </c>
      <c r="AS563" t="s">
        <v>4210</v>
      </c>
      <c r="AT563" t="s">
        <v>4219</v>
      </c>
    </row>
    <row r="564" spans="1:46">
      <c r="A564" s="1">
        <f>HYPERLINK("https://lsnyc.legalserver.org/matter/dynamic-profile/view/1884099","18-1884099")</f>
        <v>0</v>
      </c>
      <c r="B564" t="s">
        <v>66</v>
      </c>
      <c r="C564" t="s">
        <v>267</v>
      </c>
      <c r="D564" t="s">
        <v>254</v>
      </c>
      <c r="E564" t="s">
        <v>660</v>
      </c>
      <c r="F564" t="s">
        <v>1164</v>
      </c>
      <c r="G564" t="s">
        <v>1429</v>
      </c>
      <c r="H564">
        <v>419</v>
      </c>
      <c r="I564">
        <v>11239</v>
      </c>
      <c r="J564" t="s">
        <v>2002</v>
      </c>
      <c r="K564" t="s">
        <v>2002</v>
      </c>
      <c r="M564" t="s">
        <v>2290</v>
      </c>
      <c r="N564" t="s">
        <v>2415</v>
      </c>
      <c r="O564" t="s">
        <v>2437</v>
      </c>
      <c r="P564" t="s">
        <v>2446</v>
      </c>
      <c r="Q564" t="s">
        <v>2003</v>
      </c>
      <c r="R564" t="s">
        <v>2451</v>
      </c>
      <c r="S564" t="s">
        <v>267</v>
      </c>
      <c r="T564">
        <v>963</v>
      </c>
      <c r="U564" t="s">
        <v>2497</v>
      </c>
      <c r="V564" t="s">
        <v>2516</v>
      </c>
      <c r="W564" t="s">
        <v>2910</v>
      </c>
      <c r="X564" t="s">
        <v>2006</v>
      </c>
      <c r="Y564" t="s">
        <v>3650</v>
      </c>
      <c r="Z564">
        <v>136</v>
      </c>
      <c r="AA564" t="s">
        <v>3783</v>
      </c>
      <c r="AB564" t="s">
        <v>2006</v>
      </c>
      <c r="AC564">
        <v>2</v>
      </c>
      <c r="AD564">
        <v>1</v>
      </c>
      <c r="AE564">
        <v>3</v>
      </c>
      <c r="AF564">
        <v>160</v>
      </c>
      <c r="AI564" t="s">
        <v>3809</v>
      </c>
      <c r="AJ564">
        <v>40159</v>
      </c>
      <c r="AP564">
        <v>8.6</v>
      </c>
      <c r="AQ564" t="s">
        <v>133</v>
      </c>
      <c r="AR564" t="s">
        <v>66</v>
      </c>
      <c r="AS564" t="s">
        <v>4210</v>
      </c>
      <c r="AT564" t="s">
        <v>4219</v>
      </c>
    </row>
    <row r="565" spans="1:46">
      <c r="A565" s="1">
        <f>HYPERLINK("https://lsnyc.legalserver.org/matter/dynamic-profile/view/1886089","18-1886089")</f>
        <v>0</v>
      </c>
      <c r="B565" t="s">
        <v>66</v>
      </c>
      <c r="C565" t="s">
        <v>268</v>
      </c>
      <c r="E565" t="s">
        <v>351</v>
      </c>
      <c r="F565" t="s">
        <v>1117</v>
      </c>
      <c r="G565" t="s">
        <v>1482</v>
      </c>
      <c r="H565" t="s">
        <v>1852</v>
      </c>
      <c r="I565">
        <v>11233</v>
      </c>
      <c r="J565" t="s">
        <v>2002</v>
      </c>
      <c r="K565" t="s">
        <v>2002</v>
      </c>
      <c r="M565" t="s">
        <v>2027</v>
      </c>
      <c r="N565" t="s">
        <v>2424</v>
      </c>
      <c r="O565" t="s">
        <v>2440</v>
      </c>
      <c r="Q565" t="s">
        <v>2002</v>
      </c>
      <c r="R565" t="s">
        <v>2451</v>
      </c>
      <c r="S565" t="s">
        <v>137</v>
      </c>
      <c r="T565">
        <v>955.08</v>
      </c>
      <c r="U565" t="s">
        <v>2504</v>
      </c>
      <c r="W565" t="s">
        <v>2846</v>
      </c>
      <c r="X565" t="s">
        <v>3267</v>
      </c>
      <c r="Y565" t="s">
        <v>3585</v>
      </c>
      <c r="Z565">
        <v>764</v>
      </c>
      <c r="AA565" t="s">
        <v>3783</v>
      </c>
      <c r="AB565" t="s">
        <v>2006</v>
      </c>
      <c r="AC565">
        <v>16</v>
      </c>
      <c r="AD565">
        <v>2</v>
      </c>
      <c r="AE565">
        <v>0</v>
      </c>
      <c r="AF565">
        <v>83.37</v>
      </c>
      <c r="AI565" t="s">
        <v>3809</v>
      </c>
      <c r="AJ565">
        <v>13722.36</v>
      </c>
      <c r="AK565" t="s">
        <v>3933</v>
      </c>
      <c r="AP565">
        <v>561.65</v>
      </c>
      <c r="AQ565" t="s">
        <v>4165</v>
      </c>
      <c r="AR565" t="s">
        <v>4185</v>
      </c>
      <c r="AS565" t="s">
        <v>4210</v>
      </c>
      <c r="AT565" t="s">
        <v>4219</v>
      </c>
    </row>
    <row r="566" spans="1:46">
      <c r="A566" s="1">
        <f>HYPERLINK("https://lsnyc.legalserver.org/matter/dynamic-profile/view/1887097","19-1887097")</f>
        <v>0</v>
      </c>
      <c r="B566" t="s">
        <v>66</v>
      </c>
      <c r="C566" t="s">
        <v>130</v>
      </c>
      <c r="E566" t="s">
        <v>661</v>
      </c>
      <c r="F566" t="s">
        <v>1165</v>
      </c>
      <c r="G566" t="s">
        <v>1482</v>
      </c>
      <c r="H566" t="s">
        <v>1870</v>
      </c>
      <c r="I566">
        <v>11233</v>
      </c>
      <c r="J566" t="s">
        <v>2002</v>
      </c>
      <c r="K566" t="s">
        <v>2002</v>
      </c>
      <c r="M566" t="s">
        <v>2058</v>
      </c>
      <c r="N566" t="s">
        <v>2424</v>
      </c>
      <c r="O566" t="s">
        <v>2440</v>
      </c>
      <c r="Q566" t="s">
        <v>2002</v>
      </c>
      <c r="R566" t="s">
        <v>2451</v>
      </c>
      <c r="S566" t="s">
        <v>137</v>
      </c>
      <c r="T566">
        <v>1353.11</v>
      </c>
      <c r="U566" t="s">
        <v>2494</v>
      </c>
      <c r="W566" t="s">
        <v>2911</v>
      </c>
      <c r="X566" t="s">
        <v>2006</v>
      </c>
      <c r="Y566" t="s">
        <v>3651</v>
      </c>
      <c r="Z566">
        <v>764</v>
      </c>
      <c r="AA566" t="s">
        <v>3783</v>
      </c>
      <c r="AB566" t="s">
        <v>2006</v>
      </c>
      <c r="AC566">
        <v>24</v>
      </c>
      <c r="AD566">
        <v>5</v>
      </c>
      <c r="AE566">
        <v>0</v>
      </c>
      <c r="AF566">
        <v>174.03</v>
      </c>
      <c r="AI566" t="s">
        <v>3809</v>
      </c>
      <c r="AJ566">
        <v>51200</v>
      </c>
      <c r="AP566">
        <v>0</v>
      </c>
      <c r="AR566" t="s">
        <v>4185</v>
      </c>
      <c r="AS566" t="s">
        <v>4210</v>
      </c>
      <c r="AT566" t="s">
        <v>4219</v>
      </c>
    </row>
    <row r="567" spans="1:46">
      <c r="A567" s="1">
        <f>HYPERLINK("https://lsnyc.legalserver.org/matter/dynamic-profile/view/1889442","19-1889442")</f>
        <v>0</v>
      </c>
      <c r="B567" t="s">
        <v>66</v>
      </c>
      <c r="C567" t="s">
        <v>173</v>
      </c>
      <c r="E567" t="s">
        <v>662</v>
      </c>
      <c r="F567" t="s">
        <v>1166</v>
      </c>
      <c r="G567" t="s">
        <v>1632</v>
      </c>
      <c r="H567" t="s">
        <v>1871</v>
      </c>
      <c r="I567">
        <v>11233</v>
      </c>
      <c r="J567" t="s">
        <v>2002</v>
      </c>
      <c r="K567" t="s">
        <v>2002</v>
      </c>
      <c r="N567" t="s">
        <v>2424</v>
      </c>
      <c r="O567" t="s">
        <v>2440</v>
      </c>
      <c r="Q567" t="s">
        <v>2002</v>
      </c>
      <c r="R567" t="s">
        <v>2451</v>
      </c>
      <c r="S567" t="s">
        <v>137</v>
      </c>
      <c r="T567">
        <v>0</v>
      </c>
      <c r="W567" t="s">
        <v>2912</v>
      </c>
      <c r="Z567">
        <v>0</v>
      </c>
      <c r="AA567" t="s">
        <v>3783</v>
      </c>
      <c r="AC567">
        <v>0</v>
      </c>
      <c r="AD567">
        <v>3</v>
      </c>
      <c r="AE567">
        <v>0</v>
      </c>
      <c r="AF567">
        <v>909.52</v>
      </c>
      <c r="AI567" t="s">
        <v>3809</v>
      </c>
      <c r="AJ567">
        <v>194000</v>
      </c>
      <c r="AP567">
        <v>0</v>
      </c>
      <c r="AR567" t="s">
        <v>49</v>
      </c>
      <c r="AS567" t="s">
        <v>4210</v>
      </c>
      <c r="AT567" t="s">
        <v>4219</v>
      </c>
    </row>
    <row r="568" spans="1:46">
      <c r="A568" s="1">
        <f>HYPERLINK("https://lsnyc.legalserver.org/matter/dynamic-profile/view/1886113","18-1886113")</f>
        <v>0</v>
      </c>
      <c r="B568" t="s">
        <v>66</v>
      </c>
      <c r="C568" t="s">
        <v>268</v>
      </c>
      <c r="E568" t="s">
        <v>663</v>
      </c>
      <c r="F568" t="s">
        <v>1031</v>
      </c>
      <c r="G568" t="s">
        <v>1632</v>
      </c>
      <c r="H568" t="s">
        <v>1872</v>
      </c>
      <c r="I568">
        <v>11233</v>
      </c>
      <c r="J568" t="s">
        <v>2002</v>
      </c>
      <c r="K568" t="s">
        <v>2002</v>
      </c>
      <c r="M568" t="s">
        <v>2132</v>
      </c>
      <c r="N568" t="s">
        <v>2424</v>
      </c>
      <c r="O568" t="s">
        <v>2440</v>
      </c>
      <c r="Q568" t="s">
        <v>2002</v>
      </c>
      <c r="R568" t="s">
        <v>2451</v>
      </c>
      <c r="S568" t="s">
        <v>161</v>
      </c>
      <c r="T568">
        <v>1094</v>
      </c>
      <c r="U568" t="s">
        <v>2494</v>
      </c>
      <c r="W568" t="s">
        <v>2913</v>
      </c>
      <c r="X568" t="s">
        <v>2006</v>
      </c>
      <c r="Z568">
        <v>764</v>
      </c>
      <c r="AA568" t="s">
        <v>3783</v>
      </c>
      <c r="AB568" t="s">
        <v>2006</v>
      </c>
      <c r="AC568">
        <v>40</v>
      </c>
      <c r="AD568">
        <v>1</v>
      </c>
      <c r="AE568">
        <v>0</v>
      </c>
      <c r="AF568">
        <v>230.64</v>
      </c>
      <c r="AG568" t="s">
        <v>196</v>
      </c>
      <c r="AH568" t="s">
        <v>3806</v>
      </c>
      <c r="AI568" t="s">
        <v>3809</v>
      </c>
      <c r="AJ568">
        <v>28000</v>
      </c>
      <c r="AP568">
        <v>0</v>
      </c>
      <c r="AR568" t="s">
        <v>4185</v>
      </c>
      <c r="AS568" t="s">
        <v>4210</v>
      </c>
      <c r="AT568" t="s">
        <v>4219</v>
      </c>
    </row>
    <row r="569" spans="1:46">
      <c r="A569" s="1">
        <f>HYPERLINK("https://lsnyc.legalserver.org/matter/dynamic-profile/view/1886109","18-1886109")</f>
        <v>0</v>
      </c>
      <c r="B569" t="s">
        <v>66</v>
      </c>
      <c r="C569" t="s">
        <v>268</v>
      </c>
      <c r="E569" t="s">
        <v>664</v>
      </c>
      <c r="F569" t="s">
        <v>1055</v>
      </c>
      <c r="G569" t="s">
        <v>1632</v>
      </c>
      <c r="H569" t="s">
        <v>1873</v>
      </c>
      <c r="I569">
        <v>11233</v>
      </c>
      <c r="J569" t="s">
        <v>2002</v>
      </c>
      <c r="K569" t="s">
        <v>2002</v>
      </c>
      <c r="M569" t="s">
        <v>2027</v>
      </c>
      <c r="N569" t="s">
        <v>2424</v>
      </c>
      <c r="O569" t="s">
        <v>2440</v>
      </c>
      <c r="Q569" t="s">
        <v>2002</v>
      </c>
      <c r="R569" t="s">
        <v>2451</v>
      </c>
      <c r="S569" t="s">
        <v>161</v>
      </c>
      <c r="T569">
        <v>628</v>
      </c>
      <c r="U569" t="s">
        <v>2494</v>
      </c>
      <c r="W569" t="s">
        <v>2914</v>
      </c>
      <c r="X569" t="s">
        <v>2006</v>
      </c>
      <c r="Y569" t="s">
        <v>3652</v>
      </c>
      <c r="Z569">
        <v>764</v>
      </c>
      <c r="AA569" t="s">
        <v>3783</v>
      </c>
      <c r="AB569" t="s">
        <v>2006</v>
      </c>
      <c r="AC569">
        <v>18</v>
      </c>
      <c r="AD569">
        <v>1</v>
      </c>
      <c r="AE569">
        <v>0</v>
      </c>
      <c r="AF569">
        <v>329.49</v>
      </c>
      <c r="AG569" t="s">
        <v>196</v>
      </c>
      <c r="AH569" t="s">
        <v>3806</v>
      </c>
      <c r="AI569" t="s">
        <v>3809</v>
      </c>
      <c r="AJ569">
        <v>40000</v>
      </c>
      <c r="AP569">
        <v>0</v>
      </c>
      <c r="AR569" t="s">
        <v>4185</v>
      </c>
      <c r="AS569" t="s">
        <v>4210</v>
      </c>
      <c r="AT569" t="s">
        <v>4219</v>
      </c>
    </row>
    <row r="570" spans="1:46">
      <c r="A570" s="1">
        <f>HYPERLINK("https://lsnyc.legalserver.org/matter/dynamic-profile/view/1886163","18-1886163")</f>
        <v>0</v>
      </c>
      <c r="B570" t="s">
        <v>66</v>
      </c>
      <c r="C570" t="s">
        <v>268</v>
      </c>
      <c r="E570" t="s">
        <v>665</v>
      </c>
      <c r="F570" t="s">
        <v>1167</v>
      </c>
      <c r="G570" t="s">
        <v>1482</v>
      </c>
      <c r="H570" t="s">
        <v>1801</v>
      </c>
      <c r="I570">
        <v>11233</v>
      </c>
      <c r="J570" t="s">
        <v>2002</v>
      </c>
      <c r="K570" t="s">
        <v>2002</v>
      </c>
      <c r="M570" t="s">
        <v>2132</v>
      </c>
      <c r="N570" t="s">
        <v>2424</v>
      </c>
      <c r="O570" t="s">
        <v>2440</v>
      </c>
      <c r="Q570" t="s">
        <v>2002</v>
      </c>
      <c r="R570" t="s">
        <v>2451</v>
      </c>
      <c r="S570" t="s">
        <v>161</v>
      </c>
      <c r="T570">
        <v>583.25</v>
      </c>
      <c r="W570" t="s">
        <v>2915</v>
      </c>
      <c r="X570" t="s">
        <v>2006</v>
      </c>
      <c r="Y570" t="s">
        <v>3653</v>
      </c>
      <c r="Z570">
        <v>764</v>
      </c>
      <c r="AA570" t="s">
        <v>3783</v>
      </c>
      <c r="AB570" t="s">
        <v>2006</v>
      </c>
      <c r="AC570">
        <v>0</v>
      </c>
      <c r="AD570">
        <v>1</v>
      </c>
      <c r="AE570">
        <v>0</v>
      </c>
      <c r="AF570">
        <v>345.96</v>
      </c>
      <c r="AI570" t="s">
        <v>3809</v>
      </c>
      <c r="AJ570">
        <v>42000</v>
      </c>
      <c r="AP570">
        <v>0</v>
      </c>
      <c r="AR570" t="s">
        <v>4185</v>
      </c>
      <c r="AS570" t="s">
        <v>4210</v>
      </c>
      <c r="AT570" t="s">
        <v>4219</v>
      </c>
    </row>
    <row r="571" spans="1:46">
      <c r="A571" s="1">
        <f>HYPERLINK("https://lsnyc.legalserver.org/matter/dynamic-profile/view/1886406","18-1886406")</f>
        <v>0</v>
      </c>
      <c r="B571" t="s">
        <v>66</v>
      </c>
      <c r="C571" t="s">
        <v>232</v>
      </c>
      <c r="E571" t="s">
        <v>666</v>
      </c>
      <c r="F571" t="s">
        <v>1168</v>
      </c>
      <c r="G571" t="s">
        <v>1482</v>
      </c>
      <c r="H571" t="s">
        <v>1874</v>
      </c>
      <c r="I571">
        <v>11233</v>
      </c>
      <c r="J571" t="s">
        <v>2002</v>
      </c>
      <c r="K571" t="s">
        <v>2002</v>
      </c>
      <c r="M571" t="s">
        <v>2027</v>
      </c>
      <c r="N571" t="s">
        <v>2424</v>
      </c>
      <c r="O571" t="s">
        <v>2440</v>
      </c>
      <c r="Q571" t="s">
        <v>2002</v>
      </c>
      <c r="R571" t="s">
        <v>2451</v>
      </c>
      <c r="S571" t="s">
        <v>237</v>
      </c>
      <c r="T571">
        <v>1036</v>
      </c>
      <c r="U571" t="s">
        <v>2504</v>
      </c>
      <c r="W571" t="s">
        <v>2916</v>
      </c>
      <c r="Y571" t="s">
        <v>3654</v>
      </c>
      <c r="Z571">
        <v>764</v>
      </c>
      <c r="AA571" t="s">
        <v>3783</v>
      </c>
      <c r="AB571" t="s">
        <v>3793</v>
      </c>
      <c r="AC571">
        <v>13</v>
      </c>
      <c r="AD571">
        <v>2</v>
      </c>
      <c r="AE571">
        <v>4</v>
      </c>
      <c r="AF571">
        <v>0.06</v>
      </c>
      <c r="AI571" t="s">
        <v>3809</v>
      </c>
      <c r="AJ571">
        <v>20</v>
      </c>
      <c r="AP571">
        <v>0</v>
      </c>
      <c r="AR571" t="s">
        <v>49</v>
      </c>
      <c r="AS571" t="s">
        <v>4210</v>
      </c>
      <c r="AT571" t="s">
        <v>4219</v>
      </c>
    </row>
    <row r="572" spans="1:46">
      <c r="A572" s="1">
        <f>HYPERLINK("https://lsnyc.legalserver.org/matter/dynamic-profile/view/1886541","18-1886541")</f>
        <v>0</v>
      </c>
      <c r="B572" t="s">
        <v>66</v>
      </c>
      <c r="C572" t="s">
        <v>74</v>
      </c>
      <c r="E572" t="s">
        <v>656</v>
      </c>
      <c r="F572" t="s">
        <v>1169</v>
      </c>
      <c r="G572" t="s">
        <v>1632</v>
      </c>
      <c r="H572" t="s">
        <v>1803</v>
      </c>
      <c r="I572">
        <v>11233</v>
      </c>
      <c r="J572" t="s">
        <v>2002</v>
      </c>
      <c r="K572" t="s">
        <v>2002</v>
      </c>
      <c r="M572" t="s">
        <v>2027</v>
      </c>
      <c r="N572" t="s">
        <v>2424</v>
      </c>
      <c r="O572" t="s">
        <v>2440</v>
      </c>
      <c r="Q572" t="s">
        <v>2002</v>
      </c>
      <c r="R572" t="s">
        <v>2451</v>
      </c>
      <c r="S572" t="s">
        <v>2486</v>
      </c>
      <c r="T572">
        <v>1133</v>
      </c>
      <c r="U572" t="s">
        <v>2504</v>
      </c>
      <c r="W572" t="s">
        <v>2917</v>
      </c>
      <c r="Y572" t="s">
        <v>3655</v>
      </c>
      <c r="Z572">
        <v>764</v>
      </c>
      <c r="AA572" t="s">
        <v>3783</v>
      </c>
      <c r="AB572" t="s">
        <v>2006</v>
      </c>
      <c r="AC572">
        <v>36</v>
      </c>
      <c r="AD572">
        <v>2</v>
      </c>
      <c r="AE572">
        <v>0</v>
      </c>
      <c r="AF572">
        <v>692.59</v>
      </c>
      <c r="AI572" t="s">
        <v>3809</v>
      </c>
      <c r="AJ572">
        <v>114000</v>
      </c>
      <c r="AP572">
        <v>0</v>
      </c>
      <c r="AR572" t="s">
        <v>49</v>
      </c>
      <c r="AS572" t="s">
        <v>4210</v>
      </c>
      <c r="AT572" t="s">
        <v>4219</v>
      </c>
    </row>
    <row r="573" spans="1:46">
      <c r="A573" s="1">
        <f>HYPERLINK("https://lsnyc.legalserver.org/matter/dynamic-profile/view/1890177","19-1890177")</f>
        <v>0</v>
      </c>
      <c r="B573" t="s">
        <v>66</v>
      </c>
      <c r="C573" t="s">
        <v>178</v>
      </c>
      <c r="E573" t="s">
        <v>504</v>
      </c>
      <c r="F573" t="s">
        <v>1170</v>
      </c>
      <c r="G573" t="s">
        <v>1632</v>
      </c>
      <c r="H573" t="s">
        <v>1875</v>
      </c>
      <c r="I573">
        <v>11233</v>
      </c>
      <c r="J573" t="s">
        <v>2002</v>
      </c>
      <c r="K573" t="s">
        <v>2002</v>
      </c>
      <c r="N573" t="s">
        <v>2424</v>
      </c>
      <c r="O573" t="s">
        <v>2440</v>
      </c>
      <c r="Q573" t="s">
        <v>2002</v>
      </c>
      <c r="R573" t="s">
        <v>2451</v>
      </c>
      <c r="S573" t="s">
        <v>2472</v>
      </c>
      <c r="T573">
        <v>841.4299999999999</v>
      </c>
      <c r="U573" t="s">
        <v>2504</v>
      </c>
      <c r="W573" t="s">
        <v>2918</v>
      </c>
      <c r="X573" t="s">
        <v>2006</v>
      </c>
      <c r="Y573" t="s">
        <v>3656</v>
      </c>
      <c r="Z573">
        <v>764</v>
      </c>
      <c r="AA573" t="s">
        <v>3783</v>
      </c>
      <c r="AB573" t="s">
        <v>3793</v>
      </c>
      <c r="AC573">
        <v>31</v>
      </c>
      <c r="AD573">
        <v>1</v>
      </c>
      <c r="AE573">
        <v>0</v>
      </c>
      <c r="AF573">
        <v>133.64</v>
      </c>
      <c r="AI573" t="s">
        <v>3809</v>
      </c>
      <c r="AJ573">
        <v>16692</v>
      </c>
      <c r="AP573">
        <v>0</v>
      </c>
      <c r="AR573" t="s">
        <v>4185</v>
      </c>
      <c r="AS573" t="s">
        <v>4210</v>
      </c>
      <c r="AT573" t="s">
        <v>4219</v>
      </c>
    </row>
    <row r="574" spans="1:46">
      <c r="A574" s="1">
        <f>HYPERLINK("https://lsnyc.legalserver.org/matter/dynamic-profile/view/1886536","18-1886536")</f>
        <v>0</v>
      </c>
      <c r="B574" t="s">
        <v>66</v>
      </c>
      <c r="C574" t="s">
        <v>74</v>
      </c>
      <c r="E574" t="s">
        <v>434</v>
      </c>
      <c r="F574" t="s">
        <v>1020</v>
      </c>
      <c r="G574" t="s">
        <v>1633</v>
      </c>
      <c r="H574" t="s">
        <v>1876</v>
      </c>
      <c r="I574">
        <v>11233</v>
      </c>
      <c r="J574" t="s">
        <v>2002</v>
      </c>
      <c r="K574" t="s">
        <v>2002</v>
      </c>
      <c r="M574" t="s">
        <v>2027</v>
      </c>
      <c r="N574" t="s">
        <v>2424</v>
      </c>
      <c r="O574" t="s">
        <v>2440</v>
      </c>
      <c r="Q574" t="s">
        <v>2002</v>
      </c>
      <c r="R574" t="s">
        <v>2451</v>
      </c>
      <c r="S574" t="s">
        <v>2472</v>
      </c>
      <c r="T574">
        <v>446</v>
      </c>
      <c r="U574" t="s">
        <v>2504</v>
      </c>
      <c r="W574" t="s">
        <v>2561</v>
      </c>
      <c r="Y574" t="s">
        <v>3657</v>
      </c>
      <c r="Z574">
        <v>764</v>
      </c>
      <c r="AA574" t="s">
        <v>3783</v>
      </c>
      <c r="AB574" t="s">
        <v>3793</v>
      </c>
      <c r="AC574">
        <v>0</v>
      </c>
      <c r="AD574">
        <v>1</v>
      </c>
      <c r="AE574">
        <v>0</v>
      </c>
      <c r="AF574">
        <v>172.98</v>
      </c>
      <c r="AI574" t="s">
        <v>3809</v>
      </c>
      <c r="AJ574">
        <v>21000</v>
      </c>
      <c r="AP574">
        <v>0</v>
      </c>
      <c r="AR574" t="s">
        <v>49</v>
      </c>
      <c r="AS574" t="s">
        <v>4210</v>
      </c>
      <c r="AT574" t="s">
        <v>4219</v>
      </c>
    </row>
    <row r="575" spans="1:46">
      <c r="A575" s="1">
        <f>HYPERLINK("https://lsnyc.legalserver.org/matter/dynamic-profile/view/1886734","18-1886734")</f>
        <v>0</v>
      </c>
      <c r="B575" t="s">
        <v>66</v>
      </c>
      <c r="C575" t="s">
        <v>128</v>
      </c>
      <c r="E575" t="s">
        <v>667</v>
      </c>
      <c r="F575" t="s">
        <v>1171</v>
      </c>
      <c r="G575" t="s">
        <v>1482</v>
      </c>
      <c r="H575" t="s">
        <v>1877</v>
      </c>
      <c r="I575">
        <v>11233</v>
      </c>
      <c r="J575" t="s">
        <v>2002</v>
      </c>
      <c r="K575" t="s">
        <v>2002</v>
      </c>
      <c r="N575" t="s">
        <v>2424</v>
      </c>
      <c r="O575" t="s">
        <v>2440</v>
      </c>
      <c r="Q575" t="s">
        <v>2002</v>
      </c>
      <c r="R575" t="s">
        <v>2451</v>
      </c>
      <c r="S575" t="s">
        <v>231</v>
      </c>
      <c r="T575">
        <v>1076.55</v>
      </c>
      <c r="U575" t="s">
        <v>2504</v>
      </c>
      <c r="W575" t="s">
        <v>2919</v>
      </c>
      <c r="Y575" t="s">
        <v>3658</v>
      </c>
      <c r="Z575">
        <v>764</v>
      </c>
      <c r="AA575" t="s">
        <v>3783</v>
      </c>
      <c r="AB575" t="s">
        <v>3797</v>
      </c>
      <c r="AC575">
        <v>21</v>
      </c>
      <c r="AD575">
        <v>1</v>
      </c>
      <c r="AE575">
        <v>0</v>
      </c>
      <c r="AF575">
        <v>190.71</v>
      </c>
      <c r="AI575" t="s">
        <v>3809</v>
      </c>
      <c r="AJ575">
        <v>23152.8</v>
      </c>
      <c r="AP575">
        <v>0</v>
      </c>
      <c r="AR575" t="s">
        <v>49</v>
      </c>
      <c r="AS575" t="s">
        <v>4210</v>
      </c>
      <c r="AT575" t="s">
        <v>4219</v>
      </c>
    </row>
    <row r="576" spans="1:46">
      <c r="A576" s="1">
        <f>HYPERLINK("https://lsnyc.legalserver.org/matter/dynamic-profile/view/1891491","19-1891491")</f>
        <v>0</v>
      </c>
      <c r="B576" t="s">
        <v>66</v>
      </c>
      <c r="C576" t="s">
        <v>164</v>
      </c>
      <c r="E576" t="s">
        <v>668</v>
      </c>
      <c r="F576" t="s">
        <v>1172</v>
      </c>
      <c r="G576" t="s">
        <v>1482</v>
      </c>
      <c r="H576" t="s">
        <v>1878</v>
      </c>
      <c r="I576">
        <v>11233</v>
      </c>
      <c r="J576" t="s">
        <v>2002</v>
      </c>
      <c r="K576" t="s">
        <v>2003</v>
      </c>
      <c r="M576" t="s">
        <v>2291</v>
      </c>
      <c r="N576" t="s">
        <v>2424</v>
      </c>
      <c r="O576" t="s">
        <v>2441</v>
      </c>
      <c r="Q576" t="s">
        <v>2002</v>
      </c>
      <c r="R576" t="s">
        <v>2451</v>
      </c>
      <c r="S576" t="s">
        <v>210</v>
      </c>
      <c r="T576">
        <v>505</v>
      </c>
      <c r="W576" t="s">
        <v>2920</v>
      </c>
      <c r="Z576">
        <v>359</v>
      </c>
      <c r="AA576" t="s">
        <v>3783</v>
      </c>
      <c r="AC576">
        <v>40</v>
      </c>
      <c r="AD576">
        <v>1</v>
      </c>
      <c r="AE576">
        <v>0</v>
      </c>
      <c r="AF576">
        <v>0</v>
      </c>
      <c r="AI576" t="s">
        <v>3809</v>
      </c>
      <c r="AJ576">
        <v>0</v>
      </c>
      <c r="AK576" t="s">
        <v>3934</v>
      </c>
      <c r="AP576">
        <v>0</v>
      </c>
      <c r="AR576" t="s">
        <v>4185</v>
      </c>
      <c r="AS576" t="s">
        <v>4210</v>
      </c>
      <c r="AT576" t="s">
        <v>4219</v>
      </c>
    </row>
    <row r="577" spans="1:46">
      <c r="A577" s="1">
        <f>HYPERLINK("https://lsnyc.legalserver.org/matter/dynamic-profile/view/1891507","19-1891507")</f>
        <v>0</v>
      </c>
      <c r="B577" t="s">
        <v>66</v>
      </c>
      <c r="C577" t="s">
        <v>164</v>
      </c>
      <c r="E577" t="s">
        <v>669</v>
      </c>
      <c r="F577" t="s">
        <v>1173</v>
      </c>
      <c r="G577" t="s">
        <v>1482</v>
      </c>
      <c r="H577" t="s">
        <v>1790</v>
      </c>
      <c r="I577">
        <v>11233</v>
      </c>
      <c r="J577" t="s">
        <v>2002</v>
      </c>
      <c r="K577" t="s">
        <v>2003</v>
      </c>
      <c r="M577" t="s">
        <v>2058</v>
      </c>
      <c r="N577" t="s">
        <v>2424</v>
      </c>
      <c r="O577" t="s">
        <v>2441</v>
      </c>
      <c r="Q577" t="s">
        <v>2002</v>
      </c>
      <c r="R577" t="s">
        <v>2451</v>
      </c>
      <c r="S577" t="s">
        <v>210</v>
      </c>
      <c r="T577">
        <v>0</v>
      </c>
      <c r="W577" t="s">
        <v>2921</v>
      </c>
      <c r="Z577">
        <v>359</v>
      </c>
      <c r="AA577" t="s">
        <v>3783</v>
      </c>
      <c r="AC577">
        <v>14</v>
      </c>
      <c r="AD577">
        <v>1</v>
      </c>
      <c r="AE577">
        <v>0</v>
      </c>
      <c r="AF577">
        <v>0</v>
      </c>
      <c r="AI577" t="s">
        <v>3809</v>
      </c>
      <c r="AJ577">
        <v>0</v>
      </c>
      <c r="AK577" t="s">
        <v>3934</v>
      </c>
      <c r="AP577">
        <v>0</v>
      </c>
      <c r="AR577" t="s">
        <v>4185</v>
      </c>
      <c r="AS577" t="s">
        <v>4210</v>
      </c>
      <c r="AT577" t="s">
        <v>4219</v>
      </c>
    </row>
    <row r="578" spans="1:46">
      <c r="A578" s="1">
        <f>HYPERLINK("https://lsnyc.legalserver.org/matter/dynamic-profile/view/1897167","19-1897167")</f>
        <v>0</v>
      </c>
      <c r="B578" t="s">
        <v>66</v>
      </c>
      <c r="C578" t="s">
        <v>269</v>
      </c>
      <c r="E578" t="s">
        <v>670</v>
      </c>
      <c r="F578" t="s">
        <v>1174</v>
      </c>
      <c r="G578" t="s">
        <v>1632</v>
      </c>
      <c r="H578" t="s">
        <v>1879</v>
      </c>
      <c r="I578">
        <v>11233</v>
      </c>
      <c r="J578" t="s">
        <v>2002</v>
      </c>
      <c r="K578" t="s">
        <v>2003</v>
      </c>
      <c r="M578" t="s">
        <v>2292</v>
      </c>
      <c r="N578" t="s">
        <v>2424</v>
      </c>
      <c r="O578" t="s">
        <v>2441</v>
      </c>
      <c r="Q578" t="s">
        <v>2002</v>
      </c>
      <c r="R578" t="s">
        <v>2451</v>
      </c>
      <c r="S578" t="s">
        <v>210</v>
      </c>
      <c r="T578">
        <v>1294.06</v>
      </c>
      <c r="U578" t="s">
        <v>2495</v>
      </c>
      <c r="W578" t="s">
        <v>2561</v>
      </c>
      <c r="Z578">
        <v>359</v>
      </c>
      <c r="AA578" t="s">
        <v>3783</v>
      </c>
      <c r="AB578" t="s">
        <v>2006</v>
      </c>
      <c r="AC578">
        <v>27</v>
      </c>
      <c r="AD578">
        <v>1</v>
      </c>
      <c r="AE578">
        <v>0</v>
      </c>
      <c r="AF578">
        <v>0</v>
      </c>
      <c r="AI578" t="s">
        <v>3809</v>
      </c>
      <c r="AJ578">
        <v>0</v>
      </c>
      <c r="AK578" t="s">
        <v>3935</v>
      </c>
      <c r="AP578">
        <v>0</v>
      </c>
      <c r="AR578" t="s">
        <v>49</v>
      </c>
      <c r="AS578" t="s">
        <v>4210</v>
      </c>
      <c r="AT578" t="s">
        <v>4219</v>
      </c>
    </row>
    <row r="579" spans="1:46">
      <c r="A579" s="1">
        <f>HYPERLINK("https://lsnyc.legalserver.org/matter/dynamic-profile/view/1897185","19-1897185")</f>
        <v>0</v>
      </c>
      <c r="B579" t="s">
        <v>66</v>
      </c>
      <c r="C579" t="s">
        <v>269</v>
      </c>
      <c r="E579" t="s">
        <v>467</v>
      </c>
      <c r="F579" t="s">
        <v>940</v>
      </c>
      <c r="G579" t="s">
        <v>1632</v>
      </c>
      <c r="H579" t="s">
        <v>1760</v>
      </c>
      <c r="I579">
        <v>11233</v>
      </c>
      <c r="J579" t="s">
        <v>2002</v>
      </c>
      <c r="K579" t="s">
        <v>2003</v>
      </c>
      <c r="M579" t="s">
        <v>2292</v>
      </c>
      <c r="N579" t="s">
        <v>2424</v>
      </c>
      <c r="O579" t="s">
        <v>2441</v>
      </c>
      <c r="Q579" t="s">
        <v>2002</v>
      </c>
      <c r="R579" t="s">
        <v>2451</v>
      </c>
      <c r="S579" t="s">
        <v>210</v>
      </c>
      <c r="T579">
        <v>1014</v>
      </c>
      <c r="U579" t="s">
        <v>2495</v>
      </c>
      <c r="W579" t="s">
        <v>2922</v>
      </c>
      <c r="Z579">
        <v>359</v>
      </c>
      <c r="AA579" t="s">
        <v>3783</v>
      </c>
      <c r="AC579">
        <v>30</v>
      </c>
      <c r="AD579">
        <v>1</v>
      </c>
      <c r="AE579">
        <v>0</v>
      </c>
      <c r="AF579">
        <v>0</v>
      </c>
      <c r="AI579" t="s">
        <v>3809</v>
      </c>
      <c r="AJ579">
        <v>0</v>
      </c>
      <c r="AK579" t="s">
        <v>3936</v>
      </c>
      <c r="AP579">
        <v>0</v>
      </c>
      <c r="AR579" t="s">
        <v>49</v>
      </c>
      <c r="AS579" t="s">
        <v>4210</v>
      </c>
      <c r="AT579" t="s">
        <v>4219</v>
      </c>
    </row>
    <row r="580" spans="1:46">
      <c r="A580" s="1">
        <f>HYPERLINK("https://lsnyc.legalserver.org/matter/dynamic-profile/view/1897195","19-1897195")</f>
        <v>0</v>
      </c>
      <c r="B580" t="s">
        <v>66</v>
      </c>
      <c r="C580" t="s">
        <v>269</v>
      </c>
      <c r="E580" t="s">
        <v>671</v>
      </c>
      <c r="F580" t="s">
        <v>1175</v>
      </c>
      <c r="G580" t="s">
        <v>1633</v>
      </c>
      <c r="H580" t="s">
        <v>1880</v>
      </c>
      <c r="I580">
        <v>11233</v>
      </c>
      <c r="J580" t="s">
        <v>2002</v>
      </c>
      <c r="K580" t="s">
        <v>2003</v>
      </c>
      <c r="M580" t="s">
        <v>2291</v>
      </c>
      <c r="N580" t="s">
        <v>2424</v>
      </c>
      <c r="O580" t="s">
        <v>2441</v>
      </c>
      <c r="Q580" t="s">
        <v>2002</v>
      </c>
      <c r="R580" t="s">
        <v>2451</v>
      </c>
      <c r="S580" t="s">
        <v>210</v>
      </c>
      <c r="T580">
        <v>0</v>
      </c>
      <c r="U580" t="s">
        <v>2495</v>
      </c>
      <c r="W580" t="s">
        <v>2923</v>
      </c>
      <c r="Z580">
        <v>359</v>
      </c>
      <c r="AA580" t="s">
        <v>3783</v>
      </c>
      <c r="AC580">
        <v>20</v>
      </c>
      <c r="AD580">
        <v>1</v>
      </c>
      <c r="AE580">
        <v>0</v>
      </c>
      <c r="AF580">
        <v>0</v>
      </c>
      <c r="AI580" t="s">
        <v>3809</v>
      </c>
      <c r="AJ580">
        <v>0</v>
      </c>
      <c r="AK580" t="s">
        <v>3935</v>
      </c>
      <c r="AP580">
        <v>0</v>
      </c>
      <c r="AR580" t="s">
        <v>49</v>
      </c>
      <c r="AS580" t="s">
        <v>4210</v>
      </c>
      <c r="AT580" t="s">
        <v>4219</v>
      </c>
    </row>
    <row r="581" spans="1:46">
      <c r="A581" s="1">
        <f>HYPERLINK("https://lsnyc.legalserver.org/matter/dynamic-profile/view/1897528","19-1897528")</f>
        <v>0</v>
      </c>
      <c r="B581" t="s">
        <v>66</v>
      </c>
      <c r="C581" t="s">
        <v>169</v>
      </c>
      <c r="E581" t="s">
        <v>637</v>
      </c>
      <c r="F581" t="s">
        <v>1176</v>
      </c>
      <c r="G581" t="s">
        <v>1632</v>
      </c>
      <c r="H581" t="s">
        <v>1881</v>
      </c>
      <c r="I581">
        <v>11233</v>
      </c>
      <c r="J581" t="s">
        <v>2002</v>
      </c>
      <c r="K581" t="s">
        <v>2003</v>
      </c>
      <c r="M581" t="s">
        <v>2292</v>
      </c>
      <c r="N581" t="s">
        <v>2424</v>
      </c>
      <c r="O581" t="s">
        <v>2441</v>
      </c>
      <c r="Q581" t="s">
        <v>2002</v>
      </c>
      <c r="R581" t="s">
        <v>2451</v>
      </c>
      <c r="S581" t="s">
        <v>210</v>
      </c>
      <c r="T581">
        <v>976.08</v>
      </c>
      <c r="U581" t="s">
        <v>2512</v>
      </c>
      <c r="W581" t="s">
        <v>2924</v>
      </c>
      <c r="Z581">
        <v>359</v>
      </c>
      <c r="AA581" t="s">
        <v>3783</v>
      </c>
      <c r="AC581">
        <v>0</v>
      </c>
      <c r="AD581">
        <v>1</v>
      </c>
      <c r="AE581">
        <v>0</v>
      </c>
      <c r="AF581">
        <v>0</v>
      </c>
      <c r="AI581" t="s">
        <v>3809</v>
      </c>
      <c r="AJ581">
        <v>0</v>
      </c>
      <c r="AK581" t="s">
        <v>3937</v>
      </c>
      <c r="AP581">
        <v>0</v>
      </c>
      <c r="AR581" t="s">
        <v>4185</v>
      </c>
      <c r="AS581" t="s">
        <v>4210</v>
      </c>
      <c r="AT581" t="s">
        <v>4219</v>
      </c>
    </row>
    <row r="582" spans="1:46">
      <c r="A582" s="1">
        <f>HYPERLINK("https://lsnyc.legalserver.org/matter/dynamic-profile/view/1901993","19-1901993")</f>
        <v>0</v>
      </c>
      <c r="B582" t="s">
        <v>66</v>
      </c>
      <c r="C582" t="s">
        <v>158</v>
      </c>
      <c r="E582" t="s">
        <v>577</v>
      </c>
      <c r="F582" t="s">
        <v>1177</v>
      </c>
      <c r="G582" t="s">
        <v>1482</v>
      </c>
      <c r="H582" t="s">
        <v>1873</v>
      </c>
      <c r="I582">
        <v>11233</v>
      </c>
      <c r="J582" t="s">
        <v>2002</v>
      </c>
      <c r="K582" t="s">
        <v>2004</v>
      </c>
      <c r="L582" t="s">
        <v>2006</v>
      </c>
      <c r="M582" t="s">
        <v>2006</v>
      </c>
      <c r="N582" t="s">
        <v>2424</v>
      </c>
      <c r="O582" t="s">
        <v>2441</v>
      </c>
      <c r="Q582" t="s">
        <v>2002</v>
      </c>
      <c r="R582" t="s">
        <v>2451</v>
      </c>
      <c r="S582" t="s">
        <v>210</v>
      </c>
      <c r="T582">
        <v>840</v>
      </c>
      <c r="U582" t="s">
        <v>2495</v>
      </c>
      <c r="W582" t="s">
        <v>2925</v>
      </c>
      <c r="Z582">
        <v>359</v>
      </c>
      <c r="AA582" t="s">
        <v>3783</v>
      </c>
      <c r="AC582">
        <v>9</v>
      </c>
      <c r="AD582">
        <v>1</v>
      </c>
      <c r="AE582">
        <v>0</v>
      </c>
      <c r="AF582">
        <v>0</v>
      </c>
      <c r="AI582" t="s">
        <v>3809</v>
      </c>
      <c r="AJ582">
        <v>0</v>
      </c>
      <c r="AK582" t="s">
        <v>3935</v>
      </c>
      <c r="AP582">
        <v>0</v>
      </c>
      <c r="AR582" t="s">
        <v>49</v>
      </c>
      <c r="AS582" t="s">
        <v>4210</v>
      </c>
      <c r="AT582" t="s">
        <v>4219</v>
      </c>
    </row>
    <row r="583" spans="1:46">
      <c r="A583" s="1">
        <f>HYPERLINK("https://lsnyc.legalserver.org/matter/dynamic-profile/view/1902020","19-1902020")</f>
        <v>0</v>
      </c>
      <c r="B583" t="s">
        <v>66</v>
      </c>
      <c r="C583" t="s">
        <v>158</v>
      </c>
      <c r="E583" t="s">
        <v>672</v>
      </c>
      <c r="F583" t="s">
        <v>1178</v>
      </c>
      <c r="G583" t="s">
        <v>1482</v>
      </c>
      <c r="H583" t="s">
        <v>1882</v>
      </c>
      <c r="I583">
        <v>11233</v>
      </c>
      <c r="J583" t="s">
        <v>2002</v>
      </c>
      <c r="K583" t="s">
        <v>2004</v>
      </c>
      <c r="L583" t="s">
        <v>2006</v>
      </c>
      <c r="M583" t="s">
        <v>2006</v>
      </c>
      <c r="N583" t="s">
        <v>2424</v>
      </c>
      <c r="O583" t="s">
        <v>2441</v>
      </c>
      <c r="Q583" t="s">
        <v>2002</v>
      </c>
      <c r="R583" t="s">
        <v>2451</v>
      </c>
      <c r="S583" t="s">
        <v>210</v>
      </c>
      <c r="T583">
        <v>1126</v>
      </c>
      <c r="U583" t="s">
        <v>2495</v>
      </c>
      <c r="W583" t="s">
        <v>2926</v>
      </c>
      <c r="Z583">
        <v>359</v>
      </c>
      <c r="AA583" t="s">
        <v>3783</v>
      </c>
      <c r="AC583">
        <v>45</v>
      </c>
      <c r="AD583">
        <v>1</v>
      </c>
      <c r="AE583">
        <v>0</v>
      </c>
      <c r="AF583">
        <v>0</v>
      </c>
      <c r="AI583" t="s">
        <v>3809</v>
      </c>
      <c r="AJ583">
        <v>0</v>
      </c>
      <c r="AK583" t="s">
        <v>3935</v>
      </c>
      <c r="AP583">
        <v>0</v>
      </c>
      <c r="AR583" t="s">
        <v>49</v>
      </c>
      <c r="AS583" t="s">
        <v>4210</v>
      </c>
      <c r="AT583" t="s">
        <v>4219</v>
      </c>
    </row>
    <row r="584" spans="1:46">
      <c r="A584" s="1">
        <f>HYPERLINK("https://lsnyc.legalserver.org/matter/dynamic-profile/view/1902158","19-1902158")</f>
        <v>0</v>
      </c>
      <c r="B584" t="s">
        <v>66</v>
      </c>
      <c r="C584" t="s">
        <v>107</v>
      </c>
      <c r="E584" t="s">
        <v>673</v>
      </c>
      <c r="F584" t="s">
        <v>1179</v>
      </c>
      <c r="G584" t="s">
        <v>1482</v>
      </c>
      <c r="H584" t="s">
        <v>1883</v>
      </c>
      <c r="I584">
        <v>11233</v>
      </c>
      <c r="J584" t="s">
        <v>2002</v>
      </c>
      <c r="K584" t="s">
        <v>2004</v>
      </c>
      <c r="L584" t="s">
        <v>2006</v>
      </c>
      <c r="M584" t="s">
        <v>2006</v>
      </c>
      <c r="N584" t="s">
        <v>2424</v>
      </c>
      <c r="O584" t="s">
        <v>2441</v>
      </c>
      <c r="Q584" t="s">
        <v>2002</v>
      </c>
      <c r="R584" t="s">
        <v>2451</v>
      </c>
      <c r="S584" t="s">
        <v>210</v>
      </c>
      <c r="T584">
        <v>1170</v>
      </c>
      <c r="U584" t="s">
        <v>2495</v>
      </c>
      <c r="W584" t="s">
        <v>2561</v>
      </c>
      <c r="Z584">
        <v>359</v>
      </c>
      <c r="AA584" t="s">
        <v>3783</v>
      </c>
      <c r="AC584">
        <v>29</v>
      </c>
      <c r="AD584">
        <v>3</v>
      </c>
      <c r="AE584">
        <v>4</v>
      </c>
      <c r="AF584">
        <v>17.94</v>
      </c>
      <c r="AI584" t="s">
        <v>3809</v>
      </c>
      <c r="AJ584">
        <v>7000</v>
      </c>
      <c r="AK584" t="s">
        <v>3935</v>
      </c>
      <c r="AP584">
        <v>0</v>
      </c>
      <c r="AR584" t="s">
        <v>49</v>
      </c>
      <c r="AS584" t="s">
        <v>4210</v>
      </c>
      <c r="AT584" t="s">
        <v>4219</v>
      </c>
    </row>
    <row r="585" spans="1:46">
      <c r="A585" s="1">
        <f>HYPERLINK("https://lsnyc.legalserver.org/matter/dynamic-profile/view/1902001","19-1902001")</f>
        <v>0</v>
      </c>
      <c r="B585" t="s">
        <v>66</v>
      </c>
      <c r="C585" t="s">
        <v>158</v>
      </c>
      <c r="E585" t="s">
        <v>553</v>
      </c>
      <c r="F585" t="s">
        <v>1180</v>
      </c>
      <c r="G585" t="s">
        <v>1632</v>
      </c>
      <c r="H585" t="s">
        <v>1884</v>
      </c>
      <c r="I585">
        <v>11233</v>
      </c>
      <c r="J585" t="s">
        <v>2002</v>
      </c>
      <c r="K585" t="s">
        <v>2004</v>
      </c>
      <c r="L585" t="s">
        <v>2006</v>
      </c>
      <c r="M585" t="s">
        <v>2006</v>
      </c>
      <c r="N585" t="s">
        <v>2424</v>
      </c>
      <c r="O585" t="s">
        <v>2441</v>
      </c>
      <c r="Q585" t="s">
        <v>2002</v>
      </c>
      <c r="S585" t="s">
        <v>210</v>
      </c>
      <c r="T585">
        <v>1350</v>
      </c>
      <c r="U585" t="s">
        <v>2495</v>
      </c>
      <c r="W585" t="s">
        <v>2927</v>
      </c>
      <c r="Z585">
        <v>359</v>
      </c>
      <c r="AA585" t="s">
        <v>3783</v>
      </c>
      <c r="AC585">
        <v>20</v>
      </c>
      <c r="AD585">
        <v>3</v>
      </c>
      <c r="AE585">
        <v>1</v>
      </c>
      <c r="AF585">
        <v>35.93</v>
      </c>
      <c r="AI585" t="s">
        <v>3809</v>
      </c>
      <c r="AJ585">
        <v>9252</v>
      </c>
      <c r="AK585" t="s">
        <v>3935</v>
      </c>
      <c r="AP585">
        <v>0</v>
      </c>
      <c r="AR585" t="s">
        <v>49</v>
      </c>
      <c r="AS585" t="s">
        <v>4210</v>
      </c>
      <c r="AT585" t="s">
        <v>4219</v>
      </c>
    </row>
    <row r="586" spans="1:46">
      <c r="A586" s="1">
        <f>HYPERLINK("https://lsnyc.legalserver.org/matter/dynamic-profile/view/1890543","19-1890543")</f>
        <v>0</v>
      </c>
      <c r="B586" t="s">
        <v>66</v>
      </c>
      <c r="C586" t="s">
        <v>270</v>
      </c>
      <c r="E586" t="s">
        <v>674</v>
      </c>
      <c r="F586" t="s">
        <v>1051</v>
      </c>
      <c r="G586" t="s">
        <v>1632</v>
      </c>
      <c r="H586" t="s">
        <v>1819</v>
      </c>
      <c r="I586">
        <v>11233</v>
      </c>
      <c r="J586" t="s">
        <v>2002</v>
      </c>
      <c r="K586" t="s">
        <v>2003</v>
      </c>
      <c r="M586" t="s">
        <v>2292</v>
      </c>
      <c r="N586" t="s">
        <v>2424</v>
      </c>
      <c r="O586" t="s">
        <v>2441</v>
      </c>
      <c r="Q586" t="s">
        <v>2002</v>
      </c>
      <c r="R586" t="s">
        <v>2451</v>
      </c>
      <c r="S586" t="s">
        <v>210</v>
      </c>
      <c r="T586">
        <v>300</v>
      </c>
      <c r="U586" t="s">
        <v>2512</v>
      </c>
      <c r="W586" t="s">
        <v>2928</v>
      </c>
      <c r="Z586">
        <v>359</v>
      </c>
      <c r="AA586" t="s">
        <v>3783</v>
      </c>
      <c r="AB586" t="s">
        <v>3793</v>
      </c>
      <c r="AC586">
        <v>50</v>
      </c>
      <c r="AD586">
        <v>2</v>
      </c>
      <c r="AE586">
        <v>0</v>
      </c>
      <c r="AF586">
        <v>40.21</v>
      </c>
      <c r="AI586" t="s">
        <v>3809</v>
      </c>
      <c r="AJ586">
        <v>6800</v>
      </c>
      <c r="AK586" t="s">
        <v>3938</v>
      </c>
      <c r="AP586">
        <v>0</v>
      </c>
      <c r="AR586" t="s">
        <v>4185</v>
      </c>
      <c r="AS586" t="s">
        <v>4210</v>
      </c>
      <c r="AT586" t="s">
        <v>4219</v>
      </c>
    </row>
    <row r="587" spans="1:46">
      <c r="A587" s="1">
        <f>HYPERLINK("https://lsnyc.legalserver.org/matter/dynamic-profile/view/1898251","19-1898251")</f>
        <v>0</v>
      </c>
      <c r="B587" t="s">
        <v>66</v>
      </c>
      <c r="C587" t="s">
        <v>182</v>
      </c>
      <c r="E587" t="s">
        <v>447</v>
      </c>
      <c r="F587" t="s">
        <v>902</v>
      </c>
      <c r="G587" t="s">
        <v>1633</v>
      </c>
      <c r="H587" t="s">
        <v>1885</v>
      </c>
      <c r="I587">
        <v>11233</v>
      </c>
      <c r="J587" t="s">
        <v>2002</v>
      </c>
      <c r="K587" t="s">
        <v>2003</v>
      </c>
      <c r="M587" t="s">
        <v>2291</v>
      </c>
      <c r="N587" t="s">
        <v>2424</v>
      </c>
      <c r="O587" t="s">
        <v>2441</v>
      </c>
      <c r="Q587" t="s">
        <v>2002</v>
      </c>
      <c r="R587" t="s">
        <v>2451</v>
      </c>
      <c r="S587" t="s">
        <v>210</v>
      </c>
      <c r="T587">
        <v>1000</v>
      </c>
      <c r="U587" t="s">
        <v>2495</v>
      </c>
      <c r="W587" t="s">
        <v>2929</v>
      </c>
      <c r="Z587">
        <v>359</v>
      </c>
      <c r="AA587" t="s">
        <v>3783</v>
      </c>
      <c r="AC587">
        <v>25</v>
      </c>
      <c r="AD587">
        <v>2</v>
      </c>
      <c r="AE587">
        <v>0</v>
      </c>
      <c r="AF587">
        <v>42.58</v>
      </c>
      <c r="AI587" t="s">
        <v>3809</v>
      </c>
      <c r="AJ587">
        <v>7200</v>
      </c>
      <c r="AK587" t="s">
        <v>3935</v>
      </c>
      <c r="AP587">
        <v>0</v>
      </c>
      <c r="AR587" t="s">
        <v>49</v>
      </c>
      <c r="AS587" t="s">
        <v>4210</v>
      </c>
      <c r="AT587" t="s">
        <v>4219</v>
      </c>
    </row>
    <row r="588" spans="1:46">
      <c r="A588" s="1">
        <f>HYPERLINK("https://lsnyc.legalserver.org/matter/dynamic-profile/view/1890532","19-1890532")</f>
        <v>0</v>
      </c>
      <c r="B588" t="s">
        <v>66</v>
      </c>
      <c r="C588" t="s">
        <v>270</v>
      </c>
      <c r="E588" t="s">
        <v>443</v>
      </c>
      <c r="F588" t="s">
        <v>1181</v>
      </c>
      <c r="G588" t="s">
        <v>1482</v>
      </c>
      <c r="H588" t="s">
        <v>1886</v>
      </c>
      <c r="I588">
        <v>11233</v>
      </c>
      <c r="J588" t="s">
        <v>2002</v>
      </c>
      <c r="K588" t="s">
        <v>2003</v>
      </c>
      <c r="M588" t="s">
        <v>2058</v>
      </c>
      <c r="N588" t="s">
        <v>2424</v>
      </c>
      <c r="O588" t="s">
        <v>2441</v>
      </c>
      <c r="Q588" t="s">
        <v>2002</v>
      </c>
      <c r="R588" t="s">
        <v>2451</v>
      </c>
      <c r="S588" t="s">
        <v>210</v>
      </c>
      <c r="T588">
        <v>923</v>
      </c>
      <c r="W588" t="s">
        <v>2930</v>
      </c>
      <c r="Z588">
        <v>359</v>
      </c>
      <c r="AA588" t="s">
        <v>3783</v>
      </c>
      <c r="AB588" t="s">
        <v>3793</v>
      </c>
      <c r="AC588">
        <v>0</v>
      </c>
      <c r="AD588">
        <v>2</v>
      </c>
      <c r="AE588">
        <v>2</v>
      </c>
      <c r="AF588">
        <v>43.01</v>
      </c>
      <c r="AI588" t="s">
        <v>3809</v>
      </c>
      <c r="AJ588">
        <v>11076</v>
      </c>
      <c r="AK588" t="s">
        <v>3939</v>
      </c>
      <c r="AP588">
        <v>0</v>
      </c>
      <c r="AR588" t="s">
        <v>4185</v>
      </c>
      <c r="AS588" t="s">
        <v>4210</v>
      </c>
      <c r="AT588" t="s">
        <v>4219</v>
      </c>
    </row>
    <row r="589" spans="1:46">
      <c r="A589" s="1">
        <f>HYPERLINK("https://lsnyc.legalserver.org/matter/dynamic-profile/view/1890555","19-1890555")</f>
        <v>0</v>
      </c>
      <c r="B589" t="s">
        <v>66</v>
      </c>
      <c r="C589" t="s">
        <v>270</v>
      </c>
      <c r="E589" t="s">
        <v>675</v>
      </c>
      <c r="F589" t="s">
        <v>1182</v>
      </c>
      <c r="G589" t="s">
        <v>1482</v>
      </c>
      <c r="H589" t="s">
        <v>1887</v>
      </c>
      <c r="I589">
        <v>11233</v>
      </c>
      <c r="J589" t="s">
        <v>2002</v>
      </c>
      <c r="K589" t="s">
        <v>2003</v>
      </c>
      <c r="M589" t="s">
        <v>2291</v>
      </c>
      <c r="N589" t="s">
        <v>2424</v>
      </c>
      <c r="O589" t="s">
        <v>2441</v>
      </c>
      <c r="Q589" t="s">
        <v>2002</v>
      </c>
      <c r="R589" t="s">
        <v>2451</v>
      </c>
      <c r="S589" t="s">
        <v>210</v>
      </c>
      <c r="T589">
        <v>915</v>
      </c>
      <c r="U589" t="s">
        <v>2495</v>
      </c>
      <c r="W589" t="s">
        <v>2931</v>
      </c>
      <c r="Z589">
        <v>359</v>
      </c>
      <c r="AA589" t="s">
        <v>3783</v>
      </c>
      <c r="AB589" t="s">
        <v>2006</v>
      </c>
      <c r="AC589">
        <v>6</v>
      </c>
      <c r="AD589">
        <v>2</v>
      </c>
      <c r="AE589">
        <v>2</v>
      </c>
      <c r="AF589">
        <v>46.6</v>
      </c>
      <c r="AI589" t="s">
        <v>3809</v>
      </c>
      <c r="AJ589">
        <v>12000</v>
      </c>
      <c r="AK589" t="s">
        <v>3940</v>
      </c>
      <c r="AP589">
        <v>0</v>
      </c>
      <c r="AR589" t="s">
        <v>49</v>
      </c>
      <c r="AS589" t="s">
        <v>4210</v>
      </c>
      <c r="AT589" t="s">
        <v>4219</v>
      </c>
    </row>
    <row r="590" spans="1:46">
      <c r="A590" s="1">
        <f>HYPERLINK("https://lsnyc.legalserver.org/matter/dynamic-profile/view/1901977","19-1901977")</f>
        <v>0</v>
      </c>
      <c r="B590" t="s">
        <v>66</v>
      </c>
      <c r="C590" t="s">
        <v>158</v>
      </c>
      <c r="E590" t="s">
        <v>676</v>
      </c>
      <c r="F590" t="s">
        <v>1183</v>
      </c>
      <c r="G590" t="s">
        <v>1632</v>
      </c>
      <c r="H590" t="s">
        <v>1888</v>
      </c>
      <c r="I590">
        <v>11233</v>
      </c>
      <c r="J590" t="s">
        <v>2002</v>
      </c>
      <c r="K590" t="s">
        <v>2004</v>
      </c>
      <c r="L590" t="s">
        <v>2006</v>
      </c>
      <c r="M590" t="s">
        <v>2006</v>
      </c>
      <c r="N590" t="s">
        <v>2424</v>
      </c>
      <c r="O590" t="s">
        <v>2441</v>
      </c>
      <c r="Q590" t="s">
        <v>2002</v>
      </c>
      <c r="R590" t="s">
        <v>2451</v>
      </c>
      <c r="S590" t="s">
        <v>210</v>
      </c>
      <c r="T590">
        <v>1375</v>
      </c>
      <c r="U590" t="s">
        <v>2495</v>
      </c>
      <c r="W590" t="s">
        <v>2932</v>
      </c>
      <c r="Z590">
        <v>359</v>
      </c>
      <c r="AA590" t="s">
        <v>3783</v>
      </c>
      <c r="AC590">
        <v>10</v>
      </c>
      <c r="AD590">
        <v>2</v>
      </c>
      <c r="AE590">
        <v>0</v>
      </c>
      <c r="AF590">
        <v>47.31</v>
      </c>
      <c r="AI590" t="s">
        <v>3809</v>
      </c>
      <c r="AJ590">
        <v>8000</v>
      </c>
      <c r="AK590" t="s">
        <v>3935</v>
      </c>
      <c r="AP590">
        <v>0</v>
      </c>
      <c r="AR590" t="s">
        <v>49</v>
      </c>
      <c r="AS590" t="s">
        <v>4210</v>
      </c>
      <c r="AT590" t="s">
        <v>4219</v>
      </c>
    </row>
    <row r="591" spans="1:46">
      <c r="A591" s="1">
        <f>HYPERLINK("https://lsnyc.legalserver.org/matter/dynamic-profile/view/1902042","19-1902042")</f>
        <v>0</v>
      </c>
      <c r="B591" t="s">
        <v>66</v>
      </c>
      <c r="C591" t="s">
        <v>158</v>
      </c>
      <c r="E591" t="s">
        <v>677</v>
      </c>
      <c r="F591" t="s">
        <v>1184</v>
      </c>
      <c r="G591" t="s">
        <v>1634</v>
      </c>
      <c r="H591" t="s">
        <v>1889</v>
      </c>
      <c r="I591">
        <v>11233</v>
      </c>
      <c r="J591" t="s">
        <v>2002</v>
      </c>
      <c r="K591" t="s">
        <v>2004</v>
      </c>
      <c r="L591" t="s">
        <v>2006</v>
      </c>
      <c r="M591" t="s">
        <v>2006</v>
      </c>
      <c r="N591" t="s">
        <v>2424</v>
      </c>
      <c r="O591" t="s">
        <v>2441</v>
      </c>
      <c r="Q591" t="s">
        <v>2002</v>
      </c>
      <c r="R591" t="s">
        <v>2451</v>
      </c>
      <c r="S591" t="s">
        <v>210</v>
      </c>
      <c r="T591">
        <v>879</v>
      </c>
      <c r="U591" t="s">
        <v>2495</v>
      </c>
      <c r="W591" t="s">
        <v>2933</v>
      </c>
      <c r="Z591">
        <v>359</v>
      </c>
      <c r="AA591" t="s">
        <v>3783</v>
      </c>
      <c r="AC591">
        <v>40</v>
      </c>
      <c r="AD591">
        <v>2</v>
      </c>
      <c r="AE591">
        <v>0</v>
      </c>
      <c r="AF591">
        <v>55.28</v>
      </c>
      <c r="AI591" t="s">
        <v>3809</v>
      </c>
      <c r="AJ591">
        <v>9348</v>
      </c>
      <c r="AK591" t="s">
        <v>3935</v>
      </c>
      <c r="AP591">
        <v>0</v>
      </c>
      <c r="AR591" t="s">
        <v>49</v>
      </c>
      <c r="AS591" t="s">
        <v>4210</v>
      </c>
      <c r="AT591" t="s">
        <v>4219</v>
      </c>
    </row>
    <row r="592" spans="1:46">
      <c r="A592" s="1">
        <f>HYPERLINK("https://lsnyc.legalserver.org/matter/dynamic-profile/view/1891662","19-1891662")</f>
        <v>0</v>
      </c>
      <c r="B592" t="s">
        <v>66</v>
      </c>
      <c r="C592" t="s">
        <v>271</v>
      </c>
      <c r="E592" t="s">
        <v>678</v>
      </c>
      <c r="F592" t="s">
        <v>1104</v>
      </c>
      <c r="G592" t="s">
        <v>1632</v>
      </c>
      <c r="H592" t="s">
        <v>1890</v>
      </c>
      <c r="I592">
        <v>11233</v>
      </c>
      <c r="J592" t="s">
        <v>2002</v>
      </c>
      <c r="K592" t="s">
        <v>2003</v>
      </c>
      <c r="M592" t="s">
        <v>2006</v>
      </c>
      <c r="N592" t="s">
        <v>2424</v>
      </c>
      <c r="O592" t="s">
        <v>2441</v>
      </c>
      <c r="Q592" t="s">
        <v>2002</v>
      </c>
      <c r="R592" t="s">
        <v>2451</v>
      </c>
      <c r="S592" t="s">
        <v>210</v>
      </c>
      <c r="T592">
        <v>802</v>
      </c>
      <c r="W592" t="s">
        <v>2934</v>
      </c>
      <c r="Z592">
        <v>359</v>
      </c>
      <c r="AA592" t="s">
        <v>3783</v>
      </c>
      <c r="AC592">
        <v>12</v>
      </c>
      <c r="AD592">
        <v>2</v>
      </c>
      <c r="AE592">
        <v>0</v>
      </c>
      <c r="AF592">
        <v>65.78</v>
      </c>
      <c r="AI592" t="s">
        <v>3809</v>
      </c>
      <c r="AJ592">
        <v>11124</v>
      </c>
      <c r="AK592" t="s">
        <v>3934</v>
      </c>
      <c r="AP592">
        <v>0</v>
      </c>
      <c r="AR592" t="s">
        <v>4185</v>
      </c>
      <c r="AS592" t="s">
        <v>4210</v>
      </c>
      <c r="AT592" t="s">
        <v>4219</v>
      </c>
    </row>
    <row r="593" spans="1:46">
      <c r="A593" s="1">
        <f>HYPERLINK("https://lsnyc.legalserver.org/matter/dynamic-profile/view/1898732","19-1898732")</f>
        <v>0</v>
      </c>
      <c r="B593" t="s">
        <v>66</v>
      </c>
      <c r="C593" t="s">
        <v>246</v>
      </c>
      <c r="E593" t="s">
        <v>679</v>
      </c>
      <c r="F593" t="s">
        <v>1185</v>
      </c>
      <c r="G593" t="s">
        <v>1634</v>
      </c>
      <c r="H593" t="s">
        <v>1891</v>
      </c>
      <c r="I593">
        <v>11233</v>
      </c>
      <c r="J593" t="s">
        <v>2002</v>
      </c>
      <c r="K593" t="s">
        <v>2003</v>
      </c>
      <c r="M593" t="s">
        <v>2292</v>
      </c>
      <c r="N593" t="s">
        <v>2424</v>
      </c>
      <c r="O593" t="s">
        <v>2441</v>
      </c>
      <c r="Q593" t="s">
        <v>2002</v>
      </c>
      <c r="R593" t="s">
        <v>2451</v>
      </c>
      <c r="S593" t="s">
        <v>210</v>
      </c>
      <c r="T593">
        <v>615</v>
      </c>
      <c r="U593" t="s">
        <v>2495</v>
      </c>
      <c r="W593" t="s">
        <v>2935</v>
      </c>
      <c r="Z593">
        <v>359</v>
      </c>
      <c r="AA593" t="s">
        <v>3783</v>
      </c>
      <c r="AC593">
        <v>10</v>
      </c>
      <c r="AD593">
        <v>1</v>
      </c>
      <c r="AE593">
        <v>1</v>
      </c>
      <c r="AF593">
        <v>70.95999999999999</v>
      </c>
      <c r="AI593" t="s">
        <v>3809</v>
      </c>
      <c r="AJ593">
        <v>12000</v>
      </c>
      <c r="AK593" t="s">
        <v>3935</v>
      </c>
      <c r="AP593">
        <v>0</v>
      </c>
      <c r="AR593" t="s">
        <v>49</v>
      </c>
      <c r="AS593" t="s">
        <v>4210</v>
      </c>
      <c r="AT593" t="s">
        <v>4219</v>
      </c>
    </row>
    <row r="594" spans="1:46">
      <c r="A594" s="1">
        <f>HYPERLINK("https://lsnyc.legalserver.org/matter/dynamic-profile/view/1892004","19-1892004")</f>
        <v>0</v>
      </c>
      <c r="B594" t="s">
        <v>66</v>
      </c>
      <c r="C594" t="s">
        <v>224</v>
      </c>
      <c r="E594" t="s">
        <v>680</v>
      </c>
      <c r="F594" t="s">
        <v>1186</v>
      </c>
      <c r="G594" t="s">
        <v>1482</v>
      </c>
      <c r="H594" t="s">
        <v>1795</v>
      </c>
      <c r="I594">
        <v>11233</v>
      </c>
      <c r="J594" t="s">
        <v>2002</v>
      </c>
      <c r="K594" t="s">
        <v>2003</v>
      </c>
      <c r="M594" t="s">
        <v>2291</v>
      </c>
      <c r="N594" t="s">
        <v>2424</v>
      </c>
      <c r="O594" t="s">
        <v>2441</v>
      </c>
      <c r="Q594" t="s">
        <v>2002</v>
      </c>
      <c r="R594" t="s">
        <v>2451</v>
      </c>
      <c r="S594" t="s">
        <v>210</v>
      </c>
      <c r="T594">
        <v>654.65</v>
      </c>
      <c r="U594" t="s">
        <v>2495</v>
      </c>
      <c r="W594" t="s">
        <v>2936</v>
      </c>
      <c r="Z594">
        <v>359</v>
      </c>
      <c r="AA594" t="s">
        <v>3783</v>
      </c>
      <c r="AB594" t="s">
        <v>2006</v>
      </c>
      <c r="AC594">
        <v>17</v>
      </c>
      <c r="AD594">
        <v>1</v>
      </c>
      <c r="AE594">
        <v>1</v>
      </c>
      <c r="AF594">
        <v>76.88</v>
      </c>
      <c r="AI594" t="s">
        <v>3809</v>
      </c>
      <c r="AJ594">
        <v>13000</v>
      </c>
      <c r="AK594" t="s">
        <v>3941</v>
      </c>
      <c r="AP594">
        <v>0</v>
      </c>
      <c r="AR594" t="s">
        <v>49</v>
      </c>
      <c r="AS594" t="s">
        <v>4210</v>
      </c>
      <c r="AT594" t="s">
        <v>4219</v>
      </c>
    </row>
    <row r="595" spans="1:46">
      <c r="A595" s="1">
        <f>HYPERLINK("https://lsnyc.legalserver.org/matter/dynamic-profile/view/1891991","19-1891991")</f>
        <v>0</v>
      </c>
      <c r="B595" t="s">
        <v>66</v>
      </c>
      <c r="C595" t="s">
        <v>224</v>
      </c>
      <c r="E595" t="s">
        <v>553</v>
      </c>
      <c r="F595" t="s">
        <v>1187</v>
      </c>
      <c r="G595" t="s">
        <v>1633</v>
      </c>
      <c r="H595" t="s">
        <v>1892</v>
      </c>
      <c r="I595">
        <v>11233</v>
      </c>
      <c r="J595" t="s">
        <v>2002</v>
      </c>
      <c r="K595" t="s">
        <v>2003</v>
      </c>
      <c r="M595" t="s">
        <v>2291</v>
      </c>
      <c r="N595" t="s">
        <v>2424</v>
      </c>
      <c r="O595" t="s">
        <v>2441</v>
      </c>
      <c r="Q595" t="s">
        <v>2002</v>
      </c>
      <c r="R595" t="s">
        <v>2451</v>
      </c>
      <c r="S595" t="s">
        <v>210</v>
      </c>
      <c r="T595">
        <v>1040.6</v>
      </c>
      <c r="U595" t="s">
        <v>2495</v>
      </c>
      <c r="W595" t="s">
        <v>2937</v>
      </c>
      <c r="Z595">
        <v>359</v>
      </c>
      <c r="AA595" t="s">
        <v>3783</v>
      </c>
      <c r="AB595" t="s">
        <v>3793</v>
      </c>
      <c r="AC595">
        <v>29</v>
      </c>
      <c r="AD595">
        <v>2</v>
      </c>
      <c r="AE595">
        <v>0</v>
      </c>
      <c r="AF595">
        <v>77.31999999999999</v>
      </c>
      <c r="AI595" t="s">
        <v>3809</v>
      </c>
      <c r="AJ595">
        <v>13074</v>
      </c>
      <c r="AK595" t="s">
        <v>3942</v>
      </c>
      <c r="AP595">
        <v>0</v>
      </c>
      <c r="AR595" t="s">
        <v>49</v>
      </c>
      <c r="AS595" t="s">
        <v>4210</v>
      </c>
      <c r="AT595" t="s">
        <v>4219</v>
      </c>
    </row>
    <row r="596" spans="1:46">
      <c r="A596" s="1">
        <f>HYPERLINK("https://lsnyc.legalserver.org/matter/dynamic-profile/view/1901986","19-1901986")</f>
        <v>0</v>
      </c>
      <c r="B596" t="s">
        <v>66</v>
      </c>
      <c r="C596" t="s">
        <v>158</v>
      </c>
      <c r="E596" t="s">
        <v>681</v>
      </c>
      <c r="F596" t="s">
        <v>1188</v>
      </c>
      <c r="G596" t="s">
        <v>1634</v>
      </c>
      <c r="H596" t="s">
        <v>1893</v>
      </c>
      <c r="I596">
        <v>11233</v>
      </c>
      <c r="J596" t="s">
        <v>2002</v>
      </c>
      <c r="K596" t="s">
        <v>2004</v>
      </c>
      <c r="L596" t="s">
        <v>2006</v>
      </c>
      <c r="M596" t="s">
        <v>2006</v>
      </c>
      <c r="N596" t="s">
        <v>2424</v>
      </c>
      <c r="O596" t="s">
        <v>2441</v>
      </c>
      <c r="Q596" t="s">
        <v>2002</v>
      </c>
      <c r="R596" t="s">
        <v>2451</v>
      </c>
      <c r="S596" t="s">
        <v>210</v>
      </c>
      <c r="T596">
        <v>1099.98</v>
      </c>
      <c r="U596" t="s">
        <v>2495</v>
      </c>
      <c r="W596" t="s">
        <v>2938</v>
      </c>
      <c r="Z596">
        <v>359</v>
      </c>
      <c r="AA596" t="s">
        <v>3783</v>
      </c>
      <c r="AC596">
        <v>51</v>
      </c>
      <c r="AD596">
        <v>1</v>
      </c>
      <c r="AE596">
        <v>0</v>
      </c>
      <c r="AF596">
        <v>80.06</v>
      </c>
      <c r="AI596" t="s">
        <v>3809</v>
      </c>
      <c r="AJ596">
        <v>10000</v>
      </c>
      <c r="AK596" t="s">
        <v>3935</v>
      </c>
      <c r="AP596">
        <v>0</v>
      </c>
      <c r="AR596" t="s">
        <v>49</v>
      </c>
      <c r="AS596" t="s">
        <v>4210</v>
      </c>
      <c r="AT596" t="s">
        <v>4219</v>
      </c>
    </row>
    <row r="597" spans="1:46">
      <c r="A597" s="1">
        <f>HYPERLINK("https://lsnyc.legalserver.org/matter/dynamic-profile/view/1892678","19-1892678")</f>
        <v>0</v>
      </c>
      <c r="B597" t="s">
        <v>66</v>
      </c>
      <c r="C597" t="s">
        <v>141</v>
      </c>
      <c r="E597" t="s">
        <v>682</v>
      </c>
      <c r="F597" t="s">
        <v>1189</v>
      </c>
      <c r="G597" t="s">
        <v>1633</v>
      </c>
      <c r="H597" t="s">
        <v>1894</v>
      </c>
      <c r="I597">
        <v>11233</v>
      </c>
      <c r="J597" t="s">
        <v>2002</v>
      </c>
      <c r="K597" t="s">
        <v>2003</v>
      </c>
      <c r="M597" t="s">
        <v>2291</v>
      </c>
      <c r="N597" t="s">
        <v>2424</v>
      </c>
      <c r="O597" t="s">
        <v>2441</v>
      </c>
      <c r="Q597" t="s">
        <v>2002</v>
      </c>
      <c r="R597" t="s">
        <v>2451</v>
      </c>
      <c r="S597" t="s">
        <v>210</v>
      </c>
      <c r="T597">
        <v>0</v>
      </c>
      <c r="U597" t="s">
        <v>2495</v>
      </c>
      <c r="W597" t="s">
        <v>2939</v>
      </c>
      <c r="Z597">
        <v>359</v>
      </c>
      <c r="AA597" t="s">
        <v>3783</v>
      </c>
      <c r="AC597">
        <v>1</v>
      </c>
      <c r="AD597">
        <v>1</v>
      </c>
      <c r="AE597">
        <v>1</v>
      </c>
      <c r="AF597">
        <v>86.08</v>
      </c>
      <c r="AI597" t="s">
        <v>3809</v>
      </c>
      <c r="AJ597">
        <v>14556</v>
      </c>
      <c r="AK597" t="s">
        <v>3943</v>
      </c>
      <c r="AP597">
        <v>0</v>
      </c>
      <c r="AR597" t="s">
        <v>49</v>
      </c>
      <c r="AS597" t="s">
        <v>4210</v>
      </c>
      <c r="AT597" t="s">
        <v>4219</v>
      </c>
    </row>
    <row r="598" spans="1:46">
      <c r="A598" s="1">
        <f>HYPERLINK("https://lsnyc.legalserver.org/matter/dynamic-profile/view/1897175","19-1897175")</f>
        <v>0</v>
      </c>
      <c r="B598" t="s">
        <v>66</v>
      </c>
      <c r="C598" t="s">
        <v>269</v>
      </c>
      <c r="E598" t="s">
        <v>370</v>
      </c>
      <c r="F598" t="s">
        <v>1190</v>
      </c>
      <c r="G598" t="s">
        <v>1632</v>
      </c>
      <c r="H598" t="s">
        <v>1895</v>
      </c>
      <c r="I598">
        <v>11233</v>
      </c>
      <c r="J598" t="s">
        <v>2002</v>
      </c>
      <c r="K598" t="s">
        <v>2003</v>
      </c>
      <c r="M598" t="s">
        <v>2292</v>
      </c>
      <c r="N598" t="s">
        <v>2424</v>
      </c>
      <c r="O598" t="s">
        <v>2441</v>
      </c>
      <c r="Q598" t="s">
        <v>2002</v>
      </c>
      <c r="R598" t="s">
        <v>2451</v>
      </c>
      <c r="S598" t="s">
        <v>210</v>
      </c>
      <c r="T598">
        <v>603.74</v>
      </c>
      <c r="U598" t="s">
        <v>2495</v>
      </c>
      <c r="W598" t="s">
        <v>2940</v>
      </c>
      <c r="Z598">
        <v>359</v>
      </c>
      <c r="AA598" t="s">
        <v>3783</v>
      </c>
      <c r="AB598" t="s">
        <v>2006</v>
      </c>
      <c r="AC598">
        <v>50</v>
      </c>
      <c r="AD598">
        <v>1</v>
      </c>
      <c r="AE598">
        <v>0</v>
      </c>
      <c r="AF598">
        <v>87.33</v>
      </c>
      <c r="AI598" t="s">
        <v>3809</v>
      </c>
      <c r="AJ598">
        <v>10908</v>
      </c>
      <c r="AK598" t="s">
        <v>3943</v>
      </c>
      <c r="AP598">
        <v>0</v>
      </c>
      <c r="AR598" t="s">
        <v>49</v>
      </c>
      <c r="AS598" t="s">
        <v>4210</v>
      </c>
      <c r="AT598" t="s">
        <v>4219</v>
      </c>
    </row>
    <row r="599" spans="1:46">
      <c r="A599" s="1">
        <f>HYPERLINK("https://lsnyc.legalserver.org/matter/dynamic-profile/view/1892650","19-1892650")</f>
        <v>0</v>
      </c>
      <c r="B599" t="s">
        <v>66</v>
      </c>
      <c r="C599" t="s">
        <v>141</v>
      </c>
      <c r="E599" t="s">
        <v>443</v>
      </c>
      <c r="F599" t="s">
        <v>1191</v>
      </c>
      <c r="G599" t="s">
        <v>1633</v>
      </c>
      <c r="H599" t="s">
        <v>1896</v>
      </c>
      <c r="I599">
        <v>11233</v>
      </c>
      <c r="J599" t="s">
        <v>2002</v>
      </c>
      <c r="K599" t="s">
        <v>2003</v>
      </c>
      <c r="M599" t="s">
        <v>2291</v>
      </c>
      <c r="N599" t="s">
        <v>2424</v>
      </c>
      <c r="O599" t="s">
        <v>2441</v>
      </c>
      <c r="Q599" t="s">
        <v>2002</v>
      </c>
      <c r="R599" t="s">
        <v>2451</v>
      </c>
      <c r="S599" t="s">
        <v>210</v>
      </c>
      <c r="T599">
        <v>1321</v>
      </c>
      <c r="U599" t="s">
        <v>2495</v>
      </c>
      <c r="W599" t="s">
        <v>2941</v>
      </c>
      <c r="Z599">
        <v>359</v>
      </c>
      <c r="AA599" t="s">
        <v>3783</v>
      </c>
      <c r="AC599">
        <v>34</v>
      </c>
      <c r="AD599">
        <v>1</v>
      </c>
      <c r="AE599">
        <v>3</v>
      </c>
      <c r="AF599">
        <v>89.8</v>
      </c>
      <c r="AI599" t="s">
        <v>3809</v>
      </c>
      <c r="AJ599">
        <v>23124</v>
      </c>
      <c r="AK599" t="s">
        <v>3943</v>
      </c>
      <c r="AP599">
        <v>0</v>
      </c>
      <c r="AR599" t="s">
        <v>49</v>
      </c>
      <c r="AS599" t="s">
        <v>4210</v>
      </c>
      <c r="AT599" t="s">
        <v>4219</v>
      </c>
    </row>
    <row r="600" spans="1:46">
      <c r="A600" s="1">
        <f>HYPERLINK("https://lsnyc.legalserver.org/matter/dynamic-profile/view/1897843","19-1897843")</f>
        <v>0</v>
      </c>
      <c r="B600" t="s">
        <v>66</v>
      </c>
      <c r="C600" t="s">
        <v>272</v>
      </c>
      <c r="E600" t="s">
        <v>683</v>
      </c>
      <c r="F600" t="s">
        <v>926</v>
      </c>
      <c r="G600" t="s">
        <v>1482</v>
      </c>
      <c r="H600" t="s">
        <v>1897</v>
      </c>
      <c r="I600">
        <v>11233</v>
      </c>
      <c r="J600" t="s">
        <v>2002</v>
      </c>
      <c r="K600" t="s">
        <v>2003</v>
      </c>
      <c r="M600" t="s">
        <v>2291</v>
      </c>
      <c r="N600" t="s">
        <v>2424</v>
      </c>
      <c r="O600" t="s">
        <v>2441</v>
      </c>
      <c r="Q600" t="s">
        <v>2002</v>
      </c>
      <c r="R600" t="s">
        <v>2451</v>
      </c>
      <c r="S600" t="s">
        <v>210</v>
      </c>
      <c r="T600">
        <v>1300</v>
      </c>
      <c r="U600" t="s">
        <v>2495</v>
      </c>
      <c r="W600" t="s">
        <v>2942</v>
      </c>
      <c r="Z600">
        <v>359</v>
      </c>
      <c r="AA600" t="s">
        <v>3783</v>
      </c>
      <c r="AC600">
        <v>3</v>
      </c>
      <c r="AD600">
        <v>2</v>
      </c>
      <c r="AE600">
        <v>1</v>
      </c>
      <c r="AF600">
        <v>93.76000000000001</v>
      </c>
      <c r="AI600" t="s">
        <v>3809</v>
      </c>
      <c r="AJ600">
        <v>20000</v>
      </c>
      <c r="AK600" t="s">
        <v>3935</v>
      </c>
      <c r="AP600">
        <v>0</v>
      </c>
      <c r="AR600" t="s">
        <v>49</v>
      </c>
      <c r="AS600" t="s">
        <v>4210</v>
      </c>
      <c r="AT600" t="s">
        <v>4219</v>
      </c>
    </row>
    <row r="601" spans="1:46">
      <c r="A601" s="1">
        <f>HYPERLINK("https://lsnyc.legalserver.org/matter/dynamic-profile/view/1897154","19-1897154")</f>
        <v>0</v>
      </c>
      <c r="B601" t="s">
        <v>66</v>
      </c>
      <c r="C601" t="s">
        <v>269</v>
      </c>
      <c r="E601" t="s">
        <v>684</v>
      </c>
      <c r="F601" t="s">
        <v>957</v>
      </c>
      <c r="G601" t="s">
        <v>1482</v>
      </c>
      <c r="H601" t="s">
        <v>1898</v>
      </c>
      <c r="I601">
        <v>11233</v>
      </c>
      <c r="J601" t="s">
        <v>2002</v>
      </c>
      <c r="K601" t="s">
        <v>2003</v>
      </c>
      <c r="M601" t="s">
        <v>2291</v>
      </c>
      <c r="N601" t="s">
        <v>2424</v>
      </c>
      <c r="O601" t="s">
        <v>2441</v>
      </c>
      <c r="Q601" t="s">
        <v>2002</v>
      </c>
      <c r="R601" t="s">
        <v>2451</v>
      </c>
      <c r="S601" t="s">
        <v>210</v>
      </c>
      <c r="T601">
        <v>1100</v>
      </c>
      <c r="U601" t="s">
        <v>2495</v>
      </c>
      <c r="W601" t="s">
        <v>2943</v>
      </c>
      <c r="Z601">
        <v>359</v>
      </c>
      <c r="AA601" t="s">
        <v>3783</v>
      </c>
      <c r="AB601" t="s">
        <v>2006</v>
      </c>
      <c r="AC601">
        <v>32</v>
      </c>
      <c r="AD601">
        <v>1</v>
      </c>
      <c r="AE601">
        <v>1</v>
      </c>
      <c r="AF601">
        <v>95.8</v>
      </c>
      <c r="AI601" t="s">
        <v>3809</v>
      </c>
      <c r="AJ601">
        <v>16200</v>
      </c>
      <c r="AK601" t="s">
        <v>3935</v>
      </c>
      <c r="AP601">
        <v>0</v>
      </c>
      <c r="AR601" t="s">
        <v>49</v>
      </c>
      <c r="AS601" t="s">
        <v>4210</v>
      </c>
      <c r="AT601" t="s">
        <v>4219</v>
      </c>
    </row>
    <row r="602" spans="1:46">
      <c r="A602" s="1">
        <f>HYPERLINK("https://lsnyc.legalserver.org/matter/dynamic-profile/view/1898956","19-1898956")</f>
        <v>0</v>
      </c>
      <c r="B602" t="s">
        <v>66</v>
      </c>
      <c r="C602" t="s">
        <v>150</v>
      </c>
      <c r="E602" t="s">
        <v>685</v>
      </c>
      <c r="F602" t="s">
        <v>1192</v>
      </c>
      <c r="G602" t="s">
        <v>1482</v>
      </c>
      <c r="H602" t="s">
        <v>1899</v>
      </c>
      <c r="I602">
        <v>11233</v>
      </c>
      <c r="J602" t="s">
        <v>2002</v>
      </c>
      <c r="K602" t="s">
        <v>2004</v>
      </c>
      <c r="L602" t="s">
        <v>2006</v>
      </c>
      <c r="M602" t="s">
        <v>2291</v>
      </c>
      <c r="N602" t="s">
        <v>2424</v>
      </c>
      <c r="O602" t="s">
        <v>2441</v>
      </c>
      <c r="Q602" t="s">
        <v>2002</v>
      </c>
      <c r="R602" t="s">
        <v>2451</v>
      </c>
      <c r="S602" t="s">
        <v>210</v>
      </c>
      <c r="T602">
        <v>1041.4</v>
      </c>
      <c r="U602" t="s">
        <v>2495</v>
      </c>
      <c r="W602" t="s">
        <v>2944</v>
      </c>
      <c r="Z602">
        <v>359</v>
      </c>
      <c r="AA602" t="s">
        <v>3783</v>
      </c>
      <c r="AC602">
        <v>18</v>
      </c>
      <c r="AD602">
        <v>2</v>
      </c>
      <c r="AE602">
        <v>0</v>
      </c>
      <c r="AF602">
        <v>97.5</v>
      </c>
      <c r="AI602" t="s">
        <v>3809</v>
      </c>
      <c r="AJ602">
        <v>16488</v>
      </c>
      <c r="AK602" t="s">
        <v>3935</v>
      </c>
      <c r="AP602">
        <v>0</v>
      </c>
      <c r="AR602" t="s">
        <v>49</v>
      </c>
      <c r="AS602" t="s">
        <v>4210</v>
      </c>
      <c r="AT602" t="s">
        <v>4219</v>
      </c>
    </row>
    <row r="603" spans="1:46">
      <c r="A603" s="1">
        <f>HYPERLINK("https://lsnyc.legalserver.org/matter/dynamic-profile/view/1891604","19-1891604")</f>
        <v>0</v>
      </c>
      <c r="B603" t="s">
        <v>66</v>
      </c>
      <c r="C603" t="s">
        <v>271</v>
      </c>
      <c r="E603" t="s">
        <v>686</v>
      </c>
      <c r="F603" t="s">
        <v>1193</v>
      </c>
      <c r="G603" t="s">
        <v>1482</v>
      </c>
      <c r="H603" t="s">
        <v>1900</v>
      </c>
      <c r="I603">
        <v>11233</v>
      </c>
      <c r="J603" t="s">
        <v>2002</v>
      </c>
      <c r="K603" t="s">
        <v>2003</v>
      </c>
      <c r="M603" t="s">
        <v>2006</v>
      </c>
      <c r="N603" t="s">
        <v>2424</v>
      </c>
      <c r="O603" t="s">
        <v>2441</v>
      </c>
      <c r="Q603" t="s">
        <v>2002</v>
      </c>
      <c r="R603" t="s">
        <v>2451</v>
      </c>
      <c r="S603" t="s">
        <v>210</v>
      </c>
      <c r="T603">
        <v>820</v>
      </c>
      <c r="W603" t="s">
        <v>2945</v>
      </c>
      <c r="Z603">
        <v>359</v>
      </c>
      <c r="AA603" t="s">
        <v>3783</v>
      </c>
      <c r="AC603">
        <v>6</v>
      </c>
      <c r="AD603">
        <v>1</v>
      </c>
      <c r="AE603">
        <v>2</v>
      </c>
      <c r="AF603">
        <v>97.52</v>
      </c>
      <c r="AI603" t="s">
        <v>3809</v>
      </c>
      <c r="AJ603">
        <v>20800</v>
      </c>
      <c r="AK603" t="s">
        <v>3934</v>
      </c>
      <c r="AP603">
        <v>0</v>
      </c>
      <c r="AR603" t="s">
        <v>4185</v>
      </c>
      <c r="AS603" t="s">
        <v>4210</v>
      </c>
      <c r="AT603" t="s">
        <v>4219</v>
      </c>
    </row>
    <row r="604" spans="1:46">
      <c r="A604" s="1">
        <f>HYPERLINK("https://lsnyc.legalserver.org/matter/dynamic-profile/view/1892080","19-1892080")</f>
        <v>0</v>
      </c>
      <c r="B604" t="s">
        <v>66</v>
      </c>
      <c r="C604" t="s">
        <v>242</v>
      </c>
      <c r="E604" t="s">
        <v>509</v>
      </c>
      <c r="F604" t="s">
        <v>1194</v>
      </c>
      <c r="G604" t="s">
        <v>1633</v>
      </c>
      <c r="H604" t="s">
        <v>1901</v>
      </c>
      <c r="I604">
        <v>11233</v>
      </c>
      <c r="J604" t="s">
        <v>2002</v>
      </c>
      <c r="K604" t="s">
        <v>2003</v>
      </c>
      <c r="M604" t="s">
        <v>2291</v>
      </c>
      <c r="N604" t="s">
        <v>2424</v>
      </c>
      <c r="O604" t="s">
        <v>2441</v>
      </c>
      <c r="Q604" t="s">
        <v>2002</v>
      </c>
      <c r="R604" t="s">
        <v>2451</v>
      </c>
      <c r="S604" t="s">
        <v>210</v>
      </c>
      <c r="T604">
        <v>1150</v>
      </c>
      <c r="U604" t="s">
        <v>2495</v>
      </c>
      <c r="W604" t="s">
        <v>2946</v>
      </c>
      <c r="Z604">
        <v>359</v>
      </c>
      <c r="AA604" t="s">
        <v>3783</v>
      </c>
      <c r="AC604">
        <v>45</v>
      </c>
      <c r="AD604">
        <v>1</v>
      </c>
      <c r="AE604">
        <v>0</v>
      </c>
      <c r="AF604">
        <v>113.66</v>
      </c>
      <c r="AI604" t="s">
        <v>3809</v>
      </c>
      <c r="AJ604">
        <v>14196</v>
      </c>
      <c r="AK604" t="s">
        <v>3941</v>
      </c>
      <c r="AP604">
        <v>0</v>
      </c>
      <c r="AR604" t="s">
        <v>49</v>
      </c>
      <c r="AS604" t="s">
        <v>4210</v>
      </c>
      <c r="AT604" t="s">
        <v>4219</v>
      </c>
    </row>
    <row r="605" spans="1:46">
      <c r="A605" s="1">
        <f>HYPERLINK("https://lsnyc.legalserver.org/matter/dynamic-profile/view/1902026","19-1902026")</f>
        <v>0</v>
      </c>
      <c r="B605" t="s">
        <v>66</v>
      </c>
      <c r="C605" t="s">
        <v>158</v>
      </c>
      <c r="E605" t="s">
        <v>343</v>
      </c>
      <c r="F605" t="s">
        <v>1195</v>
      </c>
      <c r="G605" t="s">
        <v>1482</v>
      </c>
      <c r="H605" t="s">
        <v>1902</v>
      </c>
      <c r="I605">
        <v>11233</v>
      </c>
      <c r="J605" t="s">
        <v>2002</v>
      </c>
      <c r="K605" t="s">
        <v>2004</v>
      </c>
      <c r="L605" t="s">
        <v>2006</v>
      </c>
      <c r="M605" t="s">
        <v>2291</v>
      </c>
      <c r="N605" t="s">
        <v>2424</v>
      </c>
      <c r="O605" t="s">
        <v>2441</v>
      </c>
      <c r="Q605" t="s">
        <v>2002</v>
      </c>
      <c r="S605" t="s">
        <v>210</v>
      </c>
      <c r="T605">
        <v>656.89</v>
      </c>
      <c r="U605" t="s">
        <v>2495</v>
      </c>
      <c r="W605" t="s">
        <v>2947</v>
      </c>
      <c r="Z605">
        <v>359</v>
      </c>
      <c r="AA605" t="s">
        <v>3783</v>
      </c>
      <c r="AC605">
        <v>0</v>
      </c>
      <c r="AD605">
        <v>1</v>
      </c>
      <c r="AE605">
        <v>0</v>
      </c>
      <c r="AF605">
        <v>114.62</v>
      </c>
      <c r="AI605" t="s">
        <v>3809</v>
      </c>
      <c r="AJ605">
        <v>14316</v>
      </c>
      <c r="AK605" t="s">
        <v>3935</v>
      </c>
      <c r="AP605">
        <v>0</v>
      </c>
      <c r="AR605" t="s">
        <v>49</v>
      </c>
      <c r="AS605" t="s">
        <v>4210</v>
      </c>
      <c r="AT605" t="s">
        <v>4219</v>
      </c>
    </row>
    <row r="606" spans="1:46">
      <c r="A606" s="1">
        <f>HYPERLINK("https://lsnyc.legalserver.org/matter/dynamic-profile/view/1898987","19-1898987")</f>
        <v>0</v>
      </c>
      <c r="B606" t="s">
        <v>66</v>
      </c>
      <c r="C606" t="s">
        <v>150</v>
      </c>
      <c r="E606" t="s">
        <v>687</v>
      </c>
      <c r="F606" t="s">
        <v>1196</v>
      </c>
      <c r="G606" t="s">
        <v>1634</v>
      </c>
      <c r="H606" t="s">
        <v>1903</v>
      </c>
      <c r="I606">
        <v>11233</v>
      </c>
      <c r="J606" t="s">
        <v>2002</v>
      </c>
      <c r="K606" t="s">
        <v>2004</v>
      </c>
      <c r="L606" t="s">
        <v>2006</v>
      </c>
      <c r="M606" t="s">
        <v>2292</v>
      </c>
      <c r="N606" t="s">
        <v>2424</v>
      </c>
      <c r="O606" t="s">
        <v>2441</v>
      </c>
      <c r="Q606" t="s">
        <v>2002</v>
      </c>
      <c r="R606" t="s">
        <v>2451</v>
      </c>
      <c r="S606" t="s">
        <v>210</v>
      </c>
      <c r="T606">
        <v>1343.02</v>
      </c>
      <c r="U606" t="s">
        <v>2495</v>
      </c>
      <c r="W606" t="s">
        <v>2948</v>
      </c>
      <c r="Z606">
        <v>359</v>
      </c>
      <c r="AA606" t="s">
        <v>3783</v>
      </c>
      <c r="AC606">
        <v>25</v>
      </c>
      <c r="AD606">
        <v>2</v>
      </c>
      <c r="AE606">
        <v>2</v>
      </c>
      <c r="AF606">
        <v>116.5</v>
      </c>
      <c r="AJ606">
        <v>30000</v>
      </c>
      <c r="AK606" t="s">
        <v>3944</v>
      </c>
      <c r="AP606">
        <v>0</v>
      </c>
      <c r="AR606" t="s">
        <v>49</v>
      </c>
      <c r="AS606" t="s">
        <v>4210</v>
      </c>
      <c r="AT606" t="s">
        <v>4219</v>
      </c>
    </row>
    <row r="607" spans="1:46">
      <c r="A607" s="1">
        <f>HYPERLINK("https://lsnyc.legalserver.org/matter/dynamic-profile/view/1897702","19-1897702")</f>
        <v>0</v>
      </c>
      <c r="B607" t="s">
        <v>66</v>
      </c>
      <c r="C607" t="s">
        <v>273</v>
      </c>
      <c r="E607" t="s">
        <v>688</v>
      </c>
      <c r="F607" t="s">
        <v>1197</v>
      </c>
      <c r="G607" t="s">
        <v>1634</v>
      </c>
      <c r="H607" t="s">
        <v>1904</v>
      </c>
      <c r="I607">
        <v>11233</v>
      </c>
      <c r="J607" t="s">
        <v>2002</v>
      </c>
      <c r="K607" t="s">
        <v>2003</v>
      </c>
      <c r="M607" t="s">
        <v>2292</v>
      </c>
      <c r="N607" t="s">
        <v>2424</v>
      </c>
      <c r="O607" t="s">
        <v>2441</v>
      </c>
      <c r="Q607" t="s">
        <v>2002</v>
      </c>
      <c r="R607" t="s">
        <v>2451</v>
      </c>
      <c r="S607" t="s">
        <v>210</v>
      </c>
      <c r="T607">
        <v>1330</v>
      </c>
      <c r="U607" t="s">
        <v>2495</v>
      </c>
      <c r="W607" t="s">
        <v>2949</v>
      </c>
      <c r="Z607">
        <v>359</v>
      </c>
      <c r="AA607" t="s">
        <v>3783</v>
      </c>
      <c r="AC607">
        <v>24</v>
      </c>
      <c r="AD607">
        <v>4</v>
      </c>
      <c r="AE607">
        <v>2</v>
      </c>
      <c r="AF607">
        <v>130.1</v>
      </c>
      <c r="AI607" t="s">
        <v>2495</v>
      </c>
      <c r="AJ607">
        <v>45000</v>
      </c>
      <c r="AK607" t="s">
        <v>3935</v>
      </c>
      <c r="AP607">
        <v>0</v>
      </c>
      <c r="AR607" t="s">
        <v>49</v>
      </c>
      <c r="AS607" t="s">
        <v>4210</v>
      </c>
      <c r="AT607" t="s">
        <v>4219</v>
      </c>
    </row>
    <row r="608" spans="1:46">
      <c r="A608" s="1">
        <f>HYPERLINK("https://lsnyc.legalserver.org/matter/dynamic-profile/view/1897516","19-1897516")</f>
        <v>0</v>
      </c>
      <c r="B608" t="s">
        <v>66</v>
      </c>
      <c r="C608" t="s">
        <v>169</v>
      </c>
      <c r="E608" t="s">
        <v>689</v>
      </c>
      <c r="F608" t="s">
        <v>1198</v>
      </c>
      <c r="G608" t="s">
        <v>1482</v>
      </c>
      <c r="H608" t="s">
        <v>1905</v>
      </c>
      <c r="I608">
        <v>11233</v>
      </c>
      <c r="J608" t="s">
        <v>2002</v>
      </c>
      <c r="K608" t="s">
        <v>2003</v>
      </c>
      <c r="M608" t="s">
        <v>2291</v>
      </c>
      <c r="N608" t="s">
        <v>2424</v>
      </c>
      <c r="O608" t="s">
        <v>2441</v>
      </c>
      <c r="Q608" t="s">
        <v>2002</v>
      </c>
      <c r="R608" t="s">
        <v>2451</v>
      </c>
      <c r="S608" t="s">
        <v>210</v>
      </c>
      <c r="T608">
        <v>0</v>
      </c>
      <c r="W608" t="s">
        <v>2950</v>
      </c>
      <c r="Z608">
        <v>359</v>
      </c>
      <c r="AA608" t="s">
        <v>3783</v>
      </c>
      <c r="AC608">
        <v>0</v>
      </c>
      <c r="AD608">
        <v>2</v>
      </c>
      <c r="AE608">
        <v>3</v>
      </c>
      <c r="AF608">
        <v>142.53</v>
      </c>
      <c r="AI608" t="s">
        <v>2495</v>
      </c>
      <c r="AJ608">
        <v>43000</v>
      </c>
      <c r="AK608" t="s">
        <v>3937</v>
      </c>
      <c r="AP608">
        <v>0</v>
      </c>
      <c r="AR608" t="s">
        <v>4185</v>
      </c>
      <c r="AS608" t="s">
        <v>4210</v>
      </c>
      <c r="AT608" t="s">
        <v>4219</v>
      </c>
    </row>
    <row r="609" spans="1:46">
      <c r="A609" s="1">
        <f>HYPERLINK("https://lsnyc.legalserver.org/matter/dynamic-profile/view/1898383","19-1898383")</f>
        <v>0</v>
      </c>
      <c r="B609" t="s">
        <v>66</v>
      </c>
      <c r="C609" t="s">
        <v>252</v>
      </c>
      <c r="E609" t="s">
        <v>690</v>
      </c>
      <c r="F609" t="s">
        <v>1199</v>
      </c>
      <c r="G609" t="s">
        <v>1634</v>
      </c>
      <c r="H609" t="s">
        <v>1906</v>
      </c>
      <c r="I609">
        <v>11233</v>
      </c>
      <c r="J609" t="s">
        <v>2002</v>
      </c>
      <c r="K609" t="s">
        <v>2003</v>
      </c>
      <c r="M609" t="s">
        <v>2292</v>
      </c>
      <c r="N609" t="s">
        <v>2424</v>
      </c>
      <c r="O609" t="s">
        <v>2441</v>
      </c>
      <c r="Q609" t="s">
        <v>2002</v>
      </c>
      <c r="R609" t="s">
        <v>2451</v>
      </c>
      <c r="S609" t="s">
        <v>210</v>
      </c>
      <c r="T609">
        <v>628.51</v>
      </c>
      <c r="U609" t="s">
        <v>2495</v>
      </c>
      <c r="W609" t="s">
        <v>2951</v>
      </c>
      <c r="Z609">
        <v>359</v>
      </c>
      <c r="AA609" t="s">
        <v>3783</v>
      </c>
      <c r="AC609">
        <v>7</v>
      </c>
      <c r="AD609">
        <v>1</v>
      </c>
      <c r="AE609">
        <v>0</v>
      </c>
      <c r="AF609">
        <v>160.13</v>
      </c>
      <c r="AI609" t="s">
        <v>3809</v>
      </c>
      <c r="AJ609">
        <v>20000</v>
      </c>
      <c r="AK609" t="s">
        <v>3935</v>
      </c>
      <c r="AP609">
        <v>0</v>
      </c>
      <c r="AR609" t="s">
        <v>49</v>
      </c>
      <c r="AS609" t="s">
        <v>4210</v>
      </c>
      <c r="AT609" t="s">
        <v>4219</v>
      </c>
    </row>
    <row r="610" spans="1:46">
      <c r="A610" s="1">
        <f>HYPERLINK("https://lsnyc.legalserver.org/matter/dynamic-profile/view/1902048","19-1902048")</f>
        <v>0</v>
      </c>
      <c r="B610" t="s">
        <v>66</v>
      </c>
      <c r="C610" t="s">
        <v>158</v>
      </c>
      <c r="E610" t="s">
        <v>691</v>
      </c>
      <c r="F610" t="s">
        <v>1200</v>
      </c>
      <c r="G610" t="s">
        <v>1482</v>
      </c>
      <c r="H610" t="s">
        <v>1907</v>
      </c>
      <c r="I610">
        <v>11233</v>
      </c>
      <c r="J610" t="s">
        <v>2002</v>
      </c>
      <c r="K610" t="s">
        <v>2004</v>
      </c>
      <c r="L610" t="s">
        <v>2006</v>
      </c>
      <c r="M610" t="s">
        <v>2006</v>
      </c>
      <c r="N610" t="s">
        <v>2424</v>
      </c>
      <c r="O610" t="s">
        <v>2441</v>
      </c>
      <c r="Q610" t="s">
        <v>2002</v>
      </c>
      <c r="R610" t="s">
        <v>2451</v>
      </c>
      <c r="S610" t="s">
        <v>210</v>
      </c>
      <c r="T610">
        <v>787</v>
      </c>
      <c r="U610" t="s">
        <v>2495</v>
      </c>
      <c r="W610" t="s">
        <v>2952</v>
      </c>
      <c r="Z610">
        <v>359</v>
      </c>
      <c r="AA610" t="s">
        <v>3783</v>
      </c>
      <c r="AC610">
        <v>10</v>
      </c>
      <c r="AD610">
        <v>1</v>
      </c>
      <c r="AE610">
        <v>2</v>
      </c>
      <c r="AF610">
        <v>164.09</v>
      </c>
      <c r="AI610" t="s">
        <v>3809</v>
      </c>
      <c r="AJ610">
        <v>35000</v>
      </c>
      <c r="AK610" t="s">
        <v>3935</v>
      </c>
      <c r="AP610">
        <v>0</v>
      </c>
      <c r="AR610" t="s">
        <v>49</v>
      </c>
      <c r="AS610" t="s">
        <v>4210</v>
      </c>
      <c r="AT610" t="s">
        <v>4219</v>
      </c>
    </row>
    <row r="611" spans="1:46">
      <c r="A611" s="1">
        <f>HYPERLINK("https://lsnyc.legalserver.org/matter/dynamic-profile/view/1890637","19-1890637")</f>
        <v>0</v>
      </c>
      <c r="B611" t="s">
        <v>66</v>
      </c>
      <c r="C611" t="s">
        <v>270</v>
      </c>
      <c r="E611" t="s">
        <v>637</v>
      </c>
      <c r="F611" t="s">
        <v>1201</v>
      </c>
      <c r="G611" t="s">
        <v>1632</v>
      </c>
      <c r="H611" t="s">
        <v>1908</v>
      </c>
      <c r="I611">
        <v>11233</v>
      </c>
      <c r="J611" t="s">
        <v>2002</v>
      </c>
      <c r="K611" t="s">
        <v>2003</v>
      </c>
      <c r="L611" t="s">
        <v>2006</v>
      </c>
      <c r="M611" t="s">
        <v>2058</v>
      </c>
      <c r="N611" t="s">
        <v>2424</v>
      </c>
      <c r="O611" t="s">
        <v>2441</v>
      </c>
      <c r="Q611" t="s">
        <v>2002</v>
      </c>
      <c r="R611" t="s">
        <v>2451</v>
      </c>
      <c r="S611" t="s">
        <v>210</v>
      </c>
      <c r="T611">
        <v>1148.69</v>
      </c>
      <c r="U611" t="s">
        <v>2495</v>
      </c>
      <c r="W611" t="s">
        <v>2953</v>
      </c>
      <c r="X611" t="s">
        <v>2058</v>
      </c>
      <c r="Z611">
        <v>359</v>
      </c>
      <c r="AA611" t="s">
        <v>3783</v>
      </c>
      <c r="AB611" t="s">
        <v>2006</v>
      </c>
      <c r="AC611">
        <v>34</v>
      </c>
      <c r="AD611">
        <v>1</v>
      </c>
      <c r="AE611">
        <v>0</v>
      </c>
      <c r="AF611">
        <v>166.73</v>
      </c>
      <c r="AI611" t="s">
        <v>3809</v>
      </c>
      <c r="AJ611">
        <v>20824.62</v>
      </c>
      <c r="AK611" t="s">
        <v>3935</v>
      </c>
      <c r="AP611">
        <v>0</v>
      </c>
      <c r="AR611" t="s">
        <v>49</v>
      </c>
      <c r="AS611" t="s">
        <v>4210</v>
      </c>
      <c r="AT611" t="s">
        <v>4219</v>
      </c>
    </row>
    <row r="612" spans="1:46">
      <c r="A612" s="1">
        <f>HYPERLINK("https://lsnyc.legalserver.org/matter/dynamic-profile/view/1892505","19-1892505")</f>
        <v>0</v>
      </c>
      <c r="B612" t="s">
        <v>66</v>
      </c>
      <c r="C612" t="s">
        <v>274</v>
      </c>
      <c r="E612" t="s">
        <v>376</v>
      </c>
      <c r="F612" t="s">
        <v>938</v>
      </c>
      <c r="G612" t="s">
        <v>1482</v>
      </c>
      <c r="H612" t="s">
        <v>1909</v>
      </c>
      <c r="I612">
        <v>11233</v>
      </c>
      <c r="J612" t="s">
        <v>2002</v>
      </c>
      <c r="K612" t="s">
        <v>2003</v>
      </c>
      <c r="L612" t="s">
        <v>2006</v>
      </c>
      <c r="M612" t="s">
        <v>2058</v>
      </c>
      <c r="N612" t="s">
        <v>2424</v>
      </c>
      <c r="O612" t="s">
        <v>2441</v>
      </c>
      <c r="Q612" t="s">
        <v>2002</v>
      </c>
      <c r="R612" t="s">
        <v>2451</v>
      </c>
      <c r="S612" t="s">
        <v>210</v>
      </c>
      <c r="T612">
        <v>986</v>
      </c>
      <c r="U612" t="s">
        <v>2495</v>
      </c>
      <c r="W612" t="s">
        <v>2954</v>
      </c>
      <c r="X612" t="s">
        <v>2058</v>
      </c>
      <c r="Z612">
        <v>359</v>
      </c>
      <c r="AA612" t="s">
        <v>3783</v>
      </c>
      <c r="AB612" t="s">
        <v>2006</v>
      </c>
      <c r="AC612">
        <v>16</v>
      </c>
      <c r="AD612">
        <v>2</v>
      </c>
      <c r="AE612">
        <v>1</v>
      </c>
      <c r="AF612">
        <v>171.84</v>
      </c>
      <c r="AI612" t="s">
        <v>3809</v>
      </c>
      <c r="AJ612">
        <v>36653</v>
      </c>
      <c r="AK612" t="s">
        <v>3943</v>
      </c>
      <c r="AP612">
        <v>0</v>
      </c>
      <c r="AR612" t="s">
        <v>49</v>
      </c>
      <c r="AS612" t="s">
        <v>4210</v>
      </c>
      <c r="AT612" t="s">
        <v>4219</v>
      </c>
    </row>
    <row r="613" spans="1:46">
      <c r="A613" s="1">
        <f>HYPERLINK("https://lsnyc.legalserver.org/matter/dynamic-profile/view/1890630","19-1890630")</f>
        <v>0</v>
      </c>
      <c r="B613" t="s">
        <v>66</v>
      </c>
      <c r="C613" t="s">
        <v>270</v>
      </c>
      <c r="E613" t="s">
        <v>692</v>
      </c>
      <c r="F613" t="s">
        <v>1202</v>
      </c>
      <c r="G613" t="s">
        <v>1482</v>
      </c>
      <c r="H613" t="s">
        <v>1910</v>
      </c>
      <c r="I613">
        <v>11233</v>
      </c>
      <c r="J613" t="s">
        <v>2002</v>
      </c>
      <c r="K613" t="s">
        <v>2003</v>
      </c>
      <c r="M613" t="s">
        <v>2291</v>
      </c>
      <c r="N613" t="s">
        <v>2424</v>
      </c>
      <c r="O613" t="s">
        <v>2441</v>
      </c>
      <c r="Q613" t="s">
        <v>2002</v>
      </c>
      <c r="R613" t="s">
        <v>2451</v>
      </c>
      <c r="S613" t="s">
        <v>210</v>
      </c>
      <c r="T613">
        <v>1200</v>
      </c>
      <c r="U613" t="s">
        <v>2495</v>
      </c>
      <c r="W613" t="s">
        <v>2955</v>
      </c>
      <c r="Z613">
        <v>359</v>
      </c>
      <c r="AA613" t="s">
        <v>3783</v>
      </c>
      <c r="AB613" t="s">
        <v>2006</v>
      </c>
      <c r="AC613">
        <v>10</v>
      </c>
      <c r="AD613">
        <v>3</v>
      </c>
      <c r="AE613">
        <v>1</v>
      </c>
      <c r="AF613">
        <v>174.76</v>
      </c>
      <c r="AI613" t="s">
        <v>3809</v>
      </c>
      <c r="AJ613">
        <v>45000</v>
      </c>
      <c r="AK613" t="s">
        <v>3935</v>
      </c>
      <c r="AP613">
        <v>0</v>
      </c>
      <c r="AR613" t="s">
        <v>49</v>
      </c>
      <c r="AS613" t="s">
        <v>4210</v>
      </c>
      <c r="AT613" t="s">
        <v>4219</v>
      </c>
    </row>
    <row r="614" spans="1:46">
      <c r="A614" s="1">
        <f>HYPERLINK("https://lsnyc.legalserver.org/matter/dynamic-profile/view/1898030","19-1898030")</f>
        <v>0</v>
      </c>
      <c r="B614" t="s">
        <v>66</v>
      </c>
      <c r="C614" t="s">
        <v>248</v>
      </c>
      <c r="E614" t="s">
        <v>693</v>
      </c>
      <c r="F614" t="s">
        <v>1203</v>
      </c>
      <c r="G614" t="s">
        <v>1482</v>
      </c>
      <c r="H614" t="s">
        <v>1911</v>
      </c>
      <c r="I614">
        <v>11233</v>
      </c>
      <c r="J614" t="s">
        <v>2002</v>
      </c>
      <c r="K614" t="s">
        <v>2003</v>
      </c>
      <c r="M614" t="s">
        <v>2291</v>
      </c>
      <c r="N614" t="s">
        <v>2424</v>
      </c>
      <c r="O614" t="s">
        <v>2441</v>
      </c>
      <c r="Q614" t="s">
        <v>2002</v>
      </c>
      <c r="R614" t="s">
        <v>2451</v>
      </c>
      <c r="S614" t="s">
        <v>210</v>
      </c>
      <c r="T614">
        <v>1059</v>
      </c>
      <c r="U614" t="s">
        <v>2495</v>
      </c>
      <c r="W614" t="s">
        <v>2956</v>
      </c>
      <c r="Z614">
        <v>359</v>
      </c>
      <c r="AA614" t="s">
        <v>3783</v>
      </c>
      <c r="AC614">
        <v>39</v>
      </c>
      <c r="AD614">
        <v>2</v>
      </c>
      <c r="AE614">
        <v>1</v>
      </c>
      <c r="AF614">
        <v>178.15</v>
      </c>
      <c r="AI614" t="s">
        <v>3809</v>
      </c>
      <c r="AJ614">
        <v>38000</v>
      </c>
      <c r="AK614" t="s">
        <v>3943</v>
      </c>
      <c r="AP614">
        <v>0</v>
      </c>
      <c r="AR614" t="s">
        <v>49</v>
      </c>
      <c r="AS614" t="s">
        <v>4210</v>
      </c>
      <c r="AT614" t="s">
        <v>4219</v>
      </c>
    </row>
    <row r="615" spans="1:46">
      <c r="A615" s="1">
        <f>HYPERLINK("https://lsnyc.legalserver.org/matter/dynamic-profile/view/1892667","19-1892667")</f>
        <v>0</v>
      </c>
      <c r="B615" t="s">
        <v>66</v>
      </c>
      <c r="C615" t="s">
        <v>141</v>
      </c>
      <c r="E615" t="s">
        <v>694</v>
      </c>
      <c r="F615" t="s">
        <v>1204</v>
      </c>
      <c r="G615" t="s">
        <v>1633</v>
      </c>
      <c r="H615" t="s">
        <v>1802</v>
      </c>
      <c r="I615">
        <v>11233</v>
      </c>
      <c r="J615" t="s">
        <v>2002</v>
      </c>
      <c r="K615" t="s">
        <v>2003</v>
      </c>
      <c r="M615" t="s">
        <v>2291</v>
      </c>
      <c r="N615" t="s">
        <v>2424</v>
      </c>
      <c r="O615" t="s">
        <v>2441</v>
      </c>
      <c r="Q615" t="s">
        <v>2002</v>
      </c>
      <c r="R615" t="s">
        <v>2451</v>
      </c>
      <c r="S615" t="s">
        <v>210</v>
      </c>
      <c r="T615">
        <v>981.97</v>
      </c>
      <c r="U615" t="s">
        <v>2495</v>
      </c>
      <c r="W615" t="s">
        <v>2957</v>
      </c>
      <c r="Z615">
        <v>359</v>
      </c>
      <c r="AA615" t="s">
        <v>3783</v>
      </c>
      <c r="AC615">
        <v>0</v>
      </c>
      <c r="AD615">
        <v>4</v>
      </c>
      <c r="AE615">
        <v>1</v>
      </c>
      <c r="AF615">
        <v>178.99</v>
      </c>
      <c r="AI615" t="s">
        <v>3816</v>
      </c>
      <c r="AJ615">
        <v>54000</v>
      </c>
      <c r="AK615" t="s">
        <v>3943</v>
      </c>
      <c r="AP615">
        <v>0</v>
      </c>
      <c r="AR615" t="s">
        <v>49</v>
      </c>
      <c r="AS615" t="s">
        <v>4210</v>
      </c>
      <c r="AT615" t="s">
        <v>4219</v>
      </c>
    </row>
    <row r="616" spans="1:46">
      <c r="A616" s="1">
        <f>HYPERLINK("https://lsnyc.legalserver.org/matter/dynamic-profile/view/1897518","19-1897518")</f>
        <v>0</v>
      </c>
      <c r="B616" t="s">
        <v>66</v>
      </c>
      <c r="C616" t="s">
        <v>169</v>
      </c>
      <c r="E616" t="s">
        <v>368</v>
      </c>
      <c r="F616" t="s">
        <v>1051</v>
      </c>
      <c r="G616" t="s">
        <v>1482</v>
      </c>
      <c r="H616" t="s">
        <v>1912</v>
      </c>
      <c r="I616">
        <v>11233</v>
      </c>
      <c r="J616" t="s">
        <v>2002</v>
      </c>
      <c r="K616" t="s">
        <v>2003</v>
      </c>
      <c r="M616" t="s">
        <v>2291</v>
      </c>
      <c r="N616" t="s">
        <v>2424</v>
      </c>
      <c r="O616" t="s">
        <v>2441</v>
      </c>
      <c r="Q616" t="s">
        <v>2002</v>
      </c>
      <c r="R616" t="s">
        <v>2451</v>
      </c>
      <c r="S616" t="s">
        <v>210</v>
      </c>
      <c r="T616">
        <v>981</v>
      </c>
      <c r="U616" t="s">
        <v>2512</v>
      </c>
      <c r="W616" t="s">
        <v>2958</v>
      </c>
      <c r="Z616">
        <v>359</v>
      </c>
      <c r="AA616" t="s">
        <v>3783</v>
      </c>
      <c r="AC616">
        <v>20</v>
      </c>
      <c r="AD616">
        <v>1</v>
      </c>
      <c r="AE616">
        <v>1</v>
      </c>
      <c r="AF616">
        <v>189.24</v>
      </c>
      <c r="AI616" t="s">
        <v>3809</v>
      </c>
      <c r="AJ616">
        <v>32000</v>
      </c>
      <c r="AK616" t="s">
        <v>3937</v>
      </c>
      <c r="AP616">
        <v>0</v>
      </c>
      <c r="AR616" t="s">
        <v>4185</v>
      </c>
      <c r="AS616" t="s">
        <v>4210</v>
      </c>
      <c r="AT616" t="s">
        <v>4219</v>
      </c>
    </row>
    <row r="617" spans="1:46">
      <c r="A617" s="1">
        <f>HYPERLINK("https://lsnyc.legalserver.org/matter/dynamic-profile/view/1890579","19-1890579")</f>
        <v>0</v>
      </c>
      <c r="B617" t="s">
        <v>66</v>
      </c>
      <c r="C617" t="s">
        <v>270</v>
      </c>
      <c r="E617" t="s">
        <v>695</v>
      </c>
      <c r="F617" t="s">
        <v>1205</v>
      </c>
      <c r="G617" t="s">
        <v>1482</v>
      </c>
      <c r="H617" t="s">
        <v>1854</v>
      </c>
      <c r="I617">
        <v>11233</v>
      </c>
      <c r="J617" t="s">
        <v>2002</v>
      </c>
      <c r="K617" t="s">
        <v>2003</v>
      </c>
      <c r="M617" t="s">
        <v>2006</v>
      </c>
      <c r="N617" t="s">
        <v>2424</v>
      </c>
      <c r="O617" t="s">
        <v>2441</v>
      </c>
      <c r="Q617" t="s">
        <v>2002</v>
      </c>
      <c r="R617" t="s">
        <v>2451</v>
      </c>
      <c r="S617" t="s">
        <v>210</v>
      </c>
      <c r="T617">
        <v>965.96</v>
      </c>
      <c r="U617" t="s">
        <v>2512</v>
      </c>
      <c r="W617" t="s">
        <v>2959</v>
      </c>
      <c r="Z617">
        <v>359</v>
      </c>
      <c r="AA617" t="s">
        <v>3783</v>
      </c>
      <c r="AC617">
        <v>42</v>
      </c>
      <c r="AD617">
        <v>1</v>
      </c>
      <c r="AE617">
        <v>0</v>
      </c>
      <c r="AF617">
        <v>192.53</v>
      </c>
      <c r="AI617" t="s">
        <v>3809</v>
      </c>
      <c r="AJ617">
        <v>24046.8</v>
      </c>
      <c r="AK617" t="s">
        <v>3945</v>
      </c>
      <c r="AP617">
        <v>0</v>
      </c>
      <c r="AR617" t="s">
        <v>4185</v>
      </c>
      <c r="AS617" t="s">
        <v>4210</v>
      </c>
      <c r="AT617" t="s">
        <v>4219</v>
      </c>
    </row>
    <row r="618" spans="1:46">
      <c r="A618" s="1">
        <f>HYPERLINK("https://lsnyc.legalserver.org/matter/dynamic-profile/view/1890540","19-1890540")</f>
        <v>0</v>
      </c>
      <c r="B618" t="s">
        <v>66</v>
      </c>
      <c r="C618" t="s">
        <v>270</v>
      </c>
      <c r="E618" t="s">
        <v>696</v>
      </c>
      <c r="F618" t="s">
        <v>1206</v>
      </c>
      <c r="G618" t="s">
        <v>1482</v>
      </c>
      <c r="H618" t="s">
        <v>1913</v>
      </c>
      <c r="I618">
        <v>11233</v>
      </c>
      <c r="J618" t="s">
        <v>2002</v>
      </c>
      <c r="K618" t="s">
        <v>2003</v>
      </c>
      <c r="M618" t="s">
        <v>2006</v>
      </c>
      <c r="N618" t="s">
        <v>2424</v>
      </c>
      <c r="O618" t="s">
        <v>2441</v>
      </c>
      <c r="Q618" t="s">
        <v>2002</v>
      </c>
      <c r="R618" t="s">
        <v>2451</v>
      </c>
      <c r="S618" t="s">
        <v>210</v>
      </c>
      <c r="T618">
        <v>950</v>
      </c>
      <c r="U618" t="s">
        <v>2512</v>
      </c>
      <c r="W618" t="s">
        <v>2960</v>
      </c>
      <c r="Z618">
        <v>359</v>
      </c>
      <c r="AA618" t="s">
        <v>3783</v>
      </c>
      <c r="AB618" t="s">
        <v>2006</v>
      </c>
      <c r="AC618">
        <v>15</v>
      </c>
      <c r="AD618">
        <v>4</v>
      </c>
      <c r="AE618">
        <v>0</v>
      </c>
      <c r="AF618">
        <v>193.03</v>
      </c>
      <c r="AI618" t="s">
        <v>3809</v>
      </c>
      <c r="AJ618">
        <v>49705</v>
      </c>
      <c r="AK618" t="s">
        <v>3938</v>
      </c>
      <c r="AP618">
        <v>0</v>
      </c>
      <c r="AR618" t="s">
        <v>4185</v>
      </c>
      <c r="AS618" t="s">
        <v>4210</v>
      </c>
      <c r="AT618" t="s">
        <v>4219</v>
      </c>
    </row>
    <row r="619" spans="1:46">
      <c r="A619" s="1">
        <f>HYPERLINK("https://lsnyc.legalserver.org/matter/dynamic-profile/view/1891635","19-1891635")</f>
        <v>0</v>
      </c>
      <c r="B619" t="s">
        <v>66</v>
      </c>
      <c r="C619" t="s">
        <v>271</v>
      </c>
      <c r="E619" t="s">
        <v>553</v>
      </c>
      <c r="F619" t="s">
        <v>1207</v>
      </c>
      <c r="G619" t="s">
        <v>1482</v>
      </c>
      <c r="H619" t="s">
        <v>1914</v>
      </c>
      <c r="I619">
        <v>11233</v>
      </c>
      <c r="J619" t="s">
        <v>2002</v>
      </c>
      <c r="K619" t="s">
        <v>2003</v>
      </c>
      <c r="M619" t="s">
        <v>2006</v>
      </c>
      <c r="N619" t="s">
        <v>2424</v>
      </c>
      <c r="O619" t="s">
        <v>2441</v>
      </c>
      <c r="Q619" t="s">
        <v>2002</v>
      </c>
      <c r="R619" t="s">
        <v>2451</v>
      </c>
      <c r="S619" t="s">
        <v>210</v>
      </c>
      <c r="T619">
        <v>1442</v>
      </c>
      <c r="W619" t="s">
        <v>2961</v>
      </c>
      <c r="Z619">
        <v>359</v>
      </c>
      <c r="AA619" t="s">
        <v>3783</v>
      </c>
      <c r="AC619">
        <v>28</v>
      </c>
      <c r="AD619">
        <v>2</v>
      </c>
      <c r="AE619">
        <v>0</v>
      </c>
      <c r="AF619">
        <v>195.15</v>
      </c>
      <c r="AI619" t="s">
        <v>3809</v>
      </c>
      <c r="AJ619">
        <v>33000</v>
      </c>
      <c r="AK619" t="s">
        <v>3934</v>
      </c>
      <c r="AP619">
        <v>0</v>
      </c>
      <c r="AR619" t="s">
        <v>4185</v>
      </c>
      <c r="AS619" t="s">
        <v>4210</v>
      </c>
      <c r="AT619" t="s">
        <v>4219</v>
      </c>
    </row>
    <row r="620" spans="1:46">
      <c r="A620" s="1">
        <f>HYPERLINK("https://lsnyc.legalserver.org/matter/dynamic-profile/view/1890535","19-1890535")</f>
        <v>0</v>
      </c>
      <c r="B620" t="s">
        <v>66</v>
      </c>
      <c r="C620" t="s">
        <v>270</v>
      </c>
      <c r="E620" t="s">
        <v>697</v>
      </c>
      <c r="F620" t="s">
        <v>942</v>
      </c>
      <c r="G620" t="s">
        <v>1632</v>
      </c>
      <c r="H620" t="s">
        <v>1915</v>
      </c>
      <c r="I620">
        <v>11233</v>
      </c>
      <c r="J620" t="s">
        <v>2002</v>
      </c>
      <c r="K620" t="s">
        <v>2003</v>
      </c>
      <c r="L620" t="s">
        <v>2006</v>
      </c>
      <c r="M620" t="s">
        <v>2027</v>
      </c>
      <c r="N620" t="s">
        <v>2424</v>
      </c>
      <c r="O620" t="s">
        <v>2441</v>
      </c>
      <c r="Q620" t="s">
        <v>2002</v>
      </c>
      <c r="R620" t="s">
        <v>2451</v>
      </c>
      <c r="S620" t="s">
        <v>210</v>
      </c>
      <c r="T620">
        <v>1121</v>
      </c>
      <c r="U620" t="s">
        <v>2495</v>
      </c>
      <c r="W620" t="s">
        <v>2962</v>
      </c>
      <c r="X620" t="s">
        <v>2006</v>
      </c>
      <c r="Z620">
        <v>359</v>
      </c>
      <c r="AA620" t="s">
        <v>3783</v>
      </c>
      <c r="AB620" t="s">
        <v>2006</v>
      </c>
      <c r="AC620">
        <v>4</v>
      </c>
      <c r="AD620">
        <v>3</v>
      </c>
      <c r="AE620">
        <v>0</v>
      </c>
      <c r="AF620">
        <v>209.07</v>
      </c>
      <c r="AG620" t="s">
        <v>196</v>
      </c>
      <c r="AH620" t="s">
        <v>3806</v>
      </c>
      <c r="AI620" t="s">
        <v>3809</v>
      </c>
      <c r="AJ620">
        <v>44595</v>
      </c>
      <c r="AK620" t="s">
        <v>3946</v>
      </c>
      <c r="AP620">
        <v>0</v>
      </c>
      <c r="AR620" t="s">
        <v>4185</v>
      </c>
      <c r="AS620" t="s">
        <v>4210</v>
      </c>
      <c r="AT620" t="s">
        <v>4219</v>
      </c>
    </row>
    <row r="621" spans="1:46">
      <c r="A621" s="1">
        <f>HYPERLINK("https://lsnyc.legalserver.org/matter/dynamic-profile/view/1891925","19-1891925")</f>
        <v>0</v>
      </c>
      <c r="B621" t="s">
        <v>66</v>
      </c>
      <c r="C621" t="s">
        <v>224</v>
      </c>
      <c r="E621" t="s">
        <v>698</v>
      </c>
      <c r="F621" t="s">
        <v>1208</v>
      </c>
      <c r="G621" t="s">
        <v>1482</v>
      </c>
      <c r="H621" t="s">
        <v>1916</v>
      </c>
      <c r="I621">
        <v>11233</v>
      </c>
      <c r="J621" t="s">
        <v>2002</v>
      </c>
      <c r="K621" t="s">
        <v>2003</v>
      </c>
      <c r="M621" t="s">
        <v>2291</v>
      </c>
      <c r="N621" t="s">
        <v>2424</v>
      </c>
      <c r="O621" t="s">
        <v>2441</v>
      </c>
      <c r="Q621" t="s">
        <v>2002</v>
      </c>
      <c r="R621" t="s">
        <v>2451</v>
      </c>
      <c r="S621" t="s">
        <v>210</v>
      </c>
      <c r="T621">
        <v>1047</v>
      </c>
      <c r="U621" t="s">
        <v>2495</v>
      </c>
      <c r="W621" t="s">
        <v>2963</v>
      </c>
      <c r="Z621">
        <v>359</v>
      </c>
      <c r="AA621" t="s">
        <v>3783</v>
      </c>
      <c r="AB621" t="s">
        <v>2006</v>
      </c>
      <c r="AC621">
        <v>8</v>
      </c>
      <c r="AD621">
        <v>3</v>
      </c>
      <c r="AE621">
        <v>3</v>
      </c>
      <c r="AF621">
        <v>211.54</v>
      </c>
      <c r="AI621" t="s">
        <v>3809</v>
      </c>
      <c r="AJ621">
        <v>73170</v>
      </c>
      <c r="AK621" t="s">
        <v>3941</v>
      </c>
      <c r="AP621">
        <v>0</v>
      </c>
      <c r="AR621" t="s">
        <v>49</v>
      </c>
      <c r="AS621" t="s">
        <v>4210</v>
      </c>
      <c r="AT621" t="s">
        <v>4219</v>
      </c>
    </row>
    <row r="622" spans="1:46">
      <c r="A622" s="1">
        <f>HYPERLINK("https://lsnyc.legalserver.org/matter/dynamic-profile/view/1898376","19-1898376")</f>
        <v>0</v>
      </c>
      <c r="B622" t="s">
        <v>66</v>
      </c>
      <c r="C622" t="s">
        <v>252</v>
      </c>
      <c r="E622" t="s">
        <v>699</v>
      </c>
      <c r="F622" t="s">
        <v>1209</v>
      </c>
      <c r="G622" t="s">
        <v>1482</v>
      </c>
      <c r="H622" t="s">
        <v>1917</v>
      </c>
      <c r="I622">
        <v>11233</v>
      </c>
      <c r="J622" t="s">
        <v>2002</v>
      </c>
      <c r="K622" t="s">
        <v>2003</v>
      </c>
      <c r="M622" t="s">
        <v>2291</v>
      </c>
      <c r="N622" t="s">
        <v>2424</v>
      </c>
      <c r="O622" t="s">
        <v>2441</v>
      </c>
      <c r="Q622" t="s">
        <v>2002</v>
      </c>
      <c r="R622" t="s">
        <v>2451</v>
      </c>
      <c r="S622" t="s">
        <v>210</v>
      </c>
      <c r="T622">
        <v>1082.69</v>
      </c>
      <c r="U622" t="s">
        <v>2495</v>
      </c>
      <c r="W622" t="s">
        <v>2964</v>
      </c>
      <c r="Z622">
        <v>359</v>
      </c>
      <c r="AA622" t="s">
        <v>3783</v>
      </c>
      <c r="AC622">
        <v>39</v>
      </c>
      <c r="AD622">
        <v>2</v>
      </c>
      <c r="AE622">
        <v>0</v>
      </c>
      <c r="AF622">
        <v>212.89</v>
      </c>
      <c r="AI622" t="s">
        <v>3809</v>
      </c>
      <c r="AJ622">
        <v>36000</v>
      </c>
      <c r="AK622" t="s">
        <v>3935</v>
      </c>
      <c r="AP622">
        <v>0</v>
      </c>
      <c r="AR622" t="s">
        <v>49</v>
      </c>
      <c r="AS622" t="s">
        <v>4210</v>
      </c>
      <c r="AT622" t="s">
        <v>4219</v>
      </c>
    </row>
    <row r="623" spans="1:46">
      <c r="A623" s="1">
        <f>HYPERLINK("https://lsnyc.legalserver.org/matter/dynamic-profile/view/1891500","19-1891500")</f>
        <v>0</v>
      </c>
      <c r="B623" t="s">
        <v>66</v>
      </c>
      <c r="C623" t="s">
        <v>164</v>
      </c>
      <c r="E623" t="s">
        <v>700</v>
      </c>
      <c r="F623" t="s">
        <v>1166</v>
      </c>
      <c r="G623" t="s">
        <v>1632</v>
      </c>
      <c r="H623" t="s">
        <v>1854</v>
      </c>
      <c r="I623">
        <v>11233</v>
      </c>
      <c r="J623" t="s">
        <v>2002</v>
      </c>
      <c r="K623" t="s">
        <v>2003</v>
      </c>
      <c r="M623" t="s">
        <v>2006</v>
      </c>
      <c r="N623" t="s">
        <v>2424</v>
      </c>
      <c r="O623" t="s">
        <v>2441</v>
      </c>
      <c r="Q623" t="s">
        <v>2002</v>
      </c>
      <c r="R623" t="s">
        <v>2451</v>
      </c>
      <c r="S623" t="s">
        <v>210</v>
      </c>
      <c r="T623">
        <v>997</v>
      </c>
      <c r="W623" t="s">
        <v>2965</v>
      </c>
      <c r="Z623">
        <v>359</v>
      </c>
      <c r="AA623" t="s">
        <v>3783</v>
      </c>
      <c r="AC623">
        <v>40</v>
      </c>
      <c r="AD623">
        <v>2</v>
      </c>
      <c r="AE623">
        <v>1</v>
      </c>
      <c r="AF623">
        <v>215.66</v>
      </c>
      <c r="AG623" t="s">
        <v>196</v>
      </c>
      <c r="AH623" t="s">
        <v>3806</v>
      </c>
      <c r="AI623" t="s">
        <v>3809</v>
      </c>
      <c r="AJ623">
        <v>46000</v>
      </c>
      <c r="AK623" t="s">
        <v>3934</v>
      </c>
      <c r="AP623">
        <v>0</v>
      </c>
      <c r="AR623" t="s">
        <v>4185</v>
      </c>
      <c r="AS623" t="s">
        <v>4210</v>
      </c>
      <c r="AT623" t="s">
        <v>4219</v>
      </c>
    </row>
    <row r="624" spans="1:46">
      <c r="A624" s="1">
        <f>HYPERLINK("https://lsnyc.legalserver.org/matter/dynamic-profile/view/1898022","19-1898022")</f>
        <v>0</v>
      </c>
      <c r="B624" t="s">
        <v>66</v>
      </c>
      <c r="C624" t="s">
        <v>248</v>
      </c>
      <c r="E624" t="s">
        <v>701</v>
      </c>
      <c r="F624" t="s">
        <v>1210</v>
      </c>
      <c r="G624" t="s">
        <v>1634</v>
      </c>
      <c r="H624" t="s">
        <v>1918</v>
      </c>
      <c r="I624">
        <v>11233</v>
      </c>
      <c r="J624" t="s">
        <v>2002</v>
      </c>
      <c r="K624" t="s">
        <v>2003</v>
      </c>
      <c r="M624" t="s">
        <v>2292</v>
      </c>
      <c r="N624" t="s">
        <v>2424</v>
      </c>
      <c r="O624" t="s">
        <v>2441</v>
      </c>
      <c r="Q624" t="s">
        <v>2002</v>
      </c>
      <c r="R624" t="s">
        <v>2451</v>
      </c>
      <c r="S624" t="s">
        <v>210</v>
      </c>
      <c r="T624">
        <v>836.36</v>
      </c>
      <c r="U624" t="s">
        <v>2495</v>
      </c>
      <c r="W624" t="s">
        <v>2966</v>
      </c>
      <c r="Y624" t="s">
        <v>3659</v>
      </c>
      <c r="Z624">
        <v>359</v>
      </c>
      <c r="AA624" t="s">
        <v>3783</v>
      </c>
      <c r="AC624">
        <v>16</v>
      </c>
      <c r="AD624">
        <v>1</v>
      </c>
      <c r="AE624">
        <v>0</v>
      </c>
      <c r="AF624">
        <v>216.17</v>
      </c>
      <c r="AI624" t="s">
        <v>3809</v>
      </c>
      <c r="AJ624">
        <v>27000</v>
      </c>
      <c r="AK624" t="s">
        <v>3947</v>
      </c>
      <c r="AP624">
        <v>0</v>
      </c>
      <c r="AR624" t="s">
        <v>49</v>
      </c>
      <c r="AS624" t="s">
        <v>4210</v>
      </c>
      <c r="AT624" t="s">
        <v>4219</v>
      </c>
    </row>
    <row r="625" spans="1:46">
      <c r="A625" s="1">
        <f>HYPERLINK("https://lsnyc.legalserver.org/matter/dynamic-profile/view/1890561","19-1890561")</f>
        <v>0</v>
      </c>
      <c r="B625" t="s">
        <v>66</v>
      </c>
      <c r="C625" t="s">
        <v>270</v>
      </c>
      <c r="E625" t="s">
        <v>434</v>
      </c>
      <c r="F625" t="s">
        <v>1211</v>
      </c>
      <c r="G625" t="s">
        <v>1482</v>
      </c>
      <c r="H625" t="s">
        <v>1919</v>
      </c>
      <c r="I625">
        <v>11233</v>
      </c>
      <c r="J625" t="s">
        <v>2002</v>
      </c>
      <c r="K625" t="s">
        <v>2003</v>
      </c>
      <c r="M625" t="s">
        <v>2291</v>
      </c>
      <c r="N625" t="s">
        <v>2424</v>
      </c>
      <c r="O625" t="s">
        <v>2441</v>
      </c>
      <c r="Q625" t="s">
        <v>2002</v>
      </c>
      <c r="R625" t="s">
        <v>2451</v>
      </c>
      <c r="S625" t="s">
        <v>210</v>
      </c>
      <c r="T625">
        <v>1031.53</v>
      </c>
      <c r="U625" t="s">
        <v>2495</v>
      </c>
      <c r="W625" t="s">
        <v>2967</v>
      </c>
      <c r="Z625">
        <v>359</v>
      </c>
      <c r="AA625" t="s">
        <v>3783</v>
      </c>
      <c r="AB625" t="s">
        <v>2006</v>
      </c>
      <c r="AC625">
        <v>21</v>
      </c>
      <c r="AD625">
        <v>2</v>
      </c>
      <c r="AE625">
        <v>3</v>
      </c>
      <c r="AF625">
        <v>222.07</v>
      </c>
      <c r="AI625" t="s">
        <v>3809</v>
      </c>
      <c r="AJ625">
        <v>67000</v>
      </c>
      <c r="AK625" t="s">
        <v>3935</v>
      </c>
      <c r="AP625">
        <v>0</v>
      </c>
      <c r="AR625" t="s">
        <v>49</v>
      </c>
      <c r="AS625" t="s">
        <v>4210</v>
      </c>
      <c r="AT625" t="s">
        <v>4219</v>
      </c>
    </row>
    <row r="626" spans="1:46">
      <c r="A626" s="1">
        <f>HYPERLINK("https://lsnyc.legalserver.org/matter/dynamic-profile/view/1897522","19-1897522")</f>
        <v>0</v>
      </c>
      <c r="B626" t="s">
        <v>66</v>
      </c>
      <c r="C626" t="s">
        <v>169</v>
      </c>
      <c r="E626" t="s">
        <v>504</v>
      </c>
      <c r="F626" t="s">
        <v>1212</v>
      </c>
      <c r="G626" t="s">
        <v>1632</v>
      </c>
      <c r="H626" t="s">
        <v>1920</v>
      </c>
      <c r="I626">
        <v>11233</v>
      </c>
      <c r="J626" t="s">
        <v>2002</v>
      </c>
      <c r="K626" t="s">
        <v>2003</v>
      </c>
      <c r="M626" t="s">
        <v>2292</v>
      </c>
      <c r="N626" t="s">
        <v>2424</v>
      </c>
      <c r="O626" t="s">
        <v>2441</v>
      </c>
      <c r="Q626" t="s">
        <v>2002</v>
      </c>
      <c r="R626" t="s">
        <v>2451</v>
      </c>
      <c r="S626" t="s">
        <v>210</v>
      </c>
      <c r="T626">
        <v>1225.26</v>
      </c>
      <c r="U626" t="s">
        <v>2512</v>
      </c>
      <c r="W626" t="s">
        <v>2968</v>
      </c>
      <c r="X626" t="s">
        <v>2006</v>
      </c>
      <c r="Z626">
        <v>359</v>
      </c>
      <c r="AA626" t="s">
        <v>3783</v>
      </c>
      <c r="AB626" t="s">
        <v>2006</v>
      </c>
      <c r="AC626">
        <v>0</v>
      </c>
      <c r="AD626">
        <v>1</v>
      </c>
      <c r="AE626">
        <v>0</v>
      </c>
      <c r="AF626">
        <v>236.19</v>
      </c>
      <c r="AI626" t="s">
        <v>3809</v>
      </c>
      <c r="AJ626">
        <v>29500</v>
      </c>
      <c r="AK626" t="s">
        <v>3937</v>
      </c>
      <c r="AP626">
        <v>0</v>
      </c>
      <c r="AR626" t="s">
        <v>4185</v>
      </c>
      <c r="AS626" t="s">
        <v>4210</v>
      </c>
      <c r="AT626" t="s">
        <v>4219</v>
      </c>
    </row>
    <row r="627" spans="1:46">
      <c r="A627" s="1">
        <f>HYPERLINK("https://lsnyc.legalserver.org/matter/dynamic-profile/view/1897399","19-1897399")</f>
        <v>0</v>
      </c>
      <c r="B627" t="s">
        <v>66</v>
      </c>
      <c r="C627" t="s">
        <v>275</v>
      </c>
      <c r="E627" t="s">
        <v>702</v>
      </c>
      <c r="F627" t="s">
        <v>1213</v>
      </c>
      <c r="G627" t="s">
        <v>1482</v>
      </c>
      <c r="H627" t="s">
        <v>1921</v>
      </c>
      <c r="I627">
        <v>11233</v>
      </c>
      <c r="J627" t="s">
        <v>2002</v>
      </c>
      <c r="K627" t="s">
        <v>2003</v>
      </c>
      <c r="M627" t="s">
        <v>2291</v>
      </c>
      <c r="N627" t="s">
        <v>2424</v>
      </c>
      <c r="O627" t="s">
        <v>2441</v>
      </c>
      <c r="Q627" t="s">
        <v>2002</v>
      </c>
      <c r="R627" t="s">
        <v>2451</v>
      </c>
      <c r="S627" t="s">
        <v>210</v>
      </c>
      <c r="T627">
        <v>924.1799999999999</v>
      </c>
      <c r="U627" t="s">
        <v>2512</v>
      </c>
      <c r="W627" t="s">
        <v>2969</v>
      </c>
      <c r="Z627">
        <v>359</v>
      </c>
      <c r="AA627" t="s">
        <v>3783</v>
      </c>
      <c r="AC627">
        <v>3</v>
      </c>
      <c r="AD627">
        <v>2</v>
      </c>
      <c r="AE627">
        <v>0</v>
      </c>
      <c r="AF627">
        <v>236.55</v>
      </c>
      <c r="AI627" t="s">
        <v>3809</v>
      </c>
      <c r="AJ627">
        <v>40000</v>
      </c>
      <c r="AK627" t="s">
        <v>3948</v>
      </c>
      <c r="AP627">
        <v>0</v>
      </c>
      <c r="AR627" t="s">
        <v>4185</v>
      </c>
      <c r="AS627" t="s">
        <v>4210</v>
      </c>
      <c r="AT627" t="s">
        <v>4219</v>
      </c>
    </row>
    <row r="628" spans="1:46">
      <c r="A628" s="1">
        <f>HYPERLINK("https://lsnyc.legalserver.org/matter/dynamic-profile/view/1898976","19-1898976")</f>
        <v>0</v>
      </c>
      <c r="B628" t="s">
        <v>66</v>
      </c>
      <c r="C628" t="s">
        <v>150</v>
      </c>
      <c r="E628" t="s">
        <v>703</v>
      </c>
      <c r="F628" t="s">
        <v>1214</v>
      </c>
      <c r="G628" t="s">
        <v>1633</v>
      </c>
      <c r="H628" t="s">
        <v>1922</v>
      </c>
      <c r="I628">
        <v>11233</v>
      </c>
      <c r="J628" t="s">
        <v>2002</v>
      </c>
      <c r="K628" t="s">
        <v>2004</v>
      </c>
      <c r="L628" t="s">
        <v>2006</v>
      </c>
      <c r="M628" t="s">
        <v>2291</v>
      </c>
      <c r="N628" t="s">
        <v>2424</v>
      </c>
      <c r="O628" t="s">
        <v>2441</v>
      </c>
      <c r="Q628" t="s">
        <v>2002</v>
      </c>
      <c r="R628" t="s">
        <v>2451</v>
      </c>
      <c r="S628" t="s">
        <v>210</v>
      </c>
      <c r="T628">
        <v>1400</v>
      </c>
      <c r="U628" t="s">
        <v>2495</v>
      </c>
      <c r="W628" t="s">
        <v>2970</v>
      </c>
      <c r="Z628">
        <v>359</v>
      </c>
      <c r="AA628" t="s">
        <v>3783</v>
      </c>
      <c r="AC628">
        <v>0</v>
      </c>
      <c r="AD628">
        <v>2</v>
      </c>
      <c r="AE628">
        <v>0</v>
      </c>
      <c r="AF628">
        <v>236.55</v>
      </c>
      <c r="AI628" t="s">
        <v>3809</v>
      </c>
      <c r="AJ628">
        <v>40000</v>
      </c>
      <c r="AK628" t="s">
        <v>3944</v>
      </c>
      <c r="AP628">
        <v>0</v>
      </c>
      <c r="AR628" t="s">
        <v>49</v>
      </c>
      <c r="AS628" t="s">
        <v>4210</v>
      </c>
      <c r="AT628" t="s">
        <v>4219</v>
      </c>
    </row>
    <row r="629" spans="1:46">
      <c r="A629" s="1">
        <f>HYPERLINK("https://lsnyc.legalserver.org/matter/dynamic-profile/view/1891891","19-1891891")</f>
        <v>0</v>
      </c>
      <c r="B629" t="s">
        <v>66</v>
      </c>
      <c r="C629" t="s">
        <v>224</v>
      </c>
      <c r="E629" t="s">
        <v>375</v>
      </c>
      <c r="F629" t="s">
        <v>1203</v>
      </c>
      <c r="G629" t="s">
        <v>1632</v>
      </c>
      <c r="H629" t="s">
        <v>1923</v>
      </c>
      <c r="I629">
        <v>11233</v>
      </c>
      <c r="J629" t="s">
        <v>2003</v>
      </c>
      <c r="K629" t="s">
        <v>2003</v>
      </c>
      <c r="M629" t="s">
        <v>2292</v>
      </c>
      <c r="N629" t="s">
        <v>2424</v>
      </c>
      <c r="O629" t="s">
        <v>2441</v>
      </c>
      <c r="Q629" t="s">
        <v>2002</v>
      </c>
      <c r="R629" t="s">
        <v>2451</v>
      </c>
      <c r="S629" t="s">
        <v>210</v>
      </c>
      <c r="T629">
        <v>775</v>
      </c>
      <c r="U629" t="s">
        <v>2495</v>
      </c>
      <c r="W629" t="s">
        <v>2971</v>
      </c>
      <c r="Z629">
        <v>359</v>
      </c>
      <c r="AA629" t="s">
        <v>3783</v>
      </c>
      <c r="AB629" t="s">
        <v>2006</v>
      </c>
      <c r="AC629">
        <v>10</v>
      </c>
      <c r="AD629">
        <v>2</v>
      </c>
      <c r="AE629">
        <v>0</v>
      </c>
      <c r="AF629">
        <v>254.29</v>
      </c>
      <c r="AI629" t="s">
        <v>3809</v>
      </c>
      <c r="AJ629">
        <v>43000</v>
      </c>
      <c r="AK629" t="s">
        <v>3941</v>
      </c>
      <c r="AP629">
        <v>0</v>
      </c>
      <c r="AR629" t="s">
        <v>49</v>
      </c>
      <c r="AS629" t="s">
        <v>4210</v>
      </c>
      <c r="AT629" t="s">
        <v>4219</v>
      </c>
    </row>
    <row r="630" spans="1:46">
      <c r="A630" s="1">
        <f>HYPERLINK("https://lsnyc.legalserver.org/matter/dynamic-profile/view/1897609","19-1897609")</f>
        <v>0</v>
      </c>
      <c r="B630" t="s">
        <v>66</v>
      </c>
      <c r="C630" t="s">
        <v>180</v>
      </c>
      <c r="E630" t="s">
        <v>704</v>
      </c>
      <c r="F630" t="s">
        <v>1215</v>
      </c>
      <c r="G630" t="s">
        <v>1482</v>
      </c>
      <c r="H630" t="s">
        <v>1924</v>
      </c>
      <c r="I630">
        <v>11233</v>
      </c>
      <c r="J630" t="s">
        <v>2002</v>
      </c>
      <c r="K630" t="s">
        <v>2003</v>
      </c>
      <c r="M630" t="s">
        <v>2291</v>
      </c>
      <c r="N630" t="s">
        <v>2424</v>
      </c>
      <c r="O630" t="s">
        <v>2441</v>
      </c>
      <c r="Q630" t="s">
        <v>2002</v>
      </c>
      <c r="R630" t="s">
        <v>2451</v>
      </c>
      <c r="S630" t="s">
        <v>210</v>
      </c>
      <c r="T630">
        <v>865</v>
      </c>
      <c r="U630" t="s">
        <v>2512</v>
      </c>
      <c r="W630" t="s">
        <v>2972</v>
      </c>
      <c r="Z630">
        <v>359</v>
      </c>
      <c r="AA630" t="s">
        <v>3783</v>
      </c>
      <c r="AC630">
        <v>26</v>
      </c>
      <c r="AD630">
        <v>1</v>
      </c>
      <c r="AE630">
        <v>0</v>
      </c>
      <c r="AF630">
        <v>256.2</v>
      </c>
      <c r="AI630" t="s">
        <v>3809</v>
      </c>
      <c r="AJ630">
        <v>32000</v>
      </c>
      <c r="AK630" t="s">
        <v>3937</v>
      </c>
      <c r="AP630">
        <v>0</v>
      </c>
      <c r="AR630" t="s">
        <v>4185</v>
      </c>
      <c r="AS630" t="s">
        <v>4210</v>
      </c>
      <c r="AT630" t="s">
        <v>4219</v>
      </c>
    </row>
    <row r="631" spans="1:46">
      <c r="A631" s="1">
        <f>HYPERLINK("https://lsnyc.legalserver.org/matter/dynamic-profile/view/1897205","19-1897205")</f>
        <v>0</v>
      </c>
      <c r="B631" t="s">
        <v>66</v>
      </c>
      <c r="C631" t="s">
        <v>269</v>
      </c>
      <c r="E631" t="s">
        <v>640</v>
      </c>
      <c r="F631" t="s">
        <v>1216</v>
      </c>
      <c r="G631" t="s">
        <v>1634</v>
      </c>
      <c r="H631" t="s">
        <v>1738</v>
      </c>
      <c r="I631">
        <v>11233</v>
      </c>
      <c r="J631" t="s">
        <v>2002</v>
      </c>
      <c r="K631" t="s">
        <v>2003</v>
      </c>
      <c r="M631" t="s">
        <v>2292</v>
      </c>
      <c r="N631" t="s">
        <v>2424</v>
      </c>
      <c r="O631" t="s">
        <v>2441</v>
      </c>
      <c r="Q631" t="s">
        <v>2002</v>
      </c>
      <c r="R631" t="s">
        <v>2451</v>
      </c>
      <c r="S631" t="s">
        <v>210</v>
      </c>
      <c r="T631">
        <v>651.8</v>
      </c>
      <c r="U631" t="s">
        <v>2495</v>
      </c>
      <c r="W631" t="s">
        <v>2973</v>
      </c>
      <c r="Z631">
        <v>359</v>
      </c>
      <c r="AA631" t="s">
        <v>3783</v>
      </c>
      <c r="AC631">
        <v>40</v>
      </c>
      <c r="AD631">
        <v>1</v>
      </c>
      <c r="AE631">
        <v>2</v>
      </c>
      <c r="AF631">
        <v>262.54</v>
      </c>
      <c r="AI631" t="s">
        <v>3810</v>
      </c>
      <c r="AJ631">
        <v>56000</v>
      </c>
      <c r="AK631" t="s">
        <v>3949</v>
      </c>
      <c r="AP631">
        <v>0</v>
      </c>
      <c r="AR631" t="s">
        <v>49</v>
      </c>
      <c r="AS631" t="s">
        <v>4210</v>
      </c>
      <c r="AT631" t="s">
        <v>4219</v>
      </c>
    </row>
    <row r="632" spans="1:46">
      <c r="A632" s="1">
        <f>HYPERLINK("https://lsnyc.legalserver.org/matter/dynamic-profile/view/1897404","19-1897404")</f>
        <v>0</v>
      </c>
      <c r="B632" t="s">
        <v>66</v>
      </c>
      <c r="C632" t="s">
        <v>275</v>
      </c>
      <c r="E632" t="s">
        <v>705</v>
      </c>
      <c r="F632" t="s">
        <v>1217</v>
      </c>
      <c r="G632" t="s">
        <v>1482</v>
      </c>
      <c r="H632" t="s">
        <v>1925</v>
      </c>
      <c r="I632">
        <v>11233</v>
      </c>
      <c r="J632" t="s">
        <v>2002</v>
      </c>
      <c r="K632" t="s">
        <v>2003</v>
      </c>
      <c r="M632" t="s">
        <v>2291</v>
      </c>
      <c r="N632" t="s">
        <v>2424</v>
      </c>
      <c r="O632" t="s">
        <v>2441</v>
      </c>
      <c r="Q632" t="s">
        <v>2002</v>
      </c>
      <c r="R632" t="s">
        <v>2451</v>
      </c>
      <c r="S632" t="s">
        <v>210</v>
      </c>
      <c r="T632">
        <v>601</v>
      </c>
      <c r="U632" t="s">
        <v>2512</v>
      </c>
      <c r="W632" t="s">
        <v>2974</v>
      </c>
      <c r="Z632">
        <v>359</v>
      </c>
      <c r="AA632" t="s">
        <v>3783</v>
      </c>
      <c r="AC632">
        <v>7</v>
      </c>
      <c r="AD632">
        <v>1</v>
      </c>
      <c r="AE632">
        <v>0</v>
      </c>
      <c r="AF632">
        <v>264.21</v>
      </c>
      <c r="AI632" t="s">
        <v>3809</v>
      </c>
      <c r="AJ632">
        <v>33000</v>
      </c>
      <c r="AK632" t="s">
        <v>3950</v>
      </c>
      <c r="AP632">
        <v>0</v>
      </c>
      <c r="AR632" t="s">
        <v>4185</v>
      </c>
      <c r="AS632" t="s">
        <v>4210</v>
      </c>
      <c r="AT632" t="s">
        <v>4219</v>
      </c>
    </row>
    <row r="633" spans="1:46">
      <c r="A633" s="1">
        <f>HYPERLINK("https://lsnyc.legalserver.org/matter/dynamic-profile/view/1897534","19-1897534")</f>
        <v>0</v>
      </c>
      <c r="B633" t="s">
        <v>66</v>
      </c>
      <c r="C633" t="s">
        <v>169</v>
      </c>
      <c r="E633" t="s">
        <v>706</v>
      </c>
      <c r="F633" t="s">
        <v>1218</v>
      </c>
      <c r="G633" t="s">
        <v>1632</v>
      </c>
      <c r="H633" t="s">
        <v>1926</v>
      </c>
      <c r="I633">
        <v>11233</v>
      </c>
      <c r="J633" t="s">
        <v>2002</v>
      </c>
      <c r="K633" t="s">
        <v>2003</v>
      </c>
      <c r="M633" t="s">
        <v>2292</v>
      </c>
      <c r="N633" t="s">
        <v>2424</v>
      </c>
      <c r="O633" t="s">
        <v>2441</v>
      </c>
      <c r="Q633" t="s">
        <v>2002</v>
      </c>
      <c r="R633" t="s">
        <v>2451</v>
      </c>
      <c r="S633" t="s">
        <v>210</v>
      </c>
      <c r="T633">
        <v>0</v>
      </c>
      <c r="U633" t="s">
        <v>2512</v>
      </c>
      <c r="W633" t="s">
        <v>2975</v>
      </c>
      <c r="Z633">
        <v>359</v>
      </c>
      <c r="AA633" t="s">
        <v>3783</v>
      </c>
      <c r="AC633">
        <v>40</v>
      </c>
      <c r="AD633">
        <v>1</v>
      </c>
      <c r="AE633">
        <v>0</v>
      </c>
      <c r="AF633">
        <v>264.21</v>
      </c>
      <c r="AI633" t="s">
        <v>3809</v>
      </c>
      <c r="AJ633">
        <v>33000</v>
      </c>
      <c r="AK633" t="s">
        <v>3937</v>
      </c>
      <c r="AP633">
        <v>0</v>
      </c>
      <c r="AR633" t="s">
        <v>4185</v>
      </c>
      <c r="AS633" t="s">
        <v>4210</v>
      </c>
      <c r="AT633" t="s">
        <v>4219</v>
      </c>
    </row>
    <row r="634" spans="1:46">
      <c r="A634" s="1">
        <f>HYPERLINK("https://lsnyc.legalserver.org/matter/dynamic-profile/view/1898966","19-1898966")</f>
        <v>0</v>
      </c>
      <c r="B634" t="s">
        <v>66</v>
      </c>
      <c r="C634" t="s">
        <v>150</v>
      </c>
      <c r="E634" t="s">
        <v>351</v>
      </c>
      <c r="F634" t="s">
        <v>1168</v>
      </c>
      <c r="G634" t="s">
        <v>1634</v>
      </c>
      <c r="H634" t="s">
        <v>1927</v>
      </c>
      <c r="I634">
        <v>11233</v>
      </c>
      <c r="J634" t="s">
        <v>2002</v>
      </c>
      <c r="K634" t="s">
        <v>2004</v>
      </c>
      <c r="L634" t="s">
        <v>2006</v>
      </c>
      <c r="M634" t="s">
        <v>2292</v>
      </c>
      <c r="N634" t="s">
        <v>2424</v>
      </c>
      <c r="O634" t="s">
        <v>2441</v>
      </c>
      <c r="Q634" t="s">
        <v>2002</v>
      </c>
      <c r="R634" t="s">
        <v>2451</v>
      </c>
      <c r="S634" t="s">
        <v>210</v>
      </c>
      <c r="T634">
        <v>913</v>
      </c>
      <c r="U634" t="s">
        <v>2495</v>
      </c>
      <c r="W634" t="s">
        <v>2976</v>
      </c>
      <c r="Z634">
        <v>359</v>
      </c>
      <c r="AA634" t="s">
        <v>3783</v>
      </c>
      <c r="AC634">
        <v>20</v>
      </c>
      <c r="AD634">
        <v>1</v>
      </c>
      <c r="AE634">
        <v>0</v>
      </c>
      <c r="AF634">
        <v>264.21</v>
      </c>
      <c r="AI634" t="s">
        <v>3809</v>
      </c>
      <c r="AJ634">
        <v>33000</v>
      </c>
      <c r="AK634" t="s">
        <v>3935</v>
      </c>
      <c r="AP634">
        <v>0</v>
      </c>
      <c r="AR634" t="s">
        <v>49</v>
      </c>
      <c r="AS634" t="s">
        <v>4210</v>
      </c>
      <c r="AT634" t="s">
        <v>4219</v>
      </c>
    </row>
    <row r="635" spans="1:46">
      <c r="A635" s="1">
        <f>HYPERLINK("https://lsnyc.legalserver.org/matter/dynamic-profile/view/1897345","19-1897345")</f>
        <v>0</v>
      </c>
      <c r="B635" t="s">
        <v>66</v>
      </c>
      <c r="C635" t="s">
        <v>275</v>
      </c>
      <c r="E635" t="s">
        <v>656</v>
      </c>
      <c r="F635" t="s">
        <v>1219</v>
      </c>
      <c r="G635" t="s">
        <v>1632</v>
      </c>
      <c r="H635" t="s">
        <v>1928</v>
      </c>
      <c r="I635">
        <v>11233</v>
      </c>
      <c r="J635" t="s">
        <v>2002</v>
      </c>
      <c r="K635" t="s">
        <v>2003</v>
      </c>
      <c r="M635" t="s">
        <v>2292</v>
      </c>
      <c r="N635" t="s">
        <v>2424</v>
      </c>
      <c r="O635" t="s">
        <v>2441</v>
      </c>
      <c r="Q635" t="s">
        <v>2002</v>
      </c>
      <c r="R635" t="s">
        <v>2451</v>
      </c>
      <c r="S635" t="s">
        <v>210</v>
      </c>
      <c r="T635">
        <v>780</v>
      </c>
      <c r="U635" t="s">
        <v>2512</v>
      </c>
      <c r="W635" t="s">
        <v>2977</v>
      </c>
      <c r="Z635">
        <v>359</v>
      </c>
      <c r="AA635" t="s">
        <v>3783</v>
      </c>
      <c r="AC635">
        <v>21</v>
      </c>
      <c r="AD635">
        <v>2</v>
      </c>
      <c r="AE635">
        <v>0</v>
      </c>
      <c r="AF635">
        <v>266.11</v>
      </c>
      <c r="AI635" t="s">
        <v>3809</v>
      </c>
      <c r="AJ635">
        <v>45000</v>
      </c>
      <c r="AK635" t="s">
        <v>3951</v>
      </c>
      <c r="AP635">
        <v>0</v>
      </c>
      <c r="AR635" t="s">
        <v>4185</v>
      </c>
      <c r="AS635" t="s">
        <v>4210</v>
      </c>
      <c r="AT635" t="s">
        <v>4219</v>
      </c>
    </row>
    <row r="636" spans="1:46">
      <c r="A636" s="1">
        <f>HYPERLINK("https://lsnyc.legalserver.org/matter/dynamic-profile/view/1891580","19-1891580")</f>
        <v>0</v>
      </c>
      <c r="B636" t="s">
        <v>66</v>
      </c>
      <c r="C636" t="s">
        <v>271</v>
      </c>
      <c r="E636" t="s">
        <v>707</v>
      </c>
      <c r="F636" t="s">
        <v>1220</v>
      </c>
      <c r="G636" t="s">
        <v>1632</v>
      </c>
      <c r="H636" t="s">
        <v>1929</v>
      </c>
      <c r="I636">
        <v>11233</v>
      </c>
      <c r="J636" t="s">
        <v>2002</v>
      </c>
      <c r="K636" t="s">
        <v>2003</v>
      </c>
      <c r="M636" t="s">
        <v>2292</v>
      </c>
      <c r="N636" t="s">
        <v>2424</v>
      </c>
      <c r="O636" t="s">
        <v>2441</v>
      </c>
      <c r="Q636" t="s">
        <v>2002</v>
      </c>
      <c r="R636" t="s">
        <v>2451</v>
      </c>
      <c r="S636" t="s">
        <v>210</v>
      </c>
      <c r="T636">
        <v>811.37</v>
      </c>
      <c r="W636" t="s">
        <v>2978</v>
      </c>
      <c r="Z636">
        <v>359</v>
      </c>
      <c r="AA636" t="s">
        <v>3783</v>
      </c>
      <c r="AC636">
        <v>20</v>
      </c>
      <c r="AD636">
        <v>2</v>
      </c>
      <c r="AE636">
        <v>0</v>
      </c>
      <c r="AF636">
        <v>271.41</v>
      </c>
      <c r="AG636" t="s">
        <v>196</v>
      </c>
      <c r="AH636" t="s">
        <v>3806</v>
      </c>
      <c r="AI636" t="s">
        <v>3809</v>
      </c>
      <c r="AJ636">
        <v>45895</v>
      </c>
      <c r="AK636" t="s">
        <v>3934</v>
      </c>
      <c r="AP636">
        <v>0</v>
      </c>
      <c r="AR636" t="s">
        <v>4185</v>
      </c>
      <c r="AS636" t="s">
        <v>4210</v>
      </c>
      <c r="AT636" t="s">
        <v>4219</v>
      </c>
    </row>
    <row r="637" spans="1:46">
      <c r="A637" s="1">
        <f>HYPERLINK("https://lsnyc.legalserver.org/matter/dynamic-profile/view/1898243","19-1898243")</f>
        <v>0</v>
      </c>
      <c r="B637" t="s">
        <v>66</v>
      </c>
      <c r="C637" t="s">
        <v>182</v>
      </c>
      <c r="E637" t="s">
        <v>708</v>
      </c>
      <c r="F637" t="s">
        <v>1221</v>
      </c>
      <c r="G637" t="s">
        <v>1482</v>
      </c>
      <c r="H637" t="s">
        <v>1930</v>
      </c>
      <c r="I637">
        <v>11233</v>
      </c>
      <c r="J637" t="s">
        <v>2002</v>
      </c>
      <c r="K637" t="s">
        <v>2003</v>
      </c>
      <c r="M637" t="s">
        <v>2291</v>
      </c>
      <c r="N637" t="s">
        <v>2424</v>
      </c>
      <c r="O637" t="s">
        <v>2441</v>
      </c>
      <c r="Q637" t="s">
        <v>2002</v>
      </c>
      <c r="R637" t="s">
        <v>2451</v>
      </c>
      <c r="S637" t="s">
        <v>210</v>
      </c>
      <c r="T637">
        <v>1024</v>
      </c>
      <c r="U637" t="s">
        <v>2495</v>
      </c>
      <c r="W637" t="s">
        <v>2979</v>
      </c>
      <c r="Z637">
        <v>359</v>
      </c>
      <c r="AA637" t="s">
        <v>3783</v>
      </c>
      <c r="AC637">
        <v>24</v>
      </c>
      <c r="AD637">
        <v>3</v>
      </c>
      <c r="AE637">
        <v>1</v>
      </c>
      <c r="AF637">
        <v>271.84</v>
      </c>
      <c r="AI637" t="s">
        <v>3809</v>
      </c>
      <c r="AJ637">
        <v>70000</v>
      </c>
      <c r="AK637" t="s">
        <v>3935</v>
      </c>
      <c r="AP637">
        <v>0</v>
      </c>
      <c r="AR637" t="s">
        <v>49</v>
      </c>
      <c r="AS637" t="s">
        <v>4210</v>
      </c>
      <c r="AT637" t="s">
        <v>4219</v>
      </c>
    </row>
    <row r="638" spans="1:46">
      <c r="A638" s="1">
        <f>HYPERLINK("https://lsnyc.legalserver.org/matter/dynamic-profile/view/1892521","19-1892521")</f>
        <v>0</v>
      </c>
      <c r="B638" t="s">
        <v>66</v>
      </c>
      <c r="C638" t="s">
        <v>274</v>
      </c>
      <c r="E638" t="s">
        <v>464</v>
      </c>
      <c r="F638" t="s">
        <v>1066</v>
      </c>
      <c r="G638" t="s">
        <v>1482</v>
      </c>
      <c r="H638" t="s">
        <v>1931</v>
      </c>
      <c r="I638">
        <v>11233</v>
      </c>
      <c r="J638" t="s">
        <v>2002</v>
      </c>
      <c r="K638" t="s">
        <v>2003</v>
      </c>
      <c r="M638" t="s">
        <v>2291</v>
      </c>
      <c r="N638" t="s">
        <v>2424</v>
      </c>
      <c r="O638" t="s">
        <v>2441</v>
      </c>
      <c r="Q638" t="s">
        <v>2002</v>
      </c>
      <c r="R638" t="s">
        <v>2451</v>
      </c>
      <c r="S638" t="s">
        <v>210</v>
      </c>
      <c r="T638">
        <v>2500</v>
      </c>
      <c r="U638" t="s">
        <v>2495</v>
      </c>
      <c r="W638" t="s">
        <v>2980</v>
      </c>
      <c r="Z638">
        <v>359</v>
      </c>
      <c r="AA638" t="s">
        <v>3783</v>
      </c>
      <c r="AC638">
        <v>51</v>
      </c>
      <c r="AD638">
        <v>1</v>
      </c>
      <c r="AE638">
        <v>0</v>
      </c>
      <c r="AF638">
        <v>280.22</v>
      </c>
      <c r="AI638" t="s">
        <v>3809</v>
      </c>
      <c r="AJ638">
        <v>35000</v>
      </c>
      <c r="AK638" t="s">
        <v>3941</v>
      </c>
      <c r="AP638">
        <v>0</v>
      </c>
      <c r="AR638" t="s">
        <v>49</v>
      </c>
      <c r="AS638" t="s">
        <v>4210</v>
      </c>
      <c r="AT638" t="s">
        <v>4219</v>
      </c>
    </row>
    <row r="639" spans="1:46">
      <c r="A639" s="1">
        <f>HYPERLINK("https://lsnyc.legalserver.org/matter/dynamic-profile/view/1891565","19-1891565")</f>
        <v>0</v>
      </c>
      <c r="B639" t="s">
        <v>66</v>
      </c>
      <c r="C639" t="s">
        <v>164</v>
      </c>
      <c r="E639" t="s">
        <v>709</v>
      </c>
      <c r="F639" t="s">
        <v>551</v>
      </c>
      <c r="G639" t="s">
        <v>1632</v>
      </c>
      <c r="H639" t="s">
        <v>1932</v>
      </c>
      <c r="I639">
        <v>11233</v>
      </c>
      <c r="J639" t="s">
        <v>2002</v>
      </c>
      <c r="K639" t="s">
        <v>2003</v>
      </c>
      <c r="M639" t="s">
        <v>2058</v>
      </c>
      <c r="N639" t="s">
        <v>2424</v>
      </c>
      <c r="O639" t="s">
        <v>2441</v>
      </c>
      <c r="Q639" t="s">
        <v>2002</v>
      </c>
      <c r="R639" t="s">
        <v>2451</v>
      </c>
      <c r="S639" t="s">
        <v>210</v>
      </c>
      <c r="T639">
        <v>1003</v>
      </c>
      <c r="W639" t="s">
        <v>2981</v>
      </c>
      <c r="Z639">
        <v>359</v>
      </c>
      <c r="AA639" t="s">
        <v>3783</v>
      </c>
      <c r="AC639">
        <v>13</v>
      </c>
      <c r="AD639">
        <v>1</v>
      </c>
      <c r="AE639">
        <v>2</v>
      </c>
      <c r="AF639">
        <v>281.29</v>
      </c>
      <c r="AG639" t="s">
        <v>196</v>
      </c>
      <c r="AH639" t="s">
        <v>3806</v>
      </c>
      <c r="AI639" t="s">
        <v>3809</v>
      </c>
      <c r="AJ639">
        <v>60000</v>
      </c>
      <c r="AK639" t="s">
        <v>3934</v>
      </c>
      <c r="AP639">
        <v>0</v>
      </c>
      <c r="AR639" t="s">
        <v>4185</v>
      </c>
      <c r="AS639" t="s">
        <v>4210</v>
      </c>
      <c r="AT639" t="s">
        <v>4219</v>
      </c>
    </row>
    <row r="640" spans="1:46">
      <c r="A640" s="1">
        <f>HYPERLINK("https://lsnyc.legalserver.org/matter/dynamic-profile/view/1892069","19-1892069")</f>
        <v>0</v>
      </c>
      <c r="B640" t="s">
        <v>66</v>
      </c>
      <c r="C640" t="s">
        <v>242</v>
      </c>
      <c r="E640" t="s">
        <v>710</v>
      </c>
      <c r="F640" t="s">
        <v>1222</v>
      </c>
      <c r="G640" t="s">
        <v>1482</v>
      </c>
      <c r="H640" t="s">
        <v>1760</v>
      </c>
      <c r="I640">
        <v>11233</v>
      </c>
      <c r="J640" t="s">
        <v>2002</v>
      </c>
      <c r="K640" t="s">
        <v>2003</v>
      </c>
      <c r="M640" t="s">
        <v>2291</v>
      </c>
      <c r="N640" t="s">
        <v>2424</v>
      </c>
      <c r="O640" t="s">
        <v>2441</v>
      </c>
      <c r="Q640" t="s">
        <v>2002</v>
      </c>
      <c r="R640" t="s">
        <v>2451</v>
      </c>
      <c r="S640" t="s">
        <v>210</v>
      </c>
      <c r="T640">
        <v>978</v>
      </c>
      <c r="U640" t="s">
        <v>2495</v>
      </c>
      <c r="W640" t="s">
        <v>2982</v>
      </c>
      <c r="Z640">
        <v>359</v>
      </c>
      <c r="AA640" t="s">
        <v>3783</v>
      </c>
      <c r="AB640" t="s">
        <v>2006</v>
      </c>
      <c r="AC640">
        <v>3</v>
      </c>
      <c r="AD640">
        <v>2</v>
      </c>
      <c r="AE640">
        <v>1</v>
      </c>
      <c r="AF640">
        <v>281.29</v>
      </c>
      <c r="AI640" t="s">
        <v>3809</v>
      </c>
      <c r="AJ640">
        <v>60000</v>
      </c>
      <c r="AK640" t="s">
        <v>3941</v>
      </c>
      <c r="AP640">
        <v>0</v>
      </c>
      <c r="AR640" t="s">
        <v>49</v>
      </c>
      <c r="AS640" t="s">
        <v>4210</v>
      </c>
      <c r="AT640" t="s">
        <v>4219</v>
      </c>
    </row>
    <row r="641" spans="1:46">
      <c r="A641" s="1">
        <f>HYPERLINK("https://lsnyc.legalserver.org/matter/dynamic-profile/view/1892764","19-1892764")</f>
        <v>0</v>
      </c>
      <c r="B641" t="s">
        <v>66</v>
      </c>
      <c r="C641" t="s">
        <v>141</v>
      </c>
      <c r="E641" t="s">
        <v>711</v>
      </c>
      <c r="F641" t="s">
        <v>1223</v>
      </c>
      <c r="G641" t="s">
        <v>1633</v>
      </c>
      <c r="H641" t="s">
        <v>1933</v>
      </c>
      <c r="I641">
        <v>11233</v>
      </c>
      <c r="J641" t="s">
        <v>2002</v>
      </c>
      <c r="K641" t="s">
        <v>2003</v>
      </c>
      <c r="M641" t="s">
        <v>2291</v>
      </c>
      <c r="N641" t="s">
        <v>2424</v>
      </c>
      <c r="O641" t="s">
        <v>2441</v>
      </c>
      <c r="Q641" t="s">
        <v>2002</v>
      </c>
      <c r="R641" t="s">
        <v>2451</v>
      </c>
      <c r="S641" t="s">
        <v>210</v>
      </c>
      <c r="T641">
        <v>1200</v>
      </c>
      <c r="U641" t="s">
        <v>2495</v>
      </c>
      <c r="W641" t="s">
        <v>2983</v>
      </c>
      <c r="Z641">
        <v>359</v>
      </c>
      <c r="AA641" t="s">
        <v>3783</v>
      </c>
      <c r="AC641">
        <v>4</v>
      </c>
      <c r="AD641">
        <v>2</v>
      </c>
      <c r="AE641">
        <v>1</v>
      </c>
      <c r="AF641">
        <v>281.29</v>
      </c>
      <c r="AI641" t="s">
        <v>3809</v>
      </c>
      <c r="AJ641">
        <v>60000</v>
      </c>
      <c r="AK641" t="s">
        <v>3952</v>
      </c>
      <c r="AP641">
        <v>0</v>
      </c>
      <c r="AR641" t="s">
        <v>49</v>
      </c>
      <c r="AS641" t="s">
        <v>4210</v>
      </c>
      <c r="AT641" t="s">
        <v>4219</v>
      </c>
    </row>
    <row r="642" spans="1:46">
      <c r="A642" s="1">
        <f>HYPERLINK("https://lsnyc.legalserver.org/matter/dynamic-profile/view/1898838","19-1898838")</f>
        <v>0</v>
      </c>
      <c r="B642" t="s">
        <v>66</v>
      </c>
      <c r="C642" t="s">
        <v>140</v>
      </c>
      <c r="E642" t="s">
        <v>705</v>
      </c>
      <c r="F642" t="s">
        <v>902</v>
      </c>
      <c r="G642" t="s">
        <v>1635</v>
      </c>
      <c r="H642" t="s">
        <v>1934</v>
      </c>
      <c r="I642">
        <v>11233</v>
      </c>
      <c r="J642" t="s">
        <v>2002</v>
      </c>
      <c r="K642" t="s">
        <v>2003</v>
      </c>
      <c r="L642" t="s">
        <v>2006</v>
      </c>
      <c r="M642" t="s">
        <v>2006</v>
      </c>
      <c r="N642" t="s">
        <v>2424</v>
      </c>
      <c r="O642" t="s">
        <v>2441</v>
      </c>
      <c r="Q642" t="s">
        <v>2002</v>
      </c>
      <c r="R642" t="s">
        <v>2451</v>
      </c>
      <c r="S642" t="s">
        <v>210</v>
      </c>
      <c r="T642">
        <v>0</v>
      </c>
      <c r="U642" t="s">
        <v>2495</v>
      </c>
      <c r="W642" t="s">
        <v>2984</v>
      </c>
      <c r="Z642">
        <v>359</v>
      </c>
      <c r="AA642" t="s">
        <v>3783</v>
      </c>
      <c r="AC642">
        <v>21</v>
      </c>
      <c r="AD642">
        <v>1</v>
      </c>
      <c r="AE642">
        <v>0</v>
      </c>
      <c r="AF642">
        <v>283.43</v>
      </c>
      <c r="AI642" t="s">
        <v>3809</v>
      </c>
      <c r="AJ642">
        <v>35400</v>
      </c>
      <c r="AK642" t="s">
        <v>3953</v>
      </c>
      <c r="AP642">
        <v>0</v>
      </c>
      <c r="AR642" t="s">
        <v>49</v>
      </c>
      <c r="AS642" t="s">
        <v>4210</v>
      </c>
      <c r="AT642" t="s">
        <v>4219</v>
      </c>
    </row>
    <row r="643" spans="1:46">
      <c r="A643" s="1">
        <f>HYPERLINK("https://lsnyc.legalserver.org/matter/dynamic-profile/view/1892761","19-1892761")</f>
        <v>0</v>
      </c>
      <c r="B643" t="s">
        <v>66</v>
      </c>
      <c r="C643" t="s">
        <v>141</v>
      </c>
      <c r="E643" t="s">
        <v>712</v>
      </c>
      <c r="F643" t="s">
        <v>1224</v>
      </c>
      <c r="G643" t="s">
        <v>1634</v>
      </c>
      <c r="H643" t="s">
        <v>1935</v>
      </c>
      <c r="I643">
        <v>11233</v>
      </c>
      <c r="J643" t="s">
        <v>2002</v>
      </c>
      <c r="K643" t="s">
        <v>2003</v>
      </c>
      <c r="M643" t="s">
        <v>2292</v>
      </c>
      <c r="N643" t="s">
        <v>2424</v>
      </c>
      <c r="O643" t="s">
        <v>2441</v>
      </c>
      <c r="Q643" t="s">
        <v>2002</v>
      </c>
      <c r="R643" t="s">
        <v>2451</v>
      </c>
      <c r="S643" t="s">
        <v>210</v>
      </c>
      <c r="T643">
        <v>1825</v>
      </c>
      <c r="U643" t="s">
        <v>2495</v>
      </c>
      <c r="W643" t="s">
        <v>2985</v>
      </c>
      <c r="Z643">
        <v>359</v>
      </c>
      <c r="AA643" t="s">
        <v>3783</v>
      </c>
      <c r="AC643">
        <v>1</v>
      </c>
      <c r="AD643">
        <v>2</v>
      </c>
      <c r="AE643">
        <v>0</v>
      </c>
      <c r="AF643">
        <v>283.86</v>
      </c>
      <c r="AG643" t="s">
        <v>196</v>
      </c>
      <c r="AH643" t="s">
        <v>3806</v>
      </c>
      <c r="AI643" t="s">
        <v>3809</v>
      </c>
      <c r="AJ643">
        <v>48000</v>
      </c>
      <c r="AK643" t="s">
        <v>3954</v>
      </c>
      <c r="AP643">
        <v>0</v>
      </c>
      <c r="AR643" t="s">
        <v>49</v>
      </c>
      <c r="AS643" t="s">
        <v>4210</v>
      </c>
      <c r="AT643" t="s">
        <v>4219</v>
      </c>
    </row>
    <row r="644" spans="1:46">
      <c r="A644" s="1">
        <f>HYPERLINK("https://lsnyc.legalserver.org/matter/dynamic-profile/view/1898404","19-1898404")</f>
        <v>0</v>
      </c>
      <c r="B644" t="s">
        <v>66</v>
      </c>
      <c r="C644" t="s">
        <v>252</v>
      </c>
      <c r="E644" t="s">
        <v>713</v>
      </c>
      <c r="F644" t="s">
        <v>1225</v>
      </c>
      <c r="G644" t="s">
        <v>1632</v>
      </c>
      <c r="H644" t="s">
        <v>1901</v>
      </c>
      <c r="I644">
        <v>11233</v>
      </c>
      <c r="J644" t="s">
        <v>2002</v>
      </c>
      <c r="K644" t="s">
        <v>2003</v>
      </c>
      <c r="M644" t="s">
        <v>2292</v>
      </c>
      <c r="N644" t="s">
        <v>2424</v>
      </c>
      <c r="O644" t="s">
        <v>2441</v>
      </c>
      <c r="Q644" t="s">
        <v>2002</v>
      </c>
      <c r="R644" t="s">
        <v>2451</v>
      </c>
      <c r="S644" t="s">
        <v>210</v>
      </c>
      <c r="T644">
        <v>1160</v>
      </c>
      <c r="U644" t="s">
        <v>2495</v>
      </c>
      <c r="W644" t="s">
        <v>2986</v>
      </c>
      <c r="Z644">
        <v>359</v>
      </c>
      <c r="AA644" t="s">
        <v>3783</v>
      </c>
      <c r="AC644">
        <v>37</v>
      </c>
      <c r="AD644">
        <v>2</v>
      </c>
      <c r="AE644">
        <v>3</v>
      </c>
      <c r="AF644">
        <v>298.31</v>
      </c>
      <c r="AI644" t="s">
        <v>3809</v>
      </c>
      <c r="AJ644">
        <v>90000</v>
      </c>
      <c r="AK644" t="s">
        <v>3935</v>
      </c>
      <c r="AP644">
        <v>0</v>
      </c>
      <c r="AR644" t="s">
        <v>49</v>
      </c>
      <c r="AS644" t="s">
        <v>4210</v>
      </c>
      <c r="AT644" t="s">
        <v>4219</v>
      </c>
    </row>
    <row r="645" spans="1:46">
      <c r="A645" s="1">
        <f>HYPERLINK("https://lsnyc.legalserver.org/matter/dynamic-profile/view/1891559","19-1891559")</f>
        <v>0</v>
      </c>
      <c r="B645" t="s">
        <v>66</v>
      </c>
      <c r="C645" t="s">
        <v>164</v>
      </c>
      <c r="E645" t="s">
        <v>374</v>
      </c>
      <c r="F645" t="s">
        <v>1226</v>
      </c>
      <c r="G645" t="s">
        <v>1632</v>
      </c>
      <c r="H645" t="s">
        <v>1936</v>
      </c>
      <c r="I645">
        <v>11233</v>
      </c>
      <c r="J645" t="s">
        <v>2002</v>
      </c>
      <c r="K645" t="s">
        <v>2003</v>
      </c>
      <c r="M645" t="s">
        <v>2293</v>
      </c>
      <c r="N645" t="s">
        <v>2424</v>
      </c>
      <c r="O645" t="s">
        <v>2441</v>
      </c>
      <c r="Q645" t="s">
        <v>2002</v>
      </c>
      <c r="R645" t="s">
        <v>2451</v>
      </c>
      <c r="S645" t="s">
        <v>210</v>
      </c>
      <c r="T645">
        <v>1040</v>
      </c>
      <c r="W645" t="s">
        <v>2987</v>
      </c>
      <c r="Z645">
        <v>359</v>
      </c>
      <c r="AA645" t="s">
        <v>3783</v>
      </c>
      <c r="AC645">
        <v>32</v>
      </c>
      <c r="AD645">
        <v>3</v>
      </c>
      <c r="AE645">
        <v>0</v>
      </c>
      <c r="AF645">
        <v>300.05</v>
      </c>
      <c r="AG645" t="s">
        <v>196</v>
      </c>
      <c r="AH645" t="s">
        <v>3806</v>
      </c>
      <c r="AI645" t="s">
        <v>3809</v>
      </c>
      <c r="AJ645">
        <v>64000</v>
      </c>
      <c r="AK645" t="s">
        <v>3934</v>
      </c>
      <c r="AP645">
        <v>0</v>
      </c>
      <c r="AR645" t="s">
        <v>4185</v>
      </c>
      <c r="AS645" t="s">
        <v>4210</v>
      </c>
      <c r="AT645" t="s">
        <v>4219</v>
      </c>
    </row>
    <row r="646" spans="1:46">
      <c r="A646" s="1">
        <f>HYPERLINK("https://lsnyc.legalserver.org/matter/dynamic-profile/view/1898259","19-1898259")</f>
        <v>0</v>
      </c>
      <c r="B646" t="s">
        <v>66</v>
      </c>
      <c r="C646" t="s">
        <v>182</v>
      </c>
      <c r="E646" t="s">
        <v>714</v>
      </c>
      <c r="F646" t="s">
        <v>1227</v>
      </c>
      <c r="G646" t="s">
        <v>1482</v>
      </c>
      <c r="H646" t="s">
        <v>1856</v>
      </c>
      <c r="I646">
        <v>11233</v>
      </c>
      <c r="J646" t="s">
        <v>2002</v>
      </c>
      <c r="K646" t="s">
        <v>2003</v>
      </c>
      <c r="M646" t="s">
        <v>2291</v>
      </c>
      <c r="N646" t="s">
        <v>2424</v>
      </c>
      <c r="O646" t="s">
        <v>2441</v>
      </c>
      <c r="Q646" t="s">
        <v>2002</v>
      </c>
      <c r="R646" t="s">
        <v>2451</v>
      </c>
      <c r="S646" t="s">
        <v>210</v>
      </c>
      <c r="T646">
        <v>1872.98</v>
      </c>
      <c r="U646" t="s">
        <v>2495</v>
      </c>
      <c r="W646" t="s">
        <v>2561</v>
      </c>
      <c r="Z646">
        <v>359</v>
      </c>
      <c r="AA646" t="s">
        <v>3783</v>
      </c>
      <c r="AC646">
        <v>2</v>
      </c>
      <c r="AD646">
        <v>1</v>
      </c>
      <c r="AE646">
        <v>0</v>
      </c>
      <c r="AF646">
        <v>312.25</v>
      </c>
      <c r="AI646" t="s">
        <v>3809</v>
      </c>
      <c r="AJ646">
        <v>39000</v>
      </c>
      <c r="AK646" t="s">
        <v>3943</v>
      </c>
      <c r="AP646">
        <v>0</v>
      </c>
      <c r="AR646" t="s">
        <v>49</v>
      </c>
      <c r="AS646" t="s">
        <v>4210</v>
      </c>
      <c r="AT646" t="s">
        <v>4219</v>
      </c>
    </row>
    <row r="647" spans="1:46">
      <c r="A647" s="1">
        <f>HYPERLINK("https://lsnyc.legalserver.org/matter/dynamic-profile/view/1898848","19-1898848")</f>
        <v>0</v>
      </c>
      <c r="B647" t="s">
        <v>66</v>
      </c>
      <c r="C647" t="s">
        <v>140</v>
      </c>
      <c r="E647" t="s">
        <v>570</v>
      </c>
      <c r="F647" t="s">
        <v>1228</v>
      </c>
      <c r="G647" t="s">
        <v>1482</v>
      </c>
      <c r="H647" t="s">
        <v>1937</v>
      </c>
      <c r="I647">
        <v>11233</v>
      </c>
      <c r="J647" t="s">
        <v>2002</v>
      </c>
      <c r="K647" t="s">
        <v>2003</v>
      </c>
      <c r="M647" t="s">
        <v>2291</v>
      </c>
      <c r="N647" t="s">
        <v>2424</v>
      </c>
      <c r="O647" t="s">
        <v>2441</v>
      </c>
      <c r="Q647" t="s">
        <v>2002</v>
      </c>
      <c r="R647" t="s">
        <v>2451</v>
      </c>
      <c r="S647" t="s">
        <v>210</v>
      </c>
      <c r="T647">
        <v>628.51</v>
      </c>
      <c r="U647" t="s">
        <v>2495</v>
      </c>
      <c r="W647" t="s">
        <v>2988</v>
      </c>
      <c r="Z647">
        <v>359</v>
      </c>
      <c r="AA647" t="s">
        <v>3783</v>
      </c>
      <c r="AC647">
        <v>3</v>
      </c>
      <c r="AD647">
        <v>1</v>
      </c>
      <c r="AE647">
        <v>0</v>
      </c>
      <c r="AF647">
        <v>312.25</v>
      </c>
      <c r="AI647" t="s">
        <v>3809</v>
      </c>
      <c r="AJ647">
        <v>39000</v>
      </c>
      <c r="AK647" t="s">
        <v>3935</v>
      </c>
      <c r="AP647">
        <v>0</v>
      </c>
      <c r="AR647" t="s">
        <v>49</v>
      </c>
      <c r="AS647" t="s">
        <v>4210</v>
      </c>
      <c r="AT647" t="s">
        <v>4219</v>
      </c>
    </row>
    <row r="648" spans="1:46">
      <c r="A648" s="1">
        <f>HYPERLINK("https://lsnyc.legalserver.org/matter/dynamic-profile/view/1892641","19-1892641")</f>
        <v>0</v>
      </c>
      <c r="B648" t="s">
        <v>66</v>
      </c>
      <c r="C648" t="s">
        <v>141</v>
      </c>
      <c r="E648" t="s">
        <v>715</v>
      </c>
      <c r="F648" t="s">
        <v>1046</v>
      </c>
      <c r="G648" t="s">
        <v>1633</v>
      </c>
      <c r="H648" t="s">
        <v>1938</v>
      </c>
      <c r="I648">
        <v>11233</v>
      </c>
      <c r="J648" t="s">
        <v>2002</v>
      </c>
      <c r="K648" t="s">
        <v>2003</v>
      </c>
      <c r="M648" t="s">
        <v>2291</v>
      </c>
      <c r="N648" t="s">
        <v>2424</v>
      </c>
      <c r="O648" t="s">
        <v>2441</v>
      </c>
      <c r="Q648" t="s">
        <v>2002</v>
      </c>
      <c r="R648" t="s">
        <v>2451</v>
      </c>
      <c r="S648" t="s">
        <v>210</v>
      </c>
      <c r="T648">
        <v>812</v>
      </c>
      <c r="U648" t="s">
        <v>2495</v>
      </c>
      <c r="W648" t="s">
        <v>2989</v>
      </c>
      <c r="Z648">
        <v>359</v>
      </c>
      <c r="AA648" t="s">
        <v>3783</v>
      </c>
      <c r="AC648">
        <v>18</v>
      </c>
      <c r="AD648">
        <v>1</v>
      </c>
      <c r="AE648">
        <v>0</v>
      </c>
      <c r="AF648">
        <v>320.26</v>
      </c>
      <c r="AI648" t="s">
        <v>3809</v>
      </c>
      <c r="AJ648">
        <v>40000</v>
      </c>
      <c r="AK648" t="s">
        <v>3941</v>
      </c>
      <c r="AP648">
        <v>0</v>
      </c>
      <c r="AR648" t="s">
        <v>49</v>
      </c>
      <c r="AS648" t="s">
        <v>4210</v>
      </c>
      <c r="AT648" t="s">
        <v>4219</v>
      </c>
    </row>
    <row r="649" spans="1:46">
      <c r="A649" s="1">
        <f>HYPERLINK("https://lsnyc.legalserver.org/matter/dynamic-profile/view/1897392","19-1897392")</f>
        <v>0</v>
      </c>
      <c r="B649" t="s">
        <v>66</v>
      </c>
      <c r="C649" t="s">
        <v>275</v>
      </c>
      <c r="E649" t="s">
        <v>716</v>
      </c>
      <c r="F649" t="s">
        <v>1229</v>
      </c>
      <c r="G649" t="s">
        <v>1632</v>
      </c>
      <c r="H649" t="s">
        <v>1939</v>
      </c>
      <c r="I649">
        <v>11233</v>
      </c>
      <c r="J649" t="s">
        <v>2002</v>
      </c>
      <c r="K649" t="s">
        <v>2003</v>
      </c>
      <c r="N649" t="s">
        <v>2424</v>
      </c>
      <c r="O649" t="s">
        <v>2440</v>
      </c>
      <c r="Q649" t="s">
        <v>2002</v>
      </c>
      <c r="R649" t="s">
        <v>2451</v>
      </c>
      <c r="S649" t="s">
        <v>210</v>
      </c>
      <c r="T649">
        <v>1162</v>
      </c>
      <c r="U649" t="s">
        <v>2512</v>
      </c>
      <c r="W649" t="s">
        <v>2990</v>
      </c>
      <c r="Z649">
        <v>359</v>
      </c>
      <c r="AA649" t="s">
        <v>3783</v>
      </c>
      <c r="AC649">
        <v>30</v>
      </c>
      <c r="AD649">
        <v>1</v>
      </c>
      <c r="AE649">
        <v>0</v>
      </c>
      <c r="AF649">
        <v>320.26</v>
      </c>
      <c r="AI649" t="s">
        <v>3809</v>
      </c>
      <c r="AJ649">
        <v>40000</v>
      </c>
      <c r="AK649" t="s">
        <v>3955</v>
      </c>
      <c r="AP649">
        <v>0</v>
      </c>
      <c r="AR649" t="s">
        <v>4185</v>
      </c>
      <c r="AS649" t="s">
        <v>4210</v>
      </c>
      <c r="AT649" t="s">
        <v>4219</v>
      </c>
    </row>
    <row r="650" spans="1:46">
      <c r="A650" s="1">
        <f>HYPERLINK("https://lsnyc.legalserver.org/matter/dynamic-profile/view/1890584","19-1890584")</f>
        <v>0</v>
      </c>
      <c r="B650" t="s">
        <v>66</v>
      </c>
      <c r="C650" t="s">
        <v>270</v>
      </c>
      <c r="E650" t="s">
        <v>352</v>
      </c>
      <c r="F650" t="s">
        <v>1230</v>
      </c>
      <c r="G650" t="s">
        <v>1632</v>
      </c>
      <c r="H650" t="s">
        <v>1940</v>
      </c>
      <c r="I650">
        <v>11233</v>
      </c>
      <c r="J650" t="s">
        <v>2002</v>
      </c>
      <c r="K650" t="s">
        <v>2003</v>
      </c>
      <c r="M650" t="s">
        <v>2292</v>
      </c>
      <c r="N650" t="s">
        <v>2424</v>
      </c>
      <c r="O650" t="s">
        <v>2441</v>
      </c>
      <c r="Q650" t="s">
        <v>2002</v>
      </c>
      <c r="R650" t="s">
        <v>2451</v>
      </c>
      <c r="S650" t="s">
        <v>210</v>
      </c>
      <c r="T650">
        <v>1189.18</v>
      </c>
      <c r="U650" t="s">
        <v>2495</v>
      </c>
      <c r="W650" t="s">
        <v>2991</v>
      </c>
      <c r="Z650">
        <v>359</v>
      </c>
      <c r="AA650" t="s">
        <v>3783</v>
      </c>
      <c r="AB650" t="s">
        <v>2006</v>
      </c>
      <c r="AC650">
        <v>44</v>
      </c>
      <c r="AD650">
        <v>2</v>
      </c>
      <c r="AE650">
        <v>0</v>
      </c>
      <c r="AF650">
        <v>325.25</v>
      </c>
      <c r="AI650" t="s">
        <v>3809</v>
      </c>
      <c r="AJ650">
        <v>55000</v>
      </c>
      <c r="AK650" t="s">
        <v>3935</v>
      </c>
      <c r="AP650">
        <v>0</v>
      </c>
      <c r="AR650" t="s">
        <v>49</v>
      </c>
      <c r="AS650" t="s">
        <v>4210</v>
      </c>
      <c r="AT650" t="s">
        <v>4219</v>
      </c>
    </row>
    <row r="651" spans="1:46">
      <c r="A651" s="1">
        <f>HYPERLINK("https://lsnyc.legalserver.org/matter/dynamic-profile/view/1902056","19-1902056")</f>
        <v>0</v>
      </c>
      <c r="B651" t="s">
        <v>66</v>
      </c>
      <c r="C651" t="s">
        <v>107</v>
      </c>
      <c r="E651" t="s">
        <v>717</v>
      </c>
      <c r="F651" t="s">
        <v>1231</v>
      </c>
      <c r="G651" t="s">
        <v>1482</v>
      </c>
      <c r="H651" t="s">
        <v>1941</v>
      </c>
      <c r="I651">
        <v>11233</v>
      </c>
      <c r="J651" t="s">
        <v>2002</v>
      </c>
      <c r="K651" t="s">
        <v>2004</v>
      </c>
      <c r="L651" t="s">
        <v>2006</v>
      </c>
      <c r="M651" t="s">
        <v>2006</v>
      </c>
      <c r="N651" t="s">
        <v>2424</v>
      </c>
      <c r="O651" t="s">
        <v>2441</v>
      </c>
      <c r="Q651" t="s">
        <v>2002</v>
      </c>
      <c r="R651" t="s">
        <v>2451</v>
      </c>
      <c r="S651" t="s">
        <v>210</v>
      </c>
      <c r="T651">
        <v>1200</v>
      </c>
      <c r="U651" t="s">
        <v>2495</v>
      </c>
      <c r="W651" t="s">
        <v>2992</v>
      </c>
      <c r="Z651">
        <v>359</v>
      </c>
      <c r="AA651" t="s">
        <v>3783</v>
      </c>
      <c r="AC651">
        <v>20</v>
      </c>
      <c r="AD651">
        <v>3</v>
      </c>
      <c r="AE651">
        <v>0</v>
      </c>
      <c r="AF651">
        <v>328.18</v>
      </c>
      <c r="AI651" t="s">
        <v>3809</v>
      </c>
      <c r="AJ651">
        <v>70000</v>
      </c>
      <c r="AK651" t="s">
        <v>3943</v>
      </c>
      <c r="AP651">
        <v>0</v>
      </c>
      <c r="AR651" t="s">
        <v>49</v>
      </c>
      <c r="AS651" t="s">
        <v>4210</v>
      </c>
      <c r="AT651" t="s">
        <v>4219</v>
      </c>
    </row>
    <row r="652" spans="1:46">
      <c r="A652" s="1">
        <f>HYPERLINK("https://lsnyc.legalserver.org/matter/dynamic-profile/view/1890567","19-1890567")</f>
        <v>0</v>
      </c>
      <c r="B652" t="s">
        <v>66</v>
      </c>
      <c r="C652" t="s">
        <v>270</v>
      </c>
      <c r="E652" t="s">
        <v>359</v>
      </c>
      <c r="F652" t="s">
        <v>926</v>
      </c>
      <c r="G652" t="s">
        <v>1482</v>
      </c>
      <c r="H652" t="s">
        <v>1872</v>
      </c>
      <c r="I652">
        <v>11233</v>
      </c>
      <c r="J652" t="s">
        <v>2002</v>
      </c>
      <c r="K652" t="s">
        <v>2003</v>
      </c>
      <c r="M652" t="s">
        <v>2291</v>
      </c>
      <c r="N652" t="s">
        <v>2424</v>
      </c>
      <c r="O652" t="s">
        <v>2441</v>
      </c>
      <c r="Q652" t="s">
        <v>2002</v>
      </c>
      <c r="R652" t="s">
        <v>2451</v>
      </c>
      <c r="S652" t="s">
        <v>210</v>
      </c>
      <c r="T652">
        <v>1108.41</v>
      </c>
      <c r="U652" t="s">
        <v>2495</v>
      </c>
      <c r="W652" t="s">
        <v>2993</v>
      </c>
      <c r="Z652">
        <v>359</v>
      </c>
      <c r="AA652" t="s">
        <v>3783</v>
      </c>
      <c r="AB652" t="s">
        <v>2006</v>
      </c>
      <c r="AC652">
        <v>38</v>
      </c>
      <c r="AD652">
        <v>2</v>
      </c>
      <c r="AE652">
        <v>0</v>
      </c>
      <c r="AF652">
        <v>329.64</v>
      </c>
      <c r="AI652" t="s">
        <v>3809</v>
      </c>
      <c r="AJ652">
        <v>55742</v>
      </c>
      <c r="AK652" t="s">
        <v>3935</v>
      </c>
      <c r="AP652">
        <v>0</v>
      </c>
      <c r="AR652" t="s">
        <v>49</v>
      </c>
      <c r="AS652" t="s">
        <v>4210</v>
      </c>
      <c r="AT652" t="s">
        <v>4219</v>
      </c>
    </row>
    <row r="653" spans="1:46">
      <c r="A653" s="1">
        <f>HYPERLINK("https://lsnyc.legalserver.org/matter/dynamic-profile/view/1892850","19-1892850")</f>
        <v>0</v>
      </c>
      <c r="B653" t="s">
        <v>66</v>
      </c>
      <c r="C653" t="s">
        <v>83</v>
      </c>
      <c r="E653" t="s">
        <v>718</v>
      </c>
      <c r="F653" t="s">
        <v>902</v>
      </c>
      <c r="G653" t="s">
        <v>1634</v>
      </c>
      <c r="H653" t="s">
        <v>1942</v>
      </c>
      <c r="I653">
        <v>11233</v>
      </c>
      <c r="J653" t="s">
        <v>2002</v>
      </c>
      <c r="K653" t="s">
        <v>2003</v>
      </c>
      <c r="M653" t="s">
        <v>2292</v>
      </c>
      <c r="N653" t="s">
        <v>2424</v>
      </c>
      <c r="O653" t="s">
        <v>2441</v>
      </c>
      <c r="Q653" t="s">
        <v>2002</v>
      </c>
      <c r="R653" t="s">
        <v>2451</v>
      </c>
      <c r="S653" t="s">
        <v>210</v>
      </c>
      <c r="T653">
        <v>833</v>
      </c>
      <c r="U653" t="s">
        <v>2495</v>
      </c>
      <c r="W653" t="s">
        <v>2994</v>
      </c>
      <c r="Z653">
        <v>359</v>
      </c>
      <c r="AA653" t="s">
        <v>3783</v>
      </c>
      <c r="AC653">
        <v>1</v>
      </c>
      <c r="AD653">
        <v>1</v>
      </c>
      <c r="AE653">
        <v>0</v>
      </c>
      <c r="AF653">
        <v>344.28</v>
      </c>
      <c r="AG653" t="s">
        <v>196</v>
      </c>
      <c r="AH653" t="s">
        <v>3806</v>
      </c>
      <c r="AI653" t="s">
        <v>3809</v>
      </c>
      <c r="AJ653">
        <v>43000</v>
      </c>
      <c r="AK653" t="s">
        <v>3935</v>
      </c>
      <c r="AP653">
        <v>0</v>
      </c>
      <c r="AR653" t="s">
        <v>49</v>
      </c>
      <c r="AS653" t="s">
        <v>4210</v>
      </c>
      <c r="AT653" t="s">
        <v>4219</v>
      </c>
    </row>
    <row r="654" spans="1:46">
      <c r="A654" s="1">
        <f>HYPERLINK("https://lsnyc.legalserver.org/matter/dynamic-profile/view/1898845","19-1898845")</f>
        <v>0</v>
      </c>
      <c r="B654" t="s">
        <v>66</v>
      </c>
      <c r="C654" t="s">
        <v>140</v>
      </c>
      <c r="E654" t="s">
        <v>719</v>
      </c>
      <c r="F654" t="s">
        <v>1232</v>
      </c>
      <c r="G654" t="s">
        <v>1482</v>
      </c>
      <c r="H654" t="s">
        <v>1943</v>
      </c>
      <c r="I654">
        <v>11233</v>
      </c>
      <c r="J654" t="s">
        <v>2002</v>
      </c>
      <c r="K654" t="s">
        <v>2003</v>
      </c>
      <c r="M654" t="s">
        <v>2291</v>
      </c>
      <c r="N654" t="s">
        <v>2424</v>
      </c>
      <c r="O654" t="s">
        <v>2441</v>
      </c>
      <c r="Q654" t="s">
        <v>2002</v>
      </c>
      <c r="R654" t="s">
        <v>2451</v>
      </c>
      <c r="S654" t="s">
        <v>210</v>
      </c>
      <c r="T654">
        <v>0</v>
      </c>
      <c r="U654" t="s">
        <v>2495</v>
      </c>
      <c r="W654" t="s">
        <v>2995</v>
      </c>
      <c r="Z654">
        <v>359</v>
      </c>
      <c r="AA654" t="s">
        <v>3783</v>
      </c>
      <c r="AC654">
        <v>6</v>
      </c>
      <c r="AD654">
        <v>1</v>
      </c>
      <c r="AE654">
        <v>1</v>
      </c>
      <c r="AF654">
        <v>354.82</v>
      </c>
      <c r="AI654" t="s">
        <v>3809</v>
      </c>
      <c r="AJ654">
        <v>60000</v>
      </c>
      <c r="AK654" t="s">
        <v>3935</v>
      </c>
      <c r="AP654">
        <v>0</v>
      </c>
      <c r="AR654" t="s">
        <v>49</v>
      </c>
      <c r="AS654" t="s">
        <v>4210</v>
      </c>
      <c r="AT654" t="s">
        <v>4219</v>
      </c>
    </row>
    <row r="655" spans="1:46">
      <c r="A655" s="1">
        <f>HYPERLINK("https://lsnyc.legalserver.org/matter/dynamic-profile/view/1898951","19-1898951")</f>
        <v>0</v>
      </c>
      <c r="B655" t="s">
        <v>66</v>
      </c>
      <c r="C655" t="s">
        <v>150</v>
      </c>
      <c r="E655" t="s">
        <v>720</v>
      </c>
      <c r="F655" t="s">
        <v>1036</v>
      </c>
      <c r="G655" t="s">
        <v>1634</v>
      </c>
      <c r="H655" t="s">
        <v>1944</v>
      </c>
      <c r="I655">
        <v>11233</v>
      </c>
      <c r="J655" t="s">
        <v>2002</v>
      </c>
      <c r="K655" t="s">
        <v>2004</v>
      </c>
      <c r="L655" t="s">
        <v>2006</v>
      </c>
      <c r="M655" t="s">
        <v>2292</v>
      </c>
      <c r="N655" t="s">
        <v>2424</v>
      </c>
      <c r="O655" t="s">
        <v>2441</v>
      </c>
      <c r="Q655" t="s">
        <v>2002</v>
      </c>
      <c r="R655" t="s">
        <v>2451</v>
      </c>
      <c r="S655" t="s">
        <v>210</v>
      </c>
      <c r="T655">
        <v>888.58</v>
      </c>
      <c r="U655" t="s">
        <v>2495</v>
      </c>
      <c r="W655" t="s">
        <v>2996</v>
      </c>
      <c r="Z655">
        <v>359</v>
      </c>
      <c r="AA655" t="s">
        <v>3783</v>
      </c>
      <c r="AC655">
        <v>11</v>
      </c>
      <c r="AD655">
        <v>1</v>
      </c>
      <c r="AE655">
        <v>1</v>
      </c>
      <c r="AF655">
        <v>354.82</v>
      </c>
      <c r="AI655" t="s">
        <v>3809</v>
      </c>
      <c r="AJ655">
        <v>60000</v>
      </c>
      <c r="AK655" t="s">
        <v>3935</v>
      </c>
      <c r="AP655">
        <v>0</v>
      </c>
      <c r="AR655" t="s">
        <v>49</v>
      </c>
      <c r="AS655" t="s">
        <v>4210</v>
      </c>
      <c r="AT655" t="s">
        <v>4219</v>
      </c>
    </row>
    <row r="656" spans="1:46">
      <c r="A656" s="1">
        <f>HYPERLINK("https://lsnyc.legalserver.org/matter/dynamic-profile/view/1898982","19-1898982")</f>
        <v>0</v>
      </c>
      <c r="B656" t="s">
        <v>66</v>
      </c>
      <c r="C656" t="s">
        <v>150</v>
      </c>
      <c r="E656" t="s">
        <v>721</v>
      </c>
      <c r="F656" t="s">
        <v>938</v>
      </c>
      <c r="G656" t="s">
        <v>1482</v>
      </c>
      <c r="H656" t="s">
        <v>1945</v>
      </c>
      <c r="I656">
        <v>11233</v>
      </c>
      <c r="J656" t="s">
        <v>2002</v>
      </c>
      <c r="K656" t="s">
        <v>2004</v>
      </c>
      <c r="L656" t="s">
        <v>2006</v>
      </c>
      <c r="M656" t="s">
        <v>2291</v>
      </c>
      <c r="N656" t="s">
        <v>2424</v>
      </c>
      <c r="O656" t="s">
        <v>2441</v>
      </c>
      <c r="Q656" t="s">
        <v>2002</v>
      </c>
      <c r="R656" t="s">
        <v>2451</v>
      </c>
      <c r="S656" t="s">
        <v>210</v>
      </c>
      <c r="T656">
        <v>1162</v>
      </c>
      <c r="U656" t="s">
        <v>2495</v>
      </c>
      <c r="W656" t="s">
        <v>2997</v>
      </c>
      <c r="Z656">
        <v>359</v>
      </c>
      <c r="AA656" t="s">
        <v>3783</v>
      </c>
      <c r="AC656">
        <v>55</v>
      </c>
      <c r="AD656">
        <v>1</v>
      </c>
      <c r="AE656">
        <v>0</v>
      </c>
      <c r="AF656">
        <v>360.29</v>
      </c>
      <c r="AI656" t="s">
        <v>3809</v>
      </c>
      <c r="AJ656">
        <v>45000</v>
      </c>
      <c r="AK656" t="s">
        <v>3944</v>
      </c>
      <c r="AP656">
        <v>0</v>
      </c>
      <c r="AR656" t="s">
        <v>49</v>
      </c>
      <c r="AS656" t="s">
        <v>4210</v>
      </c>
      <c r="AT656" t="s">
        <v>4219</v>
      </c>
    </row>
    <row r="657" spans="1:46">
      <c r="A657" s="1">
        <f>HYPERLINK("https://lsnyc.legalserver.org/matter/dynamic-profile/view/1892094","19-1892094")</f>
        <v>0</v>
      </c>
      <c r="B657" t="s">
        <v>66</v>
      </c>
      <c r="C657" t="s">
        <v>242</v>
      </c>
      <c r="E657" t="s">
        <v>722</v>
      </c>
      <c r="F657" t="s">
        <v>938</v>
      </c>
      <c r="G657" t="s">
        <v>1482</v>
      </c>
      <c r="H657" t="s">
        <v>1946</v>
      </c>
      <c r="I657">
        <v>11233</v>
      </c>
      <c r="J657" t="s">
        <v>2002</v>
      </c>
      <c r="K657" t="s">
        <v>2003</v>
      </c>
      <c r="M657" t="s">
        <v>2291</v>
      </c>
      <c r="N657" t="s">
        <v>2424</v>
      </c>
      <c r="O657" t="s">
        <v>2441</v>
      </c>
      <c r="Q657" t="s">
        <v>2002</v>
      </c>
      <c r="R657" t="s">
        <v>2451</v>
      </c>
      <c r="S657" t="s">
        <v>210</v>
      </c>
      <c r="T657">
        <v>1037</v>
      </c>
      <c r="U657" t="s">
        <v>2495</v>
      </c>
      <c r="W657" t="s">
        <v>2998</v>
      </c>
      <c r="Z657">
        <v>359</v>
      </c>
      <c r="AA657" t="s">
        <v>3783</v>
      </c>
      <c r="AC657">
        <v>49</v>
      </c>
      <c r="AD657">
        <v>3</v>
      </c>
      <c r="AE657">
        <v>0</v>
      </c>
      <c r="AF657">
        <v>365.68</v>
      </c>
      <c r="AI657" t="s">
        <v>3809</v>
      </c>
      <c r="AJ657">
        <v>78000</v>
      </c>
      <c r="AK657" t="s">
        <v>3941</v>
      </c>
      <c r="AP657">
        <v>0</v>
      </c>
      <c r="AR657" t="s">
        <v>49</v>
      </c>
      <c r="AS657" t="s">
        <v>4210</v>
      </c>
      <c r="AT657" t="s">
        <v>4219</v>
      </c>
    </row>
    <row r="658" spans="1:46">
      <c r="A658" s="1">
        <f>HYPERLINK("https://lsnyc.legalserver.org/matter/dynamic-profile/view/1891594","19-1891594")</f>
        <v>0</v>
      </c>
      <c r="B658" t="s">
        <v>66</v>
      </c>
      <c r="C658" t="s">
        <v>271</v>
      </c>
      <c r="E658" t="s">
        <v>723</v>
      </c>
      <c r="F658" t="s">
        <v>1233</v>
      </c>
      <c r="G658" t="s">
        <v>1482</v>
      </c>
      <c r="H658" t="s">
        <v>1753</v>
      </c>
      <c r="I658">
        <v>11233</v>
      </c>
      <c r="J658" t="s">
        <v>2002</v>
      </c>
      <c r="K658" t="s">
        <v>2003</v>
      </c>
      <c r="M658" t="s">
        <v>2006</v>
      </c>
      <c r="N658" t="s">
        <v>2424</v>
      </c>
      <c r="O658" t="s">
        <v>2441</v>
      </c>
      <c r="Q658" t="s">
        <v>2002</v>
      </c>
      <c r="R658" t="s">
        <v>2451</v>
      </c>
      <c r="S658" t="s">
        <v>210</v>
      </c>
      <c r="T658">
        <v>1038.66</v>
      </c>
      <c r="W658" t="s">
        <v>2999</v>
      </c>
      <c r="Z658">
        <v>359</v>
      </c>
      <c r="AA658" t="s">
        <v>3783</v>
      </c>
      <c r="AC658">
        <v>50</v>
      </c>
      <c r="AD658">
        <v>2</v>
      </c>
      <c r="AE658">
        <v>0</v>
      </c>
      <c r="AF658">
        <v>366.65</v>
      </c>
      <c r="AI658" t="s">
        <v>3809</v>
      </c>
      <c r="AJ658">
        <v>62000</v>
      </c>
      <c r="AK658" t="s">
        <v>3934</v>
      </c>
      <c r="AP658">
        <v>0</v>
      </c>
      <c r="AR658" t="s">
        <v>4185</v>
      </c>
      <c r="AS658" t="s">
        <v>4210</v>
      </c>
      <c r="AT658" t="s">
        <v>4219</v>
      </c>
    </row>
    <row r="659" spans="1:46">
      <c r="A659" s="1">
        <f>HYPERLINK("https://lsnyc.legalserver.org/matter/dynamic-profile/view/1897408","19-1897408")</f>
        <v>0</v>
      </c>
      <c r="B659" t="s">
        <v>66</v>
      </c>
      <c r="C659" t="s">
        <v>275</v>
      </c>
      <c r="E659" t="s">
        <v>724</v>
      </c>
      <c r="F659" t="s">
        <v>1234</v>
      </c>
      <c r="G659" t="s">
        <v>1482</v>
      </c>
      <c r="H659" t="s">
        <v>1947</v>
      </c>
      <c r="I659">
        <v>11233</v>
      </c>
      <c r="J659" t="s">
        <v>2002</v>
      </c>
      <c r="K659" t="s">
        <v>2003</v>
      </c>
      <c r="M659" t="s">
        <v>2291</v>
      </c>
      <c r="N659" t="s">
        <v>2424</v>
      </c>
      <c r="O659" t="s">
        <v>2441</v>
      </c>
      <c r="Q659" t="s">
        <v>2002</v>
      </c>
      <c r="R659" t="s">
        <v>2451</v>
      </c>
      <c r="S659" t="s">
        <v>210</v>
      </c>
      <c r="T659">
        <v>1000</v>
      </c>
      <c r="U659" t="s">
        <v>2512</v>
      </c>
      <c r="W659" t="s">
        <v>3000</v>
      </c>
      <c r="Z659">
        <v>359</v>
      </c>
      <c r="AA659" t="s">
        <v>3783</v>
      </c>
      <c r="AC659">
        <v>4</v>
      </c>
      <c r="AD659">
        <v>3</v>
      </c>
      <c r="AE659">
        <v>0</v>
      </c>
      <c r="AF659">
        <v>375.06</v>
      </c>
      <c r="AI659" t="s">
        <v>3809</v>
      </c>
      <c r="AJ659">
        <v>80000</v>
      </c>
      <c r="AK659" t="s">
        <v>3956</v>
      </c>
      <c r="AP659">
        <v>0</v>
      </c>
      <c r="AR659" t="s">
        <v>4185</v>
      </c>
      <c r="AS659" t="s">
        <v>4210</v>
      </c>
      <c r="AT659" t="s">
        <v>4219</v>
      </c>
    </row>
    <row r="660" spans="1:46">
      <c r="A660" s="1">
        <f>HYPERLINK("https://lsnyc.legalserver.org/matter/dynamic-profile/view/1891563","19-1891563")</f>
        <v>0</v>
      </c>
      <c r="B660" t="s">
        <v>66</v>
      </c>
      <c r="C660" t="s">
        <v>164</v>
      </c>
      <c r="E660" t="s">
        <v>600</v>
      </c>
      <c r="F660" t="s">
        <v>986</v>
      </c>
      <c r="G660" t="s">
        <v>1632</v>
      </c>
      <c r="H660" t="s">
        <v>1948</v>
      </c>
      <c r="I660">
        <v>11233</v>
      </c>
      <c r="J660" t="s">
        <v>2002</v>
      </c>
      <c r="K660" t="s">
        <v>2003</v>
      </c>
      <c r="L660" t="s">
        <v>2006</v>
      </c>
      <c r="M660" t="s">
        <v>2058</v>
      </c>
      <c r="N660" t="s">
        <v>2424</v>
      </c>
      <c r="O660" t="s">
        <v>2441</v>
      </c>
      <c r="Q660" t="s">
        <v>2002</v>
      </c>
      <c r="R660" t="s">
        <v>2451</v>
      </c>
      <c r="S660" t="s">
        <v>210</v>
      </c>
      <c r="T660">
        <v>1157</v>
      </c>
      <c r="W660" t="s">
        <v>2561</v>
      </c>
      <c r="X660" t="s">
        <v>2006</v>
      </c>
      <c r="Z660">
        <v>359</v>
      </c>
      <c r="AA660" t="s">
        <v>3783</v>
      </c>
      <c r="AB660" t="s">
        <v>2006</v>
      </c>
      <c r="AC660">
        <v>39</v>
      </c>
      <c r="AD660">
        <v>6</v>
      </c>
      <c r="AE660">
        <v>0</v>
      </c>
      <c r="AF660">
        <v>383.06</v>
      </c>
      <c r="AI660" t="s">
        <v>3809</v>
      </c>
      <c r="AJ660">
        <v>132500</v>
      </c>
      <c r="AK660" t="s">
        <v>3957</v>
      </c>
      <c r="AP660">
        <v>0</v>
      </c>
      <c r="AR660" t="s">
        <v>4185</v>
      </c>
      <c r="AS660" t="s">
        <v>4210</v>
      </c>
      <c r="AT660" t="s">
        <v>4219</v>
      </c>
    </row>
    <row r="661" spans="1:46">
      <c r="A661" s="1">
        <f>HYPERLINK("https://lsnyc.legalserver.org/matter/dynamic-profile/view/1890628","19-1890628")</f>
        <v>0</v>
      </c>
      <c r="B661" t="s">
        <v>66</v>
      </c>
      <c r="C661" t="s">
        <v>270</v>
      </c>
      <c r="E661" t="s">
        <v>725</v>
      </c>
      <c r="F661" t="s">
        <v>1235</v>
      </c>
      <c r="G661" t="s">
        <v>1632</v>
      </c>
      <c r="H661" t="s">
        <v>1949</v>
      </c>
      <c r="I661">
        <v>11233</v>
      </c>
      <c r="J661" t="s">
        <v>2002</v>
      </c>
      <c r="K661" t="s">
        <v>2003</v>
      </c>
      <c r="M661" t="s">
        <v>2292</v>
      </c>
      <c r="N661" t="s">
        <v>2424</v>
      </c>
      <c r="O661" t="s">
        <v>2441</v>
      </c>
      <c r="Q661" t="s">
        <v>2002</v>
      </c>
      <c r="R661" t="s">
        <v>2451</v>
      </c>
      <c r="S661" t="s">
        <v>210</v>
      </c>
      <c r="T661">
        <v>1534.37</v>
      </c>
      <c r="U661" t="s">
        <v>2495</v>
      </c>
      <c r="W661" t="s">
        <v>3001</v>
      </c>
      <c r="Z661">
        <v>359</v>
      </c>
      <c r="AA661" t="s">
        <v>3783</v>
      </c>
      <c r="AB661" t="s">
        <v>2006</v>
      </c>
      <c r="AC661">
        <v>3</v>
      </c>
      <c r="AD661">
        <v>2</v>
      </c>
      <c r="AE661">
        <v>0</v>
      </c>
      <c r="AF661">
        <v>384.39</v>
      </c>
      <c r="AG661" t="s">
        <v>196</v>
      </c>
      <c r="AH661" t="s">
        <v>3806</v>
      </c>
      <c r="AI661" t="s">
        <v>3809</v>
      </c>
      <c r="AJ661">
        <v>65000</v>
      </c>
      <c r="AK661" t="s">
        <v>3941</v>
      </c>
      <c r="AP661">
        <v>0</v>
      </c>
      <c r="AR661" t="s">
        <v>49</v>
      </c>
      <c r="AS661" t="s">
        <v>4210</v>
      </c>
      <c r="AT661" t="s">
        <v>4219</v>
      </c>
    </row>
    <row r="662" spans="1:46">
      <c r="A662" s="1">
        <f>HYPERLINK("https://lsnyc.legalserver.org/matter/dynamic-profile/view/1891940","19-1891940")</f>
        <v>0</v>
      </c>
      <c r="B662" t="s">
        <v>66</v>
      </c>
      <c r="C662" t="s">
        <v>224</v>
      </c>
      <c r="E662" t="s">
        <v>726</v>
      </c>
      <c r="F662" t="s">
        <v>956</v>
      </c>
      <c r="G662" t="s">
        <v>1632</v>
      </c>
      <c r="H662" t="s">
        <v>1758</v>
      </c>
      <c r="I662">
        <v>11233</v>
      </c>
      <c r="J662" t="s">
        <v>2002</v>
      </c>
      <c r="K662" t="s">
        <v>2003</v>
      </c>
      <c r="M662" t="s">
        <v>2292</v>
      </c>
      <c r="N662" t="s">
        <v>2424</v>
      </c>
      <c r="O662" t="s">
        <v>2441</v>
      </c>
      <c r="Q662" t="s">
        <v>2002</v>
      </c>
      <c r="R662" t="s">
        <v>2451</v>
      </c>
      <c r="S662" t="s">
        <v>210</v>
      </c>
      <c r="T662">
        <v>1489</v>
      </c>
      <c r="U662" t="s">
        <v>2495</v>
      </c>
      <c r="W662" t="s">
        <v>3002</v>
      </c>
      <c r="Z662">
        <v>359</v>
      </c>
      <c r="AA662" t="s">
        <v>3783</v>
      </c>
      <c r="AB662" t="s">
        <v>2006</v>
      </c>
      <c r="AC662">
        <v>4</v>
      </c>
      <c r="AD662">
        <v>2</v>
      </c>
      <c r="AE662">
        <v>0</v>
      </c>
      <c r="AF662">
        <v>384.39</v>
      </c>
      <c r="AG662" t="s">
        <v>196</v>
      </c>
      <c r="AH662" t="s">
        <v>3806</v>
      </c>
      <c r="AI662" t="s">
        <v>3809</v>
      </c>
      <c r="AJ662">
        <v>65000</v>
      </c>
      <c r="AK662" t="s">
        <v>3941</v>
      </c>
      <c r="AP662">
        <v>0</v>
      </c>
      <c r="AR662" t="s">
        <v>49</v>
      </c>
      <c r="AS662" t="s">
        <v>4210</v>
      </c>
      <c r="AT662" t="s">
        <v>4219</v>
      </c>
    </row>
    <row r="663" spans="1:46">
      <c r="A663" s="1">
        <f>HYPERLINK("https://lsnyc.legalserver.org/matter/dynamic-profile/view/1897337","19-1897337")</f>
        <v>0</v>
      </c>
      <c r="B663" t="s">
        <v>66</v>
      </c>
      <c r="C663" t="s">
        <v>275</v>
      </c>
      <c r="E663" t="s">
        <v>727</v>
      </c>
      <c r="F663" t="s">
        <v>1236</v>
      </c>
      <c r="G663" t="s">
        <v>1632</v>
      </c>
      <c r="H663" t="s">
        <v>1950</v>
      </c>
      <c r="I663">
        <v>11233</v>
      </c>
      <c r="J663" t="s">
        <v>2002</v>
      </c>
      <c r="K663" t="s">
        <v>2003</v>
      </c>
      <c r="M663" t="s">
        <v>2292</v>
      </c>
      <c r="N663" t="s">
        <v>2424</v>
      </c>
      <c r="O663" t="s">
        <v>2441</v>
      </c>
      <c r="R663" t="s">
        <v>2451</v>
      </c>
      <c r="S663" t="s">
        <v>210</v>
      </c>
      <c r="T663">
        <v>100</v>
      </c>
      <c r="U663" t="s">
        <v>2512</v>
      </c>
      <c r="W663" t="s">
        <v>3003</v>
      </c>
      <c r="Z663">
        <v>359</v>
      </c>
      <c r="AA663" t="s">
        <v>3783</v>
      </c>
      <c r="AC663">
        <v>50</v>
      </c>
      <c r="AD663">
        <v>2</v>
      </c>
      <c r="AE663">
        <v>0</v>
      </c>
      <c r="AF663">
        <v>384.39</v>
      </c>
      <c r="AI663" t="s">
        <v>3809</v>
      </c>
      <c r="AJ663">
        <v>65000</v>
      </c>
      <c r="AK663" t="s">
        <v>3937</v>
      </c>
      <c r="AP663">
        <v>0</v>
      </c>
      <c r="AR663" t="s">
        <v>4185</v>
      </c>
      <c r="AS663" t="s">
        <v>4210</v>
      </c>
      <c r="AT663" t="s">
        <v>4219</v>
      </c>
    </row>
    <row r="664" spans="1:46">
      <c r="A664" s="1">
        <f>HYPERLINK("https://lsnyc.legalserver.org/matter/dynamic-profile/view/1898368","19-1898368")</f>
        <v>0</v>
      </c>
      <c r="B664" t="s">
        <v>66</v>
      </c>
      <c r="C664" t="s">
        <v>252</v>
      </c>
      <c r="E664" t="s">
        <v>728</v>
      </c>
      <c r="F664" t="s">
        <v>1237</v>
      </c>
      <c r="G664" t="s">
        <v>1634</v>
      </c>
      <c r="H664" t="s">
        <v>1951</v>
      </c>
      <c r="I664">
        <v>11233</v>
      </c>
      <c r="J664" t="s">
        <v>2002</v>
      </c>
      <c r="K664" t="s">
        <v>2003</v>
      </c>
      <c r="M664" t="s">
        <v>2292</v>
      </c>
      <c r="N664" t="s">
        <v>2424</v>
      </c>
      <c r="O664" t="s">
        <v>2441</v>
      </c>
      <c r="Q664" t="s">
        <v>2002</v>
      </c>
      <c r="R664" t="s">
        <v>2451</v>
      </c>
      <c r="S664" t="s">
        <v>210</v>
      </c>
      <c r="T664">
        <v>629.15</v>
      </c>
      <c r="U664" t="s">
        <v>2495</v>
      </c>
      <c r="W664" t="s">
        <v>3004</v>
      </c>
      <c r="Z664">
        <v>359</v>
      </c>
      <c r="AA664" t="s">
        <v>3783</v>
      </c>
      <c r="AC664">
        <v>8</v>
      </c>
      <c r="AD664">
        <v>1</v>
      </c>
      <c r="AE664">
        <v>0</v>
      </c>
      <c r="AF664">
        <v>392.31</v>
      </c>
      <c r="AI664" t="s">
        <v>3809</v>
      </c>
      <c r="AJ664">
        <v>49000</v>
      </c>
      <c r="AK664" t="s">
        <v>3935</v>
      </c>
      <c r="AP664">
        <v>0</v>
      </c>
      <c r="AR664" t="s">
        <v>49</v>
      </c>
      <c r="AS664" t="s">
        <v>4210</v>
      </c>
      <c r="AT664" t="s">
        <v>4219</v>
      </c>
    </row>
    <row r="665" spans="1:46">
      <c r="A665" s="1">
        <f>HYPERLINK("https://lsnyc.legalserver.org/matter/dynamic-profile/view/1897605","19-1897605")</f>
        <v>0</v>
      </c>
      <c r="B665" t="s">
        <v>66</v>
      </c>
      <c r="C665" t="s">
        <v>180</v>
      </c>
      <c r="E665" t="s">
        <v>729</v>
      </c>
      <c r="F665" t="s">
        <v>1238</v>
      </c>
      <c r="G665" t="s">
        <v>1482</v>
      </c>
      <c r="H665" t="s">
        <v>1952</v>
      </c>
      <c r="I665">
        <v>11233</v>
      </c>
      <c r="J665" t="s">
        <v>2002</v>
      </c>
      <c r="K665" t="s">
        <v>2003</v>
      </c>
      <c r="M665" t="s">
        <v>2291</v>
      </c>
      <c r="N665" t="s">
        <v>2424</v>
      </c>
      <c r="O665" t="s">
        <v>2441</v>
      </c>
      <c r="Q665" t="s">
        <v>2002</v>
      </c>
      <c r="R665" t="s">
        <v>2451</v>
      </c>
      <c r="S665" t="s">
        <v>210</v>
      </c>
      <c r="T665">
        <v>824.45</v>
      </c>
      <c r="U665" t="s">
        <v>2512</v>
      </c>
      <c r="W665" t="s">
        <v>3005</v>
      </c>
      <c r="Z665">
        <v>359</v>
      </c>
      <c r="AA665" t="s">
        <v>3783</v>
      </c>
      <c r="AC665">
        <v>8</v>
      </c>
      <c r="AD665">
        <v>1</v>
      </c>
      <c r="AE665">
        <v>0</v>
      </c>
      <c r="AF665">
        <v>398.72</v>
      </c>
      <c r="AI665" t="s">
        <v>3809</v>
      </c>
      <c r="AJ665">
        <v>49800</v>
      </c>
      <c r="AK665" t="s">
        <v>3937</v>
      </c>
      <c r="AP665">
        <v>0</v>
      </c>
      <c r="AR665" t="s">
        <v>4185</v>
      </c>
      <c r="AS665" t="s">
        <v>4210</v>
      </c>
      <c r="AT665" t="s">
        <v>4219</v>
      </c>
    </row>
    <row r="666" spans="1:46">
      <c r="A666" s="1">
        <f>HYPERLINK("https://lsnyc.legalserver.org/matter/dynamic-profile/view/1891541","19-1891541")</f>
        <v>0</v>
      </c>
      <c r="B666" t="s">
        <v>66</v>
      </c>
      <c r="C666" t="s">
        <v>164</v>
      </c>
      <c r="E666" t="s">
        <v>730</v>
      </c>
      <c r="F666" t="s">
        <v>1239</v>
      </c>
      <c r="G666" t="s">
        <v>1482</v>
      </c>
      <c r="H666" t="s">
        <v>1953</v>
      </c>
      <c r="I666">
        <v>11233</v>
      </c>
      <c r="J666" t="s">
        <v>2002</v>
      </c>
      <c r="K666" t="s">
        <v>2003</v>
      </c>
      <c r="M666" t="s">
        <v>2058</v>
      </c>
      <c r="N666" t="s">
        <v>2424</v>
      </c>
      <c r="O666" t="s">
        <v>2441</v>
      </c>
      <c r="Q666" t="s">
        <v>2002</v>
      </c>
      <c r="R666" t="s">
        <v>2451</v>
      </c>
      <c r="S666" t="s">
        <v>210</v>
      </c>
      <c r="T666">
        <v>1089.12</v>
      </c>
      <c r="W666" t="s">
        <v>3006</v>
      </c>
      <c r="Z666">
        <v>359</v>
      </c>
      <c r="AA666" t="s">
        <v>3783</v>
      </c>
      <c r="AC666">
        <v>20</v>
      </c>
      <c r="AD666">
        <v>2</v>
      </c>
      <c r="AE666">
        <v>0</v>
      </c>
      <c r="AF666">
        <v>408.04</v>
      </c>
      <c r="AI666" t="s">
        <v>3809</v>
      </c>
      <c r="AJ666">
        <v>69000</v>
      </c>
      <c r="AK666" t="s">
        <v>3934</v>
      </c>
      <c r="AP666">
        <v>0</v>
      </c>
      <c r="AR666" t="s">
        <v>4185</v>
      </c>
      <c r="AS666" t="s">
        <v>4210</v>
      </c>
      <c r="AT666" t="s">
        <v>4219</v>
      </c>
    </row>
    <row r="667" spans="1:46">
      <c r="A667" s="1">
        <f>HYPERLINK("https://lsnyc.legalserver.org/matter/dynamic-profile/view/1892863","19-1892863")</f>
        <v>0</v>
      </c>
      <c r="B667" t="s">
        <v>66</v>
      </c>
      <c r="C667" t="s">
        <v>83</v>
      </c>
      <c r="E667" t="s">
        <v>388</v>
      </c>
      <c r="F667" t="s">
        <v>1240</v>
      </c>
      <c r="G667" t="s">
        <v>1634</v>
      </c>
      <c r="H667" t="s">
        <v>1849</v>
      </c>
      <c r="I667">
        <v>11233</v>
      </c>
      <c r="J667" t="s">
        <v>2002</v>
      </c>
      <c r="K667" t="s">
        <v>2003</v>
      </c>
      <c r="M667" t="s">
        <v>2292</v>
      </c>
      <c r="N667" t="s">
        <v>2424</v>
      </c>
      <c r="O667" t="s">
        <v>2441</v>
      </c>
      <c r="Q667" t="s">
        <v>2002</v>
      </c>
      <c r="R667" t="s">
        <v>2451</v>
      </c>
      <c r="S667" t="s">
        <v>210</v>
      </c>
      <c r="T667">
        <v>621.34</v>
      </c>
      <c r="U667" t="s">
        <v>2495</v>
      </c>
      <c r="W667" t="s">
        <v>3007</v>
      </c>
      <c r="Z667">
        <v>359</v>
      </c>
      <c r="AA667" t="s">
        <v>3783</v>
      </c>
      <c r="AC667">
        <v>18</v>
      </c>
      <c r="AD667">
        <v>1</v>
      </c>
      <c r="AE667">
        <v>0</v>
      </c>
      <c r="AF667">
        <v>408.33</v>
      </c>
      <c r="AI667" t="s">
        <v>3809</v>
      </c>
      <c r="AJ667">
        <v>51000</v>
      </c>
      <c r="AK667" t="s">
        <v>3943</v>
      </c>
      <c r="AP667">
        <v>0</v>
      </c>
      <c r="AR667" t="s">
        <v>49</v>
      </c>
      <c r="AS667" t="s">
        <v>4210</v>
      </c>
      <c r="AT667" t="s">
        <v>4219</v>
      </c>
    </row>
    <row r="668" spans="1:46">
      <c r="A668" s="1">
        <f>HYPERLINK("https://lsnyc.legalserver.org/matter/dynamic-profile/view/1891586","19-1891586")</f>
        <v>0</v>
      </c>
      <c r="B668" t="s">
        <v>66</v>
      </c>
      <c r="C668" t="s">
        <v>271</v>
      </c>
      <c r="E668" t="s">
        <v>731</v>
      </c>
      <c r="F668" t="s">
        <v>1241</v>
      </c>
      <c r="G668" t="s">
        <v>1632</v>
      </c>
      <c r="H668" t="s">
        <v>1817</v>
      </c>
      <c r="I668">
        <v>11233</v>
      </c>
      <c r="J668" t="s">
        <v>2002</v>
      </c>
      <c r="K668" t="s">
        <v>2003</v>
      </c>
      <c r="M668" t="s">
        <v>2006</v>
      </c>
      <c r="N668" t="s">
        <v>2424</v>
      </c>
      <c r="O668" t="s">
        <v>2441</v>
      </c>
      <c r="Q668" t="s">
        <v>2002</v>
      </c>
      <c r="R668" t="s">
        <v>2451</v>
      </c>
      <c r="S668" t="s">
        <v>210</v>
      </c>
      <c r="T668">
        <v>1485</v>
      </c>
      <c r="W668" t="s">
        <v>3008</v>
      </c>
      <c r="Z668">
        <v>359</v>
      </c>
      <c r="AA668" t="s">
        <v>3783</v>
      </c>
      <c r="AC668">
        <v>2</v>
      </c>
      <c r="AD668">
        <v>1</v>
      </c>
      <c r="AE668">
        <v>0</v>
      </c>
      <c r="AF668">
        <v>416.33</v>
      </c>
      <c r="AI668" t="s">
        <v>3809</v>
      </c>
      <c r="AJ668">
        <v>52000</v>
      </c>
      <c r="AK668" t="s">
        <v>3934</v>
      </c>
      <c r="AP668">
        <v>0</v>
      </c>
      <c r="AR668" t="s">
        <v>4185</v>
      </c>
      <c r="AS668" t="s">
        <v>4210</v>
      </c>
      <c r="AT668" t="s">
        <v>4219</v>
      </c>
    </row>
    <row r="669" spans="1:46">
      <c r="A669" s="1">
        <f>HYPERLINK("https://lsnyc.legalserver.org/matter/dynamic-profile/view/1890526","19-1890526")</f>
        <v>0</v>
      </c>
      <c r="B669" t="s">
        <v>66</v>
      </c>
      <c r="C669" t="s">
        <v>270</v>
      </c>
      <c r="E669" t="s">
        <v>400</v>
      </c>
      <c r="F669" t="s">
        <v>1242</v>
      </c>
      <c r="G669" t="s">
        <v>1632</v>
      </c>
      <c r="H669" t="s">
        <v>1954</v>
      </c>
      <c r="I669">
        <v>11233</v>
      </c>
      <c r="J669" t="s">
        <v>2002</v>
      </c>
      <c r="K669" t="s">
        <v>2003</v>
      </c>
      <c r="L669" t="s">
        <v>2006</v>
      </c>
      <c r="M669" t="s">
        <v>2058</v>
      </c>
      <c r="N669" t="s">
        <v>2424</v>
      </c>
      <c r="O669" t="s">
        <v>2441</v>
      </c>
      <c r="Q669" t="s">
        <v>2002</v>
      </c>
      <c r="R669" t="s">
        <v>2451</v>
      </c>
      <c r="S669" t="s">
        <v>210</v>
      </c>
      <c r="T669">
        <v>1027</v>
      </c>
      <c r="U669" t="s">
        <v>2512</v>
      </c>
      <c r="W669" t="s">
        <v>3009</v>
      </c>
      <c r="X669" t="s">
        <v>2058</v>
      </c>
      <c r="Z669">
        <v>359</v>
      </c>
      <c r="AA669" t="s">
        <v>3783</v>
      </c>
      <c r="AB669" t="s">
        <v>2006</v>
      </c>
      <c r="AC669">
        <v>7</v>
      </c>
      <c r="AD669">
        <v>2</v>
      </c>
      <c r="AE669">
        <v>0</v>
      </c>
      <c r="AF669">
        <v>420.19</v>
      </c>
      <c r="AI669" t="s">
        <v>3809</v>
      </c>
      <c r="AJ669">
        <v>71054</v>
      </c>
      <c r="AK669" t="s">
        <v>3958</v>
      </c>
      <c r="AP669">
        <v>0</v>
      </c>
      <c r="AR669" t="s">
        <v>4185</v>
      </c>
      <c r="AS669" t="s">
        <v>4210</v>
      </c>
      <c r="AT669" t="s">
        <v>4219</v>
      </c>
    </row>
    <row r="670" spans="1:46">
      <c r="A670" s="1">
        <f>HYPERLINK("https://lsnyc.legalserver.org/matter/dynamic-profile/view/1890550","19-1890550")</f>
        <v>0</v>
      </c>
      <c r="B670" t="s">
        <v>66</v>
      </c>
      <c r="C670" t="s">
        <v>270</v>
      </c>
      <c r="E670" t="s">
        <v>732</v>
      </c>
      <c r="F670" t="s">
        <v>1051</v>
      </c>
      <c r="G670" t="s">
        <v>1632</v>
      </c>
      <c r="H670" t="s">
        <v>1739</v>
      </c>
      <c r="I670">
        <v>11233</v>
      </c>
      <c r="J670" t="s">
        <v>2002</v>
      </c>
      <c r="K670" t="s">
        <v>2003</v>
      </c>
      <c r="M670" t="s">
        <v>2006</v>
      </c>
      <c r="N670" t="s">
        <v>2424</v>
      </c>
      <c r="O670" t="s">
        <v>2441</v>
      </c>
      <c r="Q670" t="s">
        <v>2002</v>
      </c>
      <c r="R670" t="s">
        <v>2451</v>
      </c>
      <c r="S670" t="s">
        <v>210</v>
      </c>
      <c r="T670">
        <v>1016</v>
      </c>
      <c r="U670" t="s">
        <v>2512</v>
      </c>
      <c r="W670" t="s">
        <v>3010</v>
      </c>
      <c r="Z670">
        <v>359</v>
      </c>
      <c r="AA670" t="s">
        <v>3783</v>
      </c>
      <c r="AB670" t="s">
        <v>2006</v>
      </c>
      <c r="AC670">
        <v>30</v>
      </c>
      <c r="AD670">
        <v>2</v>
      </c>
      <c r="AE670">
        <v>0</v>
      </c>
      <c r="AF670">
        <v>435.02</v>
      </c>
      <c r="AI670" t="s">
        <v>3809</v>
      </c>
      <c r="AJ670">
        <v>73562</v>
      </c>
      <c r="AK670" t="s">
        <v>3959</v>
      </c>
      <c r="AP670">
        <v>0</v>
      </c>
      <c r="AR670" t="s">
        <v>4185</v>
      </c>
      <c r="AS670" t="s">
        <v>4210</v>
      </c>
      <c r="AT670" t="s">
        <v>4219</v>
      </c>
    </row>
    <row r="671" spans="1:46">
      <c r="A671" s="1">
        <f>HYPERLINK("https://lsnyc.legalserver.org/matter/dynamic-profile/view/1890581","19-1890581")</f>
        <v>0</v>
      </c>
      <c r="B671" t="s">
        <v>66</v>
      </c>
      <c r="C671" t="s">
        <v>270</v>
      </c>
      <c r="E671" t="s">
        <v>733</v>
      </c>
      <c r="F671" t="s">
        <v>1243</v>
      </c>
      <c r="G671" t="s">
        <v>1632</v>
      </c>
      <c r="H671" t="s">
        <v>1790</v>
      </c>
      <c r="I671">
        <v>11233</v>
      </c>
      <c r="J671" t="s">
        <v>2002</v>
      </c>
      <c r="K671" t="s">
        <v>2003</v>
      </c>
      <c r="M671" t="s">
        <v>2027</v>
      </c>
      <c r="N671" t="s">
        <v>2424</v>
      </c>
      <c r="O671" t="s">
        <v>2441</v>
      </c>
      <c r="Q671" t="s">
        <v>2002</v>
      </c>
      <c r="R671" t="s">
        <v>2451</v>
      </c>
      <c r="S671" t="s">
        <v>210</v>
      </c>
      <c r="T671">
        <v>1520</v>
      </c>
      <c r="U671" t="s">
        <v>2512</v>
      </c>
      <c r="W671" t="s">
        <v>3011</v>
      </c>
      <c r="Z671">
        <v>359</v>
      </c>
      <c r="AA671" t="s">
        <v>3783</v>
      </c>
      <c r="AB671" t="s">
        <v>2006</v>
      </c>
      <c r="AC671">
        <v>2</v>
      </c>
      <c r="AD671">
        <v>2</v>
      </c>
      <c r="AE671">
        <v>0</v>
      </c>
      <c r="AF671">
        <v>437.61</v>
      </c>
      <c r="AI671" t="s">
        <v>3809</v>
      </c>
      <c r="AJ671">
        <v>74000</v>
      </c>
      <c r="AK671" t="s">
        <v>3945</v>
      </c>
      <c r="AP671">
        <v>0</v>
      </c>
      <c r="AR671" t="s">
        <v>4185</v>
      </c>
      <c r="AS671" t="s">
        <v>4210</v>
      </c>
      <c r="AT671" t="s">
        <v>4219</v>
      </c>
    </row>
    <row r="672" spans="1:46">
      <c r="A672" s="1">
        <f>HYPERLINK("https://lsnyc.legalserver.org/matter/dynamic-profile/view/1890575","19-1890575")</f>
        <v>0</v>
      </c>
      <c r="B672" t="s">
        <v>66</v>
      </c>
      <c r="C672" t="s">
        <v>270</v>
      </c>
      <c r="E672" t="s">
        <v>734</v>
      </c>
      <c r="F672" t="s">
        <v>1244</v>
      </c>
      <c r="G672" t="s">
        <v>1632</v>
      </c>
      <c r="H672" t="s">
        <v>1955</v>
      </c>
      <c r="I672">
        <v>11233</v>
      </c>
      <c r="J672" t="s">
        <v>2002</v>
      </c>
      <c r="K672" t="s">
        <v>2003</v>
      </c>
      <c r="M672" t="s">
        <v>2292</v>
      </c>
      <c r="N672" t="s">
        <v>2424</v>
      </c>
      <c r="O672" t="s">
        <v>2441</v>
      </c>
      <c r="Q672" t="s">
        <v>2002</v>
      </c>
      <c r="R672" t="s">
        <v>2451</v>
      </c>
      <c r="S672" t="s">
        <v>210</v>
      </c>
      <c r="T672">
        <v>1094.88</v>
      </c>
      <c r="U672" t="s">
        <v>2495</v>
      </c>
      <c r="W672" t="s">
        <v>3012</v>
      </c>
      <c r="Z672">
        <v>359</v>
      </c>
      <c r="AA672" t="s">
        <v>3783</v>
      </c>
      <c r="AB672" t="s">
        <v>2006</v>
      </c>
      <c r="AC672">
        <v>40</v>
      </c>
      <c r="AD672">
        <v>1</v>
      </c>
      <c r="AE672">
        <v>0</v>
      </c>
      <c r="AF672">
        <v>440.35</v>
      </c>
      <c r="AI672" t="s">
        <v>3809</v>
      </c>
      <c r="AJ672">
        <v>55000</v>
      </c>
      <c r="AK672" t="s">
        <v>3935</v>
      </c>
      <c r="AP672">
        <v>0</v>
      </c>
      <c r="AR672" t="s">
        <v>49</v>
      </c>
      <c r="AS672" t="s">
        <v>4210</v>
      </c>
      <c r="AT672" t="s">
        <v>4219</v>
      </c>
    </row>
    <row r="673" spans="1:46">
      <c r="A673" s="1">
        <f>HYPERLINK("https://lsnyc.legalserver.org/matter/dynamic-profile/view/1890587","19-1890587")</f>
        <v>0</v>
      </c>
      <c r="B673" t="s">
        <v>66</v>
      </c>
      <c r="C673" t="s">
        <v>270</v>
      </c>
      <c r="E673" t="s">
        <v>735</v>
      </c>
      <c r="F673" t="s">
        <v>1245</v>
      </c>
      <c r="G673" t="s">
        <v>1632</v>
      </c>
      <c r="H673" t="s">
        <v>1956</v>
      </c>
      <c r="I673">
        <v>11233</v>
      </c>
      <c r="J673" t="s">
        <v>2002</v>
      </c>
      <c r="K673" t="s">
        <v>2003</v>
      </c>
      <c r="M673" t="s">
        <v>2027</v>
      </c>
      <c r="N673" t="s">
        <v>2424</v>
      </c>
      <c r="O673" t="s">
        <v>2441</v>
      </c>
      <c r="Q673" t="s">
        <v>2002</v>
      </c>
      <c r="R673" t="s">
        <v>2451</v>
      </c>
      <c r="S673" t="s">
        <v>210</v>
      </c>
      <c r="T673">
        <v>1077</v>
      </c>
      <c r="U673" t="s">
        <v>2512</v>
      </c>
      <c r="W673" t="s">
        <v>3013</v>
      </c>
      <c r="Z673">
        <v>359</v>
      </c>
      <c r="AA673" t="s">
        <v>3783</v>
      </c>
      <c r="AB673" t="s">
        <v>2006</v>
      </c>
      <c r="AC673">
        <v>12</v>
      </c>
      <c r="AD673">
        <v>2</v>
      </c>
      <c r="AE673">
        <v>2</v>
      </c>
      <c r="AF673">
        <v>446.6</v>
      </c>
      <c r="AI673" t="s">
        <v>3809</v>
      </c>
      <c r="AJ673">
        <v>115000</v>
      </c>
      <c r="AK673" t="s">
        <v>3945</v>
      </c>
      <c r="AP673">
        <v>0</v>
      </c>
      <c r="AR673" t="s">
        <v>4185</v>
      </c>
      <c r="AS673" t="s">
        <v>4210</v>
      </c>
      <c r="AT673" t="s">
        <v>4219</v>
      </c>
    </row>
    <row r="674" spans="1:46">
      <c r="A674" s="1">
        <f>HYPERLINK("https://lsnyc.legalserver.org/matter/dynamic-profile/view/1893258","19-1893258")</f>
        <v>0</v>
      </c>
      <c r="B674" t="s">
        <v>66</v>
      </c>
      <c r="C674" t="s">
        <v>276</v>
      </c>
      <c r="E674" t="s">
        <v>736</v>
      </c>
      <c r="F674" t="s">
        <v>1190</v>
      </c>
      <c r="G674" t="s">
        <v>1632</v>
      </c>
      <c r="H674" t="s">
        <v>1737</v>
      </c>
      <c r="I674">
        <v>11233</v>
      </c>
      <c r="J674" t="s">
        <v>2002</v>
      </c>
      <c r="K674" t="s">
        <v>2003</v>
      </c>
      <c r="M674" t="s">
        <v>2006</v>
      </c>
      <c r="N674" t="s">
        <v>2424</v>
      </c>
      <c r="O674" t="s">
        <v>2441</v>
      </c>
      <c r="Q674" t="s">
        <v>2002</v>
      </c>
      <c r="R674" t="s">
        <v>2451</v>
      </c>
      <c r="S674" t="s">
        <v>210</v>
      </c>
      <c r="T674">
        <v>1515</v>
      </c>
      <c r="U674" t="s">
        <v>2495</v>
      </c>
      <c r="W674" t="s">
        <v>3014</v>
      </c>
      <c r="X674" t="s">
        <v>2006</v>
      </c>
      <c r="Z674">
        <v>359</v>
      </c>
      <c r="AA674" t="s">
        <v>3783</v>
      </c>
      <c r="AB674" t="s">
        <v>2006</v>
      </c>
      <c r="AC674">
        <v>2</v>
      </c>
      <c r="AD674">
        <v>1</v>
      </c>
      <c r="AE674">
        <v>0</v>
      </c>
      <c r="AF674">
        <v>454.64</v>
      </c>
      <c r="AI674" t="s">
        <v>3809</v>
      </c>
      <c r="AJ674">
        <v>56784</v>
      </c>
      <c r="AK674" t="s">
        <v>3960</v>
      </c>
      <c r="AP674">
        <v>0</v>
      </c>
      <c r="AR674" t="s">
        <v>4185</v>
      </c>
      <c r="AS674" t="s">
        <v>4210</v>
      </c>
      <c r="AT674" t="s">
        <v>4219</v>
      </c>
    </row>
    <row r="675" spans="1:46">
      <c r="A675" s="1">
        <f>HYPERLINK("https://lsnyc.legalserver.org/matter/dynamic-profile/view/1898394","19-1898394")</f>
        <v>0</v>
      </c>
      <c r="B675" t="s">
        <v>66</v>
      </c>
      <c r="C675" t="s">
        <v>252</v>
      </c>
      <c r="E675" t="s">
        <v>737</v>
      </c>
      <c r="F675" t="s">
        <v>889</v>
      </c>
      <c r="G675" t="s">
        <v>1482</v>
      </c>
      <c r="H675" t="s">
        <v>1957</v>
      </c>
      <c r="I675">
        <v>11233</v>
      </c>
      <c r="J675" t="s">
        <v>2002</v>
      </c>
      <c r="K675" t="s">
        <v>2003</v>
      </c>
      <c r="M675" t="s">
        <v>2291</v>
      </c>
      <c r="N675" t="s">
        <v>2424</v>
      </c>
      <c r="O675" t="s">
        <v>2441</v>
      </c>
      <c r="Q675" t="s">
        <v>2002</v>
      </c>
      <c r="R675" t="s">
        <v>2451</v>
      </c>
      <c r="S675" t="s">
        <v>210</v>
      </c>
      <c r="T675">
        <v>1170.14</v>
      </c>
      <c r="U675" t="s">
        <v>2495</v>
      </c>
      <c r="W675" t="s">
        <v>3015</v>
      </c>
      <c r="Z675">
        <v>359</v>
      </c>
      <c r="AA675" t="s">
        <v>3783</v>
      </c>
      <c r="AC675">
        <v>19</v>
      </c>
      <c r="AD675">
        <v>2</v>
      </c>
      <c r="AE675">
        <v>0</v>
      </c>
      <c r="AF675">
        <v>502.66</v>
      </c>
      <c r="AI675" t="s">
        <v>3809</v>
      </c>
      <c r="AJ675">
        <v>85000</v>
      </c>
      <c r="AK675" t="s">
        <v>3935</v>
      </c>
      <c r="AP675">
        <v>0</v>
      </c>
      <c r="AR675" t="s">
        <v>49</v>
      </c>
      <c r="AS675" t="s">
        <v>4210</v>
      </c>
      <c r="AT675" t="s">
        <v>4219</v>
      </c>
    </row>
    <row r="676" spans="1:46">
      <c r="A676" s="1">
        <f>HYPERLINK("https://lsnyc.legalserver.org/matter/dynamic-profile/view/1890552","19-1890552")</f>
        <v>0</v>
      </c>
      <c r="B676" t="s">
        <v>66</v>
      </c>
      <c r="C676" t="s">
        <v>270</v>
      </c>
      <c r="E676" t="s">
        <v>738</v>
      </c>
      <c r="F676" t="s">
        <v>1246</v>
      </c>
      <c r="G676" t="s">
        <v>1482</v>
      </c>
      <c r="H676" t="s">
        <v>1958</v>
      </c>
      <c r="I676">
        <v>11233</v>
      </c>
      <c r="J676" t="s">
        <v>2002</v>
      </c>
      <c r="K676" t="s">
        <v>2003</v>
      </c>
      <c r="M676" t="s">
        <v>2291</v>
      </c>
      <c r="N676" t="s">
        <v>2424</v>
      </c>
      <c r="O676" t="s">
        <v>2441</v>
      </c>
      <c r="Q676" t="s">
        <v>2002</v>
      </c>
      <c r="R676" t="s">
        <v>2451</v>
      </c>
      <c r="S676" t="s">
        <v>210</v>
      </c>
      <c r="T676">
        <v>680</v>
      </c>
      <c r="U676" t="s">
        <v>2495</v>
      </c>
      <c r="W676" t="s">
        <v>3016</v>
      </c>
      <c r="Z676">
        <v>359</v>
      </c>
      <c r="AA676" t="s">
        <v>3783</v>
      </c>
      <c r="AB676" t="s">
        <v>2006</v>
      </c>
      <c r="AC676">
        <v>3</v>
      </c>
      <c r="AD676">
        <v>1</v>
      </c>
      <c r="AE676">
        <v>0</v>
      </c>
      <c r="AF676">
        <v>504.4</v>
      </c>
      <c r="AI676" t="s">
        <v>3809</v>
      </c>
      <c r="AJ676">
        <v>63000</v>
      </c>
      <c r="AK676" t="s">
        <v>3961</v>
      </c>
      <c r="AP676">
        <v>0</v>
      </c>
      <c r="AR676" t="s">
        <v>49</v>
      </c>
      <c r="AS676" t="s">
        <v>4210</v>
      </c>
      <c r="AT676" t="s">
        <v>4219</v>
      </c>
    </row>
    <row r="677" spans="1:46">
      <c r="A677" s="1">
        <f>HYPERLINK("https://lsnyc.legalserver.org/matter/dynamic-profile/view/1898826","19-1898826")</f>
        <v>0</v>
      </c>
      <c r="B677" t="s">
        <v>66</v>
      </c>
      <c r="C677" t="s">
        <v>140</v>
      </c>
      <c r="E677" t="s">
        <v>484</v>
      </c>
      <c r="F677" t="s">
        <v>1247</v>
      </c>
      <c r="G677" t="s">
        <v>1634</v>
      </c>
      <c r="H677" t="s">
        <v>1959</v>
      </c>
      <c r="I677">
        <v>11233</v>
      </c>
      <c r="J677" t="s">
        <v>2002</v>
      </c>
      <c r="K677" t="s">
        <v>2003</v>
      </c>
      <c r="M677" t="s">
        <v>2292</v>
      </c>
      <c r="N677" t="s">
        <v>2424</v>
      </c>
      <c r="O677" t="s">
        <v>2441</v>
      </c>
      <c r="Q677" t="s">
        <v>2002</v>
      </c>
      <c r="R677" t="s">
        <v>2451</v>
      </c>
      <c r="S677" t="s">
        <v>210</v>
      </c>
      <c r="T677">
        <v>950</v>
      </c>
      <c r="U677" t="s">
        <v>2495</v>
      </c>
      <c r="W677" t="s">
        <v>3017</v>
      </c>
      <c r="Z677">
        <v>359</v>
      </c>
      <c r="AA677" t="s">
        <v>3783</v>
      </c>
      <c r="AC677">
        <v>9</v>
      </c>
      <c r="AD677">
        <v>1</v>
      </c>
      <c r="AE677">
        <v>0</v>
      </c>
      <c r="AF677">
        <v>511.84</v>
      </c>
      <c r="AI677" t="s">
        <v>3809</v>
      </c>
      <c r="AJ677">
        <v>63929</v>
      </c>
      <c r="AK677" t="s">
        <v>3935</v>
      </c>
      <c r="AP677">
        <v>0</v>
      </c>
      <c r="AR677" t="s">
        <v>49</v>
      </c>
      <c r="AS677" t="s">
        <v>4210</v>
      </c>
      <c r="AT677" t="s">
        <v>4219</v>
      </c>
    </row>
    <row r="678" spans="1:46">
      <c r="A678" s="1">
        <f>HYPERLINK("https://lsnyc.legalserver.org/matter/dynamic-profile/view/1891983","19-1891983")</f>
        <v>0</v>
      </c>
      <c r="B678" t="s">
        <v>66</v>
      </c>
      <c r="C678" t="s">
        <v>224</v>
      </c>
      <c r="E678" t="s">
        <v>739</v>
      </c>
      <c r="F678" t="s">
        <v>1248</v>
      </c>
      <c r="G678" t="s">
        <v>1632</v>
      </c>
      <c r="H678" t="s">
        <v>1960</v>
      </c>
      <c r="I678">
        <v>11233</v>
      </c>
      <c r="J678" t="s">
        <v>2002</v>
      </c>
      <c r="K678" t="s">
        <v>2003</v>
      </c>
      <c r="M678" t="s">
        <v>2292</v>
      </c>
      <c r="N678" t="s">
        <v>2424</v>
      </c>
      <c r="O678" t="s">
        <v>2441</v>
      </c>
      <c r="Q678" t="s">
        <v>2002</v>
      </c>
      <c r="R678" t="s">
        <v>2451</v>
      </c>
      <c r="S678" t="s">
        <v>210</v>
      </c>
      <c r="T678">
        <v>989.35</v>
      </c>
      <c r="U678" t="s">
        <v>2495</v>
      </c>
      <c r="W678" t="s">
        <v>3018</v>
      </c>
      <c r="Z678">
        <v>359</v>
      </c>
      <c r="AA678" t="s">
        <v>3783</v>
      </c>
      <c r="AB678" t="s">
        <v>2006</v>
      </c>
      <c r="AC678">
        <v>16</v>
      </c>
      <c r="AD678">
        <v>2</v>
      </c>
      <c r="AE678">
        <v>0</v>
      </c>
      <c r="AF678">
        <v>567.71</v>
      </c>
      <c r="AI678" t="s">
        <v>3809</v>
      </c>
      <c r="AJ678">
        <v>96000</v>
      </c>
      <c r="AK678" t="s">
        <v>3962</v>
      </c>
      <c r="AP678">
        <v>0</v>
      </c>
      <c r="AR678" t="s">
        <v>49</v>
      </c>
      <c r="AS678" t="s">
        <v>4210</v>
      </c>
      <c r="AT678" t="s">
        <v>4219</v>
      </c>
    </row>
    <row r="679" spans="1:46">
      <c r="A679" s="1">
        <f>HYPERLINK("https://lsnyc.legalserver.org/matter/dynamic-profile/view/1891531","19-1891531")</f>
        <v>0</v>
      </c>
      <c r="B679" t="s">
        <v>66</v>
      </c>
      <c r="C679" t="s">
        <v>164</v>
      </c>
      <c r="E679" t="s">
        <v>533</v>
      </c>
      <c r="F679" t="s">
        <v>1249</v>
      </c>
      <c r="G679" t="s">
        <v>1482</v>
      </c>
      <c r="H679" t="s">
        <v>1961</v>
      </c>
      <c r="I679">
        <v>11233</v>
      </c>
      <c r="J679" t="s">
        <v>2002</v>
      </c>
      <c r="K679" t="s">
        <v>2003</v>
      </c>
      <c r="L679" t="s">
        <v>2006</v>
      </c>
      <c r="M679" t="s">
        <v>2058</v>
      </c>
      <c r="N679" t="s">
        <v>2424</v>
      </c>
      <c r="O679" t="s">
        <v>2441</v>
      </c>
      <c r="Q679" t="s">
        <v>2002</v>
      </c>
      <c r="R679" t="s">
        <v>2451</v>
      </c>
      <c r="S679" t="s">
        <v>210</v>
      </c>
      <c r="T679">
        <v>1195</v>
      </c>
      <c r="W679" t="s">
        <v>2561</v>
      </c>
      <c r="X679" t="s">
        <v>2006</v>
      </c>
      <c r="Z679">
        <v>359</v>
      </c>
      <c r="AA679" t="s">
        <v>3783</v>
      </c>
      <c r="AB679" t="s">
        <v>2006</v>
      </c>
      <c r="AC679">
        <v>30</v>
      </c>
      <c r="AD679">
        <v>2</v>
      </c>
      <c r="AE679">
        <v>0</v>
      </c>
      <c r="AF679">
        <v>696.9400000000001</v>
      </c>
      <c r="AI679" t="s">
        <v>3809</v>
      </c>
      <c r="AJ679">
        <v>117853</v>
      </c>
      <c r="AK679" t="s">
        <v>3934</v>
      </c>
      <c r="AP679">
        <v>0</v>
      </c>
      <c r="AR679" t="s">
        <v>4185</v>
      </c>
      <c r="AS679" t="s">
        <v>4210</v>
      </c>
      <c r="AT679" t="s">
        <v>4219</v>
      </c>
    </row>
    <row r="680" spans="1:46">
      <c r="A680" s="1">
        <f>HYPERLINK("https://lsnyc.legalserver.org/matter/dynamic-profile/view/1898268","19-1898268")</f>
        <v>0</v>
      </c>
      <c r="B680" t="s">
        <v>66</v>
      </c>
      <c r="C680" t="s">
        <v>182</v>
      </c>
      <c r="E680" t="s">
        <v>740</v>
      </c>
      <c r="F680" t="s">
        <v>1250</v>
      </c>
      <c r="G680" t="s">
        <v>1482</v>
      </c>
      <c r="H680" t="s">
        <v>1962</v>
      </c>
      <c r="I680">
        <v>11233</v>
      </c>
      <c r="J680" t="s">
        <v>2002</v>
      </c>
      <c r="K680" t="s">
        <v>2003</v>
      </c>
      <c r="M680" t="s">
        <v>2291</v>
      </c>
      <c r="N680" t="s">
        <v>2424</v>
      </c>
      <c r="O680" t="s">
        <v>2441</v>
      </c>
      <c r="Q680" t="s">
        <v>2002</v>
      </c>
      <c r="R680" t="s">
        <v>2451</v>
      </c>
      <c r="S680" t="s">
        <v>210</v>
      </c>
      <c r="T680">
        <v>0</v>
      </c>
      <c r="W680" t="s">
        <v>3019</v>
      </c>
      <c r="Z680">
        <v>359</v>
      </c>
      <c r="AA680" t="s">
        <v>3783</v>
      </c>
      <c r="AC680">
        <v>14</v>
      </c>
      <c r="AD680">
        <v>1</v>
      </c>
      <c r="AE680">
        <v>0</v>
      </c>
      <c r="AF680">
        <v>720.58</v>
      </c>
      <c r="AI680" t="s">
        <v>3809</v>
      </c>
      <c r="AJ680">
        <v>90000</v>
      </c>
      <c r="AK680" t="s">
        <v>3935</v>
      </c>
      <c r="AP680">
        <v>0</v>
      </c>
      <c r="AR680" t="s">
        <v>49</v>
      </c>
      <c r="AS680" t="s">
        <v>4210</v>
      </c>
      <c r="AT680" t="s">
        <v>4219</v>
      </c>
    </row>
    <row r="681" spans="1:46">
      <c r="A681" s="1">
        <f>HYPERLINK("https://lsnyc.legalserver.org/matter/dynamic-profile/view/1890572","19-1890572")</f>
        <v>0</v>
      </c>
      <c r="B681" t="s">
        <v>66</v>
      </c>
      <c r="C681" t="s">
        <v>270</v>
      </c>
      <c r="E681" t="s">
        <v>672</v>
      </c>
      <c r="F681" t="s">
        <v>1251</v>
      </c>
      <c r="G681" t="s">
        <v>1482</v>
      </c>
      <c r="H681" t="s">
        <v>1963</v>
      </c>
      <c r="I681">
        <v>11233</v>
      </c>
      <c r="J681" t="s">
        <v>2002</v>
      </c>
      <c r="K681" t="s">
        <v>2003</v>
      </c>
      <c r="L681" t="s">
        <v>2006</v>
      </c>
      <c r="M681" t="s">
        <v>2006</v>
      </c>
      <c r="N681" t="s">
        <v>2424</v>
      </c>
      <c r="O681" t="s">
        <v>2441</v>
      </c>
      <c r="Q681" t="s">
        <v>2002</v>
      </c>
      <c r="R681" t="s">
        <v>2451</v>
      </c>
      <c r="S681" t="s">
        <v>2487</v>
      </c>
      <c r="T681">
        <v>875</v>
      </c>
      <c r="U681" t="s">
        <v>2512</v>
      </c>
      <c r="W681" t="s">
        <v>3020</v>
      </c>
      <c r="X681" t="s">
        <v>2006</v>
      </c>
      <c r="Z681">
        <v>359</v>
      </c>
      <c r="AA681" t="s">
        <v>3783</v>
      </c>
      <c r="AB681" t="s">
        <v>2006</v>
      </c>
      <c r="AC681">
        <v>40</v>
      </c>
      <c r="AD681">
        <v>1</v>
      </c>
      <c r="AE681">
        <v>0</v>
      </c>
      <c r="AF681">
        <v>176.86</v>
      </c>
      <c r="AI681" t="s">
        <v>3809</v>
      </c>
      <c r="AJ681">
        <v>22090</v>
      </c>
      <c r="AK681" t="s">
        <v>3945</v>
      </c>
      <c r="AP681">
        <v>0</v>
      </c>
      <c r="AR681" t="s">
        <v>4185</v>
      </c>
      <c r="AS681" t="s">
        <v>4210</v>
      </c>
      <c r="AT681" t="s">
        <v>4219</v>
      </c>
    </row>
    <row r="682" spans="1:46">
      <c r="A682" s="1">
        <f>HYPERLINK("https://lsnyc.legalserver.org/matter/dynamic-profile/view/1891494","19-1891494")</f>
        <v>0</v>
      </c>
      <c r="B682" t="s">
        <v>66</v>
      </c>
      <c r="C682" t="s">
        <v>164</v>
      </c>
      <c r="E682" t="s">
        <v>668</v>
      </c>
      <c r="F682" t="s">
        <v>1172</v>
      </c>
      <c r="G682" t="s">
        <v>1482</v>
      </c>
      <c r="H682" t="s">
        <v>1878</v>
      </c>
      <c r="I682">
        <v>11233</v>
      </c>
      <c r="J682" t="s">
        <v>2002</v>
      </c>
      <c r="K682" t="s">
        <v>2003</v>
      </c>
      <c r="M682" t="s">
        <v>2006</v>
      </c>
      <c r="N682" t="s">
        <v>2417</v>
      </c>
      <c r="O682" t="s">
        <v>2436</v>
      </c>
      <c r="Q682" t="s">
        <v>2002</v>
      </c>
      <c r="R682" t="s">
        <v>2451</v>
      </c>
      <c r="S682" t="s">
        <v>243</v>
      </c>
      <c r="T682">
        <v>505</v>
      </c>
      <c r="W682" t="s">
        <v>2920</v>
      </c>
      <c r="Z682">
        <v>359</v>
      </c>
      <c r="AA682" t="s">
        <v>3783</v>
      </c>
      <c r="AC682">
        <v>40</v>
      </c>
      <c r="AD682">
        <v>1</v>
      </c>
      <c r="AE682">
        <v>0</v>
      </c>
      <c r="AF682">
        <v>0</v>
      </c>
      <c r="AI682" t="s">
        <v>3809</v>
      </c>
      <c r="AJ682">
        <v>0</v>
      </c>
      <c r="AK682" t="s">
        <v>3963</v>
      </c>
      <c r="AP682">
        <v>0</v>
      </c>
      <c r="AR682" t="s">
        <v>4185</v>
      </c>
      <c r="AS682" t="s">
        <v>4210</v>
      </c>
      <c r="AT682" t="s">
        <v>4219</v>
      </c>
    </row>
    <row r="683" spans="1:46">
      <c r="A683" s="1">
        <f>HYPERLINK("https://lsnyc.legalserver.org/matter/dynamic-profile/view/1891511","19-1891511")</f>
        <v>0</v>
      </c>
      <c r="B683" t="s">
        <v>66</v>
      </c>
      <c r="C683" t="s">
        <v>164</v>
      </c>
      <c r="E683" t="s">
        <v>669</v>
      </c>
      <c r="F683" t="s">
        <v>1173</v>
      </c>
      <c r="G683" t="s">
        <v>1482</v>
      </c>
      <c r="H683" t="s">
        <v>1790</v>
      </c>
      <c r="I683">
        <v>11233</v>
      </c>
      <c r="J683" t="s">
        <v>2002</v>
      </c>
      <c r="K683" t="s">
        <v>2003</v>
      </c>
      <c r="M683" t="s">
        <v>2006</v>
      </c>
      <c r="N683" t="s">
        <v>2417</v>
      </c>
      <c r="O683" t="s">
        <v>2436</v>
      </c>
      <c r="Q683" t="s">
        <v>2002</v>
      </c>
      <c r="R683" t="s">
        <v>2451</v>
      </c>
      <c r="S683" t="s">
        <v>243</v>
      </c>
      <c r="T683">
        <v>0</v>
      </c>
      <c r="W683" t="s">
        <v>2921</v>
      </c>
      <c r="Z683">
        <v>359</v>
      </c>
      <c r="AA683" t="s">
        <v>3783</v>
      </c>
      <c r="AC683">
        <v>14</v>
      </c>
      <c r="AD683">
        <v>1</v>
      </c>
      <c r="AE683">
        <v>0</v>
      </c>
      <c r="AF683">
        <v>0</v>
      </c>
      <c r="AI683" t="s">
        <v>3809</v>
      </c>
      <c r="AJ683">
        <v>0</v>
      </c>
      <c r="AK683" t="s">
        <v>3964</v>
      </c>
      <c r="AP683">
        <v>0</v>
      </c>
      <c r="AR683" t="s">
        <v>4185</v>
      </c>
      <c r="AS683" t="s">
        <v>4210</v>
      </c>
      <c r="AT683" t="s">
        <v>4219</v>
      </c>
    </row>
    <row r="684" spans="1:46">
      <c r="A684" s="1">
        <f>HYPERLINK("https://lsnyc.legalserver.org/matter/dynamic-profile/view/1891534","19-1891534")</f>
        <v>0</v>
      </c>
      <c r="B684" t="s">
        <v>66</v>
      </c>
      <c r="C684" t="s">
        <v>164</v>
      </c>
      <c r="E684" t="s">
        <v>533</v>
      </c>
      <c r="F684" t="s">
        <v>1249</v>
      </c>
      <c r="G684" t="s">
        <v>1482</v>
      </c>
      <c r="H684" t="s">
        <v>1961</v>
      </c>
      <c r="I684">
        <v>11233</v>
      </c>
      <c r="J684" t="s">
        <v>2002</v>
      </c>
      <c r="K684" t="s">
        <v>2003</v>
      </c>
      <c r="L684" t="s">
        <v>2006</v>
      </c>
      <c r="M684" t="s">
        <v>2006</v>
      </c>
      <c r="N684" t="s">
        <v>2417</v>
      </c>
      <c r="O684" t="s">
        <v>2436</v>
      </c>
      <c r="Q684" t="s">
        <v>2002</v>
      </c>
      <c r="R684" t="s">
        <v>2451</v>
      </c>
      <c r="S684" t="s">
        <v>243</v>
      </c>
      <c r="T684">
        <v>1195</v>
      </c>
      <c r="W684" t="s">
        <v>2561</v>
      </c>
      <c r="X684" t="s">
        <v>2006</v>
      </c>
      <c r="Z684">
        <v>359</v>
      </c>
      <c r="AA684" t="s">
        <v>3783</v>
      </c>
      <c r="AB684" t="s">
        <v>2006</v>
      </c>
      <c r="AC684">
        <v>30</v>
      </c>
      <c r="AD684">
        <v>2</v>
      </c>
      <c r="AE684">
        <v>0</v>
      </c>
      <c r="AF684">
        <v>0</v>
      </c>
      <c r="AI684" t="s">
        <v>3809</v>
      </c>
      <c r="AJ684">
        <v>0</v>
      </c>
      <c r="AK684" t="s">
        <v>3965</v>
      </c>
      <c r="AP684">
        <v>0</v>
      </c>
      <c r="AR684" t="s">
        <v>4185</v>
      </c>
      <c r="AS684" t="s">
        <v>4210</v>
      </c>
      <c r="AT684" t="s">
        <v>4219</v>
      </c>
    </row>
    <row r="685" spans="1:46">
      <c r="A685" s="1">
        <f>HYPERLINK("https://lsnyc.legalserver.org/matter/dynamic-profile/view/1897171","19-1897171")</f>
        <v>0</v>
      </c>
      <c r="B685" t="s">
        <v>66</v>
      </c>
      <c r="C685" t="s">
        <v>269</v>
      </c>
      <c r="E685" t="s">
        <v>670</v>
      </c>
      <c r="F685" t="s">
        <v>1174</v>
      </c>
      <c r="G685" t="s">
        <v>1632</v>
      </c>
      <c r="H685" t="s">
        <v>1879</v>
      </c>
      <c r="I685">
        <v>11233</v>
      </c>
      <c r="J685" t="s">
        <v>2002</v>
      </c>
      <c r="K685" t="s">
        <v>2003</v>
      </c>
      <c r="N685" t="s">
        <v>2417</v>
      </c>
      <c r="O685" t="s">
        <v>2436</v>
      </c>
      <c r="Q685" t="s">
        <v>2002</v>
      </c>
      <c r="R685" t="s">
        <v>2451</v>
      </c>
      <c r="S685" t="s">
        <v>243</v>
      </c>
      <c r="T685">
        <v>1294.06</v>
      </c>
      <c r="U685" t="s">
        <v>2495</v>
      </c>
      <c r="W685" t="s">
        <v>2561</v>
      </c>
      <c r="Z685">
        <v>359</v>
      </c>
      <c r="AA685" t="s">
        <v>3783</v>
      </c>
      <c r="AB685" t="s">
        <v>2006</v>
      </c>
      <c r="AC685">
        <v>27</v>
      </c>
      <c r="AD685">
        <v>1</v>
      </c>
      <c r="AE685">
        <v>0</v>
      </c>
      <c r="AF685">
        <v>0</v>
      </c>
      <c r="AI685" t="s">
        <v>3809</v>
      </c>
      <c r="AJ685">
        <v>0</v>
      </c>
      <c r="AK685" t="s">
        <v>3966</v>
      </c>
      <c r="AP685">
        <v>0</v>
      </c>
      <c r="AR685" t="s">
        <v>49</v>
      </c>
      <c r="AS685" t="s">
        <v>4210</v>
      </c>
      <c r="AT685" t="s">
        <v>4219</v>
      </c>
    </row>
    <row r="686" spans="1:46">
      <c r="A686" s="1">
        <f>HYPERLINK("https://lsnyc.legalserver.org/matter/dynamic-profile/view/1897190","19-1897190")</f>
        <v>0</v>
      </c>
      <c r="B686" t="s">
        <v>66</v>
      </c>
      <c r="C686" t="s">
        <v>269</v>
      </c>
      <c r="E686" t="s">
        <v>467</v>
      </c>
      <c r="F686" t="s">
        <v>940</v>
      </c>
      <c r="G686" t="s">
        <v>1632</v>
      </c>
      <c r="H686" t="s">
        <v>1760</v>
      </c>
      <c r="I686">
        <v>11233</v>
      </c>
      <c r="J686" t="s">
        <v>2002</v>
      </c>
      <c r="K686" t="s">
        <v>2003</v>
      </c>
      <c r="N686" t="s">
        <v>2417</v>
      </c>
      <c r="O686" t="s">
        <v>2436</v>
      </c>
      <c r="Q686" t="s">
        <v>2002</v>
      </c>
      <c r="R686" t="s">
        <v>2451</v>
      </c>
      <c r="S686" t="s">
        <v>243</v>
      </c>
      <c r="T686">
        <v>1014</v>
      </c>
      <c r="U686" t="s">
        <v>2495</v>
      </c>
      <c r="W686" t="s">
        <v>2922</v>
      </c>
      <c r="Z686">
        <v>359</v>
      </c>
      <c r="AA686" t="s">
        <v>3783</v>
      </c>
      <c r="AC686">
        <v>30</v>
      </c>
      <c r="AD686">
        <v>1</v>
      </c>
      <c r="AE686">
        <v>0</v>
      </c>
      <c r="AF686">
        <v>0</v>
      </c>
      <c r="AI686" t="s">
        <v>3809</v>
      </c>
      <c r="AJ686">
        <v>0</v>
      </c>
      <c r="AP686">
        <v>0</v>
      </c>
      <c r="AR686" t="s">
        <v>49</v>
      </c>
      <c r="AS686" t="s">
        <v>4210</v>
      </c>
      <c r="AT686" t="s">
        <v>4219</v>
      </c>
    </row>
    <row r="687" spans="1:46">
      <c r="A687" s="1">
        <f>HYPERLINK("https://lsnyc.legalserver.org/matter/dynamic-profile/view/1897201","19-1897201")</f>
        <v>0</v>
      </c>
      <c r="B687" t="s">
        <v>66</v>
      </c>
      <c r="C687" t="s">
        <v>269</v>
      </c>
      <c r="E687" t="s">
        <v>671</v>
      </c>
      <c r="F687" t="s">
        <v>1175</v>
      </c>
      <c r="G687" t="s">
        <v>1633</v>
      </c>
      <c r="H687" t="s">
        <v>1880</v>
      </c>
      <c r="I687">
        <v>11233</v>
      </c>
      <c r="J687" t="s">
        <v>2002</v>
      </c>
      <c r="K687" t="s">
        <v>2003</v>
      </c>
      <c r="N687" t="s">
        <v>2417</v>
      </c>
      <c r="O687" t="s">
        <v>2436</v>
      </c>
      <c r="Q687" t="s">
        <v>2002</v>
      </c>
      <c r="R687" t="s">
        <v>2451</v>
      </c>
      <c r="S687" t="s">
        <v>243</v>
      </c>
      <c r="T687">
        <v>0</v>
      </c>
      <c r="U687" t="s">
        <v>2495</v>
      </c>
      <c r="W687" t="s">
        <v>2923</v>
      </c>
      <c r="Z687">
        <v>359</v>
      </c>
      <c r="AA687" t="s">
        <v>3783</v>
      </c>
      <c r="AC687">
        <v>20</v>
      </c>
      <c r="AD687">
        <v>1</v>
      </c>
      <c r="AE687">
        <v>0</v>
      </c>
      <c r="AF687">
        <v>0</v>
      </c>
      <c r="AI687" t="s">
        <v>3809</v>
      </c>
      <c r="AJ687">
        <v>0</v>
      </c>
      <c r="AP687">
        <v>0</v>
      </c>
      <c r="AR687" t="s">
        <v>49</v>
      </c>
      <c r="AS687" t="s">
        <v>4210</v>
      </c>
      <c r="AT687" t="s">
        <v>4219</v>
      </c>
    </row>
    <row r="688" spans="1:46">
      <c r="A688" s="1">
        <f>HYPERLINK("https://lsnyc.legalserver.org/matter/dynamic-profile/view/1897530","19-1897530")</f>
        <v>0</v>
      </c>
      <c r="B688" t="s">
        <v>66</v>
      </c>
      <c r="C688" t="s">
        <v>169</v>
      </c>
      <c r="E688" t="s">
        <v>637</v>
      </c>
      <c r="F688" t="s">
        <v>1176</v>
      </c>
      <c r="G688" t="s">
        <v>1632</v>
      </c>
      <c r="H688" t="s">
        <v>1881</v>
      </c>
      <c r="I688">
        <v>11233</v>
      </c>
      <c r="J688" t="s">
        <v>2002</v>
      </c>
      <c r="K688" t="s">
        <v>2003</v>
      </c>
      <c r="N688" t="s">
        <v>2417</v>
      </c>
      <c r="O688" t="s">
        <v>2436</v>
      </c>
      <c r="Q688" t="s">
        <v>2002</v>
      </c>
      <c r="R688" t="s">
        <v>2451</v>
      </c>
      <c r="S688" t="s">
        <v>243</v>
      </c>
      <c r="T688">
        <v>976.08</v>
      </c>
      <c r="U688" t="s">
        <v>2512</v>
      </c>
      <c r="W688" t="s">
        <v>2924</v>
      </c>
      <c r="Z688">
        <v>359</v>
      </c>
      <c r="AA688" t="s">
        <v>3783</v>
      </c>
      <c r="AC688">
        <v>0</v>
      </c>
      <c r="AD688">
        <v>1</v>
      </c>
      <c r="AE688">
        <v>0</v>
      </c>
      <c r="AF688">
        <v>0</v>
      </c>
      <c r="AI688" t="s">
        <v>3809</v>
      </c>
      <c r="AJ688">
        <v>0</v>
      </c>
      <c r="AK688" t="s">
        <v>3967</v>
      </c>
      <c r="AP688">
        <v>0</v>
      </c>
      <c r="AR688" t="s">
        <v>4185</v>
      </c>
      <c r="AS688" t="s">
        <v>4210</v>
      </c>
      <c r="AT688" t="s">
        <v>4219</v>
      </c>
    </row>
    <row r="689" spans="1:46">
      <c r="A689" s="1">
        <f>HYPERLINK("https://lsnyc.legalserver.org/matter/dynamic-profile/view/1901995","19-1901995")</f>
        <v>0</v>
      </c>
      <c r="B689" t="s">
        <v>66</v>
      </c>
      <c r="C689" t="s">
        <v>158</v>
      </c>
      <c r="E689" t="s">
        <v>577</v>
      </c>
      <c r="F689" t="s">
        <v>1177</v>
      </c>
      <c r="G689" t="s">
        <v>1482</v>
      </c>
      <c r="H689" t="s">
        <v>1873</v>
      </c>
      <c r="I689">
        <v>11233</v>
      </c>
      <c r="J689" t="s">
        <v>2002</v>
      </c>
      <c r="K689" t="s">
        <v>2004</v>
      </c>
      <c r="L689" t="s">
        <v>2006</v>
      </c>
      <c r="M689" t="s">
        <v>2027</v>
      </c>
      <c r="N689" t="s">
        <v>2417</v>
      </c>
      <c r="O689" t="s">
        <v>2436</v>
      </c>
      <c r="Q689" t="s">
        <v>2002</v>
      </c>
      <c r="R689" t="s">
        <v>2451</v>
      </c>
      <c r="S689" t="s">
        <v>243</v>
      </c>
      <c r="T689">
        <v>840</v>
      </c>
      <c r="U689" t="s">
        <v>2495</v>
      </c>
      <c r="W689" t="s">
        <v>2925</v>
      </c>
      <c r="Z689">
        <v>359</v>
      </c>
      <c r="AA689" t="s">
        <v>3783</v>
      </c>
      <c r="AC689">
        <v>9</v>
      </c>
      <c r="AD689">
        <v>1</v>
      </c>
      <c r="AE689">
        <v>0</v>
      </c>
      <c r="AF689">
        <v>0</v>
      </c>
      <c r="AI689" t="s">
        <v>3809</v>
      </c>
      <c r="AJ689">
        <v>0</v>
      </c>
      <c r="AK689" t="s">
        <v>3968</v>
      </c>
      <c r="AP689">
        <v>0</v>
      </c>
      <c r="AR689" t="s">
        <v>49</v>
      </c>
      <c r="AS689" t="s">
        <v>4210</v>
      </c>
      <c r="AT689" t="s">
        <v>4219</v>
      </c>
    </row>
    <row r="690" spans="1:46">
      <c r="A690" s="1">
        <f>HYPERLINK("https://lsnyc.legalserver.org/matter/dynamic-profile/view/1902021","19-1902021")</f>
        <v>0</v>
      </c>
      <c r="B690" t="s">
        <v>66</v>
      </c>
      <c r="C690" t="s">
        <v>158</v>
      </c>
      <c r="E690" t="s">
        <v>672</v>
      </c>
      <c r="F690" t="s">
        <v>1178</v>
      </c>
      <c r="G690" t="s">
        <v>1482</v>
      </c>
      <c r="H690" t="s">
        <v>1882</v>
      </c>
      <c r="I690">
        <v>11233</v>
      </c>
      <c r="J690" t="s">
        <v>2002</v>
      </c>
      <c r="K690" t="s">
        <v>2004</v>
      </c>
      <c r="L690" t="s">
        <v>2006</v>
      </c>
      <c r="M690" t="s">
        <v>2027</v>
      </c>
      <c r="N690" t="s">
        <v>2417</v>
      </c>
      <c r="O690" t="s">
        <v>2436</v>
      </c>
      <c r="Q690" t="s">
        <v>2002</v>
      </c>
      <c r="R690" t="s">
        <v>2451</v>
      </c>
      <c r="S690" t="s">
        <v>243</v>
      </c>
      <c r="T690">
        <v>1126</v>
      </c>
      <c r="U690" t="s">
        <v>2495</v>
      </c>
      <c r="W690" t="s">
        <v>2926</v>
      </c>
      <c r="Z690">
        <v>359</v>
      </c>
      <c r="AA690" t="s">
        <v>3783</v>
      </c>
      <c r="AC690">
        <v>45</v>
      </c>
      <c r="AD690">
        <v>1</v>
      </c>
      <c r="AE690">
        <v>0</v>
      </c>
      <c r="AF690">
        <v>0</v>
      </c>
      <c r="AI690" t="s">
        <v>3809</v>
      </c>
      <c r="AJ690">
        <v>0</v>
      </c>
      <c r="AK690" t="s">
        <v>3969</v>
      </c>
      <c r="AP690">
        <v>0</v>
      </c>
      <c r="AR690" t="s">
        <v>49</v>
      </c>
      <c r="AS690" t="s">
        <v>4210</v>
      </c>
      <c r="AT690" t="s">
        <v>4219</v>
      </c>
    </row>
    <row r="691" spans="1:46">
      <c r="A691" s="1">
        <f>HYPERLINK("https://lsnyc.legalserver.org/matter/dynamic-profile/view/1902163","19-1902163")</f>
        <v>0</v>
      </c>
      <c r="B691" t="s">
        <v>66</v>
      </c>
      <c r="C691" t="s">
        <v>107</v>
      </c>
      <c r="E691" t="s">
        <v>673</v>
      </c>
      <c r="F691" t="s">
        <v>1179</v>
      </c>
      <c r="G691" t="s">
        <v>1482</v>
      </c>
      <c r="H691" t="s">
        <v>1883</v>
      </c>
      <c r="I691">
        <v>11233</v>
      </c>
      <c r="J691" t="s">
        <v>2002</v>
      </c>
      <c r="K691" t="s">
        <v>2004</v>
      </c>
      <c r="L691" t="s">
        <v>2006</v>
      </c>
      <c r="M691" t="s">
        <v>2132</v>
      </c>
      <c r="N691" t="s">
        <v>2417</v>
      </c>
      <c r="O691" t="s">
        <v>2436</v>
      </c>
      <c r="Q691" t="s">
        <v>2002</v>
      </c>
      <c r="R691" t="s">
        <v>2451</v>
      </c>
      <c r="S691" t="s">
        <v>243</v>
      </c>
      <c r="T691">
        <v>1170</v>
      </c>
      <c r="U691" t="s">
        <v>2495</v>
      </c>
      <c r="W691" t="s">
        <v>2561</v>
      </c>
      <c r="Z691">
        <v>359</v>
      </c>
      <c r="AA691" t="s">
        <v>3783</v>
      </c>
      <c r="AC691">
        <v>29</v>
      </c>
      <c r="AD691">
        <v>3</v>
      </c>
      <c r="AE691">
        <v>4</v>
      </c>
      <c r="AF691">
        <v>17.94</v>
      </c>
      <c r="AI691" t="s">
        <v>3809</v>
      </c>
      <c r="AJ691">
        <v>7000</v>
      </c>
      <c r="AK691" t="s">
        <v>3970</v>
      </c>
      <c r="AP691">
        <v>0</v>
      </c>
      <c r="AR691" t="s">
        <v>49</v>
      </c>
      <c r="AS691" t="s">
        <v>4210</v>
      </c>
      <c r="AT691" t="s">
        <v>4219</v>
      </c>
    </row>
    <row r="692" spans="1:46">
      <c r="A692" s="1">
        <f>HYPERLINK("https://lsnyc.legalserver.org/matter/dynamic-profile/view/1902003","19-1902003")</f>
        <v>0</v>
      </c>
      <c r="B692" t="s">
        <v>66</v>
      </c>
      <c r="C692" t="s">
        <v>158</v>
      </c>
      <c r="E692" t="s">
        <v>553</v>
      </c>
      <c r="F692" t="s">
        <v>1180</v>
      </c>
      <c r="G692" t="s">
        <v>1632</v>
      </c>
      <c r="H692" t="s">
        <v>1884</v>
      </c>
      <c r="I692">
        <v>11233</v>
      </c>
      <c r="J692" t="s">
        <v>2002</v>
      </c>
      <c r="K692" t="s">
        <v>2004</v>
      </c>
      <c r="L692" t="s">
        <v>2006</v>
      </c>
      <c r="M692" t="s">
        <v>2027</v>
      </c>
      <c r="N692" t="s">
        <v>2417</v>
      </c>
      <c r="O692" t="s">
        <v>2436</v>
      </c>
      <c r="Q692" t="s">
        <v>2002</v>
      </c>
      <c r="S692" t="s">
        <v>243</v>
      </c>
      <c r="T692">
        <v>1350</v>
      </c>
      <c r="U692" t="s">
        <v>2495</v>
      </c>
      <c r="W692" t="s">
        <v>2927</v>
      </c>
      <c r="Z692">
        <v>359</v>
      </c>
      <c r="AA692" t="s">
        <v>3783</v>
      </c>
      <c r="AC692">
        <v>20</v>
      </c>
      <c r="AD692">
        <v>3</v>
      </c>
      <c r="AE692">
        <v>1</v>
      </c>
      <c r="AF692">
        <v>35.93</v>
      </c>
      <c r="AI692" t="s">
        <v>3809</v>
      </c>
      <c r="AJ692">
        <v>9252</v>
      </c>
      <c r="AK692" t="s">
        <v>3971</v>
      </c>
      <c r="AP692">
        <v>0</v>
      </c>
      <c r="AR692" t="s">
        <v>49</v>
      </c>
      <c r="AS692" t="s">
        <v>4210</v>
      </c>
      <c r="AT692" t="s">
        <v>4219</v>
      </c>
    </row>
    <row r="693" spans="1:46">
      <c r="A693" s="1">
        <f>HYPERLINK("https://lsnyc.legalserver.org/matter/dynamic-profile/view/1891478","19-1891478")</f>
        <v>0</v>
      </c>
      <c r="B693" t="s">
        <v>66</v>
      </c>
      <c r="C693" t="s">
        <v>164</v>
      </c>
      <c r="E693" t="s">
        <v>674</v>
      </c>
      <c r="F693" t="s">
        <v>1051</v>
      </c>
      <c r="G693" t="s">
        <v>1632</v>
      </c>
      <c r="H693" t="s">
        <v>1819</v>
      </c>
      <c r="I693">
        <v>11233</v>
      </c>
      <c r="J693" t="s">
        <v>2002</v>
      </c>
      <c r="K693" t="s">
        <v>2003</v>
      </c>
      <c r="N693" t="s">
        <v>2417</v>
      </c>
      <c r="O693" t="s">
        <v>2436</v>
      </c>
      <c r="Q693" t="s">
        <v>2002</v>
      </c>
      <c r="R693" t="s">
        <v>2451</v>
      </c>
      <c r="S693" t="s">
        <v>243</v>
      </c>
      <c r="T693">
        <v>300</v>
      </c>
      <c r="U693" t="s">
        <v>2512</v>
      </c>
      <c r="W693" t="s">
        <v>2928</v>
      </c>
      <c r="Z693">
        <v>359</v>
      </c>
      <c r="AA693" t="s">
        <v>3783</v>
      </c>
      <c r="AB693" t="s">
        <v>3793</v>
      </c>
      <c r="AC693">
        <v>50</v>
      </c>
      <c r="AD693">
        <v>2</v>
      </c>
      <c r="AE693">
        <v>0</v>
      </c>
      <c r="AF693">
        <v>40.21</v>
      </c>
      <c r="AI693" t="s">
        <v>3809</v>
      </c>
      <c r="AJ693">
        <v>6800</v>
      </c>
      <c r="AK693" t="s">
        <v>3972</v>
      </c>
      <c r="AP693">
        <v>0</v>
      </c>
      <c r="AR693" t="s">
        <v>49</v>
      </c>
      <c r="AS693" t="s">
        <v>4210</v>
      </c>
      <c r="AT693" t="s">
        <v>4219</v>
      </c>
    </row>
    <row r="694" spans="1:46">
      <c r="A694" s="1">
        <f>HYPERLINK("https://lsnyc.legalserver.org/matter/dynamic-profile/view/1898252","19-1898252")</f>
        <v>0</v>
      </c>
      <c r="B694" t="s">
        <v>66</v>
      </c>
      <c r="C694" t="s">
        <v>182</v>
      </c>
      <c r="E694" t="s">
        <v>447</v>
      </c>
      <c r="F694" t="s">
        <v>902</v>
      </c>
      <c r="G694" t="s">
        <v>1633</v>
      </c>
      <c r="H694" t="s">
        <v>1885</v>
      </c>
      <c r="I694">
        <v>11233</v>
      </c>
      <c r="J694" t="s">
        <v>2002</v>
      </c>
      <c r="K694" t="s">
        <v>2003</v>
      </c>
      <c r="N694" t="s">
        <v>2417</v>
      </c>
      <c r="O694" t="s">
        <v>2436</v>
      </c>
      <c r="Q694" t="s">
        <v>2002</v>
      </c>
      <c r="R694" t="s">
        <v>2451</v>
      </c>
      <c r="S694" t="s">
        <v>243</v>
      </c>
      <c r="T694">
        <v>1000</v>
      </c>
      <c r="U694" t="s">
        <v>2495</v>
      </c>
      <c r="W694" t="s">
        <v>2929</v>
      </c>
      <c r="Z694">
        <v>359</v>
      </c>
      <c r="AA694" t="s">
        <v>3783</v>
      </c>
      <c r="AC694">
        <v>25</v>
      </c>
      <c r="AD694">
        <v>2</v>
      </c>
      <c r="AE694">
        <v>0</v>
      </c>
      <c r="AF694">
        <v>42.58</v>
      </c>
      <c r="AI694" t="s">
        <v>3809</v>
      </c>
      <c r="AJ694">
        <v>7200</v>
      </c>
      <c r="AK694" t="s">
        <v>3973</v>
      </c>
      <c r="AP694">
        <v>0</v>
      </c>
      <c r="AR694" t="s">
        <v>49</v>
      </c>
      <c r="AS694" t="s">
        <v>4210</v>
      </c>
      <c r="AT694" t="s">
        <v>4219</v>
      </c>
    </row>
    <row r="695" spans="1:46">
      <c r="A695" s="1">
        <f>HYPERLINK("https://lsnyc.legalserver.org/matter/dynamic-profile/view/1891856","19-1891856")</f>
        <v>0</v>
      </c>
      <c r="B695" t="s">
        <v>66</v>
      </c>
      <c r="C695" t="s">
        <v>277</v>
      </c>
      <c r="E695" t="s">
        <v>443</v>
      </c>
      <c r="F695" t="s">
        <v>1181</v>
      </c>
      <c r="G695" t="s">
        <v>1482</v>
      </c>
      <c r="H695" t="s">
        <v>1886</v>
      </c>
      <c r="I695">
        <v>11233</v>
      </c>
      <c r="J695" t="s">
        <v>2002</v>
      </c>
      <c r="K695" t="s">
        <v>2003</v>
      </c>
      <c r="M695" t="s">
        <v>2006</v>
      </c>
      <c r="N695" t="s">
        <v>2417</v>
      </c>
      <c r="O695" t="s">
        <v>2436</v>
      </c>
      <c r="Q695" t="s">
        <v>2002</v>
      </c>
      <c r="R695" t="s">
        <v>2451</v>
      </c>
      <c r="S695" t="s">
        <v>243</v>
      </c>
      <c r="T695">
        <v>923</v>
      </c>
      <c r="W695" t="s">
        <v>2930</v>
      </c>
      <c r="Z695">
        <v>359</v>
      </c>
      <c r="AA695" t="s">
        <v>3783</v>
      </c>
      <c r="AB695" t="s">
        <v>3793</v>
      </c>
      <c r="AC695">
        <v>0</v>
      </c>
      <c r="AD695">
        <v>2</v>
      </c>
      <c r="AE695">
        <v>2</v>
      </c>
      <c r="AF695">
        <v>43.01</v>
      </c>
      <c r="AI695" t="s">
        <v>3809</v>
      </c>
      <c r="AJ695">
        <v>11076</v>
      </c>
      <c r="AK695" t="s">
        <v>3974</v>
      </c>
      <c r="AP695">
        <v>0</v>
      </c>
      <c r="AR695" t="s">
        <v>4185</v>
      </c>
      <c r="AS695" t="s">
        <v>4210</v>
      </c>
      <c r="AT695" t="s">
        <v>4219</v>
      </c>
    </row>
    <row r="696" spans="1:46">
      <c r="A696" s="1">
        <f>HYPERLINK("https://lsnyc.legalserver.org/matter/dynamic-profile/view/1901980","19-1901980")</f>
        <v>0</v>
      </c>
      <c r="B696" t="s">
        <v>66</v>
      </c>
      <c r="C696" t="s">
        <v>158</v>
      </c>
      <c r="E696" t="s">
        <v>676</v>
      </c>
      <c r="F696" t="s">
        <v>1183</v>
      </c>
      <c r="G696" t="s">
        <v>1632</v>
      </c>
      <c r="H696" t="s">
        <v>1888</v>
      </c>
      <c r="I696">
        <v>11233</v>
      </c>
      <c r="J696" t="s">
        <v>2002</v>
      </c>
      <c r="K696" t="s">
        <v>2004</v>
      </c>
      <c r="L696" t="s">
        <v>2006</v>
      </c>
      <c r="M696" t="s">
        <v>2132</v>
      </c>
      <c r="N696" t="s">
        <v>2417</v>
      </c>
      <c r="O696" t="s">
        <v>2436</v>
      </c>
      <c r="Q696" t="s">
        <v>2002</v>
      </c>
      <c r="R696" t="s">
        <v>2451</v>
      </c>
      <c r="S696" t="s">
        <v>243</v>
      </c>
      <c r="T696">
        <v>1375</v>
      </c>
      <c r="U696" t="s">
        <v>2495</v>
      </c>
      <c r="W696" t="s">
        <v>2932</v>
      </c>
      <c r="Z696">
        <v>359</v>
      </c>
      <c r="AA696" t="s">
        <v>3783</v>
      </c>
      <c r="AC696">
        <v>10</v>
      </c>
      <c r="AD696">
        <v>2</v>
      </c>
      <c r="AE696">
        <v>0</v>
      </c>
      <c r="AF696">
        <v>47.31</v>
      </c>
      <c r="AI696" t="s">
        <v>3809</v>
      </c>
      <c r="AJ696">
        <v>8000</v>
      </c>
      <c r="AK696" t="s">
        <v>3975</v>
      </c>
      <c r="AP696">
        <v>0</v>
      </c>
      <c r="AR696" t="s">
        <v>49</v>
      </c>
      <c r="AS696" t="s">
        <v>4210</v>
      </c>
      <c r="AT696" t="s">
        <v>4219</v>
      </c>
    </row>
    <row r="697" spans="1:46">
      <c r="A697" s="1">
        <f>HYPERLINK("https://lsnyc.legalserver.org/matter/dynamic-profile/view/1902045","19-1902045")</f>
        <v>0</v>
      </c>
      <c r="B697" t="s">
        <v>66</v>
      </c>
      <c r="C697" t="s">
        <v>158</v>
      </c>
      <c r="E697" t="s">
        <v>677</v>
      </c>
      <c r="F697" t="s">
        <v>1184</v>
      </c>
      <c r="G697" t="s">
        <v>1634</v>
      </c>
      <c r="H697" t="s">
        <v>1889</v>
      </c>
      <c r="I697">
        <v>11233</v>
      </c>
      <c r="J697" t="s">
        <v>2002</v>
      </c>
      <c r="K697" t="s">
        <v>2004</v>
      </c>
      <c r="L697" t="s">
        <v>2006</v>
      </c>
      <c r="M697" t="s">
        <v>2027</v>
      </c>
      <c r="N697" t="s">
        <v>2417</v>
      </c>
      <c r="O697" t="s">
        <v>2436</v>
      </c>
      <c r="Q697" t="s">
        <v>2002</v>
      </c>
      <c r="R697" t="s">
        <v>2451</v>
      </c>
      <c r="S697" t="s">
        <v>243</v>
      </c>
      <c r="T697">
        <v>879</v>
      </c>
      <c r="U697" t="s">
        <v>2495</v>
      </c>
      <c r="W697" t="s">
        <v>2933</v>
      </c>
      <c r="Z697">
        <v>359</v>
      </c>
      <c r="AA697" t="s">
        <v>3783</v>
      </c>
      <c r="AC697">
        <v>40</v>
      </c>
      <c r="AD697">
        <v>2</v>
      </c>
      <c r="AE697">
        <v>0</v>
      </c>
      <c r="AF697">
        <v>55.28</v>
      </c>
      <c r="AI697" t="s">
        <v>3809</v>
      </c>
      <c r="AJ697">
        <v>9348</v>
      </c>
      <c r="AK697" t="s">
        <v>3976</v>
      </c>
      <c r="AP697">
        <v>0</v>
      </c>
      <c r="AR697" t="s">
        <v>49</v>
      </c>
      <c r="AS697" t="s">
        <v>4210</v>
      </c>
      <c r="AT697" t="s">
        <v>4219</v>
      </c>
    </row>
    <row r="698" spans="1:46">
      <c r="A698" s="1">
        <f>HYPERLINK("https://lsnyc.legalserver.org/matter/dynamic-profile/view/1891713","19-1891713")</f>
        <v>0</v>
      </c>
      <c r="B698" t="s">
        <v>66</v>
      </c>
      <c r="C698" t="s">
        <v>271</v>
      </c>
      <c r="E698" t="s">
        <v>666</v>
      </c>
      <c r="F698" t="s">
        <v>1168</v>
      </c>
      <c r="G698" t="s">
        <v>1482</v>
      </c>
      <c r="H698" t="s">
        <v>1874</v>
      </c>
      <c r="I698">
        <v>11233</v>
      </c>
      <c r="J698" t="s">
        <v>2002</v>
      </c>
      <c r="K698" t="s">
        <v>2002</v>
      </c>
      <c r="M698" t="s">
        <v>2058</v>
      </c>
      <c r="N698" t="s">
        <v>2417</v>
      </c>
      <c r="O698" t="s">
        <v>2436</v>
      </c>
      <c r="Q698" t="s">
        <v>2002</v>
      </c>
      <c r="R698" t="s">
        <v>2451</v>
      </c>
      <c r="S698" t="s">
        <v>243</v>
      </c>
      <c r="T698">
        <v>1036</v>
      </c>
      <c r="W698" t="s">
        <v>2916</v>
      </c>
      <c r="Y698" t="s">
        <v>3654</v>
      </c>
      <c r="Z698">
        <v>359</v>
      </c>
      <c r="AA698" t="s">
        <v>3783</v>
      </c>
      <c r="AB698" t="s">
        <v>3793</v>
      </c>
      <c r="AC698">
        <v>13</v>
      </c>
      <c r="AD698">
        <v>2</v>
      </c>
      <c r="AE698">
        <v>4</v>
      </c>
      <c r="AF698">
        <v>57.82</v>
      </c>
      <c r="AI698" t="s">
        <v>3809</v>
      </c>
      <c r="AJ698">
        <v>20000</v>
      </c>
      <c r="AK698" t="s">
        <v>3977</v>
      </c>
      <c r="AP698">
        <v>0</v>
      </c>
      <c r="AR698" t="s">
        <v>4185</v>
      </c>
      <c r="AS698" t="s">
        <v>4210</v>
      </c>
      <c r="AT698" t="s">
        <v>4219</v>
      </c>
    </row>
    <row r="699" spans="1:46">
      <c r="A699" s="1">
        <f>HYPERLINK("https://lsnyc.legalserver.org/matter/dynamic-profile/view/1891663","19-1891663")</f>
        <v>0</v>
      </c>
      <c r="B699" t="s">
        <v>66</v>
      </c>
      <c r="C699" t="s">
        <v>271</v>
      </c>
      <c r="E699" t="s">
        <v>678</v>
      </c>
      <c r="F699" t="s">
        <v>1104</v>
      </c>
      <c r="G699" t="s">
        <v>1632</v>
      </c>
      <c r="H699" t="s">
        <v>1890</v>
      </c>
      <c r="I699">
        <v>11233</v>
      </c>
      <c r="J699" t="s">
        <v>2002</v>
      </c>
      <c r="K699" t="s">
        <v>2003</v>
      </c>
      <c r="M699" t="s">
        <v>2006</v>
      </c>
      <c r="N699" t="s">
        <v>2417</v>
      </c>
      <c r="O699" t="s">
        <v>2436</v>
      </c>
      <c r="Q699" t="s">
        <v>2002</v>
      </c>
      <c r="R699" t="s">
        <v>2451</v>
      </c>
      <c r="S699" t="s">
        <v>243</v>
      </c>
      <c r="T699">
        <v>802</v>
      </c>
      <c r="W699" t="s">
        <v>2934</v>
      </c>
      <c r="Z699">
        <v>359</v>
      </c>
      <c r="AA699" t="s">
        <v>3783</v>
      </c>
      <c r="AC699">
        <v>12</v>
      </c>
      <c r="AD699">
        <v>2</v>
      </c>
      <c r="AE699">
        <v>0</v>
      </c>
      <c r="AF699">
        <v>65.78</v>
      </c>
      <c r="AI699" t="s">
        <v>3809</v>
      </c>
      <c r="AJ699">
        <v>11124</v>
      </c>
      <c r="AK699" t="s">
        <v>3978</v>
      </c>
      <c r="AP699">
        <v>0</v>
      </c>
      <c r="AR699" t="s">
        <v>4185</v>
      </c>
      <c r="AS699" t="s">
        <v>4210</v>
      </c>
      <c r="AT699" t="s">
        <v>4219</v>
      </c>
    </row>
    <row r="700" spans="1:46">
      <c r="A700" s="1">
        <f>HYPERLINK("https://lsnyc.legalserver.org/matter/dynamic-profile/view/1898821","19-1898821")</f>
        <v>0</v>
      </c>
      <c r="B700" t="s">
        <v>66</v>
      </c>
      <c r="C700" t="s">
        <v>140</v>
      </c>
      <c r="E700" t="s">
        <v>679</v>
      </c>
      <c r="F700" t="s">
        <v>1185</v>
      </c>
      <c r="G700" t="s">
        <v>1634</v>
      </c>
      <c r="H700" t="s">
        <v>1891</v>
      </c>
      <c r="I700">
        <v>11233</v>
      </c>
      <c r="J700" t="s">
        <v>2002</v>
      </c>
      <c r="K700" t="s">
        <v>2003</v>
      </c>
      <c r="N700" t="s">
        <v>2417</v>
      </c>
      <c r="O700" t="s">
        <v>2436</v>
      </c>
      <c r="Q700" t="s">
        <v>2002</v>
      </c>
      <c r="R700" t="s">
        <v>2451</v>
      </c>
      <c r="S700" t="s">
        <v>243</v>
      </c>
      <c r="T700">
        <v>615</v>
      </c>
      <c r="U700" t="s">
        <v>2495</v>
      </c>
      <c r="W700" t="s">
        <v>2935</v>
      </c>
      <c r="Z700">
        <v>359</v>
      </c>
      <c r="AA700" t="s">
        <v>3783</v>
      </c>
      <c r="AC700">
        <v>10</v>
      </c>
      <c r="AD700">
        <v>1</v>
      </c>
      <c r="AE700">
        <v>1</v>
      </c>
      <c r="AF700">
        <v>70.95999999999999</v>
      </c>
      <c r="AI700" t="s">
        <v>3809</v>
      </c>
      <c r="AJ700">
        <v>12000</v>
      </c>
      <c r="AK700" t="s">
        <v>3979</v>
      </c>
      <c r="AP700">
        <v>0</v>
      </c>
      <c r="AR700" t="s">
        <v>49</v>
      </c>
      <c r="AS700" t="s">
        <v>4210</v>
      </c>
      <c r="AT700" t="s">
        <v>4219</v>
      </c>
    </row>
    <row r="701" spans="1:46">
      <c r="A701" s="1">
        <f>HYPERLINK("https://lsnyc.legalserver.org/matter/dynamic-profile/view/1892008","19-1892008")</f>
        <v>0</v>
      </c>
      <c r="B701" t="s">
        <v>66</v>
      </c>
      <c r="C701" t="s">
        <v>224</v>
      </c>
      <c r="E701" t="s">
        <v>680</v>
      </c>
      <c r="F701" t="s">
        <v>1186</v>
      </c>
      <c r="G701" t="s">
        <v>1482</v>
      </c>
      <c r="H701" t="s">
        <v>1795</v>
      </c>
      <c r="I701">
        <v>11233</v>
      </c>
      <c r="J701" t="s">
        <v>2002</v>
      </c>
      <c r="K701" t="s">
        <v>2003</v>
      </c>
      <c r="N701" t="s">
        <v>2417</v>
      </c>
      <c r="O701" t="s">
        <v>2436</v>
      </c>
      <c r="Q701" t="s">
        <v>2002</v>
      </c>
      <c r="R701" t="s">
        <v>2451</v>
      </c>
      <c r="S701" t="s">
        <v>243</v>
      </c>
      <c r="T701">
        <v>654.65</v>
      </c>
      <c r="U701" t="s">
        <v>2495</v>
      </c>
      <c r="W701" t="s">
        <v>2936</v>
      </c>
      <c r="Z701">
        <v>359</v>
      </c>
      <c r="AA701" t="s">
        <v>3783</v>
      </c>
      <c r="AB701" t="s">
        <v>2006</v>
      </c>
      <c r="AC701">
        <v>17</v>
      </c>
      <c r="AD701">
        <v>1</v>
      </c>
      <c r="AE701">
        <v>1</v>
      </c>
      <c r="AF701">
        <v>76.88</v>
      </c>
      <c r="AI701" t="s">
        <v>3809</v>
      </c>
      <c r="AJ701">
        <v>13000</v>
      </c>
      <c r="AK701" t="s">
        <v>3980</v>
      </c>
      <c r="AP701">
        <v>0</v>
      </c>
      <c r="AR701" t="s">
        <v>49</v>
      </c>
      <c r="AS701" t="s">
        <v>4210</v>
      </c>
      <c r="AT701" t="s">
        <v>4219</v>
      </c>
    </row>
    <row r="702" spans="1:46">
      <c r="A702" s="1">
        <f>HYPERLINK("https://lsnyc.legalserver.org/matter/dynamic-profile/view/1891999","19-1891999")</f>
        <v>0</v>
      </c>
      <c r="B702" t="s">
        <v>66</v>
      </c>
      <c r="C702" t="s">
        <v>224</v>
      </c>
      <c r="E702" t="s">
        <v>553</v>
      </c>
      <c r="F702" t="s">
        <v>1187</v>
      </c>
      <c r="G702" t="s">
        <v>1633</v>
      </c>
      <c r="H702" t="s">
        <v>1892</v>
      </c>
      <c r="I702">
        <v>11233</v>
      </c>
      <c r="J702" t="s">
        <v>2002</v>
      </c>
      <c r="K702" t="s">
        <v>2003</v>
      </c>
      <c r="N702" t="s">
        <v>2417</v>
      </c>
      <c r="O702" t="s">
        <v>2436</v>
      </c>
      <c r="Q702" t="s">
        <v>2002</v>
      </c>
      <c r="R702" t="s">
        <v>2451</v>
      </c>
      <c r="S702" t="s">
        <v>243</v>
      </c>
      <c r="T702">
        <v>1040.6</v>
      </c>
      <c r="U702" t="s">
        <v>2495</v>
      </c>
      <c r="W702" t="s">
        <v>2937</v>
      </c>
      <c r="Z702">
        <v>359</v>
      </c>
      <c r="AA702" t="s">
        <v>3783</v>
      </c>
      <c r="AB702" t="s">
        <v>3793</v>
      </c>
      <c r="AC702">
        <v>29</v>
      </c>
      <c r="AD702">
        <v>2</v>
      </c>
      <c r="AE702">
        <v>0</v>
      </c>
      <c r="AF702">
        <v>77.31999999999999</v>
      </c>
      <c r="AI702" t="s">
        <v>3809</v>
      </c>
      <c r="AJ702">
        <v>13074</v>
      </c>
      <c r="AK702" t="s">
        <v>3981</v>
      </c>
      <c r="AP702">
        <v>0</v>
      </c>
      <c r="AR702" t="s">
        <v>49</v>
      </c>
      <c r="AS702" t="s">
        <v>4210</v>
      </c>
      <c r="AT702" t="s">
        <v>4219</v>
      </c>
    </row>
    <row r="703" spans="1:46">
      <c r="A703" s="1">
        <f>HYPERLINK("https://lsnyc.legalserver.org/matter/dynamic-profile/view/1901989","19-1901989")</f>
        <v>0</v>
      </c>
      <c r="B703" t="s">
        <v>66</v>
      </c>
      <c r="C703" t="s">
        <v>158</v>
      </c>
      <c r="E703" t="s">
        <v>681</v>
      </c>
      <c r="F703" t="s">
        <v>1188</v>
      </c>
      <c r="G703" t="s">
        <v>1634</v>
      </c>
      <c r="H703" t="s">
        <v>1893</v>
      </c>
      <c r="I703">
        <v>11233</v>
      </c>
      <c r="J703" t="s">
        <v>2002</v>
      </c>
      <c r="K703" t="s">
        <v>2004</v>
      </c>
      <c r="L703" t="s">
        <v>2006</v>
      </c>
      <c r="M703" t="s">
        <v>2027</v>
      </c>
      <c r="N703" t="s">
        <v>2417</v>
      </c>
      <c r="O703" t="s">
        <v>2436</v>
      </c>
      <c r="Q703" t="s">
        <v>2002</v>
      </c>
      <c r="R703" t="s">
        <v>2451</v>
      </c>
      <c r="S703" t="s">
        <v>243</v>
      </c>
      <c r="T703">
        <v>1099.98</v>
      </c>
      <c r="U703" t="s">
        <v>2495</v>
      </c>
      <c r="W703" t="s">
        <v>2938</v>
      </c>
      <c r="Z703">
        <v>359</v>
      </c>
      <c r="AA703" t="s">
        <v>3783</v>
      </c>
      <c r="AC703">
        <v>51</v>
      </c>
      <c r="AD703">
        <v>1</v>
      </c>
      <c r="AE703">
        <v>0</v>
      </c>
      <c r="AF703">
        <v>80.06</v>
      </c>
      <c r="AI703" t="s">
        <v>3809</v>
      </c>
      <c r="AJ703">
        <v>10000</v>
      </c>
      <c r="AK703" t="s">
        <v>3982</v>
      </c>
      <c r="AP703">
        <v>0</v>
      </c>
      <c r="AR703" t="s">
        <v>49</v>
      </c>
      <c r="AS703" t="s">
        <v>4210</v>
      </c>
      <c r="AT703" t="s">
        <v>4219</v>
      </c>
    </row>
    <row r="704" spans="1:46">
      <c r="A704" s="1">
        <f>HYPERLINK("https://lsnyc.legalserver.org/matter/dynamic-profile/view/1891702","19-1891702")</f>
        <v>0</v>
      </c>
      <c r="B704" t="s">
        <v>66</v>
      </c>
      <c r="C704" t="s">
        <v>271</v>
      </c>
      <c r="E704" t="s">
        <v>351</v>
      </c>
      <c r="F704" t="s">
        <v>1117</v>
      </c>
      <c r="G704" t="s">
        <v>1482</v>
      </c>
      <c r="H704" t="s">
        <v>1852</v>
      </c>
      <c r="I704">
        <v>11233</v>
      </c>
      <c r="J704" t="s">
        <v>2002</v>
      </c>
      <c r="K704" t="s">
        <v>2002</v>
      </c>
      <c r="M704" t="s">
        <v>2006</v>
      </c>
      <c r="N704" t="s">
        <v>2417</v>
      </c>
      <c r="O704" t="s">
        <v>2436</v>
      </c>
      <c r="Q704" t="s">
        <v>2002</v>
      </c>
      <c r="R704" t="s">
        <v>2451</v>
      </c>
      <c r="S704" t="s">
        <v>243</v>
      </c>
      <c r="T704">
        <v>995.08</v>
      </c>
      <c r="W704" t="s">
        <v>2846</v>
      </c>
      <c r="X704" t="s">
        <v>3267</v>
      </c>
      <c r="Y704" t="s">
        <v>3585</v>
      </c>
      <c r="Z704">
        <v>359</v>
      </c>
      <c r="AA704" t="s">
        <v>3783</v>
      </c>
      <c r="AC704">
        <v>16</v>
      </c>
      <c r="AD704">
        <v>2</v>
      </c>
      <c r="AE704">
        <v>0</v>
      </c>
      <c r="AF704">
        <v>81.15000000000001</v>
      </c>
      <c r="AI704" t="s">
        <v>3809</v>
      </c>
      <c r="AJ704">
        <v>13722.36</v>
      </c>
      <c r="AK704" t="s">
        <v>3983</v>
      </c>
      <c r="AP704">
        <v>104.6</v>
      </c>
      <c r="AQ704" t="s">
        <v>172</v>
      </c>
      <c r="AR704" t="s">
        <v>4185</v>
      </c>
      <c r="AS704" t="s">
        <v>4210</v>
      </c>
      <c r="AT704" t="s">
        <v>4219</v>
      </c>
    </row>
    <row r="705" spans="1:46">
      <c r="A705" s="1">
        <f>HYPERLINK("https://lsnyc.legalserver.org/matter/dynamic-profile/view/1892681","19-1892681")</f>
        <v>0</v>
      </c>
      <c r="B705" t="s">
        <v>66</v>
      </c>
      <c r="C705" t="s">
        <v>141</v>
      </c>
      <c r="E705" t="s">
        <v>682</v>
      </c>
      <c r="F705" t="s">
        <v>1189</v>
      </c>
      <c r="G705" t="s">
        <v>1633</v>
      </c>
      <c r="H705" t="s">
        <v>1894</v>
      </c>
      <c r="I705">
        <v>11233</v>
      </c>
      <c r="J705" t="s">
        <v>2002</v>
      </c>
      <c r="K705" t="s">
        <v>2003</v>
      </c>
      <c r="N705" t="s">
        <v>2417</v>
      </c>
      <c r="O705" t="s">
        <v>2436</v>
      </c>
      <c r="Q705" t="s">
        <v>2002</v>
      </c>
      <c r="R705" t="s">
        <v>2451</v>
      </c>
      <c r="S705" t="s">
        <v>243</v>
      </c>
      <c r="T705">
        <v>0</v>
      </c>
      <c r="U705" t="s">
        <v>2495</v>
      </c>
      <c r="W705" t="s">
        <v>2939</v>
      </c>
      <c r="Z705">
        <v>359</v>
      </c>
      <c r="AA705" t="s">
        <v>3783</v>
      </c>
      <c r="AC705">
        <v>1</v>
      </c>
      <c r="AD705">
        <v>1</v>
      </c>
      <c r="AE705">
        <v>1</v>
      </c>
      <c r="AF705">
        <v>86.08</v>
      </c>
      <c r="AI705" t="s">
        <v>3809</v>
      </c>
      <c r="AJ705">
        <v>14556</v>
      </c>
      <c r="AK705" t="s">
        <v>3984</v>
      </c>
      <c r="AP705">
        <v>0</v>
      </c>
      <c r="AR705" t="s">
        <v>49</v>
      </c>
      <c r="AS705" t="s">
        <v>4210</v>
      </c>
      <c r="AT705" t="s">
        <v>4219</v>
      </c>
    </row>
    <row r="706" spans="1:46">
      <c r="A706" s="1">
        <f>HYPERLINK("https://lsnyc.legalserver.org/matter/dynamic-profile/view/1897179","19-1897179")</f>
        <v>0</v>
      </c>
      <c r="B706" t="s">
        <v>66</v>
      </c>
      <c r="C706" t="s">
        <v>269</v>
      </c>
      <c r="E706" t="s">
        <v>370</v>
      </c>
      <c r="F706" t="s">
        <v>1190</v>
      </c>
      <c r="G706" t="s">
        <v>1632</v>
      </c>
      <c r="H706" t="s">
        <v>1895</v>
      </c>
      <c r="I706">
        <v>11233</v>
      </c>
      <c r="J706" t="s">
        <v>2002</v>
      </c>
      <c r="K706" t="s">
        <v>2003</v>
      </c>
      <c r="N706" t="s">
        <v>2417</v>
      </c>
      <c r="O706" t="s">
        <v>2436</v>
      </c>
      <c r="Q706" t="s">
        <v>2002</v>
      </c>
      <c r="R706" t="s">
        <v>2451</v>
      </c>
      <c r="S706" t="s">
        <v>243</v>
      </c>
      <c r="T706">
        <v>603.74</v>
      </c>
      <c r="U706" t="s">
        <v>2495</v>
      </c>
      <c r="W706" t="s">
        <v>2940</v>
      </c>
      <c r="Z706">
        <v>359</v>
      </c>
      <c r="AA706" t="s">
        <v>3783</v>
      </c>
      <c r="AC706">
        <v>50</v>
      </c>
      <c r="AD706">
        <v>1</v>
      </c>
      <c r="AE706">
        <v>0</v>
      </c>
      <c r="AF706">
        <v>87.33</v>
      </c>
      <c r="AI706" t="s">
        <v>3809</v>
      </c>
      <c r="AJ706">
        <v>10908</v>
      </c>
      <c r="AK706" t="s">
        <v>3985</v>
      </c>
      <c r="AP706">
        <v>0</v>
      </c>
      <c r="AR706" t="s">
        <v>49</v>
      </c>
      <c r="AS706" t="s">
        <v>4210</v>
      </c>
      <c r="AT706" t="s">
        <v>4219</v>
      </c>
    </row>
    <row r="707" spans="1:46">
      <c r="A707" s="1">
        <f>HYPERLINK("https://lsnyc.legalserver.org/matter/dynamic-profile/view/1892653","19-1892653")</f>
        <v>0</v>
      </c>
      <c r="B707" t="s">
        <v>66</v>
      </c>
      <c r="C707" t="s">
        <v>141</v>
      </c>
      <c r="E707" t="s">
        <v>443</v>
      </c>
      <c r="F707" t="s">
        <v>1191</v>
      </c>
      <c r="G707" t="s">
        <v>1633</v>
      </c>
      <c r="H707" t="s">
        <v>1896</v>
      </c>
      <c r="I707">
        <v>11233</v>
      </c>
      <c r="J707" t="s">
        <v>2002</v>
      </c>
      <c r="K707" t="s">
        <v>2003</v>
      </c>
      <c r="N707" t="s">
        <v>2417</v>
      </c>
      <c r="O707" t="s">
        <v>2436</v>
      </c>
      <c r="Q707" t="s">
        <v>2002</v>
      </c>
      <c r="R707" t="s">
        <v>2451</v>
      </c>
      <c r="S707" t="s">
        <v>243</v>
      </c>
      <c r="T707">
        <v>1321</v>
      </c>
      <c r="U707" t="s">
        <v>2495</v>
      </c>
      <c r="W707" t="s">
        <v>2941</v>
      </c>
      <c r="Z707">
        <v>359</v>
      </c>
      <c r="AA707" t="s">
        <v>3783</v>
      </c>
      <c r="AC707">
        <v>34</v>
      </c>
      <c r="AD707">
        <v>1</v>
      </c>
      <c r="AE707">
        <v>3</v>
      </c>
      <c r="AF707">
        <v>89.8</v>
      </c>
      <c r="AI707" t="s">
        <v>3809</v>
      </c>
      <c r="AJ707">
        <v>23124</v>
      </c>
      <c r="AK707" t="s">
        <v>3986</v>
      </c>
      <c r="AP707">
        <v>0</v>
      </c>
      <c r="AR707" t="s">
        <v>49</v>
      </c>
      <c r="AS707" t="s">
        <v>4210</v>
      </c>
      <c r="AT707" t="s">
        <v>4219</v>
      </c>
    </row>
    <row r="708" spans="1:46">
      <c r="A708" s="1">
        <f>HYPERLINK("https://lsnyc.legalserver.org/matter/dynamic-profile/view/1897985","19-1897985")</f>
        <v>0</v>
      </c>
      <c r="B708" t="s">
        <v>66</v>
      </c>
      <c r="C708" t="s">
        <v>248</v>
      </c>
      <c r="E708" t="s">
        <v>683</v>
      </c>
      <c r="F708" t="s">
        <v>926</v>
      </c>
      <c r="G708" t="s">
        <v>1482</v>
      </c>
      <c r="H708" t="s">
        <v>1897</v>
      </c>
      <c r="I708">
        <v>11233</v>
      </c>
      <c r="J708" t="s">
        <v>2002</v>
      </c>
      <c r="K708" t="s">
        <v>2003</v>
      </c>
      <c r="N708" t="s">
        <v>2417</v>
      </c>
      <c r="O708" t="s">
        <v>2436</v>
      </c>
      <c r="Q708" t="s">
        <v>2002</v>
      </c>
      <c r="R708" t="s">
        <v>2451</v>
      </c>
      <c r="S708" t="s">
        <v>243</v>
      </c>
      <c r="T708">
        <v>1300</v>
      </c>
      <c r="U708" t="s">
        <v>2495</v>
      </c>
      <c r="W708" t="s">
        <v>2942</v>
      </c>
      <c r="Z708">
        <v>359</v>
      </c>
      <c r="AA708" t="s">
        <v>3783</v>
      </c>
      <c r="AC708">
        <v>3</v>
      </c>
      <c r="AD708">
        <v>2</v>
      </c>
      <c r="AE708">
        <v>1</v>
      </c>
      <c r="AF708">
        <v>93.76000000000001</v>
      </c>
      <c r="AI708" t="s">
        <v>3809</v>
      </c>
      <c r="AJ708">
        <v>20000</v>
      </c>
      <c r="AK708" t="s">
        <v>3987</v>
      </c>
      <c r="AP708">
        <v>0</v>
      </c>
      <c r="AR708" t="s">
        <v>49</v>
      </c>
      <c r="AS708" t="s">
        <v>4210</v>
      </c>
      <c r="AT708" t="s">
        <v>4219</v>
      </c>
    </row>
    <row r="709" spans="1:46">
      <c r="A709" s="1">
        <f>HYPERLINK("https://lsnyc.legalserver.org/matter/dynamic-profile/view/1897159","19-1897159")</f>
        <v>0</v>
      </c>
      <c r="B709" t="s">
        <v>66</v>
      </c>
      <c r="C709" t="s">
        <v>269</v>
      </c>
      <c r="E709" t="s">
        <v>684</v>
      </c>
      <c r="F709" t="s">
        <v>957</v>
      </c>
      <c r="G709" t="s">
        <v>1482</v>
      </c>
      <c r="H709" t="s">
        <v>1898</v>
      </c>
      <c r="I709">
        <v>11233</v>
      </c>
      <c r="J709" t="s">
        <v>2002</v>
      </c>
      <c r="K709" t="s">
        <v>2003</v>
      </c>
      <c r="N709" t="s">
        <v>2417</v>
      </c>
      <c r="O709" t="s">
        <v>2436</v>
      </c>
      <c r="Q709" t="s">
        <v>2002</v>
      </c>
      <c r="R709" t="s">
        <v>2451</v>
      </c>
      <c r="S709" t="s">
        <v>243</v>
      </c>
      <c r="T709">
        <v>1100</v>
      </c>
      <c r="U709" t="s">
        <v>2495</v>
      </c>
      <c r="W709" t="s">
        <v>2943</v>
      </c>
      <c r="Z709">
        <v>359</v>
      </c>
      <c r="AA709" t="s">
        <v>3783</v>
      </c>
      <c r="AB709" t="s">
        <v>2006</v>
      </c>
      <c r="AC709">
        <v>32</v>
      </c>
      <c r="AD709">
        <v>1</v>
      </c>
      <c r="AE709">
        <v>1</v>
      </c>
      <c r="AF709">
        <v>95.8</v>
      </c>
      <c r="AI709" t="s">
        <v>3809</v>
      </c>
      <c r="AJ709">
        <v>16200</v>
      </c>
      <c r="AK709" t="s">
        <v>3988</v>
      </c>
      <c r="AP709">
        <v>0</v>
      </c>
      <c r="AR709" t="s">
        <v>49</v>
      </c>
      <c r="AS709" t="s">
        <v>4210</v>
      </c>
      <c r="AT709" t="s">
        <v>4219</v>
      </c>
    </row>
    <row r="710" spans="1:46">
      <c r="A710" s="1">
        <f>HYPERLINK("https://lsnyc.legalserver.org/matter/dynamic-profile/view/1898960","19-1898960")</f>
        <v>0</v>
      </c>
      <c r="B710" t="s">
        <v>66</v>
      </c>
      <c r="C710" t="s">
        <v>150</v>
      </c>
      <c r="E710" t="s">
        <v>685</v>
      </c>
      <c r="F710" t="s">
        <v>1192</v>
      </c>
      <c r="G710" t="s">
        <v>1482</v>
      </c>
      <c r="H710" t="s">
        <v>1899</v>
      </c>
      <c r="I710">
        <v>11233</v>
      </c>
      <c r="J710" t="s">
        <v>2002</v>
      </c>
      <c r="K710" t="s">
        <v>2004</v>
      </c>
      <c r="L710" t="s">
        <v>2006</v>
      </c>
      <c r="N710" t="s">
        <v>2417</v>
      </c>
      <c r="O710" t="s">
        <v>2436</v>
      </c>
      <c r="Q710" t="s">
        <v>2002</v>
      </c>
      <c r="R710" t="s">
        <v>2451</v>
      </c>
      <c r="S710" t="s">
        <v>243</v>
      </c>
      <c r="T710">
        <v>1041.4</v>
      </c>
      <c r="U710" t="s">
        <v>2495</v>
      </c>
      <c r="W710" t="s">
        <v>2944</v>
      </c>
      <c r="Z710">
        <v>359</v>
      </c>
      <c r="AA710" t="s">
        <v>3783</v>
      </c>
      <c r="AC710">
        <v>18</v>
      </c>
      <c r="AD710">
        <v>2</v>
      </c>
      <c r="AE710">
        <v>0</v>
      </c>
      <c r="AF710">
        <v>97.5</v>
      </c>
      <c r="AI710" t="s">
        <v>3809</v>
      </c>
      <c r="AJ710">
        <v>16488</v>
      </c>
      <c r="AK710" t="s">
        <v>3989</v>
      </c>
      <c r="AP710">
        <v>0</v>
      </c>
      <c r="AR710" t="s">
        <v>49</v>
      </c>
      <c r="AS710" t="s">
        <v>4210</v>
      </c>
      <c r="AT710" t="s">
        <v>4219</v>
      </c>
    </row>
    <row r="711" spans="1:46">
      <c r="A711" s="1">
        <f>HYPERLINK("https://lsnyc.legalserver.org/matter/dynamic-profile/view/1891606","19-1891606")</f>
        <v>0</v>
      </c>
      <c r="B711" t="s">
        <v>66</v>
      </c>
      <c r="C711" t="s">
        <v>271</v>
      </c>
      <c r="E711" t="s">
        <v>686</v>
      </c>
      <c r="F711" t="s">
        <v>1193</v>
      </c>
      <c r="G711" t="s">
        <v>1482</v>
      </c>
      <c r="H711" t="s">
        <v>1900</v>
      </c>
      <c r="I711">
        <v>11233</v>
      </c>
      <c r="J711" t="s">
        <v>2002</v>
      </c>
      <c r="K711" t="s">
        <v>2003</v>
      </c>
      <c r="M711" t="s">
        <v>2006</v>
      </c>
      <c r="N711" t="s">
        <v>2417</v>
      </c>
      <c r="O711" t="s">
        <v>2436</v>
      </c>
      <c r="Q711" t="s">
        <v>2002</v>
      </c>
      <c r="R711" t="s">
        <v>2451</v>
      </c>
      <c r="S711" t="s">
        <v>243</v>
      </c>
      <c r="T711">
        <v>820</v>
      </c>
      <c r="W711" t="s">
        <v>2945</v>
      </c>
      <c r="Z711">
        <v>359</v>
      </c>
      <c r="AA711" t="s">
        <v>3783</v>
      </c>
      <c r="AC711">
        <v>6</v>
      </c>
      <c r="AD711">
        <v>1</v>
      </c>
      <c r="AE711">
        <v>2</v>
      </c>
      <c r="AF711">
        <v>97.52</v>
      </c>
      <c r="AI711" t="s">
        <v>3809</v>
      </c>
      <c r="AJ711">
        <v>20800</v>
      </c>
      <c r="AK711" t="s">
        <v>3990</v>
      </c>
      <c r="AP711">
        <v>0</v>
      </c>
      <c r="AR711" t="s">
        <v>4185</v>
      </c>
      <c r="AS711" t="s">
        <v>4210</v>
      </c>
      <c r="AT711" t="s">
        <v>4219</v>
      </c>
    </row>
    <row r="712" spans="1:46">
      <c r="A712" s="1">
        <f>HYPERLINK("https://lsnyc.legalserver.org/matter/dynamic-profile/view/1892085","19-1892085")</f>
        <v>0</v>
      </c>
      <c r="B712" t="s">
        <v>66</v>
      </c>
      <c r="C712" t="s">
        <v>242</v>
      </c>
      <c r="E712" t="s">
        <v>509</v>
      </c>
      <c r="F712" t="s">
        <v>1194</v>
      </c>
      <c r="G712" t="s">
        <v>1633</v>
      </c>
      <c r="H712" t="s">
        <v>1901</v>
      </c>
      <c r="I712">
        <v>11233</v>
      </c>
      <c r="J712" t="s">
        <v>2002</v>
      </c>
      <c r="K712" t="s">
        <v>2003</v>
      </c>
      <c r="N712" t="s">
        <v>2417</v>
      </c>
      <c r="O712" t="s">
        <v>2436</v>
      </c>
      <c r="Q712" t="s">
        <v>2002</v>
      </c>
      <c r="R712" t="s">
        <v>2451</v>
      </c>
      <c r="S712" t="s">
        <v>243</v>
      </c>
      <c r="T712">
        <v>1150</v>
      </c>
      <c r="U712" t="s">
        <v>2495</v>
      </c>
      <c r="W712" t="s">
        <v>2946</v>
      </c>
      <c r="Z712">
        <v>359</v>
      </c>
      <c r="AA712" t="s">
        <v>3783</v>
      </c>
      <c r="AC712">
        <v>45</v>
      </c>
      <c r="AD712">
        <v>1</v>
      </c>
      <c r="AE712">
        <v>0</v>
      </c>
      <c r="AF712">
        <v>113.66</v>
      </c>
      <c r="AI712" t="s">
        <v>3809</v>
      </c>
      <c r="AJ712">
        <v>14196</v>
      </c>
      <c r="AK712" t="s">
        <v>3991</v>
      </c>
      <c r="AP712">
        <v>0</v>
      </c>
      <c r="AR712" t="s">
        <v>49</v>
      </c>
      <c r="AS712" t="s">
        <v>4210</v>
      </c>
      <c r="AT712" t="s">
        <v>4219</v>
      </c>
    </row>
    <row r="713" spans="1:46">
      <c r="A713" s="1">
        <f>HYPERLINK("https://lsnyc.legalserver.org/matter/dynamic-profile/view/1902028","19-1902028")</f>
        <v>0</v>
      </c>
      <c r="B713" t="s">
        <v>66</v>
      </c>
      <c r="C713" t="s">
        <v>158</v>
      </c>
      <c r="E713" t="s">
        <v>343</v>
      </c>
      <c r="F713" t="s">
        <v>1195</v>
      </c>
      <c r="G713" t="s">
        <v>1482</v>
      </c>
      <c r="H713" t="s">
        <v>1902</v>
      </c>
      <c r="I713">
        <v>11233</v>
      </c>
      <c r="J713" t="s">
        <v>2002</v>
      </c>
      <c r="K713" t="s">
        <v>2004</v>
      </c>
      <c r="L713" t="s">
        <v>2006</v>
      </c>
      <c r="M713" t="s">
        <v>2027</v>
      </c>
      <c r="N713" t="s">
        <v>2417</v>
      </c>
      <c r="O713" t="s">
        <v>2436</v>
      </c>
      <c r="Q713" t="s">
        <v>2002</v>
      </c>
      <c r="R713" t="s">
        <v>2451</v>
      </c>
      <c r="S713" t="s">
        <v>243</v>
      </c>
      <c r="T713">
        <v>626.89</v>
      </c>
      <c r="U713" t="s">
        <v>2495</v>
      </c>
      <c r="W713" t="s">
        <v>2947</v>
      </c>
      <c r="Z713">
        <v>359</v>
      </c>
      <c r="AA713" t="s">
        <v>3783</v>
      </c>
      <c r="AC713">
        <v>0</v>
      </c>
      <c r="AD713">
        <v>1</v>
      </c>
      <c r="AE713">
        <v>0</v>
      </c>
      <c r="AF713">
        <v>114.62</v>
      </c>
      <c r="AI713" t="s">
        <v>3809</v>
      </c>
      <c r="AJ713">
        <v>14316</v>
      </c>
      <c r="AK713" t="s">
        <v>3992</v>
      </c>
      <c r="AP713">
        <v>0</v>
      </c>
      <c r="AR713" t="s">
        <v>49</v>
      </c>
      <c r="AS713" t="s">
        <v>4210</v>
      </c>
      <c r="AT713" t="s">
        <v>4219</v>
      </c>
    </row>
    <row r="714" spans="1:46">
      <c r="A714" s="1">
        <f>HYPERLINK("https://lsnyc.legalserver.org/matter/dynamic-profile/view/1898989","19-1898989")</f>
        <v>0</v>
      </c>
      <c r="B714" t="s">
        <v>66</v>
      </c>
      <c r="C714" t="s">
        <v>150</v>
      </c>
      <c r="E714" t="s">
        <v>687</v>
      </c>
      <c r="F714" t="s">
        <v>1196</v>
      </c>
      <c r="G714" t="s">
        <v>1634</v>
      </c>
      <c r="H714" t="s">
        <v>1903</v>
      </c>
      <c r="I714">
        <v>11233</v>
      </c>
      <c r="J714" t="s">
        <v>2002</v>
      </c>
      <c r="K714" t="s">
        <v>2004</v>
      </c>
      <c r="L714" t="s">
        <v>2006</v>
      </c>
      <c r="N714" t="s">
        <v>2417</v>
      </c>
      <c r="O714" t="s">
        <v>2436</v>
      </c>
      <c r="Q714" t="s">
        <v>2002</v>
      </c>
      <c r="R714" t="s">
        <v>2451</v>
      </c>
      <c r="S714" t="s">
        <v>243</v>
      </c>
      <c r="T714">
        <v>1343.02</v>
      </c>
      <c r="U714" t="s">
        <v>2495</v>
      </c>
      <c r="W714" t="s">
        <v>2948</v>
      </c>
      <c r="Z714">
        <v>359</v>
      </c>
      <c r="AA714" t="s">
        <v>3783</v>
      </c>
      <c r="AC714">
        <v>25</v>
      </c>
      <c r="AD714">
        <v>2</v>
      </c>
      <c r="AE714">
        <v>2</v>
      </c>
      <c r="AF714">
        <v>116.5</v>
      </c>
      <c r="AJ714">
        <v>30000</v>
      </c>
      <c r="AK714" t="s">
        <v>3993</v>
      </c>
      <c r="AP714">
        <v>0</v>
      </c>
      <c r="AR714" t="s">
        <v>49</v>
      </c>
      <c r="AS714" t="s">
        <v>4210</v>
      </c>
      <c r="AT714" t="s">
        <v>4219</v>
      </c>
    </row>
    <row r="715" spans="1:46">
      <c r="A715" s="1">
        <f>HYPERLINK("https://lsnyc.legalserver.org/matter/dynamic-profile/view/1891865","19-1891865")</f>
        <v>0</v>
      </c>
      <c r="B715" t="s">
        <v>66</v>
      </c>
      <c r="C715" t="s">
        <v>277</v>
      </c>
      <c r="E715" t="s">
        <v>675</v>
      </c>
      <c r="F715" t="s">
        <v>1182</v>
      </c>
      <c r="G715" t="s">
        <v>1482</v>
      </c>
      <c r="H715" t="s">
        <v>1887</v>
      </c>
      <c r="I715">
        <v>11233</v>
      </c>
      <c r="J715" t="s">
        <v>2002</v>
      </c>
      <c r="K715" t="s">
        <v>2003</v>
      </c>
      <c r="M715" t="s">
        <v>2006</v>
      </c>
      <c r="N715" t="s">
        <v>2417</v>
      </c>
      <c r="O715" t="s">
        <v>2436</v>
      </c>
      <c r="Q715" t="s">
        <v>2002</v>
      </c>
      <c r="R715" t="s">
        <v>2451</v>
      </c>
      <c r="S715" t="s">
        <v>243</v>
      </c>
      <c r="T715">
        <v>915</v>
      </c>
      <c r="W715" t="s">
        <v>2931</v>
      </c>
      <c r="Z715">
        <v>359</v>
      </c>
      <c r="AA715" t="s">
        <v>3783</v>
      </c>
      <c r="AB715" t="s">
        <v>2006</v>
      </c>
      <c r="AC715">
        <v>6</v>
      </c>
      <c r="AD715">
        <v>2</v>
      </c>
      <c r="AE715">
        <v>2</v>
      </c>
      <c r="AF715">
        <v>129.51</v>
      </c>
      <c r="AI715" t="s">
        <v>3809</v>
      </c>
      <c r="AJ715">
        <v>33348</v>
      </c>
      <c r="AK715" t="s">
        <v>3994</v>
      </c>
      <c r="AP715">
        <v>0</v>
      </c>
      <c r="AR715" t="s">
        <v>4185</v>
      </c>
      <c r="AS715" t="s">
        <v>4210</v>
      </c>
      <c r="AT715" t="s">
        <v>4219</v>
      </c>
    </row>
    <row r="716" spans="1:46">
      <c r="A716" s="1">
        <f>HYPERLINK("https://lsnyc.legalserver.org/matter/dynamic-profile/view/1897704","19-1897704")</f>
        <v>0</v>
      </c>
      <c r="B716" t="s">
        <v>66</v>
      </c>
      <c r="C716" t="s">
        <v>273</v>
      </c>
      <c r="E716" t="s">
        <v>688</v>
      </c>
      <c r="F716" t="s">
        <v>1197</v>
      </c>
      <c r="G716" t="s">
        <v>1634</v>
      </c>
      <c r="H716" t="s">
        <v>1904</v>
      </c>
      <c r="I716">
        <v>11233</v>
      </c>
      <c r="J716" t="s">
        <v>2002</v>
      </c>
      <c r="K716" t="s">
        <v>2003</v>
      </c>
      <c r="N716" t="s">
        <v>2417</v>
      </c>
      <c r="O716" t="s">
        <v>2436</v>
      </c>
      <c r="Q716" t="s">
        <v>2002</v>
      </c>
      <c r="R716" t="s">
        <v>2451</v>
      </c>
      <c r="S716" t="s">
        <v>243</v>
      </c>
      <c r="T716">
        <v>1330</v>
      </c>
      <c r="U716" t="s">
        <v>2495</v>
      </c>
      <c r="W716" t="s">
        <v>2949</v>
      </c>
      <c r="Z716">
        <v>359</v>
      </c>
      <c r="AA716" t="s">
        <v>3783</v>
      </c>
      <c r="AC716">
        <v>24</v>
      </c>
      <c r="AD716">
        <v>4</v>
      </c>
      <c r="AE716">
        <v>2</v>
      </c>
      <c r="AF716">
        <v>130.1</v>
      </c>
      <c r="AI716" t="s">
        <v>2495</v>
      </c>
      <c r="AJ716">
        <v>45000</v>
      </c>
      <c r="AK716" t="s">
        <v>3995</v>
      </c>
      <c r="AP716">
        <v>0</v>
      </c>
      <c r="AR716" t="s">
        <v>49</v>
      </c>
      <c r="AS716" t="s">
        <v>4210</v>
      </c>
      <c r="AT716" t="s">
        <v>4219</v>
      </c>
    </row>
    <row r="717" spans="1:46">
      <c r="A717" s="1">
        <f>HYPERLINK("https://lsnyc.legalserver.org/matter/dynamic-profile/view/1891460","19-1891460")</f>
        <v>0</v>
      </c>
      <c r="B717" t="s">
        <v>66</v>
      </c>
      <c r="C717" t="s">
        <v>164</v>
      </c>
      <c r="E717" t="s">
        <v>504</v>
      </c>
      <c r="F717" t="s">
        <v>1170</v>
      </c>
      <c r="G717" t="s">
        <v>1632</v>
      </c>
      <c r="H717" t="s">
        <v>1875</v>
      </c>
      <c r="I717">
        <v>11233</v>
      </c>
      <c r="J717" t="s">
        <v>2002</v>
      </c>
      <c r="K717" t="s">
        <v>2004</v>
      </c>
      <c r="N717" t="s">
        <v>2417</v>
      </c>
      <c r="O717" t="s">
        <v>2436</v>
      </c>
      <c r="Q717" t="s">
        <v>2002</v>
      </c>
      <c r="R717" t="s">
        <v>2451</v>
      </c>
      <c r="S717" t="s">
        <v>243</v>
      </c>
      <c r="T717">
        <v>841.4299999999999</v>
      </c>
      <c r="U717" t="s">
        <v>2504</v>
      </c>
      <c r="W717" t="s">
        <v>2918</v>
      </c>
      <c r="Y717" t="s">
        <v>3656</v>
      </c>
      <c r="Z717">
        <v>764</v>
      </c>
      <c r="AA717" t="s">
        <v>3783</v>
      </c>
      <c r="AB717" t="s">
        <v>3793</v>
      </c>
      <c r="AC717">
        <v>31</v>
      </c>
      <c r="AD717">
        <v>1</v>
      </c>
      <c r="AE717">
        <v>0</v>
      </c>
      <c r="AF717">
        <v>133.64</v>
      </c>
      <c r="AI717" t="s">
        <v>3809</v>
      </c>
      <c r="AJ717">
        <v>16692</v>
      </c>
      <c r="AK717" t="s">
        <v>3996</v>
      </c>
      <c r="AP717">
        <v>0</v>
      </c>
      <c r="AR717" t="s">
        <v>49</v>
      </c>
      <c r="AS717" t="s">
        <v>4210</v>
      </c>
      <c r="AT717" t="s">
        <v>4219</v>
      </c>
    </row>
    <row r="718" spans="1:46">
      <c r="A718" s="1">
        <f>HYPERLINK("https://lsnyc.legalserver.org/matter/dynamic-profile/view/1897517","19-1897517")</f>
        <v>0</v>
      </c>
      <c r="B718" t="s">
        <v>66</v>
      </c>
      <c r="C718" t="s">
        <v>169</v>
      </c>
      <c r="E718" t="s">
        <v>689</v>
      </c>
      <c r="F718" t="s">
        <v>1198</v>
      </c>
      <c r="G718" t="s">
        <v>1482</v>
      </c>
      <c r="H718" t="s">
        <v>1905</v>
      </c>
      <c r="I718">
        <v>11233</v>
      </c>
      <c r="J718" t="s">
        <v>2002</v>
      </c>
      <c r="K718" t="s">
        <v>2003</v>
      </c>
      <c r="N718" t="s">
        <v>2417</v>
      </c>
      <c r="O718" t="s">
        <v>2436</v>
      </c>
      <c r="Q718" t="s">
        <v>2003</v>
      </c>
      <c r="R718" t="s">
        <v>2451</v>
      </c>
      <c r="S718" t="s">
        <v>243</v>
      </c>
      <c r="T718">
        <v>0</v>
      </c>
      <c r="W718" t="s">
        <v>2950</v>
      </c>
      <c r="Z718">
        <v>359</v>
      </c>
      <c r="AA718" t="s">
        <v>3783</v>
      </c>
      <c r="AC718">
        <v>0</v>
      </c>
      <c r="AD718">
        <v>2</v>
      </c>
      <c r="AE718">
        <v>3</v>
      </c>
      <c r="AF718">
        <v>142.53</v>
      </c>
      <c r="AI718" t="s">
        <v>2495</v>
      </c>
      <c r="AJ718">
        <v>43000</v>
      </c>
      <c r="AK718" t="s">
        <v>3997</v>
      </c>
      <c r="AP718">
        <v>0</v>
      </c>
      <c r="AR718" t="s">
        <v>4185</v>
      </c>
      <c r="AS718" t="s">
        <v>4210</v>
      </c>
      <c r="AT718" t="s">
        <v>4219</v>
      </c>
    </row>
    <row r="719" spans="1:46">
      <c r="A719" s="1">
        <f>HYPERLINK("https://lsnyc.legalserver.org/matter/dynamic-profile/view/1890585","19-1890585")</f>
        <v>0</v>
      </c>
      <c r="B719" t="s">
        <v>66</v>
      </c>
      <c r="C719" t="s">
        <v>270</v>
      </c>
      <c r="E719" t="s">
        <v>741</v>
      </c>
      <c r="F719" t="s">
        <v>1252</v>
      </c>
      <c r="G719" t="s">
        <v>1632</v>
      </c>
      <c r="H719" t="s">
        <v>1814</v>
      </c>
      <c r="I719">
        <v>11233</v>
      </c>
      <c r="J719" t="s">
        <v>2002</v>
      </c>
      <c r="K719" t="s">
        <v>2003</v>
      </c>
      <c r="M719" t="s">
        <v>2292</v>
      </c>
      <c r="N719" t="s">
        <v>2424</v>
      </c>
      <c r="O719" t="s">
        <v>2441</v>
      </c>
      <c r="Q719" t="s">
        <v>2002</v>
      </c>
      <c r="R719" t="s">
        <v>2451</v>
      </c>
      <c r="S719" t="s">
        <v>243</v>
      </c>
      <c r="T719">
        <v>1034</v>
      </c>
      <c r="U719" t="s">
        <v>2495</v>
      </c>
      <c r="W719" t="s">
        <v>3021</v>
      </c>
      <c r="Z719">
        <v>359</v>
      </c>
      <c r="AA719" t="s">
        <v>3783</v>
      </c>
      <c r="AB719" t="s">
        <v>2006</v>
      </c>
      <c r="AC719">
        <v>37</v>
      </c>
      <c r="AD719">
        <v>2</v>
      </c>
      <c r="AE719">
        <v>0</v>
      </c>
      <c r="AF719">
        <v>159.67</v>
      </c>
      <c r="AI719" t="s">
        <v>3809</v>
      </c>
      <c r="AJ719">
        <v>27000</v>
      </c>
      <c r="AK719" t="s">
        <v>3944</v>
      </c>
      <c r="AP719">
        <v>0</v>
      </c>
      <c r="AR719" t="s">
        <v>49</v>
      </c>
      <c r="AS719" t="s">
        <v>4210</v>
      </c>
      <c r="AT719" t="s">
        <v>4219</v>
      </c>
    </row>
    <row r="720" spans="1:46">
      <c r="A720" s="1">
        <f>HYPERLINK("https://lsnyc.legalserver.org/matter/dynamic-profile/view/1891605","19-1891605")</f>
        <v>0</v>
      </c>
      <c r="B720" t="s">
        <v>66</v>
      </c>
      <c r="C720" t="s">
        <v>271</v>
      </c>
      <c r="E720" t="s">
        <v>741</v>
      </c>
      <c r="F720" t="s">
        <v>1252</v>
      </c>
      <c r="G720" t="s">
        <v>1632</v>
      </c>
      <c r="H720" t="s">
        <v>1814</v>
      </c>
      <c r="I720">
        <v>11233</v>
      </c>
      <c r="J720" t="s">
        <v>2002</v>
      </c>
      <c r="K720" t="s">
        <v>2003</v>
      </c>
      <c r="N720" t="s">
        <v>2417</v>
      </c>
      <c r="O720" t="s">
        <v>2436</v>
      </c>
      <c r="Q720" t="s">
        <v>2002</v>
      </c>
      <c r="R720" t="s">
        <v>2451</v>
      </c>
      <c r="S720" t="s">
        <v>243</v>
      </c>
      <c r="T720">
        <v>1034</v>
      </c>
      <c r="U720" t="s">
        <v>2495</v>
      </c>
      <c r="W720" t="s">
        <v>3021</v>
      </c>
      <c r="Z720">
        <v>359</v>
      </c>
      <c r="AA720" t="s">
        <v>3783</v>
      </c>
      <c r="AB720" t="s">
        <v>2006</v>
      </c>
      <c r="AC720">
        <v>37</v>
      </c>
      <c r="AD720">
        <v>2</v>
      </c>
      <c r="AE720">
        <v>0</v>
      </c>
      <c r="AF720">
        <v>159.67</v>
      </c>
      <c r="AI720" t="s">
        <v>3809</v>
      </c>
      <c r="AJ720">
        <v>27000</v>
      </c>
      <c r="AK720" t="s">
        <v>3998</v>
      </c>
      <c r="AP720">
        <v>0</v>
      </c>
      <c r="AR720" t="s">
        <v>49</v>
      </c>
      <c r="AS720" t="s">
        <v>4210</v>
      </c>
      <c r="AT720" t="s">
        <v>4219</v>
      </c>
    </row>
    <row r="721" spans="1:46">
      <c r="A721" s="1">
        <f>HYPERLINK("https://lsnyc.legalserver.org/matter/dynamic-profile/view/1898386","19-1898386")</f>
        <v>0</v>
      </c>
      <c r="B721" t="s">
        <v>66</v>
      </c>
      <c r="C721" t="s">
        <v>252</v>
      </c>
      <c r="E721" t="s">
        <v>690</v>
      </c>
      <c r="F721" t="s">
        <v>1199</v>
      </c>
      <c r="G721" t="s">
        <v>1634</v>
      </c>
      <c r="H721" t="s">
        <v>1906</v>
      </c>
      <c r="I721">
        <v>11233</v>
      </c>
      <c r="J721" t="s">
        <v>2002</v>
      </c>
      <c r="K721" t="s">
        <v>2003</v>
      </c>
      <c r="N721" t="s">
        <v>2417</v>
      </c>
      <c r="O721" t="s">
        <v>2436</v>
      </c>
      <c r="Q721" t="s">
        <v>2002</v>
      </c>
      <c r="R721" t="s">
        <v>2451</v>
      </c>
      <c r="S721" t="s">
        <v>243</v>
      </c>
      <c r="T721">
        <v>628.51</v>
      </c>
      <c r="U721" t="s">
        <v>2495</v>
      </c>
      <c r="W721" t="s">
        <v>2951</v>
      </c>
      <c r="Z721">
        <v>359</v>
      </c>
      <c r="AA721" t="s">
        <v>3783</v>
      </c>
      <c r="AC721">
        <v>7</v>
      </c>
      <c r="AD721">
        <v>1</v>
      </c>
      <c r="AE721">
        <v>0</v>
      </c>
      <c r="AF721">
        <v>160.13</v>
      </c>
      <c r="AI721" t="s">
        <v>3809</v>
      </c>
      <c r="AJ721">
        <v>20000</v>
      </c>
      <c r="AK721" t="s">
        <v>3999</v>
      </c>
      <c r="AP721">
        <v>0</v>
      </c>
      <c r="AR721" t="s">
        <v>49</v>
      </c>
      <c r="AS721" t="s">
        <v>4210</v>
      </c>
      <c r="AT721" t="s">
        <v>4219</v>
      </c>
    </row>
    <row r="722" spans="1:46">
      <c r="A722" s="1">
        <f>HYPERLINK("https://lsnyc.legalserver.org/matter/dynamic-profile/view/1902052","19-1902052")</f>
        <v>0</v>
      </c>
      <c r="B722" t="s">
        <v>66</v>
      </c>
      <c r="C722" t="s">
        <v>158</v>
      </c>
      <c r="E722" t="s">
        <v>691</v>
      </c>
      <c r="F722" t="s">
        <v>1200</v>
      </c>
      <c r="G722" t="s">
        <v>1482</v>
      </c>
      <c r="H722" t="s">
        <v>1907</v>
      </c>
      <c r="I722">
        <v>11233</v>
      </c>
      <c r="J722" t="s">
        <v>2002</v>
      </c>
      <c r="K722" t="s">
        <v>2004</v>
      </c>
      <c r="L722" t="s">
        <v>2005</v>
      </c>
      <c r="M722" t="s">
        <v>2027</v>
      </c>
      <c r="N722" t="s">
        <v>2417</v>
      </c>
      <c r="O722" t="s">
        <v>2436</v>
      </c>
      <c r="Q722" t="s">
        <v>2002</v>
      </c>
      <c r="R722" t="s">
        <v>2451</v>
      </c>
      <c r="S722" t="s">
        <v>243</v>
      </c>
      <c r="T722">
        <v>787</v>
      </c>
      <c r="U722" t="s">
        <v>2495</v>
      </c>
      <c r="W722" t="s">
        <v>2952</v>
      </c>
      <c r="Z722">
        <v>359</v>
      </c>
      <c r="AA722" t="s">
        <v>3783</v>
      </c>
      <c r="AC722">
        <v>10</v>
      </c>
      <c r="AD722">
        <v>1</v>
      </c>
      <c r="AE722">
        <v>2</v>
      </c>
      <c r="AF722">
        <v>164.09</v>
      </c>
      <c r="AI722" t="s">
        <v>3809</v>
      </c>
      <c r="AJ722">
        <v>35000</v>
      </c>
      <c r="AK722" t="s">
        <v>4000</v>
      </c>
      <c r="AP722">
        <v>0</v>
      </c>
      <c r="AR722" t="s">
        <v>49</v>
      </c>
      <c r="AS722" t="s">
        <v>4210</v>
      </c>
      <c r="AT722" t="s">
        <v>4219</v>
      </c>
    </row>
    <row r="723" spans="1:46">
      <c r="A723" s="1">
        <f>HYPERLINK("https://lsnyc.legalserver.org/matter/dynamic-profile/view/1891624","19-1891624")</f>
        <v>0</v>
      </c>
      <c r="B723" t="s">
        <v>66</v>
      </c>
      <c r="C723" t="s">
        <v>271</v>
      </c>
      <c r="E723" t="s">
        <v>637</v>
      </c>
      <c r="F723" t="s">
        <v>1201</v>
      </c>
      <c r="G723" t="s">
        <v>1632</v>
      </c>
      <c r="H723" t="s">
        <v>1908</v>
      </c>
      <c r="I723">
        <v>11233</v>
      </c>
      <c r="J723" t="s">
        <v>2002</v>
      </c>
      <c r="K723" t="s">
        <v>2003</v>
      </c>
      <c r="L723" t="s">
        <v>2006</v>
      </c>
      <c r="N723" t="s">
        <v>2417</v>
      </c>
      <c r="O723" t="s">
        <v>2436</v>
      </c>
      <c r="Q723" t="s">
        <v>2002</v>
      </c>
      <c r="R723" t="s">
        <v>2451</v>
      </c>
      <c r="S723" t="s">
        <v>243</v>
      </c>
      <c r="T723">
        <v>1148.69</v>
      </c>
      <c r="U723" t="s">
        <v>2495</v>
      </c>
      <c r="W723" t="s">
        <v>2953</v>
      </c>
      <c r="Z723">
        <v>359</v>
      </c>
      <c r="AA723" t="s">
        <v>3783</v>
      </c>
      <c r="AB723" t="s">
        <v>2006</v>
      </c>
      <c r="AC723">
        <v>34</v>
      </c>
      <c r="AD723">
        <v>1</v>
      </c>
      <c r="AE723">
        <v>0</v>
      </c>
      <c r="AF723">
        <v>166.73</v>
      </c>
      <c r="AI723" t="s">
        <v>3809</v>
      </c>
      <c r="AJ723">
        <v>20824.62</v>
      </c>
      <c r="AK723" t="s">
        <v>4001</v>
      </c>
      <c r="AP723">
        <v>0</v>
      </c>
      <c r="AR723" t="s">
        <v>49</v>
      </c>
      <c r="AS723" t="s">
        <v>4210</v>
      </c>
      <c r="AT723" t="s">
        <v>4219</v>
      </c>
    </row>
    <row r="724" spans="1:46">
      <c r="A724" s="1">
        <f>HYPERLINK("https://lsnyc.legalserver.org/matter/dynamic-profile/view/1891715","19-1891715")</f>
        <v>0</v>
      </c>
      <c r="B724" t="s">
        <v>66</v>
      </c>
      <c r="C724" t="s">
        <v>271</v>
      </c>
      <c r="E724" t="s">
        <v>434</v>
      </c>
      <c r="F724" t="s">
        <v>1020</v>
      </c>
      <c r="G724" t="s">
        <v>1633</v>
      </c>
      <c r="H724" t="s">
        <v>1876</v>
      </c>
      <c r="I724">
        <v>11233</v>
      </c>
      <c r="J724" t="s">
        <v>2002</v>
      </c>
      <c r="K724" t="s">
        <v>2002</v>
      </c>
      <c r="M724" t="s">
        <v>2058</v>
      </c>
      <c r="N724" t="s">
        <v>2417</v>
      </c>
      <c r="O724" t="s">
        <v>2436</v>
      </c>
      <c r="Q724" t="s">
        <v>2002</v>
      </c>
      <c r="R724" t="s">
        <v>2451</v>
      </c>
      <c r="S724" t="s">
        <v>243</v>
      </c>
      <c r="T724">
        <v>446</v>
      </c>
      <c r="W724" t="s">
        <v>2561</v>
      </c>
      <c r="Y724" t="s">
        <v>3657</v>
      </c>
      <c r="Z724">
        <v>359</v>
      </c>
      <c r="AA724" t="s">
        <v>3783</v>
      </c>
      <c r="AB724" t="s">
        <v>3793</v>
      </c>
      <c r="AC724">
        <v>0</v>
      </c>
      <c r="AD724">
        <v>1</v>
      </c>
      <c r="AE724">
        <v>0</v>
      </c>
      <c r="AF724">
        <v>168.13</v>
      </c>
      <c r="AI724" t="s">
        <v>3809</v>
      </c>
      <c r="AJ724">
        <v>21000</v>
      </c>
      <c r="AK724" t="s">
        <v>4002</v>
      </c>
      <c r="AP724">
        <v>0</v>
      </c>
      <c r="AR724" t="s">
        <v>4185</v>
      </c>
      <c r="AS724" t="s">
        <v>4210</v>
      </c>
      <c r="AT724" t="s">
        <v>4219</v>
      </c>
    </row>
    <row r="725" spans="1:46">
      <c r="A725" s="1">
        <f>HYPERLINK("https://lsnyc.legalserver.org/matter/dynamic-profile/view/1891718","19-1891718")</f>
        <v>0</v>
      </c>
      <c r="B725" t="s">
        <v>66</v>
      </c>
      <c r="C725" t="s">
        <v>271</v>
      </c>
      <c r="E725" t="s">
        <v>661</v>
      </c>
      <c r="F725" t="s">
        <v>1165</v>
      </c>
      <c r="G725" t="s">
        <v>1482</v>
      </c>
      <c r="H725" t="s">
        <v>1870</v>
      </c>
      <c r="I725">
        <v>11233</v>
      </c>
      <c r="J725" t="s">
        <v>2002</v>
      </c>
      <c r="K725" t="s">
        <v>2002</v>
      </c>
      <c r="M725" t="s">
        <v>2058</v>
      </c>
      <c r="N725" t="s">
        <v>2417</v>
      </c>
      <c r="O725" t="s">
        <v>2436</v>
      </c>
      <c r="Q725" t="s">
        <v>2002</v>
      </c>
      <c r="R725" t="s">
        <v>2451</v>
      </c>
      <c r="S725" t="s">
        <v>243</v>
      </c>
      <c r="T725">
        <v>1353.11</v>
      </c>
      <c r="W725" t="s">
        <v>2911</v>
      </c>
      <c r="Y725" t="s">
        <v>3651</v>
      </c>
      <c r="Z725">
        <v>359</v>
      </c>
      <c r="AA725" t="s">
        <v>3783</v>
      </c>
      <c r="AB725" t="s">
        <v>2006</v>
      </c>
      <c r="AC725">
        <v>24</v>
      </c>
      <c r="AD725">
        <v>5</v>
      </c>
      <c r="AE725">
        <v>0</v>
      </c>
      <c r="AF725">
        <v>169.71</v>
      </c>
      <c r="AI725" t="s">
        <v>3809</v>
      </c>
      <c r="AJ725">
        <v>51200</v>
      </c>
      <c r="AK725" t="s">
        <v>4003</v>
      </c>
      <c r="AP725">
        <v>0</v>
      </c>
      <c r="AR725" t="s">
        <v>4185</v>
      </c>
      <c r="AS725" t="s">
        <v>4210</v>
      </c>
      <c r="AT725" t="s">
        <v>4219</v>
      </c>
    </row>
    <row r="726" spans="1:46">
      <c r="A726" s="1">
        <f>HYPERLINK("https://lsnyc.legalserver.org/matter/dynamic-profile/view/1892508","19-1892508")</f>
        <v>0</v>
      </c>
      <c r="B726" t="s">
        <v>66</v>
      </c>
      <c r="C726" t="s">
        <v>274</v>
      </c>
      <c r="E726" t="s">
        <v>376</v>
      </c>
      <c r="F726" t="s">
        <v>938</v>
      </c>
      <c r="G726" t="s">
        <v>1482</v>
      </c>
      <c r="H726" t="s">
        <v>1909</v>
      </c>
      <c r="I726">
        <v>11233</v>
      </c>
      <c r="J726" t="s">
        <v>2002</v>
      </c>
      <c r="K726" t="s">
        <v>2003</v>
      </c>
      <c r="L726" t="s">
        <v>2006</v>
      </c>
      <c r="M726" t="s">
        <v>2006</v>
      </c>
      <c r="N726" t="s">
        <v>2417</v>
      </c>
      <c r="O726" t="s">
        <v>2436</v>
      </c>
      <c r="Q726" t="s">
        <v>2002</v>
      </c>
      <c r="R726" t="s">
        <v>2451</v>
      </c>
      <c r="S726" t="s">
        <v>243</v>
      </c>
      <c r="T726">
        <v>986</v>
      </c>
      <c r="U726" t="s">
        <v>2495</v>
      </c>
      <c r="W726" t="s">
        <v>2954</v>
      </c>
      <c r="X726" t="s">
        <v>2058</v>
      </c>
      <c r="Z726">
        <v>359</v>
      </c>
      <c r="AA726" t="s">
        <v>3783</v>
      </c>
      <c r="AB726" t="s">
        <v>2006</v>
      </c>
      <c r="AC726">
        <v>16</v>
      </c>
      <c r="AD726">
        <v>2</v>
      </c>
      <c r="AE726">
        <v>1</v>
      </c>
      <c r="AF726">
        <v>171.84</v>
      </c>
      <c r="AI726" t="s">
        <v>3809</v>
      </c>
      <c r="AJ726">
        <v>36653</v>
      </c>
      <c r="AK726" t="s">
        <v>4004</v>
      </c>
      <c r="AP726">
        <v>0</v>
      </c>
      <c r="AR726" t="s">
        <v>49</v>
      </c>
      <c r="AS726" t="s">
        <v>4210</v>
      </c>
      <c r="AT726" t="s">
        <v>4219</v>
      </c>
    </row>
    <row r="727" spans="1:46">
      <c r="A727" s="1">
        <f>HYPERLINK("https://lsnyc.legalserver.org/matter/dynamic-profile/view/1891875","19-1891875")</f>
        <v>0</v>
      </c>
      <c r="B727" t="s">
        <v>66</v>
      </c>
      <c r="C727" t="s">
        <v>277</v>
      </c>
      <c r="E727" t="s">
        <v>692</v>
      </c>
      <c r="F727" t="s">
        <v>1202</v>
      </c>
      <c r="G727" t="s">
        <v>1482</v>
      </c>
      <c r="H727" t="s">
        <v>1910</v>
      </c>
      <c r="I727">
        <v>11233</v>
      </c>
      <c r="J727" t="s">
        <v>2002</v>
      </c>
      <c r="K727" t="s">
        <v>2003</v>
      </c>
      <c r="M727" t="s">
        <v>2058</v>
      </c>
      <c r="N727" t="s">
        <v>2417</v>
      </c>
      <c r="O727" t="s">
        <v>2436</v>
      </c>
      <c r="Q727" t="s">
        <v>2002</v>
      </c>
      <c r="R727" t="s">
        <v>2451</v>
      </c>
      <c r="S727" t="s">
        <v>243</v>
      </c>
      <c r="T727">
        <v>1200</v>
      </c>
      <c r="W727" t="s">
        <v>2955</v>
      </c>
      <c r="Z727">
        <v>359</v>
      </c>
      <c r="AA727" t="s">
        <v>3783</v>
      </c>
      <c r="AB727" t="s">
        <v>2006</v>
      </c>
      <c r="AC727">
        <v>10</v>
      </c>
      <c r="AD727">
        <v>3</v>
      </c>
      <c r="AE727">
        <v>1</v>
      </c>
      <c r="AF727">
        <v>174.76</v>
      </c>
      <c r="AI727" t="s">
        <v>3809</v>
      </c>
      <c r="AJ727">
        <v>45000</v>
      </c>
      <c r="AK727" t="s">
        <v>4005</v>
      </c>
      <c r="AP727">
        <v>0</v>
      </c>
      <c r="AR727" t="s">
        <v>4185</v>
      </c>
      <c r="AS727" t="s">
        <v>4210</v>
      </c>
      <c r="AT727" t="s">
        <v>4219</v>
      </c>
    </row>
    <row r="728" spans="1:46">
      <c r="A728" s="1">
        <f>HYPERLINK("https://lsnyc.legalserver.org/matter/dynamic-profile/view/1891871","19-1891871")</f>
        <v>0</v>
      </c>
      <c r="B728" t="s">
        <v>66</v>
      </c>
      <c r="C728" t="s">
        <v>277</v>
      </c>
      <c r="E728" t="s">
        <v>672</v>
      </c>
      <c r="F728" t="s">
        <v>1251</v>
      </c>
      <c r="G728" t="s">
        <v>1482</v>
      </c>
      <c r="H728" t="s">
        <v>1963</v>
      </c>
      <c r="I728">
        <v>11233</v>
      </c>
      <c r="J728" t="s">
        <v>2002</v>
      </c>
      <c r="K728" t="s">
        <v>2003</v>
      </c>
      <c r="L728" t="s">
        <v>2006</v>
      </c>
      <c r="M728" t="s">
        <v>2006</v>
      </c>
      <c r="N728" t="s">
        <v>2417</v>
      </c>
      <c r="O728" t="s">
        <v>2436</v>
      </c>
      <c r="Q728" t="s">
        <v>2002</v>
      </c>
      <c r="R728" t="s">
        <v>2451</v>
      </c>
      <c r="S728" t="s">
        <v>243</v>
      </c>
      <c r="T728">
        <v>875</v>
      </c>
      <c r="W728" t="s">
        <v>3020</v>
      </c>
      <c r="X728" t="s">
        <v>2006</v>
      </c>
      <c r="Z728">
        <v>359</v>
      </c>
      <c r="AA728" t="s">
        <v>3783</v>
      </c>
      <c r="AB728" t="s">
        <v>2006</v>
      </c>
      <c r="AC728">
        <v>40</v>
      </c>
      <c r="AD728">
        <v>1</v>
      </c>
      <c r="AE728">
        <v>0</v>
      </c>
      <c r="AF728">
        <v>176.86</v>
      </c>
      <c r="AI728" t="s">
        <v>3809</v>
      </c>
      <c r="AJ728">
        <v>22090</v>
      </c>
      <c r="AK728" t="s">
        <v>3939</v>
      </c>
      <c r="AP728">
        <v>0</v>
      </c>
      <c r="AR728" t="s">
        <v>4185</v>
      </c>
      <c r="AS728" t="s">
        <v>4210</v>
      </c>
      <c r="AT728" t="s">
        <v>4219</v>
      </c>
    </row>
    <row r="729" spans="1:46">
      <c r="A729" s="1">
        <f>HYPERLINK("https://lsnyc.legalserver.org/matter/dynamic-profile/view/1898037","19-1898037")</f>
        <v>0</v>
      </c>
      <c r="B729" t="s">
        <v>66</v>
      </c>
      <c r="C729" t="s">
        <v>248</v>
      </c>
      <c r="E729" t="s">
        <v>693</v>
      </c>
      <c r="F729" t="s">
        <v>1203</v>
      </c>
      <c r="G729" t="s">
        <v>1482</v>
      </c>
      <c r="H729" t="s">
        <v>1911</v>
      </c>
      <c r="I729">
        <v>11233</v>
      </c>
      <c r="J729" t="s">
        <v>2002</v>
      </c>
      <c r="K729" t="s">
        <v>2003</v>
      </c>
      <c r="N729" t="s">
        <v>2417</v>
      </c>
      <c r="O729" t="s">
        <v>2436</v>
      </c>
      <c r="Q729" t="s">
        <v>2002</v>
      </c>
      <c r="R729" t="s">
        <v>2451</v>
      </c>
      <c r="S729" t="s">
        <v>243</v>
      </c>
      <c r="T729">
        <v>1059</v>
      </c>
      <c r="U729" t="s">
        <v>2495</v>
      </c>
      <c r="W729" t="s">
        <v>2956</v>
      </c>
      <c r="Z729">
        <v>359</v>
      </c>
      <c r="AA729" t="s">
        <v>3783</v>
      </c>
      <c r="AC729">
        <v>39</v>
      </c>
      <c r="AD729">
        <v>2</v>
      </c>
      <c r="AE729">
        <v>1</v>
      </c>
      <c r="AF729">
        <v>178.15</v>
      </c>
      <c r="AI729" t="s">
        <v>3809</v>
      </c>
      <c r="AJ729">
        <v>38000</v>
      </c>
      <c r="AK729" t="s">
        <v>4006</v>
      </c>
      <c r="AP729">
        <v>0</v>
      </c>
      <c r="AR729" t="s">
        <v>49</v>
      </c>
      <c r="AS729" t="s">
        <v>4210</v>
      </c>
      <c r="AT729" t="s">
        <v>4219</v>
      </c>
    </row>
    <row r="730" spans="1:46">
      <c r="A730" s="1">
        <f>HYPERLINK("https://lsnyc.legalserver.org/matter/dynamic-profile/view/1892672","19-1892672")</f>
        <v>0</v>
      </c>
      <c r="B730" t="s">
        <v>66</v>
      </c>
      <c r="C730" t="s">
        <v>141</v>
      </c>
      <c r="E730" t="s">
        <v>694</v>
      </c>
      <c r="F730" t="s">
        <v>1204</v>
      </c>
      <c r="G730" t="s">
        <v>1633</v>
      </c>
      <c r="H730" t="s">
        <v>1802</v>
      </c>
      <c r="I730">
        <v>11233</v>
      </c>
      <c r="J730" t="s">
        <v>2002</v>
      </c>
      <c r="K730" t="s">
        <v>2003</v>
      </c>
      <c r="N730" t="s">
        <v>2417</v>
      </c>
      <c r="O730" t="s">
        <v>2436</v>
      </c>
      <c r="Q730" t="s">
        <v>2002</v>
      </c>
      <c r="R730" t="s">
        <v>2451</v>
      </c>
      <c r="S730" t="s">
        <v>243</v>
      </c>
      <c r="T730">
        <v>981.97</v>
      </c>
      <c r="U730" t="s">
        <v>2495</v>
      </c>
      <c r="W730" t="s">
        <v>2957</v>
      </c>
      <c r="Z730">
        <v>359</v>
      </c>
      <c r="AA730" t="s">
        <v>3783</v>
      </c>
      <c r="AC730">
        <v>0</v>
      </c>
      <c r="AD730">
        <v>4</v>
      </c>
      <c r="AE730">
        <v>1</v>
      </c>
      <c r="AF730">
        <v>178.99</v>
      </c>
      <c r="AI730" t="s">
        <v>3816</v>
      </c>
      <c r="AJ730">
        <v>54000</v>
      </c>
      <c r="AK730" t="s">
        <v>4007</v>
      </c>
      <c r="AP730">
        <v>0</v>
      </c>
      <c r="AR730" t="s">
        <v>49</v>
      </c>
      <c r="AS730" t="s">
        <v>4210</v>
      </c>
      <c r="AT730" t="s">
        <v>4219</v>
      </c>
    </row>
    <row r="731" spans="1:46">
      <c r="A731" s="1">
        <f>HYPERLINK("https://lsnyc.legalserver.org/matter/dynamic-profile/view/1891717","19-1891717")</f>
        <v>0</v>
      </c>
      <c r="B731" t="s">
        <v>66</v>
      </c>
      <c r="C731" t="s">
        <v>271</v>
      </c>
      <c r="E731" t="s">
        <v>667</v>
      </c>
      <c r="F731" t="s">
        <v>1171</v>
      </c>
      <c r="G731" t="s">
        <v>1482</v>
      </c>
      <c r="H731" t="s">
        <v>1877</v>
      </c>
      <c r="I731">
        <v>11233</v>
      </c>
      <c r="J731" t="s">
        <v>2002</v>
      </c>
      <c r="K731" t="s">
        <v>2002</v>
      </c>
      <c r="M731" t="s">
        <v>2058</v>
      </c>
      <c r="N731" t="s">
        <v>2417</v>
      </c>
      <c r="O731" t="s">
        <v>2436</v>
      </c>
      <c r="Q731" t="s">
        <v>2002</v>
      </c>
      <c r="R731" t="s">
        <v>2451</v>
      </c>
      <c r="S731" t="s">
        <v>243</v>
      </c>
      <c r="T731">
        <v>1076.55</v>
      </c>
      <c r="W731" t="s">
        <v>2919</v>
      </c>
      <c r="Y731" t="s">
        <v>3658</v>
      </c>
      <c r="Z731">
        <v>359</v>
      </c>
      <c r="AA731" t="s">
        <v>3783</v>
      </c>
      <c r="AB731" t="s">
        <v>3797</v>
      </c>
      <c r="AC731">
        <v>21</v>
      </c>
      <c r="AD731">
        <v>1</v>
      </c>
      <c r="AE731">
        <v>0</v>
      </c>
      <c r="AF731">
        <v>185.37</v>
      </c>
      <c r="AI731" t="s">
        <v>3809</v>
      </c>
      <c r="AJ731">
        <v>23152.8</v>
      </c>
      <c r="AK731" t="s">
        <v>4008</v>
      </c>
      <c r="AP731">
        <v>0</v>
      </c>
      <c r="AR731" t="s">
        <v>4185</v>
      </c>
      <c r="AS731" t="s">
        <v>4210</v>
      </c>
      <c r="AT731" t="s">
        <v>4219</v>
      </c>
    </row>
    <row r="732" spans="1:46">
      <c r="A732" s="1">
        <f>HYPERLINK("https://lsnyc.legalserver.org/matter/dynamic-profile/view/1897521","19-1897521")</f>
        <v>0</v>
      </c>
      <c r="B732" t="s">
        <v>66</v>
      </c>
      <c r="C732" t="s">
        <v>169</v>
      </c>
      <c r="E732" t="s">
        <v>368</v>
      </c>
      <c r="F732" t="s">
        <v>1051</v>
      </c>
      <c r="G732" t="s">
        <v>1482</v>
      </c>
      <c r="H732" t="s">
        <v>1912</v>
      </c>
      <c r="I732">
        <v>11233</v>
      </c>
      <c r="J732" t="s">
        <v>2002</v>
      </c>
      <c r="K732" t="s">
        <v>2003</v>
      </c>
      <c r="N732" t="s">
        <v>2417</v>
      </c>
      <c r="O732" t="s">
        <v>2436</v>
      </c>
      <c r="Q732" t="s">
        <v>2002</v>
      </c>
      <c r="R732" t="s">
        <v>2451</v>
      </c>
      <c r="S732" t="s">
        <v>243</v>
      </c>
      <c r="T732">
        <v>981</v>
      </c>
      <c r="W732" t="s">
        <v>2958</v>
      </c>
      <c r="Z732">
        <v>359</v>
      </c>
      <c r="AA732" t="s">
        <v>3783</v>
      </c>
      <c r="AC732">
        <v>20</v>
      </c>
      <c r="AD732">
        <v>1</v>
      </c>
      <c r="AE732">
        <v>1</v>
      </c>
      <c r="AF732">
        <v>189.24</v>
      </c>
      <c r="AI732" t="s">
        <v>3809</v>
      </c>
      <c r="AJ732">
        <v>32000</v>
      </c>
      <c r="AK732" t="s">
        <v>4009</v>
      </c>
      <c r="AP732">
        <v>0</v>
      </c>
      <c r="AR732" t="s">
        <v>4185</v>
      </c>
      <c r="AS732" t="s">
        <v>4210</v>
      </c>
      <c r="AT732" t="s">
        <v>4219</v>
      </c>
    </row>
    <row r="733" spans="1:46">
      <c r="A733" s="1">
        <f>HYPERLINK("https://lsnyc.legalserver.org/matter/dynamic-profile/view/1891872","19-1891872")</f>
        <v>0</v>
      </c>
      <c r="B733" t="s">
        <v>66</v>
      </c>
      <c r="C733" t="s">
        <v>277</v>
      </c>
      <c r="E733" t="s">
        <v>695</v>
      </c>
      <c r="F733" t="s">
        <v>1205</v>
      </c>
      <c r="G733" t="s">
        <v>1482</v>
      </c>
      <c r="H733" t="s">
        <v>1854</v>
      </c>
      <c r="I733">
        <v>11233</v>
      </c>
      <c r="J733" t="s">
        <v>2002</v>
      </c>
      <c r="K733" t="s">
        <v>2003</v>
      </c>
      <c r="M733" t="s">
        <v>2006</v>
      </c>
      <c r="N733" t="s">
        <v>2417</v>
      </c>
      <c r="O733" t="s">
        <v>2436</v>
      </c>
      <c r="Q733" t="s">
        <v>2002</v>
      </c>
      <c r="R733" t="s">
        <v>2451</v>
      </c>
      <c r="S733" t="s">
        <v>243</v>
      </c>
      <c r="T733">
        <v>965.96</v>
      </c>
      <c r="W733" t="s">
        <v>2959</v>
      </c>
      <c r="Z733">
        <v>359</v>
      </c>
      <c r="AA733" t="s">
        <v>3783</v>
      </c>
      <c r="AC733">
        <v>42</v>
      </c>
      <c r="AD733">
        <v>1</v>
      </c>
      <c r="AE733">
        <v>0</v>
      </c>
      <c r="AF733">
        <v>192.53</v>
      </c>
      <c r="AI733" t="s">
        <v>3809</v>
      </c>
      <c r="AJ733">
        <v>24046.8</v>
      </c>
      <c r="AK733" t="s">
        <v>4010</v>
      </c>
      <c r="AP733">
        <v>0</v>
      </c>
      <c r="AR733" t="s">
        <v>4185</v>
      </c>
      <c r="AS733" t="s">
        <v>4210</v>
      </c>
      <c r="AT733" t="s">
        <v>4219</v>
      </c>
    </row>
    <row r="734" spans="1:46">
      <c r="A734" s="1">
        <f>HYPERLINK("https://lsnyc.legalserver.org/matter/dynamic-profile/view/1891859","19-1891859")</f>
        <v>0</v>
      </c>
      <c r="B734" t="s">
        <v>66</v>
      </c>
      <c r="C734" t="s">
        <v>277</v>
      </c>
      <c r="E734" t="s">
        <v>696</v>
      </c>
      <c r="F734" t="s">
        <v>1206</v>
      </c>
      <c r="G734" t="s">
        <v>1482</v>
      </c>
      <c r="H734" t="s">
        <v>1913</v>
      </c>
      <c r="I734">
        <v>11233</v>
      </c>
      <c r="J734" t="s">
        <v>2002</v>
      </c>
      <c r="K734" t="s">
        <v>2003</v>
      </c>
      <c r="M734" t="s">
        <v>2006</v>
      </c>
      <c r="N734" t="s">
        <v>2417</v>
      </c>
      <c r="O734" t="s">
        <v>2436</v>
      </c>
      <c r="Q734" t="s">
        <v>2002</v>
      </c>
      <c r="R734" t="s">
        <v>2451</v>
      </c>
      <c r="S734" t="s">
        <v>243</v>
      </c>
      <c r="T734">
        <v>950</v>
      </c>
      <c r="W734" t="s">
        <v>2960</v>
      </c>
      <c r="Z734">
        <v>359</v>
      </c>
      <c r="AA734" t="s">
        <v>3783</v>
      </c>
      <c r="AB734" t="s">
        <v>2006</v>
      </c>
      <c r="AC734">
        <v>15</v>
      </c>
      <c r="AD734">
        <v>4</v>
      </c>
      <c r="AE734">
        <v>0</v>
      </c>
      <c r="AF734">
        <v>193.03</v>
      </c>
      <c r="AI734" t="s">
        <v>3809</v>
      </c>
      <c r="AJ734">
        <v>49705</v>
      </c>
      <c r="AK734" t="s">
        <v>4011</v>
      </c>
      <c r="AP734">
        <v>0</v>
      </c>
      <c r="AR734" t="s">
        <v>4185</v>
      </c>
      <c r="AS734" t="s">
        <v>4210</v>
      </c>
      <c r="AT734" t="s">
        <v>4219</v>
      </c>
    </row>
    <row r="735" spans="1:46">
      <c r="A735" s="1">
        <f>HYPERLINK("https://lsnyc.legalserver.org/matter/dynamic-profile/view/1891660","19-1891660")</f>
        <v>0</v>
      </c>
      <c r="B735" t="s">
        <v>66</v>
      </c>
      <c r="C735" t="s">
        <v>271</v>
      </c>
      <c r="E735" t="s">
        <v>553</v>
      </c>
      <c r="F735" t="s">
        <v>1207</v>
      </c>
      <c r="G735" t="s">
        <v>1482</v>
      </c>
      <c r="H735" t="s">
        <v>1914</v>
      </c>
      <c r="I735">
        <v>11233</v>
      </c>
      <c r="J735" t="s">
        <v>2002</v>
      </c>
      <c r="K735" t="s">
        <v>2003</v>
      </c>
      <c r="M735" t="s">
        <v>2006</v>
      </c>
      <c r="N735" t="s">
        <v>2417</v>
      </c>
      <c r="O735" t="s">
        <v>2436</v>
      </c>
      <c r="Q735" t="s">
        <v>2002</v>
      </c>
      <c r="R735" t="s">
        <v>2451</v>
      </c>
      <c r="S735" t="s">
        <v>243</v>
      </c>
      <c r="T735">
        <v>1442</v>
      </c>
      <c r="W735" t="s">
        <v>2961</v>
      </c>
      <c r="Z735">
        <v>359</v>
      </c>
      <c r="AA735" t="s">
        <v>3783</v>
      </c>
      <c r="AC735">
        <v>28</v>
      </c>
      <c r="AD735">
        <v>2</v>
      </c>
      <c r="AE735">
        <v>0</v>
      </c>
      <c r="AF735">
        <v>195.15</v>
      </c>
      <c r="AI735" t="s">
        <v>3809</v>
      </c>
      <c r="AJ735">
        <v>33000</v>
      </c>
      <c r="AK735" t="s">
        <v>4012</v>
      </c>
      <c r="AP735">
        <v>0</v>
      </c>
      <c r="AR735" t="s">
        <v>4185</v>
      </c>
      <c r="AS735" t="s">
        <v>4210</v>
      </c>
      <c r="AT735" t="s">
        <v>4219</v>
      </c>
    </row>
    <row r="736" spans="1:46">
      <c r="A736" s="1">
        <f>HYPERLINK("https://lsnyc.legalserver.org/matter/dynamic-profile/view/1891469","19-1891469")</f>
        <v>0</v>
      </c>
      <c r="B736" t="s">
        <v>66</v>
      </c>
      <c r="C736" t="s">
        <v>164</v>
      </c>
      <c r="E736" t="s">
        <v>697</v>
      </c>
      <c r="F736" t="s">
        <v>942</v>
      </c>
      <c r="G736" t="s">
        <v>1632</v>
      </c>
      <c r="H736" t="s">
        <v>1915</v>
      </c>
      <c r="I736">
        <v>11233</v>
      </c>
      <c r="J736" t="s">
        <v>2002</v>
      </c>
      <c r="K736" t="s">
        <v>2003</v>
      </c>
      <c r="N736" t="s">
        <v>2417</v>
      </c>
      <c r="O736" t="s">
        <v>2436</v>
      </c>
      <c r="Q736" t="s">
        <v>2002</v>
      </c>
      <c r="R736" t="s">
        <v>2451</v>
      </c>
      <c r="S736" t="s">
        <v>243</v>
      </c>
      <c r="T736">
        <v>1121</v>
      </c>
      <c r="U736" t="s">
        <v>2495</v>
      </c>
      <c r="W736" t="s">
        <v>2962</v>
      </c>
      <c r="Z736">
        <v>359</v>
      </c>
      <c r="AA736" t="s">
        <v>3783</v>
      </c>
      <c r="AB736" t="s">
        <v>2006</v>
      </c>
      <c r="AC736">
        <v>4</v>
      </c>
      <c r="AD736">
        <v>3</v>
      </c>
      <c r="AE736">
        <v>0</v>
      </c>
      <c r="AF736">
        <v>209.07</v>
      </c>
      <c r="AG736" t="s">
        <v>196</v>
      </c>
      <c r="AH736" t="s">
        <v>3806</v>
      </c>
      <c r="AI736" t="s">
        <v>3809</v>
      </c>
      <c r="AJ736">
        <v>44595</v>
      </c>
      <c r="AK736" t="s">
        <v>4013</v>
      </c>
      <c r="AP736">
        <v>0</v>
      </c>
      <c r="AR736" t="s">
        <v>49</v>
      </c>
      <c r="AS736" t="s">
        <v>4210</v>
      </c>
      <c r="AT736" t="s">
        <v>4219</v>
      </c>
    </row>
    <row r="737" spans="1:46">
      <c r="A737" s="1">
        <f>HYPERLINK("https://lsnyc.legalserver.org/matter/dynamic-profile/view/1891930","19-1891930")</f>
        <v>0</v>
      </c>
      <c r="B737" t="s">
        <v>66</v>
      </c>
      <c r="C737" t="s">
        <v>224</v>
      </c>
      <c r="E737" t="s">
        <v>698</v>
      </c>
      <c r="F737" t="s">
        <v>1208</v>
      </c>
      <c r="G737" t="s">
        <v>1482</v>
      </c>
      <c r="H737" t="s">
        <v>1916</v>
      </c>
      <c r="I737">
        <v>11233</v>
      </c>
      <c r="J737" t="s">
        <v>2002</v>
      </c>
      <c r="K737" t="s">
        <v>2003</v>
      </c>
      <c r="N737" t="s">
        <v>2417</v>
      </c>
      <c r="O737" t="s">
        <v>2436</v>
      </c>
      <c r="Q737" t="s">
        <v>2002</v>
      </c>
      <c r="R737" t="s">
        <v>2451</v>
      </c>
      <c r="S737" t="s">
        <v>243</v>
      </c>
      <c r="T737">
        <v>1047</v>
      </c>
      <c r="U737" t="s">
        <v>2495</v>
      </c>
      <c r="W737" t="s">
        <v>2963</v>
      </c>
      <c r="Z737">
        <v>359</v>
      </c>
      <c r="AA737" t="s">
        <v>3783</v>
      </c>
      <c r="AB737" t="s">
        <v>2006</v>
      </c>
      <c r="AC737">
        <v>8</v>
      </c>
      <c r="AD737">
        <v>3</v>
      </c>
      <c r="AE737">
        <v>3</v>
      </c>
      <c r="AF737">
        <v>211.54</v>
      </c>
      <c r="AI737" t="s">
        <v>3809</v>
      </c>
      <c r="AJ737">
        <v>73170</v>
      </c>
      <c r="AK737" t="s">
        <v>4014</v>
      </c>
      <c r="AP737">
        <v>0</v>
      </c>
      <c r="AR737" t="s">
        <v>49</v>
      </c>
      <c r="AS737" t="s">
        <v>4210</v>
      </c>
      <c r="AT737" t="s">
        <v>4219</v>
      </c>
    </row>
    <row r="738" spans="1:46">
      <c r="A738" s="1">
        <f>HYPERLINK("https://lsnyc.legalserver.org/matter/dynamic-profile/view/1898379","19-1898379")</f>
        <v>0</v>
      </c>
      <c r="B738" t="s">
        <v>66</v>
      </c>
      <c r="C738" t="s">
        <v>252</v>
      </c>
      <c r="E738" t="s">
        <v>699</v>
      </c>
      <c r="F738" t="s">
        <v>1209</v>
      </c>
      <c r="G738" t="s">
        <v>1482</v>
      </c>
      <c r="H738" t="s">
        <v>1917</v>
      </c>
      <c r="I738">
        <v>11233</v>
      </c>
      <c r="J738" t="s">
        <v>2002</v>
      </c>
      <c r="K738" t="s">
        <v>2003</v>
      </c>
      <c r="N738" t="s">
        <v>2417</v>
      </c>
      <c r="O738" t="s">
        <v>2436</v>
      </c>
      <c r="Q738" t="s">
        <v>2002</v>
      </c>
      <c r="R738" t="s">
        <v>2451</v>
      </c>
      <c r="S738" t="s">
        <v>243</v>
      </c>
      <c r="T738">
        <v>1082.69</v>
      </c>
      <c r="U738" t="s">
        <v>2495</v>
      </c>
      <c r="W738" t="s">
        <v>2964</v>
      </c>
      <c r="Z738">
        <v>359</v>
      </c>
      <c r="AA738" t="s">
        <v>3783</v>
      </c>
      <c r="AC738">
        <v>39</v>
      </c>
      <c r="AD738">
        <v>2</v>
      </c>
      <c r="AE738">
        <v>0</v>
      </c>
      <c r="AF738">
        <v>212.89</v>
      </c>
      <c r="AI738" t="s">
        <v>3809</v>
      </c>
      <c r="AJ738">
        <v>36000</v>
      </c>
      <c r="AK738" t="s">
        <v>4015</v>
      </c>
      <c r="AP738">
        <v>0</v>
      </c>
      <c r="AR738" t="s">
        <v>49</v>
      </c>
      <c r="AS738" t="s">
        <v>4210</v>
      </c>
      <c r="AT738" t="s">
        <v>4219</v>
      </c>
    </row>
    <row r="739" spans="1:46">
      <c r="A739" s="1">
        <f>HYPERLINK("https://lsnyc.legalserver.org/matter/dynamic-profile/view/1891502","19-1891502")</f>
        <v>0</v>
      </c>
      <c r="B739" t="s">
        <v>66</v>
      </c>
      <c r="C739" t="s">
        <v>164</v>
      </c>
      <c r="E739" t="s">
        <v>700</v>
      </c>
      <c r="F739" t="s">
        <v>1166</v>
      </c>
      <c r="G739" t="s">
        <v>1632</v>
      </c>
      <c r="H739" t="s">
        <v>1854</v>
      </c>
      <c r="I739">
        <v>11233</v>
      </c>
      <c r="J739" t="s">
        <v>2002</v>
      </c>
      <c r="K739" t="s">
        <v>2003</v>
      </c>
      <c r="M739" t="s">
        <v>2006</v>
      </c>
      <c r="N739" t="s">
        <v>2417</v>
      </c>
      <c r="O739" t="s">
        <v>2436</v>
      </c>
      <c r="Q739" t="s">
        <v>2002</v>
      </c>
      <c r="R739" t="s">
        <v>2451</v>
      </c>
      <c r="S739" t="s">
        <v>243</v>
      </c>
      <c r="T739">
        <v>997</v>
      </c>
      <c r="W739" t="s">
        <v>2965</v>
      </c>
      <c r="Z739">
        <v>359</v>
      </c>
      <c r="AA739" t="s">
        <v>3783</v>
      </c>
      <c r="AC739">
        <v>40</v>
      </c>
      <c r="AD739">
        <v>2</v>
      </c>
      <c r="AE739">
        <v>1</v>
      </c>
      <c r="AF739">
        <v>215.66</v>
      </c>
      <c r="AG739" t="s">
        <v>196</v>
      </c>
      <c r="AH739" t="s">
        <v>3806</v>
      </c>
      <c r="AI739" t="s">
        <v>3809</v>
      </c>
      <c r="AJ739">
        <v>46000</v>
      </c>
      <c r="AK739" t="s">
        <v>4016</v>
      </c>
      <c r="AP739">
        <v>0</v>
      </c>
      <c r="AR739" t="s">
        <v>4185</v>
      </c>
      <c r="AS739" t="s">
        <v>4210</v>
      </c>
      <c r="AT739" t="s">
        <v>4219</v>
      </c>
    </row>
    <row r="740" spans="1:46">
      <c r="A740" s="1">
        <f>HYPERLINK("https://lsnyc.legalserver.org/matter/dynamic-profile/view/1898027","19-1898027")</f>
        <v>0</v>
      </c>
      <c r="B740" t="s">
        <v>66</v>
      </c>
      <c r="C740" t="s">
        <v>248</v>
      </c>
      <c r="E740" t="s">
        <v>701</v>
      </c>
      <c r="F740" t="s">
        <v>1210</v>
      </c>
      <c r="G740" t="s">
        <v>1634</v>
      </c>
      <c r="H740" t="s">
        <v>1918</v>
      </c>
      <c r="I740">
        <v>11233</v>
      </c>
      <c r="J740" t="s">
        <v>2002</v>
      </c>
      <c r="K740" t="s">
        <v>2003</v>
      </c>
      <c r="N740" t="s">
        <v>2417</v>
      </c>
      <c r="O740" t="s">
        <v>2436</v>
      </c>
      <c r="Q740" t="s">
        <v>2002</v>
      </c>
      <c r="R740" t="s">
        <v>2451</v>
      </c>
      <c r="S740" t="s">
        <v>243</v>
      </c>
      <c r="T740">
        <v>836.36</v>
      </c>
      <c r="U740" t="s">
        <v>2495</v>
      </c>
      <c r="W740" t="s">
        <v>2966</v>
      </c>
      <c r="Y740" t="s">
        <v>3659</v>
      </c>
      <c r="Z740">
        <v>359</v>
      </c>
      <c r="AA740" t="s">
        <v>3783</v>
      </c>
      <c r="AC740">
        <v>16</v>
      </c>
      <c r="AD740">
        <v>1</v>
      </c>
      <c r="AE740">
        <v>0</v>
      </c>
      <c r="AF740">
        <v>216.17</v>
      </c>
      <c r="AI740" t="s">
        <v>3809</v>
      </c>
      <c r="AJ740">
        <v>27000</v>
      </c>
      <c r="AK740" t="s">
        <v>4017</v>
      </c>
      <c r="AP740">
        <v>0</v>
      </c>
      <c r="AR740" t="s">
        <v>49</v>
      </c>
      <c r="AS740" t="s">
        <v>4210</v>
      </c>
      <c r="AT740" t="s">
        <v>4219</v>
      </c>
    </row>
    <row r="741" spans="1:46">
      <c r="A741" s="1">
        <f>HYPERLINK("https://lsnyc.legalserver.org/matter/dynamic-profile/view/1891867","19-1891867")</f>
        <v>0</v>
      </c>
      <c r="B741" t="s">
        <v>66</v>
      </c>
      <c r="C741" t="s">
        <v>277</v>
      </c>
      <c r="E741" t="s">
        <v>434</v>
      </c>
      <c r="F741" t="s">
        <v>1211</v>
      </c>
      <c r="G741" t="s">
        <v>1482</v>
      </c>
      <c r="H741" t="s">
        <v>1919</v>
      </c>
      <c r="I741">
        <v>11233</v>
      </c>
      <c r="J741" t="s">
        <v>2002</v>
      </c>
      <c r="K741" t="s">
        <v>2003</v>
      </c>
      <c r="N741" t="s">
        <v>2417</v>
      </c>
      <c r="O741" t="s">
        <v>2436</v>
      </c>
      <c r="Q741" t="s">
        <v>2002</v>
      </c>
      <c r="R741" t="s">
        <v>2451</v>
      </c>
      <c r="S741" t="s">
        <v>243</v>
      </c>
      <c r="T741">
        <v>1031.53</v>
      </c>
      <c r="W741" t="s">
        <v>2967</v>
      </c>
      <c r="Z741">
        <v>359</v>
      </c>
      <c r="AA741" t="s">
        <v>3783</v>
      </c>
      <c r="AB741" t="s">
        <v>2006</v>
      </c>
      <c r="AC741">
        <v>21</v>
      </c>
      <c r="AD741">
        <v>2</v>
      </c>
      <c r="AE741">
        <v>3</v>
      </c>
      <c r="AF741">
        <v>222.07</v>
      </c>
      <c r="AI741" t="s">
        <v>3809</v>
      </c>
      <c r="AJ741">
        <v>67000</v>
      </c>
      <c r="AK741" t="s">
        <v>4018</v>
      </c>
      <c r="AP741">
        <v>0</v>
      </c>
      <c r="AR741" t="s">
        <v>4185</v>
      </c>
      <c r="AS741" t="s">
        <v>4210</v>
      </c>
      <c r="AT741" t="s">
        <v>4219</v>
      </c>
    </row>
    <row r="742" spans="1:46">
      <c r="A742" s="1">
        <f>HYPERLINK("https://lsnyc.legalserver.org/matter/dynamic-profile/view/1891447","19-1891447")</f>
        <v>0</v>
      </c>
      <c r="B742" t="s">
        <v>66</v>
      </c>
      <c r="C742" t="s">
        <v>164</v>
      </c>
      <c r="E742" t="s">
        <v>663</v>
      </c>
      <c r="F742" t="s">
        <v>1031</v>
      </c>
      <c r="G742" t="s">
        <v>1632</v>
      </c>
      <c r="H742" t="s">
        <v>1872</v>
      </c>
      <c r="I742">
        <v>11233</v>
      </c>
      <c r="J742" t="s">
        <v>2002</v>
      </c>
      <c r="K742" t="s">
        <v>2002</v>
      </c>
      <c r="N742" t="s">
        <v>2417</v>
      </c>
      <c r="O742" t="s">
        <v>2436</v>
      </c>
      <c r="Q742" t="s">
        <v>2002</v>
      </c>
      <c r="R742" t="s">
        <v>2451</v>
      </c>
      <c r="S742" t="s">
        <v>243</v>
      </c>
      <c r="T742">
        <v>1094</v>
      </c>
      <c r="U742" t="s">
        <v>2494</v>
      </c>
      <c r="W742" t="s">
        <v>2913</v>
      </c>
      <c r="Z742">
        <v>764</v>
      </c>
      <c r="AA742" t="s">
        <v>3783</v>
      </c>
      <c r="AB742" t="s">
        <v>2006</v>
      </c>
      <c r="AC742">
        <v>40</v>
      </c>
      <c r="AD742">
        <v>1</v>
      </c>
      <c r="AE742">
        <v>0</v>
      </c>
      <c r="AF742">
        <v>224.18</v>
      </c>
      <c r="AG742" t="s">
        <v>196</v>
      </c>
      <c r="AH742" t="s">
        <v>3806</v>
      </c>
      <c r="AI742" t="s">
        <v>3809</v>
      </c>
      <c r="AJ742">
        <v>28000</v>
      </c>
      <c r="AK742" t="s">
        <v>4019</v>
      </c>
      <c r="AP742">
        <v>0</v>
      </c>
      <c r="AR742" t="s">
        <v>49</v>
      </c>
      <c r="AS742" t="s">
        <v>4210</v>
      </c>
      <c r="AT742" t="s">
        <v>4219</v>
      </c>
    </row>
    <row r="743" spans="1:46">
      <c r="A743" s="1">
        <f>HYPERLINK("https://lsnyc.legalserver.org/matter/dynamic-profile/view/1897526","19-1897526")</f>
        <v>0</v>
      </c>
      <c r="B743" t="s">
        <v>66</v>
      </c>
      <c r="C743" t="s">
        <v>169</v>
      </c>
      <c r="E743" t="s">
        <v>504</v>
      </c>
      <c r="F743" t="s">
        <v>1212</v>
      </c>
      <c r="G743" t="s">
        <v>1632</v>
      </c>
      <c r="H743" t="s">
        <v>1920</v>
      </c>
      <c r="I743">
        <v>11233</v>
      </c>
      <c r="J743" t="s">
        <v>2002</v>
      </c>
      <c r="K743" t="s">
        <v>2003</v>
      </c>
      <c r="M743" t="s">
        <v>2006</v>
      </c>
      <c r="N743" t="s">
        <v>2417</v>
      </c>
      <c r="O743" t="s">
        <v>2436</v>
      </c>
      <c r="Q743" t="s">
        <v>2002</v>
      </c>
      <c r="R743" t="s">
        <v>2451</v>
      </c>
      <c r="S743" t="s">
        <v>243</v>
      </c>
      <c r="T743">
        <v>1225.26</v>
      </c>
      <c r="U743" t="s">
        <v>2512</v>
      </c>
      <c r="W743" t="s">
        <v>2968</v>
      </c>
      <c r="X743" t="s">
        <v>2006</v>
      </c>
      <c r="Z743">
        <v>359</v>
      </c>
      <c r="AA743" t="s">
        <v>3783</v>
      </c>
      <c r="AB743" t="s">
        <v>2006</v>
      </c>
      <c r="AC743">
        <v>0</v>
      </c>
      <c r="AD743">
        <v>1</v>
      </c>
      <c r="AE743">
        <v>0</v>
      </c>
      <c r="AF743">
        <v>236.19</v>
      </c>
      <c r="AI743" t="s">
        <v>3809</v>
      </c>
      <c r="AJ743">
        <v>29500</v>
      </c>
      <c r="AK743" t="s">
        <v>4020</v>
      </c>
      <c r="AP743">
        <v>0</v>
      </c>
      <c r="AR743" t="s">
        <v>4185</v>
      </c>
      <c r="AS743" t="s">
        <v>4210</v>
      </c>
      <c r="AT743" t="s">
        <v>4219</v>
      </c>
    </row>
    <row r="744" spans="1:46">
      <c r="A744" s="1">
        <f>HYPERLINK("https://lsnyc.legalserver.org/matter/dynamic-profile/view/1897400","19-1897400")</f>
        <v>0</v>
      </c>
      <c r="B744" t="s">
        <v>66</v>
      </c>
      <c r="C744" t="s">
        <v>275</v>
      </c>
      <c r="E744" t="s">
        <v>702</v>
      </c>
      <c r="F744" t="s">
        <v>1213</v>
      </c>
      <c r="G744" t="s">
        <v>1482</v>
      </c>
      <c r="H744" t="s">
        <v>1921</v>
      </c>
      <c r="I744">
        <v>11233</v>
      </c>
      <c r="J744" t="s">
        <v>2002</v>
      </c>
      <c r="K744" t="s">
        <v>2003</v>
      </c>
      <c r="N744" t="s">
        <v>2417</v>
      </c>
      <c r="O744" t="s">
        <v>2436</v>
      </c>
      <c r="Q744" t="s">
        <v>2002</v>
      </c>
      <c r="R744" t="s">
        <v>2451</v>
      </c>
      <c r="S744" t="s">
        <v>243</v>
      </c>
      <c r="T744">
        <v>924.1799999999999</v>
      </c>
      <c r="U744" t="s">
        <v>2512</v>
      </c>
      <c r="W744" t="s">
        <v>2969</v>
      </c>
      <c r="Z744">
        <v>359</v>
      </c>
      <c r="AA744" t="s">
        <v>3783</v>
      </c>
      <c r="AC744">
        <v>3</v>
      </c>
      <c r="AD744">
        <v>2</v>
      </c>
      <c r="AE744">
        <v>0</v>
      </c>
      <c r="AF744">
        <v>236.55</v>
      </c>
      <c r="AI744" t="s">
        <v>3809</v>
      </c>
      <c r="AJ744">
        <v>40000</v>
      </c>
      <c r="AK744" t="s">
        <v>3937</v>
      </c>
      <c r="AP744">
        <v>0</v>
      </c>
      <c r="AR744" t="s">
        <v>4185</v>
      </c>
      <c r="AS744" t="s">
        <v>4210</v>
      </c>
      <c r="AT744" t="s">
        <v>4219</v>
      </c>
    </row>
    <row r="745" spans="1:46">
      <c r="A745" s="1">
        <f>HYPERLINK("https://lsnyc.legalserver.org/matter/dynamic-profile/view/1898979","19-1898979")</f>
        <v>0</v>
      </c>
      <c r="B745" t="s">
        <v>66</v>
      </c>
      <c r="C745" t="s">
        <v>150</v>
      </c>
      <c r="E745" t="s">
        <v>703</v>
      </c>
      <c r="F745" t="s">
        <v>1214</v>
      </c>
      <c r="G745" t="s">
        <v>1633</v>
      </c>
      <c r="H745" t="s">
        <v>1922</v>
      </c>
      <c r="I745">
        <v>11233</v>
      </c>
      <c r="J745" t="s">
        <v>2002</v>
      </c>
      <c r="K745" t="s">
        <v>2004</v>
      </c>
      <c r="L745" t="s">
        <v>2006</v>
      </c>
      <c r="N745" t="s">
        <v>2417</v>
      </c>
      <c r="O745" t="s">
        <v>2436</v>
      </c>
      <c r="Q745" t="s">
        <v>2002</v>
      </c>
      <c r="R745" t="s">
        <v>2451</v>
      </c>
      <c r="S745" t="s">
        <v>243</v>
      </c>
      <c r="T745">
        <v>1400</v>
      </c>
      <c r="U745" t="s">
        <v>2495</v>
      </c>
      <c r="W745" t="s">
        <v>2970</v>
      </c>
      <c r="Z745">
        <v>359</v>
      </c>
      <c r="AA745" t="s">
        <v>3783</v>
      </c>
      <c r="AC745">
        <v>0</v>
      </c>
      <c r="AD745">
        <v>2</v>
      </c>
      <c r="AE745">
        <v>0</v>
      </c>
      <c r="AF745">
        <v>236.55</v>
      </c>
      <c r="AI745" t="s">
        <v>3809</v>
      </c>
      <c r="AJ745">
        <v>40000</v>
      </c>
      <c r="AK745" t="s">
        <v>4021</v>
      </c>
      <c r="AP745">
        <v>0</v>
      </c>
      <c r="AR745" t="s">
        <v>49</v>
      </c>
      <c r="AS745" t="s">
        <v>4210</v>
      </c>
      <c r="AT745" t="s">
        <v>4219</v>
      </c>
    </row>
    <row r="746" spans="1:46">
      <c r="A746" s="1">
        <f>HYPERLINK("https://lsnyc.legalserver.org/matter/dynamic-profile/view/1891899","19-1891899")</f>
        <v>0</v>
      </c>
      <c r="B746" t="s">
        <v>66</v>
      </c>
      <c r="C746" t="s">
        <v>224</v>
      </c>
      <c r="E746" t="s">
        <v>375</v>
      </c>
      <c r="F746" t="s">
        <v>1203</v>
      </c>
      <c r="G746" t="s">
        <v>1632</v>
      </c>
      <c r="H746" t="s">
        <v>1923</v>
      </c>
      <c r="I746">
        <v>11233</v>
      </c>
      <c r="J746" t="s">
        <v>2003</v>
      </c>
      <c r="K746" t="s">
        <v>2003</v>
      </c>
      <c r="N746" t="s">
        <v>2417</v>
      </c>
      <c r="O746" t="s">
        <v>2436</v>
      </c>
      <c r="Q746" t="s">
        <v>2002</v>
      </c>
      <c r="R746" t="s">
        <v>2451</v>
      </c>
      <c r="S746" t="s">
        <v>243</v>
      </c>
      <c r="T746">
        <v>775</v>
      </c>
      <c r="U746" t="s">
        <v>2495</v>
      </c>
      <c r="W746" t="s">
        <v>2971</v>
      </c>
      <c r="Z746">
        <v>359</v>
      </c>
      <c r="AA746" t="s">
        <v>3783</v>
      </c>
      <c r="AB746" t="s">
        <v>2006</v>
      </c>
      <c r="AC746">
        <v>10</v>
      </c>
      <c r="AD746">
        <v>2</v>
      </c>
      <c r="AE746">
        <v>0</v>
      </c>
      <c r="AF746">
        <v>254.29</v>
      </c>
      <c r="AI746" t="s">
        <v>3809</v>
      </c>
      <c r="AJ746">
        <v>43000</v>
      </c>
      <c r="AK746" t="s">
        <v>4022</v>
      </c>
      <c r="AP746">
        <v>0</v>
      </c>
      <c r="AR746" t="s">
        <v>49</v>
      </c>
      <c r="AS746" t="s">
        <v>4210</v>
      </c>
      <c r="AT746" t="s">
        <v>4219</v>
      </c>
    </row>
    <row r="747" spans="1:46">
      <c r="A747" s="1">
        <f>HYPERLINK("https://lsnyc.legalserver.org/matter/dynamic-profile/view/1897614","19-1897614")</f>
        <v>0</v>
      </c>
      <c r="B747" t="s">
        <v>66</v>
      </c>
      <c r="C747" t="s">
        <v>180</v>
      </c>
      <c r="E747" t="s">
        <v>704</v>
      </c>
      <c r="F747" t="s">
        <v>1215</v>
      </c>
      <c r="G747" t="s">
        <v>1482</v>
      </c>
      <c r="H747" t="s">
        <v>1924</v>
      </c>
      <c r="I747">
        <v>11233</v>
      </c>
      <c r="J747" t="s">
        <v>2002</v>
      </c>
      <c r="K747" t="s">
        <v>2003</v>
      </c>
      <c r="N747" t="s">
        <v>2417</v>
      </c>
      <c r="O747" t="s">
        <v>2436</v>
      </c>
      <c r="Q747" t="s">
        <v>2002</v>
      </c>
      <c r="R747" t="s">
        <v>2451</v>
      </c>
      <c r="S747" t="s">
        <v>243</v>
      </c>
      <c r="T747">
        <v>865</v>
      </c>
      <c r="U747" t="s">
        <v>2512</v>
      </c>
      <c r="W747" t="s">
        <v>2972</v>
      </c>
      <c r="Z747">
        <v>359</v>
      </c>
      <c r="AA747" t="s">
        <v>3783</v>
      </c>
      <c r="AC747">
        <v>26</v>
      </c>
      <c r="AD747">
        <v>1</v>
      </c>
      <c r="AE747">
        <v>0</v>
      </c>
      <c r="AF747">
        <v>256.2</v>
      </c>
      <c r="AI747" t="s">
        <v>3809</v>
      </c>
      <c r="AJ747">
        <v>32000</v>
      </c>
      <c r="AK747" t="s">
        <v>4023</v>
      </c>
      <c r="AP747">
        <v>0</v>
      </c>
      <c r="AR747" t="s">
        <v>4185</v>
      </c>
      <c r="AS747" t="s">
        <v>4210</v>
      </c>
      <c r="AT747" t="s">
        <v>4219</v>
      </c>
    </row>
    <row r="748" spans="1:46">
      <c r="A748" s="1">
        <f>HYPERLINK("https://lsnyc.legalserver.org/matter/dynamic-profile/view/1897206","19-1897206")</f>
        <v>0</v>
      </c>
      <c r="B748" t="s">
        <v>66</v>
      </c>
      <c r="C748" t="s">
        <v>269</v>
      </c>
      <c r="E748" t="s">
        <v>640</v>
      </c>
      <c r="F748" t="s">
        <v>1216</v>
      </c>
      <c r="G748" t="s">
        <v>1634</v>
      </c>
      <c r="H748" t="s">
        <v>1738</v>
      </c>
      <c r="I748">
        <v>11233</v>
      </c>
      <c r="J748" t="s">
        <v>2002</v>
      </c>
      <c r="K748" t="s">
        <v>2003</v>
      </c>
      <c r="N748" t="s">
        <v>2417</v>
      </c>
      <c r="O748" t="s">
        <v>2436</v>
      </c>
      <c r="Q748" t="s">
        <v>2002</v>
      </c>
      <c r="R748" t="s">
        <v>2451</v>
      </c>
      <c r="S748" t="s">
        <v>243</v>
      </c>
      <c r="T748">
        <v>651</v>
      </c>
      <c r="U748" t="s">
        <v>2495</v>
      </c>
      <c r="W748" t="s">
        <v>2973</v>
      </c>
      <c r="Z748">
        <v>359</v>
      </c>
      <c r="AA748" t="s">
        <v>3783</v>
      </c>
      <c r="AC748">
        <v>40</v>
      </c>
      <c r="AD748">
        <v>1</v>
      </c>
      <c r="AE748">
        <v>2</v>
      </c>
      <c r="AF748">
        <v>262.54</v>
      </c>
      <c r="AI748" t="s">
        <v>3810</v>
      </c>
      <c r="AJ748">
        <v>56000</v>
      </c>
      <c r="AK748" t="s">
        <v>4024</v>
      </c>
      <c r="AP748">
        <v>0</v>
      </c>
      <c r="AR748" t="s">
        <v>49</v>
      </c>
      <c r="AS748" t="s">
        <v>4210</v>
      </c>
      <c r="AT748" t="s">
        <v>4219</v>
      </c>
    </row>
    <row r="749" spans="1:46">
      <c r="A749" s="1">
        <f>HYPERLINK("https://lsnyc.legalserver.org/matter/dynamic-profile/view/1897535","19-1897535")</f>
        <v>0</v>
      </c>
      <c r="B749" t="s">
        <v>66</v>
      </c>
      <c r="C749" t="s">
        <v>169</v>
      </c>
      <c r="E749" t="s">
        <v>706</v>
      </c>
      <c r="F749" t="s">
        <v>1218</v>
      </c>
      <c r="G749" t="s">
        <v>1632</v>
      </c>
      <c r="H749" t="s">
        <v>1926</v>
      </c>
      <c r="I749">
        <v>11233</v>
      </c>
      <c r="J749" t="s">
        <v>2002</v>
      </c>
      <c r="K749" t="s">
        <v>2003</v>
      </c>
      <c r="N749" t="s">
        <v>2417</v>
      </c>
      <c r="O749" t="s">
        <v>2436</v>
      </c>
      <c r="Q749" t="s">
        <v>2002</v>
      </c>
      <c r="R749" t="s">
        <v>2451</v>
      </c>
      <c r="S749" t="s">
        <v>243</v>
      </c>
      <c r="T749">
        <v>0</v>
      </c>
      <c r="U749" t="s">
        <v>2512</v>
      </c>
      <c r="W749" t="s">
        <v>2975</v>
      </c>
      <c r="Z749">
        <v>359</v>
      </c>
      <c r="AA749" t="s">
        <v>3783</v>
      </c>
      <c r="AC749">
        <v>40</v>
      </c>
      <c r="AD749">
        <v>1</v>
      </c>
      <c r="AE749">
        <v>0</v>
      </c>
      <c r="AF749">
        <v>264.21</v>
      </c>
      <c r="AI749" t="s">
        <v>3809</v>
      </c>
      <c r="AJ749">
        <v>33000</v>
      </c>
      <c r="AK749" t="s">
        <v>4025</v>
      </c>
      <c r="AP749">
        <v>0</v>
      </c>
      <c r="AR749" t="s">
        <v>4185</v>
      </c>
      <c r="AS749" t="s">
        <v>4210</v>
      </c>
      <c r="AT749" t="s">
        <v>4219</v>
      </c>
    </row>
    <row r="750" spans="1:46">
      <c r="A750" s="1">
        <f>HYPERLINK("https://lsnyc.legalserver.org/matter/dynamic-profile/view/1898972","19-1898972")</f>
        <v>0</v>
      </c>
      <c r="B750" t="s">
        <v>66</v>
      </c>
      <c r="C750" t="s">
        <v>150</v>
      </c>
      <c r="E750" t="s">
        <v>351</v>
      </c>
      <c r="F750" t="s">
        <v>1168</v>
      </c>
      <c r="G750" t="s">
        <v>1634</v>
      </c>
      <c r="H750" t="s">
        <v>1927</v>
      </c>
      <c r="I750">
        <v>11233</v>
      </c>
      <c r="J750" t="s">
        <v>2002</v>
      </c>
      <c r="K750" t="s">
        <v>2004</v>
      </c>
      <c r="L750" t="s">
        <v>2006</v>
      </c>
      <c r="N750" t="s">
        <v>2417</v>
      </c>
      <c r="O750" t="s">
        <v>2436</v>
      </c>
      <c r="Q750" t="s">
        <v>2002</v>
      </c>
      <c r="R750" t="s">
        <v>2451</v>
      </c>
      <c r="S750" t="s">
        <v>243</v>
      </c>
      <c r="T750">
        <v>913</v>
      </c>
      <c r="U750" t="s">
        <v>2495</v>
      </c>
      <c r="W750" t="s">
        <v>2976</v>
      </c>
      <c r="Z750">
        <v>359</v>
      </c>
      <c r="AA750" t="s">
        <v>3783</v>
      </c>
      <c r="AC750">
        <v>20</v>
      </c>
      <c r="AD750">
        <v>1</v>
      </c>
      <c r="AE750">
        <v>0</v>
      </c>
      <c r="AF750">
        <v>264.21</v>
      </c>
      <c r="AI750" t="s">
        <v>3809</v>
      </c>
      <c r="AJ750">
        <v>33000</v>
      </c>
      <c r="AK750" t="s">
        <v>4026</v>
      </c>
      <c r="AP750">
        <v>0</v>
      </c>
      <c r="AR750" t="s">
        <v>49</v>
      </c>
      <c r="AS750" t="s">
        <v>4210</v>
      </c>
      <c r="AT750" t="s">
        <v>4219</v>
      </c>
    </row>
    <row r="751" spans="1:46">
      <c r="A751" s="1">
        <f>HYPERLINK("https://lsnyc.legalserver.org/matter/dynamic-profile/view/1897406","19-1897406")</f>
        <v>0</v>
      </c>
      <c r="B751" t="s">
        <v>66</v>
      </c>
      <c r="C751" t="s">
        <v>275</v>
      </c>
      <c r="E751" t="s">
        <v>705</v>
      </c>
      <c r="F751" t="s">
        <v>1217</v>
      </c>
      <c r="G751" t="s">
        <v>1482</v>
      </c>
      <c r="H751" t="s">
        <v>1925</v>
      </c>
      <c r="I751">
        <v>11233</v>
      </c>
      <c r="J751" t="s">
        <v>2002</v>
      </c>
      <c r="K751" t="s">
        <v>2003</v>
      </c>
      <c r="O751" t="s">
        <v>2436</v>
      </c>
      <c r="Q751" t="s">
        <v>2002</v>
      </c>
      <c r="R751" t="s">
        <v>2451</v>
      </c>
      <c r="S751" t="s">
        <v>243</v>
      </c>
      <c r="T751">
        <v>601</v>
      </c>
      <c r="U751" t="s">
        <v>2512</v>
      </c>
      <c r="W751" t="s">
        <v>2974</v>
      </c>
      <c r="Z751">
        <v>359</v>
      </c>
      <c r="AA751" t="s">
        <v>3783</v>
      </c>
      <c r="AC751">
        <v>7</v>
      </c>
      <c r="AD751">
        <v>1</v>
      </c>
      <c r="AE751">
        <v>0</v>
      </c>
      <c r="AF751">
        <v>264.21</v>
      </c>
      <c r="AI751" t="s">
        <v>3809</v>
      </c>
      <c r="AJ751">
        <v>33000</v>
      </c>
      <c r="AK751" t="s">
        <v>3937</v>
      </c>
      <c r="AP751">
        <v>0</v>
      </c>
      <c r="AR751" t="s">
        <v>4185</v>
      </c>
      <c r="AS751" t="s">
        <v>4210</v>
      </c>
      <c r="AT751" t="s">
        <v>4219</v>
      </c>
    </row>
    <row r="752" spans="1:46">
      <c r="A752" s="1">
        <f>HYPERLINK("https://lsnyc.legalserver.org/matter/dynamic-profile/view/1897349","19-1897349")</f>
        <v>0</v>
      </c>
      <c r="B752" t="s">
        <v>66</v>
      </c>
      <c r="C752" t="s">
        <v>275</v>
      </c>
      <c r="E752" t="s">
        <v>656</v>
      </c>
      <c r="F752" t="s">
        <v>1219</v>
      </c>
      <c r="G752" t="s">
        <v>1632</v>
      </c>
      <c r="H752" t="s">
        <v>1928</v>
      </c>
      <c r="I752">
        <v>11233</v>
      </c>
      <c r="J752" t="s">
        <v>2002</v>
      </c>
      <c r="K752" t="s">
        <v>2003</v>
      </c>
      <c r="N752" t="s">
        <v>2417</v>
      </c>
      <c r="O752" t="s">
        <v>2436</v>
      </c>
      <c r="Q752" t="s">
        <v>2002</v>
      </c>
      <c r="R752" t="s">
        <v>2451</v>
      </c>
      <c r="S752" t="s">
        <v>243</v>
      </c>
      <c r="T752">
        <v>780</v>
      </c>
      <c r="U752" t="s">
        <v>2512</v>
      </c>
      <c r="W752" t="s">
        <v>2977</v>
      </c>
      <c r="Z752">
        <v>359</v>
      </c>
      <c r="AA752" t="s">
        <v>3783</v>
      </c>
      <c r="AC752">
        <v>21</v>
      </c>
      <c r="AD752">
        <v>2</v>
      </c>
      <c r="AE752">
        <v>0</v>
      </c>
      <c r="AF752">
        <v>266.11</v>
      </c>
      <c r="AI752" t="s">
        <v>3809</v>
      </c>
      <c r="AJ752">
        <v>45000</v>
      </c>
      <c r="AP752">
        <v>0</v>
      </c>
      <c r="AR752" t="s">
        <v>4185</v>
      </c>
      <c r="AS752" t="s">
        <v>4210</v>
      </c>
      <c r="AT752" t="s">
        <v>4219</v>
      </c>
    </row>
    <row r="753" spans="1:46">
      <c r="A753" s="1">
        <f>HYPERLINK("https://lsnyc.legalserver.org/matter/dynamic-profile/view/1891583","19-1891583")</f>
        <v>0</v>
      </c>
      <c r="B753" t="s">
        <v>66</v>
      </c>
      <c r="C753" t="s">
        <v>271</v>
      </c>
      <c r="E753" t="s">
        <v>707</v>
      </c>
      <c r="F753" t="s">
        <v>1220</v>
      </c>
      <c r="G753" t="s">
        <v>1632</v>
      </c>
      <c r="H753" t="s">
        <v>1929</v>
      </c>
      <c r="I753">
        <v>11233</v>
      </c>
      <c r="J753" t="s">
        <v>2002</v>
      </c>
      <c r="K753" t="s">
        <v>2003</v>
      </c>
      <c r="M753" t="s">
        <v>2006</v>
      </c>
      <c r="N753" t="s">
        <v>2417</v>
      </c>
      <c r="O753" t="s">
        <v>2436</v>
      </c>
      <c r="Q753" t="s">
        <v>2002</v>
      </c>
      <c r="R753" t="s">
        <v>2451</v>
      </c>
      <c r="S753" t="s">
        <v>243</v>
      </c>
      <c r="T753">
        <v>811.37</v>
      </c>
      <c r="W753" t="s">
        <v>2978</v>
      </c>
      <c r="Z753">
        <v>359</v>
      </c>
      <c r="AA753" t="s">
        <v>3783</v>
      </c>
      <c r="AC753">
        <v>20</v>
      </c>
      <c r="AD753">
        <v>2</v>
      </c>
      <c r="AE753">
        <v>0</v>
      </c>
      <c r="AF753">
        <v>271.41</v>
      </c>
      <c r="AG753" t="s">
        <v>196</v>
      </c>
      <c r="AH753" t="s">
        <v>3806</v>
      </c>
      <c r="AI753" t="s">
        <v>3809</v>
      </c>
      <c r="AJ753">
        <v>45895</v>
      </c>
      <c r="AK753" t="s">
        <v>4027</v>
      </c>
      <c r="AP753">
        <v>0</v>
      </c>
      <c r="AR753" t="s">
        <v>4185</v>
      </c>
      <c r="AS753" t="s">
        <v>4210</v>
      </c>
      <c r="AT753" t="s">
        <v>4219</v>
      </c>
    </row>
    <row r="754" spans="1:46">
      <c r="A754" s="1">
        <f>HYPERLINK("https://lsnyc.legalserver.org/matter/dynamic-profile/view/1898244","19-1898244")</f>
        <v>0</v>
      </c>
      <c r="B754" t="s">
        <v>66</v>
      </c>
      <c r="C754" t="s">
        <v>182</v>
      </c>
      <c r="E754" t="s">
        <v>708</v>
      </c>
      <c r="F754" t="s">
        <v>1221</v>
      </c>
      <c r="G754" t="s">
        <v>1482</v>
      </c>
      <c r="H754" t="s">
        <v>1930</v>
      </c>
      <c r="I754">
        <v>11233</v>
      </c>
      <c r="J754" t="s">
        <v>2002</v>
      </c>
      <c r="K754" t="s">
        <v>2003</v>
      </c>
      <c r="N754" t="s">
        <v>2417</v>
      </c>
      <c r="O754" t="s">
        <v>2436</v>
      </c>
      <c r="Q754" t="s">
        <v>2002</v>
      </c>
      <c r="R754" t="s">
        <v>2451</v>
      </c>
      <c r="S754" t="s">
        <v>243</v>
      </c>
      <c r="T754">
        <v>1024</v>
      </c>
      <c r="U754" t="s">
        <v>2495</v>
      </c>
      <c r="W754" t="s">
        <v>2979</v>
      </c>
      <c r="Z754">
        <v>359</v>
      </c>
      <c r="AA754" t="s">
        <v>3783</v>
      </c>
      <c r="AC754">
        <v>24</v>
      </c>
      <c r="AD754">
        <v>3</v>
      </c>
      <c r="AE754">
        <v>1</v>
      </c>
      <c r="AF754">
        <v>271.84</v>
      </c>
      <c r="AI754" t="s">
        <v>3809</v>
      </c>
      <c r="AJ754">
        <v>70000</v>
      </c>
      <c r="AK754" t="s">
        <v>4028</v>
      </c>
      <c r="AP754">
        <v>0</v>
      </c>
      <c r="AR754" t="s">
        <v>49</v>
      </c>
      <c r="AS754" t="s">
        <v>4210</v>
      </c>
      <c r="AT754" t="s">
        <v>4219</v>
      </c>
    </row>
    <row r="755" spans="1:46">
      <c r="A755" s="1">
        <f>HYPERLINK("https://lsnyc.legalserver.org/matter/dynamic-profile/view/1892522","19-1892522")</f>
        <v>0</v>
      </c>
      <c r="B755" t="s">
        <v>66</v>
      </c>
      <c r="C755" t="s">
        <v>274</v>
      </c>
      <c r="E755" t="s">
        <v>464</v>
      </c>
      <c r="F755" t="s">
        <v>1066</v>
      </c>
      <c r="G755" t="s">
        <v>1482</v>
      </c>
      <c r="H755" t="s">
        <v>1931</v>
      </c>
      <c r="I755">
        <v>11233</v>
      </c>
      <c r="J755" t="s">
        <v>2002</v>
      </c>
      <c r="K755" t="s">
        <v>2003</v>
      </c>
      <c r="N755" t="s">
        <v>2417</v>
      </c>
      <c r="O755" t="s">
        <v>2436</v>
      </c>
      <c r="Q755" t="s">
        <v>2002</v>
      </c>
      <c r="R755" t="s">
        <v>2451</v>
      </c>
      <c r="S755" t="s">
        <v>243</v>
      </c>
      <c r="T755">
        <v>2500</v>
      </c>
      <c r="U755" t="s">
        <v>2495</v>
      </c>
      <c r="W755" t="s">
        <v>2980</v>
      </c>
      <c r="Z755">
        <v>359</v>
      </c>
      <c r="AA755" t="s">
        <v>3783</v>
      </c>
      <c r="AC755">
        <v>51</v>
      </c>
      <c r="AD755">
        <v>1</v>
      </c>
      <c r="AE755">
        <v>0</v>
      </c>
      <c r="AF755">
        <v>280.22</v>
      </c>
      <c r="AI755" t="s">
        <v>3809</v>
      </c>
      <c r="AJ755">
        <v>35000</v>
      </c>
      <c r="AK755" t="s">
        <v>4029</v>
      </c>
      <c r="AP755">
        <v>0</v>
      </c>
      <c r="AR755" t="s">
        <v>49</v>
      </c>
      <c r="AS755" t="s">
        <v>4210</v>
      </c>
      <c r="AT755" t="s">
        <v>4219</v>
      </c>
    </row>
    <row r="756" spans="1:46">
      <c r="A756" s="1">
        <f>HYPERLINK("https://lsnyc.legalserver.org/matter/dynamic-profile/view/1891566","19-1891566")</f>
        <v>0</v>
      </c>
      <c r="B756" t="s">
        <v>66</v>
      </c>
      <c r="C756" t="s">
        <v>164</v>
      </c>
      <c r="E756" t="s">
        <v>709</v>
      </c>
      <c r="F756" t="s">
        <v>551</v>
      </c>
      <c r="G756" t="s">
        <v>1632</v>
      </c>
      <c r="H756" t="s">
        <v>1932</v>
      </c>
      <c r="I756">
        <v>11233</v>
      </c>
      <c r="J756" t="s">
        <v>2002</v>
      </c>
      <c r="K756" t="s">
        <v>2003</v>
      </c>
      <c r="M756" t="s">
        <v>2058</v>
      </c>
      <c r="N756" t="s">
        <v>2417</v>
      </c>
      <c r="O756" t="s">
        <v>2436</v>
      </c>
      <c r="Q756" t="s">
        <v>2002</v>
      </c>
      <c r="R756" t="s">
        <v>2451</v>
      </c>
      <c r="S756" t="s">
        <v>243</v>
      </c>
      <c r="T756">
        <v>1003</v>
      </c>
      <c r="W756" t="s">
        <v>2981</v>
      </c>
      <c r="Z756">
        <v>359</v>
      </c>
      <c r="AA756" t="s">
        <v>3783</v>
      </c>
      <c r="AC756">
        <v>13</v>
      </c>
      <c r="AD756">
        <v>1</v>
      </c>
      <c r="AE756">
        <v>2</v>
      </c>
      <c r="AF756">
        <v>281.29</v>
      </c>
      <c r="AG756" t="s">
        <v>196</v>
      </c>
      <c r="AH756" t="s">
        <v>3806</v>
      </c>
      <c r="AI756" t="s">
        <v>3809</v>
      </c>
      <c r="AJ756">
        <v>60000</v>
      </c>
      <c r="AK756" t="s">
        <v>4030</v>
      </c>
      <c r="AP756">
        <v>0</v>
      </c>
      <c r="AR756" t="s">
        <v>4185</v>
      </c>
      <c r="AS756" t="s">
        <v>4210</v>
      </c>
      <c r="AT756" t="s">
        <v>4219</v>
      </c>
    </row>
    <row r="757" spans="1:46">
      <c r="A757" s="1">
        <f>HYPERLINK("https://lsnyc.legalserver.org/matter/dynamic-profile/view/1892076","19-1892076")</f>
        <v>0</v>
      </c>
      <c r="B757" t="s">
        <v>66</v>
      </c>
      <c r="C757" t="s">
        <v>242</v>
      </c>
      <c r="E757" t="s">
        <v>710</v>
      </c>
      <c r="F757" t="s">
        <v>1222</v>
      </c>
      <c r="G757" t="s">
        <v>1482</v>
      </c>
      <c r="H757" t="s">
        <v>1760</v>
      </c>
      <c r="I757">
        <v>11233</v>
      </c>
      <c r="J757" t="s">
        <v>2002</v>
      </c>
      <c r="K757" t="s">
        <v>2003</v>
      </c>
      <c r="N757" t="s">
        <v>2417</v>
      </c>
      <c r="O757" t="s">
        <v>2436</v>
      </c>
      <c r="Q757" t="s">
        <v>2002</v>
      </c>
      <c r="R757" t="s">
        <v>2451</v>
      </c>
      <c r="S757" t="s">
        <v>243</v>
      </c>
      <c r="T757">
        <v>978</v>
      </c>
      <c r="U757" t="s">
        <v>2495</v>
      </c>
      <c r="W757" t="s">
        <v>2982</v>
      </c>
      <c r="Z757">
        <v>359</v>
      </c>
      <c r="AA757" t="s">
        <v>3783</v>
      </c>
      <c r="AB757" t="s">
        <v>2006</v>
      </c>
      <c r="AC757">
        <v>3</v>
      </c>
      <c r="AD757">
        <v>2</v>
      </c>
      <c r="AE757">
        <v>1</v>
      </c>
      <c r="AF757">
        <v>281.29</v>
      </c>
      <c r="AI757" t="s">
        <v>3809</v>
      </c>
      <c r="AJ757">
        <v>60000</v>
      </c>
      <c r="AK757" t="s">
        <v>4031</v>
      </c>
      <c r="AP757">
        <v>0</v>
      </c>
      <c r="AR757" t="s">
        <v>49</v>
      </c>
      <c r="AS757" t="s">
        <v>4210</v>
      </c>
      <c r="AT757" t="s">
        <v>4219</v>
      </c>
    </row>
    <row r="758" spans="1:46">
      <c r="A758" s="1">
        <f>HYPERLINK("https://lsnyc.legalserver.org/matter/dynamic-profile/view/1892770","19-1892770")</f>
        <v>0</v>
      </c>
      <c r="B758" t="s">
        <v>66</v>
      </c>
      <c r="C758" t="s">
        <v>141</v>
      </c>
      <c r="E758" t="s">
        <v>711</v>
      </c>
      <c r="F758" t="s">
        <v>1223</v>
      </c>
      <c r="G758" t="s">
        <v>1633</v>
      </c>
      <c r="H758" t="s">
        <v>1933</v>
      </c>
      <c r="I758">
        <v>11233</v>
      </c>
      <c r="J758" t="s">
        <v>2002</v>
      </c>
      <c r="K758" t="s">
        <v>2003</v>
      </c>
      <c r="N758" t="s">
        <v>2417</v>
      </c>
      <c r="O758" t="s">
        <v>2436</v>
      </c>
      <c r="Q758" t="s">
        <v>2002</v>
      </c>
      <c r="R758" t="s">
        <v>2451</v>
      </c>
      <c r="S758" t="s">
        <v>243</v>
      </c>
      <c r="T758">
        <v>1200</v>
      </c>
      <c r="U758" t="s">
        <v>2495</v>
      </c>
      <c r="W758" t="s">
        <v>2983</v>
      </c>
      <c r="Z758">
        <v>359</v>
      </c>
      <c r="AA758" t="s">
        <v>3783</v>
      </c>
      <c r="AC758">
        <v>4</v>
      </c>
      <c r="AD758">
        <v>2</v>
      </c>
      <c r="AE758">
        <v>1</v>
      </c>
      <c r="AF758">
        <v>281.29</v>
      </c>
      <c r="AI758" t="s">
        <v>3809</v>
      </c>
      <c r="AJ758">
        <v>60000</v>
      </c>
      <c r="AK758" t="s">
        <v>4032</v>
      </c>
      <c r="AP758">
        <v>0</v>
      </c>
      <c r="AR758" t="s">
        <v>49</v>
      </c>
      <c r="AS758" t="s">
        <v>4210</v>
      </c>
      <c r="AT758" t="s">
        <v>4219</v>
      </c>
    </row>
    <row r="759" spans="1:46">
      <c r="A759" s="1">
        <f>HYPERLINK("https://lsnyc.legalserver.org/matter/dynamic-profile/view/1898842","19-1898842")</f>
        <v>0</v>
      </c>
      <c r="B759" t="s">
        <v>66</v>
      </c>
      <c r="C759" t="s">
        <v>140</v>
      </c>
      <c r="E759" t="s">
        <v>705</v>
      </c>
      <c r="F759" t="s">
        <v>902</v>
      </c>
      <c r="G759" t="s">
        <v>1635</v>
      </c>
      <c r="H759" t="s">
        <v>1934</v>
      </c>
      <c r="I759">
        <v>11233</v>
      </c>
      <c r="J759" t="s">
        <v>2002</v>
      </c>
      <c r="K759" t="s">
        <v>2003</v>
      </c>
      <c r="L759" t="s">
        <v>2006</v>
      </c>
      <c r="M759" t="s">
        <v>2006</v>
      </c>
      <c r="N759" t="s">
        <v>2417</v>
      </c>
      <c r="O759" t="s">
        <v>2436</v>
      </c>
      <c r="Q759" t="s">
        <v>2002</v>
      </c>
      <c r="R759" t="s">
        <v>2451</v>
      </c>
      <c r="S759" t="s">
        <v>243</v>
      </c>
      <c r="T759">
        <v>0</v>
      </c>
      <c r="U759" t="s">
        <v>2495</v>
      </c>
      <c r="W759" t="s">
        <v>2984</v>
      </c>
      <c r="X759" t="s">
        <v>2006</v>
      </c>
      <c r="Z759">
        <v>359</v>
      </c>
      <c r="AA759" t="s">
        <v>3783</v>
      </c>
      <c r="AB759" t="s">
        <v>2006</v>
      </c>
      <c r="AC759">
        <v>21</v>
      </c>
      <c r="AD759">
        <v>1</v>
      </c>
      <c r="AE759">
        <v>0</v>
      </c>
      <c r="AF759">
        <v>283.43</v>
      </c>
      <c r="AI759" t="s">
        <v>3809</v>
      </c>
      <c r="AJ759">
        <v>35400</v>
      </c>
      <c r="AK759" t="s">
        <v>4033</v>
      </c>
      <c r="AP759">
        <v>0</v>
      </c>
      <c r="AR759" t="s">
        <v>49</v>
      </c>
      <c r="AS759" t="s">
        <v>4210</v>
      </c>
      <c r="AT759" t="s">
        <v>4219</v>
      </c>
    </row>
    <row r="760" spans="1:46">
      <c r="A760" s="1">
        <f>HYPERLINK("https://lsnyc.legalserver.org/matter/dynamic-profile/view/1892762","19-1892762")</f>
        <v>0</v>
      </c>
      <c r="B760" t="s">
        <v>66</v>
      </c>
      <c r="C760" t="s">
        <v>141</v>
      </c>
      <c r="E760" t="s">
        <v>712</v>
      </c>
      <c r="F760" t="s">
        <v>1224</v>
      </c>
      <c r="G760" t="s">
        <v>1634</v>
      </c>
      <c r="H760" t="s">
        <v>1935</v>
      </c>
      <c r="I760">
        <v>11233</v>
      </c>
      <c r="J760" t="s">
        <v>2002</v>
      </c>
      <c r="K760" t="s">
        <v>2003</v>
      </c>
      <c r="N760" t="s">
        <v>2417</v>
      </c>
      <c r="O760" t="s">
        <v>2436</v>
      </c>
      <c r="Q760" t="s">
        <v>2002</v>
      </c>
      <c r="R760" t="s">
        <v>2451</v>
      </c>
      <c r="S760" t="s">
        <v>243</v>
      </c>
      <c r="T760">
        <v>1825</v>
      </c>
      <c r="U760" t="s">
        <v>2495</v>
      </c>
      <c r="W760" t="s">
        <v>2985</v>
      </c>
      <c r="Z760">
        <v>359</v>
      </c>
      <c r="AA760" t="s">
        <v>3783</v>
      </c>
      <c r="AC760">
        <v>1</v>
      </c>
      <c r="AD760">
        <v>2</v>
      </c>
      <c r="AE760">
        <v>0</v>
      </c>
      <c r="AF760">
        <v>283.86</v>
      </c>
      <c r="AG760" t="s">
        <v>196</v>
      </c>
      <c r="AH760" t="s">
        <v>3806</v>
      </c>
      <c r="AI760" t="s">
        <v>3809</v>
      </c>
      <c r="AJ760">
        <v>48000</v>
      </c>
      <c r="AK760" t="s">
        <v>4034</v>
      </c>
      <c r="AP760">
        <v>0</v>
      </c>
      <c r="AR760" t="s">
        <v>49</v>
      </c>
      <c r="AS760" t="s">
        <v>4210</v>
      </c>
      <c r="AT760" t="s">
        <v>4219</v>
      </c>
    </row>
    <row r="761" spans="1:46">
      <c r="A761" s="1">
        <f>HYPERLINK("https://lsnyc.legalserver.org/matter/dynamic-profile/view/1898406","19-1898406")</f>
        <v>0</v>
      </c>
      <c r="B761" t="s">
        <v>66</v>
      </c>
      <c r="C761" t="s">
        <v>252</v>
      </c>
      <c r="E761" t="s">
        <v>713</v>
      </c>
      <c r="F761" t="s">
        <v>1225</v>
      </c>
      <c r="G761" t="s">
        <v>1632</v>
      </c>
      <c r="H761" t="s">
        <v>1901</v>
      </c>
      <c r="I761">
        <v>11233</v>
      </c>
      <c r="J761" t="s">
        <v>2002</v>
      </c>
      <c r="K761" t="s">
        <v>2003</v>
      </c>
      <c r="N761" t="s">
        <v>2417</v>
      </c>
      <c r="O761" t="s">
        <v>2436</v>
      </c>
      <c r="Q761" t="s">
        <v>2002</v>
      </c>
      <c r="R761" t="s">
        <v>2451</v>
      </c>
      <c r="S761" t="s">
        <v>243</v>
      </c>
      <c r="T761">
        <v>1160</v>
      </c>
      <c r="U761" t="s">
        <v>2495</v>
      </c>
      <c r="W761" t="s">
        <v>2986</v>
      </c>
      <c r="Z761">
        <v>359</v>
      </c>
      <c r="AA761" t="s">
        <v>3783</v>
      </c>
      <c r="AC761">
        <v>37</v>
      </c>
      <c r="AD761">
        <v>2</v>
      </c>
      <c r="AE761">
        <v>3</v>
      </c>
      <c r="AF761">
        <v>298.31</v>
      </c>
      <c r="AI761" t="s">
        <v>3809</v>
      </c>
      <c r="AJ761">
        <v>90000</v>
      </c>
      <c r="AK761" t="s">
        <v>4035</v>
      </c>
      <c r="AP761">
        <v>0</v>
      </c>
      <c r="AR761" t="s">
        <v>49</v>
      </c>
      <c r="AS761" t="s">
        <v>4210</v>
      </c>
      <c r="AT761" t="s">
        <v>4219</v>
      </c>
    </row>
    <row r="762" spans="1:46">
      <c r="A762" s="1">
        <f>HYPERLINK("https://lsnyc.legalserver.org/matter/dynamic-profile/view/1891560","19-1891560")</f>
        <v>0</v>
      </c>
      <c r="B762" t="s">
        <v>66</v>
      </c>
      <c r="C762" t="s">
        <v>164</v>
      </c>
      <c r="E762" t="s">
        <v>374</v>
      </c>
      <c r="F762" t="s">
        <v>1226</v>
      </c>
      <c r="G762" t="s">
        <v>1632</v>
      </c>
      <c r="H762" t="s">
        <v>1936</v>
      </c>
      <c r="I762">
        <v>11233</v>
      </c>
      <c r="J762" t="s">
        <v>2002</v>
      </c>
      <c r="K762" t="s">
        <v>2003</v>
      </c>
      <c r="M762" t="s">
        <v>2006</v>
      </c>
      <c r="N762" t="s">
        <v>2417</v>
      </c>
      <c r="O762" t="s">
        <v>2436</v>
      </c>
      <c r="Q762" t="s">
        <v>2002</v>
      </c>
      <c r="R762" t="s">
        <v>2451</v>
      </c>
      <c r="S762" t="s">
        <v>243</v>
      </c>
      <c r="T762">
        <v>1040</v>
      </c>
      <c r="W762" t="s">
        <v>2987</v>
      </c>
      <c r="Z762">
        <v>359</v>
      </c>
      <c r="AA762" t="s">
        <v>3783</v>
      </c>
      <c r="AC762">
        <v>32</v>
      </c>
      <c r="AD762">
        <v>3</v>
      </c>
      <c r="AE762">
        <v>0</v>
      </c>
      <c r="AF762">
        <v>300.05</v>
      </c>
      <c r="AG762" t="s">
        <v>196</v>
      </c>
      <c r="AH762" t="s">
        <v>3806</v>
      </c>
      <c r="AI762" t="s">
        <v>3809</v>
      </c>
      <c r="AJ762">
        <v>64000</v>
      </c>
      <c r="AK762" t="s">
        <v>4036</v>
      </c>
      <c r="AP762">
        <v>0</v>
      </c>
      <c r="AR762" t="s">
        <v>4185</v>
      </c>
      <c r="AS762" t="s">
        <v>4210</v>
      </c>
      <c r="AT762" t="s">
        <v>4219</v>
      </c>
    </row>
    <row r="763" spans="1:46">
      <c r="A763" s="1">
        <f>HYPERLINK("https://lsnyc.legalserver.org/matter/dynamic-profile/view/1898851","19-1898851")</f>
        <v>0</v>
      </c>
      <c r="B763" t="s">
        <v>66</v>
      </c>
      <c r="C763" t="s">
        <v>140</v>
      </c>
      <c r="E763" t="s">
        <v>570</v>
      </c>
      <c r="F763" t="s">
        <v>1228</v>
      </c>
      <c r="G763" t="s">
        <v>1482</v>
      </c>
      <c r="H763" t="s">
        <v>1937</v>
      </c>
      <c r="I763">
        <v>11233</v>
      </c>
      <c r="J763" t="s">
        <v>2002</v>
      </c>
      <c r="K763" t="s">
        <v>2003</v>
      </c>
      <c r="N763" t="s">
        <v>2417</v>
      </c>
      <c r="O763" t="s">
        <v>2436</v>
      </c>
      <c r="Q763" t="s">
        <v>2002</v>
      </c>
      <c r="R763" t="s">
        <v>2451</v>
      </c>
      <c r="S763" t="s">
        <v>243</v>
      </c>
      <c r="T763">
        <v>628.51</v>
      </c>
      <c r="U763" t="s">
        <v>2495</v>
      </c>
      <c r="W763" t="s">
        <v>2988</v>
      </c>
      <c r="Z763">
        <v>359</v>
      </c>
      <c r="AA763" t="s">
        <v>3783</v>
      </c>
      <c r="AC763">
        <v>3</v>
      </c>
      <c r="AD763">
        <v>1</v>
      </c>
      <c r="AE763">
        <v>0</v>
      </c>
      <c r="AF763">
        <v>312.25</v>
      </c>
      <c r="AI763" t="s">
        <v>3809</v>
      </c>
      <c r="AJ763">
        <v>39000</v>
      </c>
      <c r="AK763" t="s">
        <v>4037</v>
      </c>
      <c r="AP763">
        <v>0</v>
      </c>
      <c r="AR763" t="s">
        <v>49</v>
      </c>
      <c r="AS763" t="s">
        <v>4210</v>
      </c>
      <c r="AT763" t="s">
        <v>4219</v>
      </c>
    </row>
    <row r="764" spans="1:46">
      <c r="A764" s="1">
        <f>HYPERLINK("https://lsnyc.legalserver.org/matter/dynamic-profile/view/1891444","19-1891444")</f>
        <v>0</v>
      </c>
      <c r="B764" t="s">
        <v>66</v>
      </c>
      <c r="C764" t="s">
        <v>164</v>
      </c>
      <c r="E764" t="s">
        <v>664</v>
      </c>
      <c r="F764" t="s">
        <v>1055</v>
      </c>
      <c r="G764" t="s">
        <v>1632</v>
      </c>
      <c r="H764" t="s">
        <v>1873</v>
      </c>
      <c r="I764">
        <v>11233</v>
      </c>
      <c r="J764" t="s">
        <v>2002</v>
      </c>
      <c r="K764" t="s">
        <v>2002</v>
      </c>
      <c r="N764" t="s">
        <v>2417</v>
      </c>
      <c r="O764" t="s">
        <v>2436</v>
      </c>
      <c r="Q764" t="s">
        <v>2002</v>
      </c>
      <c r="R764" t="s">
        <v>2451</v>
      </c>
      <c r="S764" t="s">
        <v>243</v>
      </c>
      <c r="T764">
        <v>628</v>
      </c>
      <c r="U764" t="s">
        <v>2494</v>
      </c>
      <c r="W764" t="s">
        <v>2914</v>
      </c>
      <c r="Y764" t="s">
        <v>3652</v>
      </c>
      <c r="Z764">
        <v>764</v>
      </c>
      <c r="AA764" t="s">
        <v>3783</v>
      </c>
      <c r="AB764" t="s">
        <v>2006</v>
      </c>
      <c r="AC764">
        <v>18</v>
      </c>
      <c r="AD764">
        <v>1</v>
      </c>
      <c r="AE764">
        <v>0</v>
      </c>
      <c r="AF764">
        <v>320.26</v>
      </c>
      <c r="AG764" t="s">
        <v>196</v>
      </c>
      <c r="AH764" t="s">
        <v>3806</v>
      </c>
      <c r="AI764" t="s">
        <v>3809</v>
      </c>
      <c r="AJ764">
        <v>40000</v>
      </c>
      <c r="AK764" t="s">
        <v>4038</v>
      </c>
      <c r="AP764">
        <v>0</v>
      </c>
      <c r="AR764" t="s">
        <v>49</v>
      </c>
      <c r="AS764" t="s">
        <v>4210</v>
      </c>
      <c r="AT764" t="s">
        <v>4219</v>
      </c>
    </row>
    <row r="765" spans="1:46">
      <c r="A765" s="1">
        <f>HYPERLINK("https://lsnyc.legalserver.org/matter/dynamic-profile/view/1891556","19-1891556")</f>
        <v>0</v>
      </c>
      <c r="B765" t="s">
        <v>66</v>
      </c>
      <c r="C765" t="s">
        <v>164</v>
      </c>
      <c r="E765" t="s">
        <v>370</v>
      </c>
      <c r="F765" t="s">
        <v>1253</v>
      </c>
      <c r="G765" t="s">
        <v>1482</v>
      </c>
      <c r="H765" t="s">
        <v>1964</v>
      </c>
      <c r="I765">
        <v>11233</v>
      </c>
      <c r="J765" t="s">
        <v>2002</v>
      </c>
      <c r="K765" t="s">
        <v>2003</v>
      </c>
      <c r="M765" t="s">
        <v>2058</v>
      </c>
      <c r="N765" t="s">
        <v>2417</v>
      </c>
      <c r="O765" t="s">
        <v>2436</v>
      </c>
      <c r="Q765" t="s">
        <v>2002</v>
      </c>
      <c r="R765" t="s">
        <v>2451</v>
      </c>
      <c r="S765" t="s">
        <v>243</v>
      </c>
      <c r="T765">
        <v>1000</v>
      </c>
      <c r="W765" t="s">
        <v>2630</v>
      </c>
      <c r="Z765">
        <v>359</v>
      </c>
      <c r="AA765" t="s">
        <v>3783</v>
      </c>
      <c r="AC765">
        <v>50</v>
      </c>
      <c r="AD765">
        <v>1</v>
      </c>
      <c r="AE765">
        <v>0</v>
      </c>
      <c r="AF765">
        <v>320.26</v>
      </c>
      <c r="AI765" t="s">
        <v>3809</v>
      </c>
      <c r="AJ765">
        <v>40000</v>
      </c>
      <c r="AK765" t="s">
        <v>4039</v>
      </c>
      <c r="AP765">
        <v>0</v>
      </c>
      <c r="AR765" t="s">
        <v>4185</v>
      </c>
      <c r="AS765" t="s">
        <v>4210</v>
      </c>
      <c r="AT765" t="s">
        <v>4219</v>
      </c>
    </row>
    <row r="766" spans="1:46">
      <c r="A766" s="1">
        <f>HYPERLINK("https://lsnyc.legalserver.org/matter/dynamic-profile/view/1892643","19-1892643")</f>
        <v>0</v>
      </c>
      <c r="B766" t="s">
        <v>66</v>
      </c>
      <c r="C766" t="s">
        <v>141</v>
      </c>
      <c r="E766" t="s">
        <v>715</v>
      </c>
      <c r="F766" t="s">
        <v>1046</v>
      </c>
      <c r="G766" t="s">
        <v>1633</v>
      </c>
      <c r="H766" t="s">
        <v>1938</v>
      </c>
      <c r="I766">
        <v>11233</v>
      </c>
      <c r="J766" t="s">
        <v>2002</v>
      </c>
      <c r="K766" t="s">
        <v>2003</v>
      </c>
      <c r="N766" t="s">
        <v>2417</v>
      </c>
      <c r="O766" t="s">
        <v>2436</v>
      </c>
      <c r="Q766" t="s">
        <v>2002</v>
      </c>
      <c r="R766" t="s">
        <v>2451</v>
      </c>
      <c r="S766" t="s">
        <v>243</v>
      </c>
      <c r="T766">
        <v>812</v>
      </c>
      <c r="U766" t="s">
        <v>2495</v>
      </c>
      <c r="W766" t="s">
        <v>2989</v>
      </c>
      <c r="Z766">
        <v>359</v>
      </c>
      <c r="AA766" t="s">
        <v>3783</v>
      </c>
      <c r="AC766">
        <v>18</v>
      </c>
      <c r="AD766">
        <v>1</v>
      </c>
      <c r="AE766">
        <v>0</v>
      </c>
      <c r="AF766">
        <v>320.26</v>
      </c>
      <c r="AI766" t="s">
        <v>3809</v>
      </c>
      <c r="AJ766">
        <v>40000</v>
      </c>
      <c r="AK766" t="s">
        <v>4040</v>
      </c>
      <c r="AP766">
        <v>0</v>
      </c>
      <c r="AR766" t="s">
        <v>49</v>
      </c>
      <c r="AS766" t="s">
        <v>4210</v>
      </c>
      <c r="AT766" t="s">
        <v>4219</v>
      </c>
    </row>
    <row r="767" spans="1:46">
      <c r="A767" s="1">
        <f>HYPERLINK("https://lsnyc.legalserver.org/matter/dynamic-profile/view/1897393","19-1897393")</f>
        <v>0</v>
      </c>
      <c r="B767" t="s">
        <v>66</v>
      </c>
      <c r="C767" t="s">
        <v>275</v>
      </c>
      <c r="E767" t="s">
        <v>716</v>
      </c>
      <c r="F767" t="s">
        <v>1229</v>
      </c>
      <c r="G767" t="s">
        <v>1632</v>
      </c>
      <c r="H767" t="s">
        <v>1939</v>
      </c>
      <c r="I767">
        <v>11233</v>
      </c>
      <c r="J767" t="s">
        <v>2002</v>
      </c>
      <c r="K767" t="s">
        <v>2003</v>
      </c>
      <c r="N767" t="s">
        <v>2417</v>
      </c>
      <c r="O767" t="s">
        <v>2436</v>
      </c>
      <c r="Q767" t="s">
        <v>2002</v>
      </c>
      <c r="R767" t="s">
        <v>2451</v>
      </c>
      <c r="S767" t="s">
        <v>243</v>
      </c>
      <c r="T767">
        <v>1162</v>
      </c>
      <c r="U767" t="s">
        <v>2512</v>
      </c>
      <c r="W767" t="s">
        <v>2990</v>
      </c>
      <c r="Z767">
        <v>359</v>
      </c>
      <c r="AA767" t="s">
        <v>3783</v>
      </c>
      <c r="AC767">
        <v>30</v>
      </c>
      <c r="AD767">
        <v>1</v>
      </c>
      <c r="AE767">
        <v>0</v>
      </c>
      <c r="AF767">
        <v>320.26</v>
      </c>
      <c r="AI767" t="s">
        <v>3809</v>
      </c>
      <c r="AJ767">
        <v>40000</v>
      </c>
      <c r="AK767" t="s">
        <v>3937</v>
      </c>
      <c r="AP767">
        <v>0</v>
      </c>
      <c r="AR767" t="s">
        <v>4185</v>
      </c>
      <c r="AS767" t="s">
        <v>4210</v>
      </c>
      <c r="AT767" t="s">
        <v>4219</v>
      </c>
    </row>
    <row r="768" spans="1:46">
      <c r="A768" s="1">
        <f>HYPERLINK("https://lsnyc.legalserver.org/matter/dynamic-profile/view/1891600","19-1891600")</f>
        <v>0</v>
      </c>
      <c r="B768" t="s">
        <v>66</v>
      </c>
      <c r="C768" t="s">
        <v>271</v>
      </c>
      <c r="E768" t="s">
        <v>352</v>
      </c>
      <c r="F768" t="s">
        <v>1230</v>
      </c>
      <c r="G768" t="s">
        <v>1632</v>
      </c>
      <c r="H768" t="s">
        <v>1940</v>
      </c>
      <c r="I768">
        <v>11233</v>
      </c>
      <c r="J768" t="s">
        <v>2002</v>
      </c>
      <c r="K768" t="s">
        <v>2003</v>
      </c>
      <c r="N768" t="s">
        <v>2417</v>
      </c>
      <c r="O768" t="s">
        <v>2436</v>
      </c>
      <c r="Q768" t="s">
        <v>2002</v>
      </c>
      <c r="R768" t="s">
        <v>2451</v>
      </c>
      <c r="S768" t="s">
        <v>243</v>
      </c>
      <c r="T768">
        <v>1189.1</v>
      </c>
      <c r="U768" t="s">
        <v>2495</v>
      </c>
      <c r="W768" t="s">
        <v>2991</v>
      </c>
      <c r="Z768">
        <v>359</v>
      </c>
      <c r="AA768" t="s">
        <v>3783</v>
      </c>
      <c r="AB768" t="s">
        <v>2006</v>
      </c>
      <c r="AC768">
        <v>44</v>
      </c>
      <c r="AD768">
        <v>2</v>
      </c>
      <c r="AE768">
        <v>0</v>
      </c>
      <c r="AF768">
        <v>325.25</v>
      </c>
      <c r="AI768" t="s">
        <v>3809</v>
      </c>
      <c r="AJ768">
        <v>55000</v>
      </c>
      <c r="AK768" t="s">
        <v>4041</v>
      </c>
      <c r="AP768">
        <v>0</v>
      </c>
      <c r="AR768" t="s">
        <v>49</v>
      </c>
      <c r="AS768" t="s">
        <v>4210</v>
      </c>
      <c r="AT768" t="s">
        <v>4219</v>
      </c>
    </row>
    <row r="769" spans="1:46">
      <c r="A769" s="1">
        <f>HYPERLINK("https://lsnyc.legalserver.org/matter/dynamic-profile/view/1902152","19-1902152")</f>
        <v>0</v>
      </c>
      <c r="B769" t="s">
        <v>66</v>
      </c>
      <c r="C769" t="s">
        <v>107</v>
      </c>
      <c r="E769" t="s">
        <v>717</v>
      </c>
      <c r="F769" t="s">
        <v>1231</v>
      </c>
      <c r="G769" t="s">
        <v>1482</v>
      </c>
      <c r="H769" t="s">
        <v>1941</v>
      </c>
      <c r="I769">
        <v>11233</v>
      </c>
      <c r="J769" t="s">
        <v>2002</v>
      </c>
      <c r="K769" t="s">
        <v>2004</v>
      </c>
      <c r="L769" t="s">
        <v>2006</v>
      </c>
      <c r="M769" t="s">
        <v>2027</v>
      </c>
      <c r="N769" t="s">
        <v>2417</v>
      </c>
      <c r="O769" t="s">
        <v>2436</v>
      </c>
      <c r="Q769" t="s">
        <v>2002</v>
      </c>
      <c r="R769" t="s">
        <v>2451</v>
      </c>
      <c r="S769" t="s">
        <v>243</v>
      </c>
      <c r="T769">
        <v>1200</v>
      </c>
      <c r="U769" t="s">
        <v>2495</v>
      </c>
      <c r="W769" t="s">
        <v>2992</v>
      </c>
      <c r="Z769">
        <v>359</v>
      </c>
      <c r="AA769" t="s">
        <v>3783</v>
      </c>
      <c r="AC769">
        <v>20</v>
      </c>
      <c r="AD769">
        <v>3</v>
      </c>
      <c r="AE769">
        <v>0</v>
      </c>
      <c r="AF769">
        <v>328.18</v>
      </c>
      <c r="AI769" t="s">
        <v>3809</v>
      </c>
      <c r="AJ769">
        <v>70000</v>
      </c>
      <c r="AK769" t="s">
        <v>4042</v>
      </c>
      <c r="AP769">
        <v>0</v>
      </c>
      <c r="AR769" t="s">
        <v>49</v>
      </c>
      <c r="AS769" t="s">
        <v>4210</v>
      </c>
      <c r="AT769" t="s">
        <v>4219</v>
      </c>
    </row>
    <row r="770" spans="1:46">
      <c r="A770" s="1">
        <f>HYPERLINK("https://lsnyc.legalserver.org/matter/dynamic-profile/view/1891869","19-1891869")</f>
        <v>0</v>
      </c>
      <c r="B770" t="s">
        <v>66</v>
      </c>
      <c r="C770" t="s">
        <v>277</v>
      </c>
      <c r="E770" t="s">
        <v>359</v>
      </c>
      <c r="F770" t="s">
        <v>926</v>
      </c>
      <c r="G770" t="s">
        <v>1482</v>
      </c>
      <c r="H770" t="s">
        <v>1872</v>
      </c>
      <c r="I770">
        <v>11233</v>
      </c>
      <c r="J770" t="s">
        <v>2002</v>
      </c>
      <c r="K770" t="s">
        <v>2003</v>
      </c>
      <c r="M770" t="s">
        <v>2006</v>
      </c>
      <c r="N770" t="s">
        <v>2417</v>
      </c>
      <c r="O770" t="s">
        <v>2436</v>
      </c>
      <c r="Q770" t="s">
        <v>2002</v>
      </c>
      <c r="R770" t="s">
        <v>2451</v>
      </c>
      <c r="S770" t="s">
        <v>243</v>
      </c>
      <c r="T770">
        <v>1108.41</v>
      </c>
      <c r="W770" t="s">
        <v>2993</v>
      </c>
      <c r="Z770">
        <v>359</v>
      </c>
      <c r="AA770" t="s">
        <v>3783</v>
      </c>
      <c r="AB770" t="s">
        <v>2006</v>
      </c>
      <c r="AC770">
        <v>38</v>
      </c>
      <c r="AD770">
        <v>2</v>
      </c>
      <c r="AE770">
        <v>0</v>
      </c>
      <c r="AF770">
        <v>329.64</v>
      </c>
      <c r="AI770" t="s">
        <v>3809</v>
      </c>
      <c r="AJ770">
        <v>55742</v>
      </c>
      <c r="AK770" t="s">
        <v>4043</v>
      </c>
      <c r="AP770">
        <v>0</v>
      </c>
      <c r="AR770" t="s">
        <v>4185</v>
      </c>
      <c r="AS770" t="s">
        <v>4210</v>
      </c>
      <c r="AT770" t="s">
        <v>4219</v>
      </c>
    </row>
    <row r="771" spans="1:46">
      <c r="A771" s="1">
        <f>HYPERLINK("https://lsnyc.legalserver.org/matter/dynamic-profile/view/1891710","19-1891710")</f>
        <v>0</v>
      </c>
      <c r="B771" t="s">
        <v>66</v>
      </c>
      <c r="C771" t="s">
        <v>271</v>
      </c>
      <c r="E771" t="s">
        <v>665</v>
      </c>
      <c r="F771" t="s">
        <v>1167</v>
      </c>
      <c r="G771" t="s">
        <v>1482</v>
      </c>
      <c r="H771" t="s">
        <v>1801</v>
      </c>
      <c r="I771">
        <v>11233</v>
      </c>
      <c r="J771" t="s">
        <v>2002</v>
      </c>
      <c r="K771" t="s">
        <v>2002</v>
      </c>
      <c r="M771" t="s">
        <v>2006</v>
      </c>
      <c r="N771" t="s">
        <v>2417</v>
      </c>
      <c r="O771" t="s">
        <v>2436</v>
      </c>
      <c r="Q771" t="s">
        <v>2002</v>
      </c>
      <c r="R771" t="s">
        <v>2451</v>
      </c>
      <c r="S771" t="s">
        <v>243</v>
      </c>
      <c r="T771">
        <v>583.25</v>
      </c>
      <c r="W771" t="s">
        <v>2915</v>
      </c>
      <c r="Y771" t="s">
        <v>3653</v>
      </c>
      <c r="Z771">
        <v>359</v>
      </c>
      <c r="AA771" t="s">
        <v>3783</v>
      </c>
      <c r="AB771" t="s">
        <v>2006</v>
      </c>
      <c r="AC771">
        <v>0</v>
      </c>
      <c r="AD771">
        <v>1</v>
      </c>
      <c r="AE771">
        <v>0</v>
      </c>
      <c r="AF771">
        <v>336.27</v>
      </c>
      <c r="AI771" t="s">
        <v>3809</v>
      </c>
      <c r="AJ771">
        <v>42000</v>
      </c>
      <c r="AK771" t="s">
        <v>4044</v>
      </c>
      <c r="AP771">
        <v>0</v>
      </c>
      <c r="AR771" t="s">
        <v>4185</v>
      </c>
      <c r="AS771" t="s">
        <v>4210</v>
      </c>
      <c r="AT771" t="s">
        <v>4219</v>
      </c>
    </row>
    <row r="772" spans="1:46">
      <c r="A772" s="1">
        <f>HYPERLINK("https://lsnyc.legalserver.org/matter/dynamic-profile/view/1892854","19-1892854")</f>
        <v>0</v>
      </c>
      <c r="B772" t="s">
        <v>66</v>
      </c>
      <c r="C772" t="s">
        <v>83</v>
      </c>
      <c r="E772" t="s">
        <v>718</v>
      </c>
      <c r="F772" t="s">
        <v>902</v>
      </c>
      <c r="G772" t="s">
        <v>1634</v>
      </c>
      <c r="H772" t="s">
        <v>1942</v>
      </c>
      <c r="I772">
        <v>11233</v>
      </c>
      <c r="J772" t="s">
        <v>2002</v>
      </c>
      <c r="K772" t="s">
        <v>2003</v>
      </c>
      <c r="N772" t="s">
        <v>2417</v>
      </c>
      <c r="O772" t="s">
        <v>2436</v>
      </c>
      <c r="Q772" t="s">
        <v>2002</v>
      </c>
      <c r="R772" t="s">
        <v>2451</v>
      </c>
      <c r="S772" t="s">
        <v>243</v>
      </c>
      <c r="T772">
        <v>833</v>
      </c>
      <c r="U772" t="s">
        <v>2495</v>
      </c>
      <c r="W772" t="s">
        <v>2994</v>
      </c>
      <c r="Z772">
        <v>0</v>
      </c>
      <c r="AA772" t="s">
        <v>3783</v>
      </c>
      <c r="AC772">
        <v>1</v>
      </c>
      <c r="AD772">
        <v>1</v>
      </c>
      <c r="AE772">
        <v>0</v>
      </c>
      <c r="AF772">
        <v>344.28</v>
      </c>
      <c r="AG772" t="s">
        <v>196</v>
      </c>
      <c r="AH772" t="s">
        <v>3806</v>
      </c>
      <c r="AI772" t="s">
        <v>3809</v>
      </c>
      <c r="AJ772">
        <v>43000</v>
      </c>
      <c r="AK772" t="s">
        <v>4045</v>
      </c>
      <c r="AP772">
        <v>0</v>
      </c>
      <c r="AR772" t="s">
        <v>49</v>
      </c>
      <c r="AS772" t="s">
        <v>4210</v>
      </c>
      <c r="AT772" t="s">
        <v>4219</v>
      </c>
    </row>
    <row r="773" spans="1:46">
      <c r="A773" s="1">
        <f>HYPERLINK("https://lsnyc.legalserver.org/matter/dynamic-profile/view/1898847","19-1898847")</f>
        <v>0</v>
      </c>
      <c r="B773" t="s">
        <v>66</v>
      </c>
      <c r="C773" t="s">
        <v>140</v>
      </c>
      <c r="E773" t="s">
        <v>719</v>
      </c>
      <c r="F773" t="s">
        <v>1232</v>
      </c>
      <c r="G773" t="s">
        <v>1482</v>
      </c>
      <c r="H773" t="s">
        <v>1943</v>
      </c>
      <c r="I773">
        <v>11233</v>
      </c>
      <c r="J773" t="s">
        <v>2002</v>
      </c>
      <c r="K773" t="s">
        <v>2003</v>
      </c>
      <c r="N773" t="s">
        <v>2417</v>
      </c>
      <c r="O773" t="s">
        <v>2436</v>
      </c>
      <c r="Q773" t="s">
        <v>2002</v>
      </c>
      <c r="R773" t="s">
        <v>2451</v>
      </c>
      <c r="S773" t="s">
        <v>243</v>
      </c>
      <c r="T773">
        <v>0</v>
      </c>
      <c r="U773" t="s">
        <v>2495</v>
      </c>
      <c r="W773" t="s">
        <v>2995</v>
      </c>
      <c r="Z773">
        <v>359</v>
      </c>
      <c r="AA773" t="s">
        <v>3783</v>
      </c>
      <c r="AC773">
        <v>6</v>
      </c>
      <c r="AD773">
        <v>1</v>
      </c>
      <c r="AE773">
        <v>1</v>
      </c>
      <c r="AF773">
        <v>354.82</v>
      </c>
      <c r="AI773" t="s">
        <v>3809</v>
      </c>
      <c r="AJ773">
        <v>60000</v>
      </c>
      <c r="AK773" t="s">
        <v>4046</v>
      </c>
      <c r="AP773">
        <v>0</v>
      </c>
      <c r="AR773" t="s">
        <v>49</v>
      </c>
      <c r="AS773" t="s">
        <v>4210</v>
      </c>
      <c r="AT773" t="s">
        <v>4219</v>
      </c>
    </row>
    <row r="774" spans="1:46">
      <c r="A774" s="1">
        <f>HYPERLINK("https://lsnyc.legalserver.org/matter/dynamic-profile/view/1898953","19-1898953")</f>
        <v>0</v>
      </c>
      <c r="B774" t="s">
        <v>66</v>
      </c>
      <c r="C774" t="s">
        <v>150</v>
      </c>
      <c r="E774" t="s">
        <v>720</v>
      </c>
      <c r="F774" t="s">
        <v>1036</v>
      </c>
      <c r="G774" t="s">
        <v>1634</v>
      </c>
      <c r="H774" t="s">
        <v>1944</v>
      </c>
      <c r="I774">
        <v>11233</v>
      </c>
      <c r="J774" t="s">
        <v>2002</v>
      </c>
      <c r="K774" t="s">
        <v>2004</v>
      </c>
      <c r="L774" t="s">
        <v>2006</v>
      </c>
      <c r="N774" t="s">
        <v>2417</v>
      </c>
      <c r="O774" t="s">
        <v>2436</v>
      </c>
      <c r="Q774" t="s">
        <v>2002</v>
      </c>
      <c r="R774" t="s">
        <v>2451</v>
      </c>
      <c r="S774" t="s">
        <v>243</v>
      </c>
      <c r="T774">
        <v>888.58</v>
      </c>
      <c r="U774" t="s">
        <v>2495</v>
      </c>
      <c r="W774" t="s">
        <v>2996</v>
      </c>
      <c r="Z774">
        <v>359</v>
      </c>
      <c r="AA774" t="s">
        <v>3783</v>
      </c>
      <c r="AC774">
        <v>11</v>
      </c>
      <c r="AD774">
        <v>1</v>
      </c>
      <c r="AE774">
        <v>1</v>
      </c>
      <c r="AF774">
        <v>354.82</v>
      </c>
      <c r="AI774" t="s">
        <v>3809</v>
      </c>
      <c r="AJ774">
        <v>60000</v>
      </c>
      <c r="AK774" t="s">
        <v>4047</v>
      </c>
      <c r="AP774">
        <v>0</v>
      </c>
      <c r="AR774" t="s">
        <v>49</v>
      </c>
      <c r="AS774" t="s">
        <v>4210</v>
      </c>
      <c r="AT774" t="s">
        <v>4219</v>
      </c>
    </row>
    <row r="775" spans="1:46">
      <c r="A775" s="1">
        <f>HYPERLINK("https://lsnyc.legalserver.org/matter/dynamic-profile/view/1898983","19-1898983")</f>
        <v>0</v>
      </c>
      <c r="B775" t="s">
        <v>66</v>
      </c>
      <c r="C775" t="s">
        <v>150</v>
      </c>
      <c r="E775" t="s">
        <v>721</v>
      </c>
      <c r="F775" t="s">
        <v>938</v>
      </c>
      <c r="G775" t="s">
        <v>1482</v>
      </c>
      <c r="H775" t="s">
        <v>1945</v>
      </c>
      <c r="I775">
        <v>11233</v>
      </c>
      <c r="J775" t="s">
        <v>2002</v>
      </c>
      <c r="K775" t="s">
        <v>2004</v>
      </c>
      <c r="L775" t="s">
        <v>2006</v>
      </c>
      <c r="N775" t="s">
        <v>2417</v>
      </c>
      <c r="O775" t="s">
        <v>2436</v>
      </c>
      <c r="Q775" t="s">
        <v>2002</v>
      </c>
      <c r="R775" t="s">
        <v>2451</v>
      </c>
      <c r="S775" t="s">
        <v>243</v>
      </c>
      <c r="T775">
        <v>1162</v>
      </c>
      <c r="U775" t="s">
        <v>2495</v>
      </c>
      <c r="W775" t="s">
        <v>2997</v>
      </c>
      <c r="Z775">
        <v>359</v>
      </c>
      <c r="AA775" t="s">
        <v>3783</v>
      </c>
      <c r="AC775">
        <v>55</v>
      </c>
      <c r="AD775">
        <v>1</v>
      </c>
      <c r="AE775">
        <v>0</v>
      </c>
      <c r="AF775">
        <v>360.29</v>
      </c>
      <c r="AI775" t="s">
        <v>3809</v>
      </c>
      <c r="AJ775">
        <v>45000</v>
      </c>
      <c r="AK775" t="s">
        <v>4048</v>
      </c>
      <c r="AP775">
        <v>0</v>
      </c>
      <c r="AR775" t="s">
        <v>49</v>
      </c>
      <c r="AS775" t="s">
        <v>4210</v>
      </c>
      <c r="AT775" t="s">
        <v>4219</v>
      </c>
    </row>
    <row r="776" spans="1:46">
      <c r="A776" s="1">
        <f>HYPERLINK("https://lsnyc.legalserver.org/matter/dynamic-profile/view/1891599","19-1891599")</f>
        <v>0</v>
      </c>
      <c r="B776" t="s">
        <v>66</v>
      </c>
      <c r="C776" t="s">
        <v>271</v>
      </c>
      <c r="E776" t="s">
        <v>723</v>
      </c>
      <c r="F776" t="s">
        <v>1233</v>
      </c>
      <c r="G776" t="s">
        <v>1482</v>
      </c>
      <c r="H776" t="s">
        <v>1753</v>
      </c>
      <c r="I776">
        <v>11233</v>
      </c>
      <c r="J776" t="s">
        <v>2002</v>
      </c>
      <c r="K776" t="s">
        <v>2003</v>
      </c>
      <c r="M776" t="s">
        <v>2006</v>
      </c>
      <c r="N776" t="s">
        <v>2417</v>
      </c>
      <c r="O776" t="s">
        <v>2436</v>
      </c>
      <c r="Q776" t="s">
        <v>2002</v>
      </c>
      <c r="R776" t="s">
        <v>2451</v>
      </c>
      <c r="S776" t="s">
        <v>243</v>
      </c>
      <c r="T776">
        <v>1038.66</v>
      </c>
      <c r="W776" t="s">
        <v>2999</v>
      </c>
      <c r="Z776">
        <v>359</v>
      </c>
      <c r="AA776" t="s">
        <v>3783</v>
      </c>
      <c r="AC776">
        <v>50</v>
      </c>
      <c r="AD776">
        <v>2</v>
      </c>
      <c r="AE776">
        <v>0</v>
      </c>
      <c r="AF776">
        <v>366.65</v>
      </c>
      <c r="AI776" t="s">
        <v>3809</v>
      </c>
      <c r="AJ776">
        <v>62000</v>
      </c>
      <c r="AK776" t="s">
        <v>4049</v>
      </c>
      <c r="AP776">
        <v>0</v>
      </c>
      <c r="AR776" t="s">
        <v>4185</v>
      </c>
      <c r="AS776" t="s">
        <v>4210</v>
      </c>
      <c r="AT776" t="s">
        <v>4219</v>
      </c>
    </row>
    <row r="777" spans="1:46">
      <c r="A777" s="1">
        <f>HYPERLINK("https://lsnyc.legalserver.org/matter/dynamic-profile/view/1897410","19-1897410")</f>
        <v>0</v>
      </c>
      <c r="B777" t="s">
        <v>66</v>
      </c>
      <c r="C777" t="s">
        <v>275</v>
      </c>
      <c r="E777" t="s">
        <v>724</v>
      </c>
      <c r="F777" t="s">
        <v>1234</v>
      </c>
      <c r="G777" t="s">
        <v>1482</v>
      </c>
      <c r="H777" t="s">
        <v>1947</v>
      </c>
      <c r="I777">
        <v>11233</v>
      </c>
      <c r="J777" t="s">
        <v>2002</v>
      </c>
      <c r="K777" t="s">
        <v>2003</v>
      </c>
      <c r="O777" t="s">
        <v>2436</v>
      </c>
      <c r="Q777" t="s">
        <v>2002</v>
      </c>
      <c r="R777" t="s">
        <v>2451</v>
      </c>
      <c r="S777" t="s">
        <v>243</v>
      </c>
      <c r="T777">
        <v>1000</v>
      </c>
      <c r="U777" t="s">
        <v>2512</v>
      </c>
      <c r="W777" t="s">
        <v>3000</v>
      </c>
      <c r="Z777">
        <v>359</v>
      </c>
      <c r="AA777" t="s">
        <v>3783</v>
      </c>
      <c r="AC777">
        <v>4</v>
      </c>
      <c r="AD777">
        <v>3</v>
      </c>
      <c r="AE777">
        <v>0</v>
      </c>
      <c r="AF777">
        <v>375.06</v>
      </c>
      <c r="AI777" t="s">
        <v>3809</v>
      </c>
      <c r="AJ777">
        <v>80000</v>
      </c>
      <c r="AK777" t="s">
        <v>3937</v>
      </c>
      <c r="AP777">
        <v>0</v>
      </c>
      <c r="AR777" t="s">
        <v>4185</v>
      </c>
      <c r="AS777" t="s">
        <v>4210</v>
      </c>
      <c r="AT777" t="s">
        <v>4219</v>
      </c>
    </row>
    <row r="778" spans="1:46">
      <c r="A778" s="1">
        <f>HYPERLINK("https://lsnyc.legalserver.org/matter/dynamic-profile/view/1891564","19-1891564")</f>
        <v>0</v>
      </c>
      <c r="B778" t="s">
        <v>66</v>
      </c>
      <c r="C778" t="s">
        <v>164</v>
      </c>
      <c r="E778" t="s">
        <v>600</v>
      </c>
      <c r="F778" t="s">
        <v>986</v>
      </c>
      <c r="G778" t="s">
        <v>1632</v>
      </c>
      <c r="H778" t="s">
        <v>1948</v>
      </c>
      <c r="I778">
        <v>11233</v>
      </c>
      <c r="J778" t="s">
        <v>2002</v>
      </c>
      <c r="K778" t="s">
        <v>2003</v>
      </c>
      <c r="M778" t="s">
        <v>2058</v>
      </c>
      <c r="N778" t="s">
        <v>2417</v>
      </c>
      <c r="O778" t="s">
        <v>2436</v>
      </c>
      <c r="Q778" t="s">
        <v>2002</v>
      </c>
      <c r="R778" t="s">
        <v>2451</v>
      </c>
      <c r="S778" t="s">
        <v>243</v>
      </c>
      <c r="T778">
        <v>1157</v>
      </c>
      <c r="W778" t="s">
        <v>2561</v>
      </c>
      <c r="Z778">
        <v>359</v>
      </c>
      <c r="AA778" t="s">
        <v>3783</v>
      </c>
      <c r="AC778">
        <v>39</v>
      </c>
      <c r="AD778">
        <v>6</v>
      </c>
      <c r="AE778">
        <v>0</v>
      </c>
      <c r="AF778">
        <v>383.06</v>
      </c>
      <c r="AG778" t="s">
        <v>196</v>
      </c>
      <c r="AI778" t="s">
        <v>3809</v>
      </c>
      <c r="AJ778">
        <v>132500</v>
      </c>
      <c r="AK778" t="s">
        <v>4050</v>
      </c>
      <c r="AP778">
        <v>0</v>
      </c>
      <c r="AR778" t="s">
        <v>4185</v>
      </c>
      <c r="AS778" t="s">
        <v>4210</v>
      </c>
      <c r="AT778" t="s">
        <v>4219</v>
      </c>
    </row>
    <row r="779" spans="1:46">
      <c r="A779" s="1">
        <f>HYPERLINK("https://lsnyc.legalserver.org/matter/dynamic-profile/view/1891616","19-1891616")</f>
        <v>0</v>
      </c>
      <c r="B779" t="s">
        <v>66</v>
      </c>
      <c r="C779" t="s">
        <v>271</v>
      </c>
      <c r="E779" t="s">
        <v>725</v>
      </c>
      <c r="F779" t="s">
        <v>1235</v>
      </c>
      <c r="G779" t="s">
        <v>1632</v>
      </c>
      <c r="H779" t="s">
        <v>1949</v>
      </c>
      <c r="I779">
        <v>11233</v>
      </c>
      <c r="J779" t="s">
        <v>2002</v>
      </c>
      <c r="K779" t="s">
        <v>2003</v>
      </c>
      <c r="N779" t="s">
        <v>2417</v>
      </c>
      <c r="O779" t="s">
        <v>2436</v>
      </c>
      <c r="Q779" t="s">
        <v>2002</v>
      </c>
      <c r="R779" t="s">
        <v>2451</v>
      </c>
      <c r="S779" t="s">
        <v>243</v>
      </c>
      <c r="T779">
        <v>1534.37</v>
      </c>
      <c r="U779" t="s">
        <v>2495</v>
      </c>
      <c r="W779" t="s">
        <v>3001</v>
      </c>
      <c r="Z779">
        <v>359</v>
      </c>
      <c r="AA779" t="s">
        <v>3783</v>
      </c>
      <c r="AB779" t="s">
        <v>2006</v>
      </c>
      <c r="AC779">
        <v>3</v>
      </c>
      <c r="AD779">
        <v>2</v>
      </c>
      <c r="AE779">
        <v>0</v>
      </c>
      <c r="AF779">
        <v>384.39</v>
      </c>
      <c r="AG779" t="s">
        <v>196</v>
      </c>
      <c r="AH779" t="s">
        <v>3806</v>
      </c>
      <c r="AI779" t="s">
        <v>3809</v>
      </c>
      <c r="AJ779">
        <v>65000</v>
      </c>
      <c r="AK779" t="s">
        <v>4051</v>
      </c>
      <c r="AP779">
        <v>0</v>
      </c>
      <c r="AR779" t="s">
        <v>49</v>
      </c>
      <c r="AS779" t="s">
        <v>4210</v>
      </c>
      <c r="AT779" t="s">
        <v>4219</v>
      </c>
    </row>
    <row r="780" spans="1:46">
      <c r="A780" s="1">
        <f>HYPERLINK("https://lsnyc.legalserver.org/matter/dynamic-profile/view/1891944","19-1891944")</f>
        <v>0</v>
      </c>
      <c r="B780" t="s">
        <v>66</v>
      </c>
      <c r="C780" t="s">
        <v>224</v>
      </c>
      <c r="E780" t="s">
        <v>726</v>
      </c>
      <c r="F780" t="s">
        <v>956</v>
      </c>
      <c r="G780" t="s">
        <v>1632</v>
      </c>
      <c r="H780" t="s">
        <v>1758</v>
      </c>
      <c r="I780">
        <v>11233</v>
      </c>
      <c r="J780" t="s">
        <v>2002</v>
      </c>
      <c r="K780" t="s">
        <v>2003</v>
      </c>
      <c r="N780" t="s">
        <v>2417</v>
      </c>
      <c r="O780" t="s">
        <v>2436</v>
      </c>
      <c r="Q780" t="s">
        <v>2002</v>
      </c>
      <c r="R780" t="s">
        <v>2451</v>
      </c>
      <c r="S780" t="s">
        <v>243</v>
      </c>
      <c r="T780">
        <v>1489</v>
      </c>
      <c r="U780" t="s">
        <v>2495</v>
      </c>
      <c r="W780" t="s">
        <v>3002</v>
      </c>
      <c r="Z780">
        <v>359</v>
      </c>
      <c r="AA780" t="s">
        <v>3783</v>
      </c>
      <c r="AB780" t="s">
        <v>2006</v>
      </c>
      <c r="AC780">
        <v>4</v>
      </c>
      <c r="AD780">
        <v>2</v>
      </c>
      <c r="AE780">
        <v>0</v>
      </c>
      <c r="AF780">
        <v>384.39</v>
      </c>
      <c r="AG780" t="s">
        <v>196</v>
      </c>
      <c r="AH780" t="s">
        <v>3806</v>
      </c>
      <c r="AI780" t="s">
        <v>3809</v>
      </c>
      <c r="AJ780">
        <v>65000</v>
      </c>
      <c r="AK780" t="s">
        <v>4052</v>
      </c>
      <c r="AP780">
        <v>0</v>
      </c>
      <c r="AR780" t="s">
        <v>49</v>
      </c>
      <c r="AS780" t="s">
        <v>4210</v>
      </c>
      <c r="AT780" t="s">
        <v>4219</v>
      </c>
    </row>
    <row r="781" spans="1:46">
      <c r="A781" s="1">
        <f>HYPERLINK("https://lsnyc.legalserver.org/matter/dynamic-profile/view/1897341","19-1897341")</f>
        <v>0</v>
      </c>
      <c r="B781" t="s">
        <v>66</v>
      </c>
      <c r="C781" t="s">
        <v>275</v>
      </c>
      <c r="E781" t="s">
        <v>727</v>
      </c>
      <c r="F781" t="s">
        <v>1236</v>
      </c>
      <c r="G781" t="s">
        <v>1632</v>
      </c>
      <c r="H781" t="s">
        <v>1950</v>
      </c>
      <c r="I781">
        <v>11233</v>
      </c>
      <c r="J781" t="s">
        <v>2002</v>
      </c>
      <c r="K781" t="s">
        <v>2003</v>
      </c>
      <c r="N781" t="s">
        <v>2417</v>
      </c>
      <c r="O781" t="s">
        <v>2436</v>
      </c>
      <c r="Q781" t="s">
        <v>2002</v>
      </c>
      <c r="R781" t="s">
        <v>2451</v>
      </c>
      <c r="S781" t="s">
        <v>243</v>
      </c>
      <c r="T781">
        <v>1000</v>
      </c>
      <c r="U781" t="s">
        <v>2512</v>
      </c>
      <c r="W781" t="s">
        <v>3003</v>
      </c>
      <c r="Z781">
        <v>359</v>
      </c>
      <c r="AA781" t="s">
        <v>3783</v>
      </c>
      <c r="AC781">
        <v>50</v>
      </c>
      <c r="AD781">
        <v>2</v>
      </c>
      <c r="AE781">
        <v>0</v>
      </c>
      <c r="AF781">
        <v>384.39</v>
      </c>
      <c r="AI781" t="s">
        <v>3809</v>
      </c>
      <c r="AJ781">
        <v>65000</v>
      </c>
      <c r="AK781" t="s">
        <v>4053</v>
      </c>
      <c r="AP781">
        <v>0</v>
      </c>
      <c r="AR781" t="s">
        <v>4185</v>
      </c>
      <c r="AS781" t="s">
        <v>4210</v>
      </c>
      <c r="AT781" t="s">
        <v>4219</v>
      </c>
    </row>
    <row r="782" spans="1:46">
      <c r="A782" s="1">
        <f>HYPERLINK("https://lsnyc.legalserver.org/matter/dynamic-profile/view/1898370","19-1898370")</f>
        <v>0</v>
      </c>
      <c r="B782" t="s">
        <v>66</v>
      </c>
      <c r="C782" t="s">
        <v>252</v>
      </c>
      <c r="E782" t="s">
        <v>728</v>
      </c>
      <c r="F782" t="s">
        <v>1237</v>
      </c>
      <c r="G782" t="s">
        <v>1634</v>
      </c>
      <c r="H782" t="s">
        <v>1951</v>
      </c>
      <c r="I782">
        <v>11233</v>
      </c>
      <c r="J782" t="s">
        <v>2002</v>
      </c>
      <c r="K782" t="s">
        <v>2003</v>
      </c>
      <c r="N782" t="s">
        <v>2417</v>
      </c>
      <c r="O782" t="s">
        <v>2436</v>
      </c>
      <c r="Q782" t="s">
        <v>2002</v>
      </c>
      <c r="R782" t="s">
        <v>2451</v>
      </c>
      <c r="S782" t="s">
        <v>243</v>
      </c>
      <c r="T782">
        <v>629.15</v>
      </c>
      <c r="U782" t="s">
        <v>2495</v>
      </c>
      <c r="W782" t="s">
        <v>3004</v>
      </c>
      <c r="Z782">
        <v>359</v>
      </c>
      <c r="AA782" t="s">
        <v>3783</v>
      </c>
      <c r="AC782">
        <v>8</v>
      </c>
      <c r="AD782">
        <v>1</v>
      </c>
      <c r="AE782">
        <v>0</v>
      </c>
      <c r="AF782">
        <v>392.31</v>
      </c>
      <c r="AI782" t="s">
        <v>3809</v>
      </c>
      <c r="AJ782">
        <v>49000</v>
      </c>
      <c r="AK782" t="s">
        <v>4054</v>
      </c>
      <c r="AP782">
        <v>0</v>
      </c>
      <c r="AR782" t="s">
        <v>49</v>
      </c>
      <c r="AS782" t="s">
        <v>4210</v>
      </c>
      <c r="AT782" t="s">
        <v>4219</v>
      </c>
    </row>
    <row r="783" spans="1:46">
      <c r="A783" s="1">
        <f>HYPERLINK("https://lsnyc.legalserver.org/matter/dynamic-profile/view/1897606","19-1897606")</f>
        <v>0</v>
      </c>
      <c r="B783" t="s">
        <v>66</v>
      </c>
      <c r="C783" t="s">
        <v>180</v>
      </c>
      <c r="E783" t="s">
        <v>729</v>
      </c>
      <c r="F783" t="s">
        <v>1238</v>
      </c>
      <c r="G783" t="s">
        <v>1482</v>
      </c>
      <c r="H783" t="s">
        <v>1952</v>
      </c>
      <c r="I783">
        <v>11233</v>
      </c>
      <c r="J783" t="s">
        <v>2002</v>
      </c>
      <c r="K783" t="s">
        <v>2003</v>
      </c>
      <c r="N783" t="s">
        <v>2417</v>
      </c>
      <c r="O783" t="s">
        <v>2436</v>
      </c>
      <c r="Q783" t="s">
        <v>2002</v>
      </c>
      <c r="R783" t="s">
        <v>2451</v>
      </c>
      <c r="S783" t="s">
        <v>243</v>
      </c>
      <c r="T783">
        <v>829.45</v>
      </c>
      <c r="U783" t="s">
        <v>2512</v>
      </c>
      <c r="W783" t="s">
        <v>3005</v>
      </c>
      <c r="Z783">
        <v>359</v>
      </c>
      <c r="AA783" t="s">
        <v>3783</v>
      </c>
      <c r="AC783">
        <v>8</v>
      </c>
      <c r="AD783">
        <v>1</v>
      </c>
      <c r="AE783">
        <v>0</v>
      </c>
      <c r="AF783">
        <v>398.72</v>
      </c>
      <c r="AI783" t="s">
        <v>3809</v>
      </c>
      <c r="AJ783">
        <v>49800</v>
      </c>
      <c r="AK783" t="s">
        <v>4055</v>
      </c>
      <c r="AP783">
        <v>0</v>
      </c>
      <c r="AR783" t="s">
        <v>4185</v>
      </c>
      <c r="AS783" t="s">
        <v>4210</v>
      </c>
      <c r="AT783" t="s">
        <v>4219</v>
      </c>
    </row>
    <row r="784" spans="1:46">
      <c r="A784" s="1">
        <f>HYPERLINK("https://lsnyc.legalserver.org/matter/dynamic-profile/view/1891544","19-1891544")</f>
        <v>0</v>
      </c>
      <c r="B784" t="s">
        <v>66</v>
      </c>
      <c r="C784" t="s">
        <v>164</v>
      </c>
      <c r="E784" t="s">
        <v>730</v>
      </c>
      <c r="F784" t="s">
        <v>1239</v>
      </c>
      <c r="G784" t="s">
        <v>1482</v>
      </c>
      <c r="H784" t="s">
        <v>1953</v>
      </c>
      <c r="I784">
        <v>11233</v>
      </c>
      <c r="J784" t="s">
        <v>2002</v>
      </c>
      <c r="K784" t="s">
        <v>2003</v>
      </c>
      <c r="N784" t="s">
        <v>2417</v>
      </c>
      <c r="O784" t="s">
        <v>2436</v>
      </c>
      <c r="Q784" t="s">
        <v>2002</v>
      </c>
      <c r="R784" t="s">
        <v>2451</v>
      </c>
      <c r="S784" t="s">
        <v>243</v>
      </c>
      <c r="T784">
        <v>1089.12</v>
      </c>
      <c r="W784" t="s">
        <v>3006</v>
      </c>
      <c r="Z784">
        <v>359</v>
      </c>
      <c r="AA784" t="s">
        <v>3783</v>
      </c>
      <c r="AC784">
        <v>20</v>
      </c>
      <c r="AD784">
        <v>2</v>
      </c>
      <c r="AE784">
        <v>0</v>
      </c>
      <c r="AF784">
        <v>408.04</v>
      </c>
      <c r="AI784" t="s">
        <v>3809</v>
      </c>
      <c r="AJ784">
        <v>69000</v>
      </c>
      <c r="AK784" t="s">
        <v>4056</v>
      </c>
      <c r="AP784">
        <v>0</v>
      </c>
      <c r="AR784" t="s">
        <v>4185</v>
      </c>
      <c r="AS784" t="s">
        <v>4210</v>
      </c>
      <c r="AT784" t="s">
        <v>4219</v>
      </c>
    </row>
    <row r="785" spans="1:46">
      <c r="A785" s="1">
        <f>HYPERLINK("https://lsnyc.legalserver.org/matter/dynamic-profile/view/1892865","19-1892865")</f>
        <v>0</v>
      </c>
      <c r="B785" t="s">
        <v>66</v>
      </c>
      <c r="C785" t="s">
        <v>83</v>
      </c>
      <c r="E785" t="s">
        <v>388</v>
      </c>
      <c r="F785" t="s">
        <v>1240</v>
      </c>
      <c r="G785" t="s">
        <v>1634</v>
      </c>
      <c r="H785" t="s">
        <v>1849</v>
      </c>
      <c r="I785">
        <v>11233</v>
      </c>
      <c r="J785" t="s">
        <v>2002</v>
      </c>
      <c r="K785" t="s">
        <v>2003</v>
      </c>
      <c r="N785" t="s">
        <v>2417</v>
      </c>
      <c r="O785" t="s">
        <v>2436</v>
      </c>
      <c r="Q785" t="s">
        <v>2002</v>
      </c>
      <c r="R785" t="s">
        <v>2451</v>
      </c>
      <c r="S785" t="s">
        <v>243</v>
      </c>
      <c r="T785">
        <v>621.34</v>
      </c>
      <c r="U785" t="s">
        <v>2495</v>
      </c>
      <c r="W785" t="s">
        <v>3007</v>
      </c>
      <c r="Z785">
        <v>359</v>
      </c>
      <c r="AA785" t="s">
        <v>3783</v>
      </c>
      <c r="AC785">
        <v>18</v>
      </c>
      <c r="AD785">
        <v>1</v>
      </c>
      <c r="AE785">
        <v>0</v>
      </c>
      <c r="AF785">
        <v>408.33</v>
      </c>
      <c r="AI785" t="s">
        <v>3809</v>
      </c>
      <c r="AJ785">
        <v>51000</v>
      </c>
      <c r="AK785" t="s">
        <v>4057</v>
      </c>
      <c r="AP785">
        <v>0</v>
      </c>
      <c r="AR785" t="s">
        <v>49</v>
      </c>
      <c r="AS785" t="s">
        <v>4210</v>
      </c>
      <c r="AT785" t="s">
        <v>4219</v>
      </c>
    </row>
    <row r="786" spans="1:46">
      <c r="A786" s="1">
        <f>HYPERLINK("https://lsnyc.legalserver.org/matter/dynamic-profile/view/1892517","19-1892517")</f>
        <v>0</v>
      </c>
      <c r="B786" t="s">
        <v>66</v>
      </c>
      <c r="C786" t="s">
        <v>274</v>
      </c>
      <c r="E786" t="s">
        <v>742</v>
      </c>
      <c r="F786" t="s">
        <v>938</v>
      </c>
      <c r="G786" t="s">
        <v>1632</v>
      </c>
      <c r="H786" t="s">
        <v>1857</v>
      </c>
      <c r="I786">
        <v>11233</v>
      </c>
      <c r="J786" t="s">
        <v>2002</v>
      </c>
      <c r="K786" t="s">
        <v>2003</v>
      </c>
      <c r="L786" t="s">
        <v>2006</v>
      </c>
      <c r="M786" t="s">
        <v>2006</v>
      </c>
      <c r="N786" t="s">
        <v>2417</v>
      </c>
      <c r="O786" t="s">
        <v>2436</v>
      </c>
      <c r="Q786" t="s">
        <v>2002</v>
      </c>
      <c r="R786" t="s">
        <v>2451</v>
      </c>
      <c r="S786" t="s">
        <v>243</v>
      </c>
      <c r="T786">
        <v>0</v>
      </c>
      <c r="U786" t="s">
        <v>2495</v>
      </c>
      <c r="W786" t="s">
        <v>2561</v>
      </c>
      <c r="X786" t="s">
        <v>2006</v>
      </c>
      <c r="Z786">
        <v>359</v>
      </c>
      <c r="AA786" t="s">
        <v>3783</v>
      </c>
      <c r="AB786" t="s">
        <v>2006</v>
      </c>
      <c r="AC786">
        <v>43</v>
      </c>
      <c r="AD786">
        <v>2</v>
      </c>
      <c r="AE786">
        <v>0</v>
      </c>
      <c r="AF786">
        <v>413.96</v>
      </c>
      <c r="AI786" t="s">
        <v>3809</v>
      </c>
      <c r="AJ786">
        <v>70000</v>
      </c>
      <c r="AK786" t="s">
        <v>4058</v>
      </c>
      <c r="AP786">
        <v>0</v>
      </c>
      <c r="AR786" t="s">
        <v>49</v>
      </c>
      <c r="AS786" t="s">
        <v>4210</v>
      </c>
      <c r="AT786" t="s">
        <v>4219</v>
      </c>
    </row>
    <row r="787" spans="1:46">
      <c r="A787" s="1">
        <f>HYPERLINK("https://lsnyc.legalserver.org/matter/dynamic-profile/view/1891589","19-1891589")</f>
        <v>0</v>
      </c>
      <c r="B787" t="s">
        <v>66</v>
      </c>
      <c r="C787" t="s">
        <v>271</v>
      </c>
      <c r="E787" t="s">
        <v>731</v>
      </c>
      <c r="F787" t="s">
        <v>1241</v>
      </c>
      <c r="G787" t="s">
        <v>1632</v>
      </c>
      <c r="H787" t="s">
        <v>1817</v>
      </c>
      <c r="I787">
        <v>11233</v>
      </c>
      <c r="J787" t="s">
        <v>2002</v>
      </c>
      <c r="K787" t="s">
        <v>2003</v>
      </c>
      <c r="M787" t="s">
        <v>2006</v>
      </c>
      <c r="N787" t="s">
        <v>2417</v>
      </c>
      <c r="O787" t="s">
        <v>2436</v>
      </c>
      <c r="Q787" t="s">
        <v>2002</v>
      </c>
      <c r="R787" t="s">
        <v>2451</v>
      </c>
      <c r="S787" t="s">
        <v>243</v>
      </c>
      <c r="T787">
        <v>1485</v>
      </c>
      <c r="W787" t="s">
        <v>3008</v>
      </c>
      <c r="Z787">
        <v>359</v>
      </c>
      <c r="AA787" t="s">
        <v>3783</v>
      </c>
      <c r="AC787">
        <v>2</v>
      </c>
      <c r="AD787">
        <v>1</v>
      </c>
      <c r="AE787">
        <v>0</v>
      </c>
      <c r="AF787">
        <v>416.33</v>
      </c>
      <c r="AI787" t="s">
        <v>3809</v>
      </c>
      <c r="AJ787">
        <v>52000</v>
      </c>
      <c r="AK787" t="s">
        <v>4059</v>
      </c>
      <c r="AP787">
        <v>0</v>
      </c>
      <c r="AR787" t="s">
        <v>4185</v>
      </c>
      <c r="AS787" t="s">
        <v>4210</v>
      </c>
      <c r="AT787" t="s">
        <v>4219</v>
      </c>
    </row>
    <row r="788" spans="1:46">
      <c r="A788" s="1">
        <f>HYPERLINK("https://lsnyc.legalserver.org/matter/dynamic-profile/view/1891485","19-1891485")</f>
        <v>0</v>
      </c>
      <c r="B788" t="s">
        <v>66</v>
      </c>
      <c r="C788" t="s">
        <v>164</v>
      </c>
      <c r="E788" t="s">
        <v>732</v>
      </c>
      <c r="F788" t="s">
        <v>1051</v>
      </c>
      <c r="G788" t="s">
        <v>1632</v>
      </c>
      <c r="H788" t="s">
        <v>1739</v>
      </c>
      <c r="I788">
        <v>11233</v>
      </c>
      <c r="J788" t="s">
        <v>2002</v>
      </c>
      <c r="K788" t="s">
        <v>2003</v>
      </c>
      <c r="N788" t="s">
        <v>2417</v>
      </c>
      <c r="O788" t="s">
        <v>2436</v>
      </c>
      <c r="Q788" t="s">
        <v>2002</v>
      </c>
      <c r="R788" t="s">
        <v>2451</v>
      </c>
      <c r="S788" t="s">
        <v>243</v>
      </c>
      <c r="T788">
        <v>1016</v>
      </c>
      <c r="U788" t="s">
        <v>2512</v>
      </c>
      <c r="W788" t="s">
        <v>3010</v>
      </c>
      <c r="Z788">
        <v>359</v>
      </c>
      <c r="AA788" t="s">
        <v>3783</v>
      </c>
      <c r="AB788" t="s">
        <v>2006</v>
      </c>
      <c r="AC788">
        <v>30</v>
      </c>
      <c r="AD788">
        <v>2</v>
      </c>
      <c r="AE788">
        <v>0</v>
      </c>
      <c r="AF788">
        <v>435.02</v>
      </c>
      <c r="AI788" t="s">
        <v>3809</v>
      </c>
      <c r="AJ788">
        <v>73562</v>
      </c>
      <c r="AK788" t="s">
        <v>4060</v>
      </c>
      <c r="AP788">
        <v>0</v>
      </c>
      <c r="AR788" t="s">
        <v>49</v>
      </c>
      <c r="AS788" t="s">
        <v>4210</v>
      </c>
      <c r="AT788" t="s">
        <v>4219</v>
      </c>
    </row>
    <row r="789" spans="1:46">
      <c r="A789" s="1">
        <f>HYPERLINK("https://lsnyc.legalserver.org/matter/dynamic-profile/view/1891597","19-1891597")</f>
        <v>0</v>
      </c>
      <c r="B789" t="s">
        <v>66</v>
      </c>
      <c r="C789" t="s">
        <v>271</v>
      </c>
      <c r="E789" t="s">
        <v>733</v>
      </c>
      <c r="F789" t="s">
        <v>1243</v>
      </c>
      <c r="G789" t="s">
        <v>1632</v>
      </c>
      <c r="H789" t="s">
        <v>1790</v>
      </c>
      <c r="I789">
        <v>11233</v>
      </c>
      <c r="J789" t="s">
        <v>2002</v>
      </c>
      <c r="K789" t="s">
        <v>2003</v>
      </c>
      <c r="N789" t="s">
        <v>2417</v>
      </c>
      <c r="O789" t="s">
        <v>2436</v>
      </c>
      <c r="Q789" t="s">
        <v>2002</v>
      </c>
      <c r="R789" t="s">
        <v>2451</v>
      </c>
      <c r="S789" t="s">
        <v>243</v>
      </c>
      <c r="T789">
        <v>1520</v>
      </c>
      <c r="U789" t="s">
        <v>2512</v>
      </c>
      <c r="W789" t="s">
        <v>3011</v>
      </c>
      <c r="Z789">
        <v>359</v>
      </c>
      <c r="AA789" t="s">
        <v>3783</v>
      </c>
      <c r="AB789" t="s">
        <v>2006</v>
      </c>
      <c r="AC789">
        <v>2</v>
      </c>
      <c r="AD789">
        <v>2</v>
      </c>
      <c r="AE789">
        <v>0</v>
      </c>
      <c r="AF789">
        <v>437.61</v>
      </c>
      <c r="AI789" t="s">
        <v>3809</v>
      </c>
      <c r="AJ789">
        <v>74000</v>
      </c>
      <c r="AK789" t="s">
        <v>4061</v>
      </c>
      <c r="AP789">
        <v>0</v>
      </c>
      <c r="AR789" t="s">
        <v>49</v>
      </c>
      <c r="AS789" t="s">
        <v>4210</v>
      </c>
      <c r="AT789" t="s">
        <v>4219</v>
      </c>
    </row>
    <row r="790" spans="1:46">
      <c r="A790" s="1">
        <f>HYPERLINK("https://lsnyc.legalserver.org/matter/dynamic-profile/view/1891590","19-1891590")</f>
        <v>0</v>
      </c>
      <c r="B790" t="s">
        <v>66</v>
      </c>
      <c r="C790" t="s">
        <v>271</v>
      </c>
      <c r="E790" t="s">
        <v>734</v>
      </c>
      <c r="F790" t="s">
        <v>1244</v>
      </c>
      <c r="G790" t="s">
        <v>1632</v>
      </c>
      <c r="H790" t="s">
        <v>1955</v>
      </c>
      <c r="I790">
        <v>11233</v>
      </c>
      <c r="J790" t="s">
        <v>2002</v>
      </c>
      <c r="K790" t="s">
        <v>2003</v>
      </c>
      <c r="N790" t="s">
        <v>2417</v>
      </c>
      <c r="O790" t="s">
        <v>2436</v>
      </c>
      <c r="Q790" t="s">
        <v>2002</v>
      </c>
      <c r="R790" t="s">
        <v>2451</v>
      </c>
      <c r="S790" t="s">
        <v>243</v>
      </c>
      <c r="T790">
        <v>1094.88</v>
      </c>
      <c r="U790" t="s">
        <v>2495</v>
      </c>
      <c r="W790" t="s">
        <v>3012</v>
      </c>
      <c r="Z790">
        <v>359</v>
      </c>
      <c r="AA790" t="s">
        <v>3783</v>
      </c>
      <c r="AB790" t="s">
        <v>2006</v>
      </c>
      <c r="AC790">
        <v>40</v>
      </c>
      <c r="AD790">
        <v>1</v>
      </c>
      <c r="AE790">
        <v>0</v>
      </c>
      <c r="AF790">
        <v>440.35</v>
      </c>
      <c r="AI790" t="s">
        <v>3809</v>
      </c>
      <c r="AJ790">
        <v>55000</v>
      </c>
      <c r="AK790" t="s">
        <v>4062</v>
      </c>
      <c r="AP790">
        <v>0</v>
      </c>
      <c r="AR790" t="s">
        <v>49</v>
      </c>
      <c r="AS790" t="s">
        <v>4210</v>
      </c>
      <c r="AT790" t="s">
        <v>4219</v>
      </c>
    </row>
    <row r="791" spans="1:46">
      <c r="A791" s="1">
        <f>HYPERLINK("https://lsnyc.legalserver.org/matter/dynamic-profile/view/1891610","19-1891610")</f>
        <v>0</v>
      </c>
      <c r="B791" t="s">
        <v>66</v>
      </c>
      <c r="C791" t="s">
        <v>271</v>
      </c>
      <c r="E791" t="s">
        <v>735</v>
      </c>
      <c r="F791" t="s">
        <v>1245</v>
      </c>
      <c r="G791" t="s">
        <v>1632</v>
      </c>
      <c r="H791" t="s">
        <v>1956</v>
      </c>
      <c r="I791">
        <v>11233</v>
      </c>
      <c r="J791" t="s">
        <v>2002</v>
      </c>
      <c r="K791" t="s">
        <v>2003</v>
      </c>
      <c r="N791" t="s">
        <v>2417</v>
      </c>
      <c r="O791" t="s">
        <v>2436</v>
      </c>
      <c r="Q791" t="s">
        <v>2002</v>
      </c>
      <c r="R791" t="s">
        <v>2451</v>
      </c>
      <c r="S791" t="s">
        <v>243</v>
      </c>
      <c r="T791">
        <v>1077</v>
      </c>
      <c r="U791" t="s">
        <v>2512</v>
      </c>
      <c r="W791" t="s">
        <v>3013</v>
      </c>
      <c r="Z791">
        <v>359</v>
      </c>
      <c r="AA791" t="s">
        <v>3783</v>
      </c>
      <c r="AB791" t="s">
        <v>2006</v>
      </c>
      <c r="AC791">
        <v>12</v>
      </c>
      <c r="AD791">
        <v>2</v>
      </c>
      <c r="AE791">
        <v>2</v>
      </c>
      <c r="AF791">
        <v>446.6</v>
      </c>
      <c r="AI791" t="s">
        <v>3809</v>
      </c>
      <c r="AJ791">
        <v>115000</v>
      </c>
      <c r="AK791" t="s">
        <v>4063</v>
      </c>
      <c r="AP791">
        <v>0</v>
      </c>
      <c r="AR791" t="s">
        <v>49</v>
      </c>
      <c r="AS791" t="s">
        <v>4210</v>
      </c>
      <c r="AT791" t="s">
        <v>4219</v>
      </c>
    </row>
    <row r="792" spans="1:46">
      <c r="A792" s="1">
        <f>HYPERLINK("https://lsnyc.legalserver.org/matter/dynamic-profile/view/1893262","19-1893262")</f>
        <v>0</v>
      </c>
      <c r="B792" t="s">
        <v>66</v>
      </c>
      <c r="C792" t="s">
        <v>276</v>
      </c>
      <c r="E792" t="s">
        <v>736</v>
      </c>
      <c r="F792" t="s">
        <v>1190</v>
      </c>
      <c r="G792" t="s">
        <v>1632</v>
      </c>
      <c r="H792" t="s">
        <v>1737</v>
      </c>
      <c r="I792">
        <v>11233</v>
      </c>
      <c r="J792" t="s">
        <v>2002</v>
      </c>
      <c r="K792" t="s">
        <v>2003</v>
      </c>
      <c r="M792" t="s">
        <v>2006</v>
      </c>
      <c r="N792" t="s">
        <v>2417</v>
      </c>
      <c r="O792" t="s">
        <v>2436</v>
      </c>
      <c r="Q792" t="s">
        <v>2002</v>
      </c>
      <c r="R792" t="s">
        <v>2451</v>
      </c>
      <c r="S792" t="s">
        <v>243</v>
      </c>
      <c r="T792">
        <v>1515</v>
      </c>
      <c r="U792" t="s">
        <v>2495</v>
      </c>
      <c r="W792" t="s">
        <v>3014</v>
      </c>
      <c r="Z792">
        <v>359</v>
      </c>
      <c r="AA792" t="s">
        <v>3783</v>
      </c>
      <c r="AB792" t="s">
        <v>2006</v>
      </c>
      <c r="AC792">
        <v>2</v>
      </c>
      <c r="AD792">
        <v>1</v>
      </c>
      <c r="AE792">
        <v>0</v>
      </c>
      <c r="AF792">
        <v>454.64</v>
      </c>
      <c r="AI792" t="s">
        <v>3809</v>
      </c>
      <c r="AJ792">
        <v>56784</v>
      </c>
      <c r="AK792" t="s">
        <v>4064</v>
      </c>
      <c r="AP792">
        <v>0</v>
      </c>
      <c r="AR792" t="s">
        <v>4185</v>
      </c>
      <c r="AS792" t="s">
        <v>4210</v>
      </c>
      <c r="AT792" t="s">
        <v>4219</v>
      </c>
    </row>
    <row r="793" spans="1:46">
      <c r="A793" s="1">
        <f>HYPERLINK("https://lsnyc.legalserver.org/matter/dynamic-profile/view/1891914","19-1891914")</f>
        <v>0</v>
      </c>
      <c r="B793" t="s">
        <v>66</v>
      </c>
      <c r="C793" t="s">
        <v>224</v>
      </c>
      <c r="E793" t="s">
        <v>743</v>
      </c>
      <c r="F793" t="s">
        <v>1254</v>
      </c>
      <c r="G793" t="s">
        <v>1482</v>
      </c>
      <c r="H793" t="s">
        <v>1965</v>
      </c>
      <c r="I793">
        <v>11233</v>
      </c>
      <c r="J793" t="s">
        <v>2002</v>
      </c>
      <c r="K793" t="s">
        <v>2003</v>
      </c>
      <c r="M793" t="s">
        <v>2291</v>
      </c>
      <c r="N793" t="s">
        <v>2424</v>
      </c>
      <c r="O793" t="s">
        <v>2441</v>
      </c>
      <c r="Q793" t="s">
        <v>2002</v>
      </c>
      <c r="R793" t="s">
        <v>2451</v>
      </c>
      <c r="S793" t="s">
        <v>243</v>
      </c>
      <c r="T793">
        <v>1292.74</v>
      </c>
      <c r="U793" t="s">
        <v>2495</v>
      </c>
      <c r="W793" t="s">
        <v>3022</v>
      </c>
      <c r="Z793">
        <v>359</v>
      </c>
      <c r="AA793" t="s">
        <v>3783</v>
      </c>
      <c r="AB793" t="s">
        <v>2006</v>
      </c>
      <c r="AC793">
        <v>27</v>
      </c>
      <c r="AD793">
        <v>2</v>
      </c>
      <c r="AE793">
        <v>0</v>
      </c>
      <c r="AF793">
        <v>473.09</v>
      </c>
      <c r="AI793" t="s">
        <v>3809</v>
      </c>
      <c r="AJ793">
        <v>80000</v>
      </c>
      <c r="AK793" t="s">
        <v>3941</v>
      </c>
      <c r="AP793">
        <v>0</v>
      </c>
      <c r="AR793" t="s">
        <v>49</v>
      </c>
      <c r="AS793" t="s">
        <v>4210</v>
      </c>
      <c r="AT793" t="s">
        <v>4219</v>
      </c>
    </row>
    <row r="794" spans="1:46">
      <c r="A794" s="1">
        <f>HYPERLINK("https://lsnyc.legalserver.org/matter/dynamic-profile/view/1891920","19-1891920")</f>
        <v>0</v>
      </c>
      <c r="B794" t="s">
        <v>66</v>
      </c>
      <c r="C794" t="s">
        <v>224</v>
      </c>
      <c r="E794" t="s">
        <v>743</v>
      </c>
      <c r="F794" t="s">
        <v>1254</v>
      </c>
      <c r="G794" t="s">
        <v>1482</v>
      </c>
      <c r="H794" t="s">
        <v>1965</v>
      </c>
      <c r="I794">
        <v>11233</v>
      </c>
      <c r="J794" t="s">
        <v>2002</v>
      </c>
      <c r="K794" t="s">
        <v>2003</v>
      </c>
      <c r="N794" t="s">
        <v>2417</v>
      </c>
      <c r="O794" t="s">
        <v>2436</v>
      </c>
      <c r="Q794" t="s">
        <v>2002</v>
      </c>
      <c r="R794" t="s">
        <v>2451</v>
      </c>
      <c r="S794" t="s">
        <v>243</v>
      </c>
      <c r="T794">
        <v>1292.74</v>
      </c>
      <c r="U794" t="s">
        <v>2495</v>
      </c>
      <c r="W794" t="s">
        <v>3022</v>
      </c>
      <c r="Z794">
        <v>359</v>
      </c>
      <c r="AA794" t="s">
        <v>3783</v>
      </c>
      <c r="AB794" t="s">
        <v>2006</v>
      </c>
      <c r="AC794">
        <v>27</v>
      </c>
      <c r="AD794">
        <v>2</v>
      </c>
      <c r="AE794">
        <v>0</v>
      </c>
      <c r="AF794">
        <v>473.09</v>
      </c>
      <c r="AI794" t="s">
        <v>3809</v>
      </c>
      <c r="AJ794">
        <v>80000</v>
      </c>
      <c r="AK794" t="s">
        <v>4065</v>
      </c>
      <c r="AP794">
        <v>0</v>
      </c>
      <c r="AR794" t="s">
        <v>49</v>
      </c>
      <c r="AS794" t="s">
        <v>4210</v>
      </c>
      <c r="AT794" t="s">
        <v>4219</v>
      </c>
    </row>
    <row r="795" spans="1:46">
      <c r="A795" s="1">
        <f>HYPERLINK("https://lsnyc.legalserver.org/matter/dynamic-profile/view/1898399","19-1898399")</f>
        <v>0</v>
      </c>
      <c r="B795" t="s">
        <v>66</v>
      </c>
      <c r="C795" t="s">
        <v>252</v>
      </c>
      <c r="E795" t="s">
        <v>737</v>
      </c>
      <c r="F795" t="s">
        <v>889</v>
      </c>
      <c r="G795" t="s">
        <v>1482</v>
      </c>
      <c r="H795" t="s">
        <v>1957</v>
      </c>
      <c r="I795">
        <v>11233</v>
      </c>
      <c r="J795" t="s">
        <v>2002</v>
      </c>
      <c r="K795" t="s">
        <v>2003</v>
      </c>
      <c r="N795" t="s">
        <v>2417</v>
      </c>
      <c r="O795" t="s">
        <v>2436</v>
      </c>
      <c r="Q795" t="s">
        <v>2002</v>
      </c>
      <c r="R795" t="s">
        <v>2451</v>
      </c>
      <c r="S795" t="s">
        <v>243</v>
      </c>
      <c r="T795">
        <v>1170.14</v>
      </c>
      <c r="U795" t="s">
        <v>2495</v>
      </c>
      <c r="W795" t="s">
        <v>3015</v>
      </c>
      <c r="Z795">
        <v>359</v>
      </c>
      <c r="AA795" t="s">
        <v>3783</v>
      </c>
      <c r="AC795">
        <v>19</v>
      </c>
      <c r="AD795">
        <v>2</v>
      </c>
      <c r="AE795">
        <v>0</v>
      </c>
      <c r="AF795">
        <v>502.66</v>
      </c>
      <c r="AI795" t="s">
        <v>3809</v>
      </c>
      <c r="AJ795">
        <v>85000</v>
      </c>
      <c r="AK795" t="s">
        <v>4066</v>
      </c>
      <c r="AP795">
        <v>0</v>
      </c>
      <c r="AR795" t="s">
        <v>49</v>
      </c>
      <c r="AS795" t="s">
        <v>4210</v>
      </c>
      <c r="AT795" t="s">
        <v>4219</v>
      </c>
    </row>
    <row r="796" spans="1:46">
      <c r="A796" s="1">
        <f>HYPERLINK("https://lsnyc.legalserver.org/matter/dynamic-profile/view/1891861","19-1891861")</f>
        <v>0</v>
      </c>
      <c r="B796" t="s">
        <v>66</v>
      </c>
      <c r="C796" t="s">
        <v>277</v>
      </c>
      <c r="E796" t="s">
        <v>738</v>
      </c>
      <c r="F796" t="s">
        <v>1246</v>
      </c>
      <c r="G796" t="s">
        <v>1482</v>
      </c>
      <c r="H796" t="s">
        <v>1958</v>
      </c>
      <c r="I796">
        <v>11233</v>
      </c>
      <c r="J796" t="s">
        <v>2002</v>
      </c>
      <c r="K796" t="s">
        <v>2003</v>
      </c>
      <c r="M796" t="s">
        <v>2006</v>
      </c>
      <c r="N796" t="s">
        <v>2417</v>
      </c>
      <c r="O796" t="s">
        <v>2436</v>
      </c>
      <c r="Q796" t="s">
        <v>2002</v>
      </c>
      <c r="R796" t="s">
        <v>2451</v>
      </c>
      <c r="S796" t="s">
        <v>243</v>
      </c>
      <c r="T796">
        <v>680</v>
      </c>
      <c r="W796" t="s">
        <v>3016</v>
      </c>
      <c r="Z796">
        <v>359</v>
      </c>
      <c r="AA796" t="s">
        <v>3783</v>
      </c>
      <c r="AB796" t="s">
        <v>2006</v>
      </c>
      <c r="AC796">
        <v>3</v>
      </c>
      <c r="AD796">
        <v>1</v>
      </c>
      <c r="AE796">
        <v>0</v>
      </c>
      <c r="AF796">
        <v>504.4</v>
      </c>
      <c r="AI796" t="s">
        <v>3809</v>
      </c>
      <c r="AJ796">
        <v>63000</v>
      </c>
      <c r="AK796" t="s">
        <v>4067</v>
      </c>
      <c r="AP796">
        <v>0</v>
      </c>
      <c r="AR796" t="s">
        <v>4185</v>
      </c>
      <c r="AS796" t="s">
        <v>4210</v>
      </c>
      <c r="AT796" t="s">
        <v>4219</v>
      </c>
    </row>
    <row r="797" spans="1:46">
      <c r="A797" s="1">
        <f>HYPERLINK("https://lsnyc.legalserver.org/matter/dynamic-profile/view/1898836","19-1898836")</f>
        <v>0</v>
      </c>
      <c r="B797" t="s">
        <v>66</v>
      </c>
      <c r="C797" t="s">
        <v>140</v>
      </c>
      <c r="E797" t="s">
        <v>484</v>
      </c>
      <c r="F797" t="s">
        <v>1247</v>
      </c>
      <c r="G797" t="s">
        <v>1634</v>
      </c>
      <c r="H797" t="s">
        <v>1959</v>
      </c>
      <c r="I797">
        <v>11233</v>
      </c>
      <c r="J797" t="s">
        <v>2002</v>
      </c>
      <c r="K797" t="s">
        <v>2003</v>
      </c>
      <c r="N797" t="s">
        <v>2417</v>
      </c>
      <c r="O797" t="s">
        <v>2436</v>
      </c>
      <c r="Q797" t="s">
        <v>2002</v>
      </c>
      <c r="R797" t="s">
        <v>2451</v>
      </c>
      <c r="S797" t="s">
        <v>243</v>
      </c>
      <c r="T797">
        <v>950</v>
      </c>
      <c r="U797" t="s">
        <v>2495</v>
      </c>
      <c r="W797" t="s">
        <v>3017</v>
      </c>
      <c r="Z797">
        <v>359</v>
      </c>
      <c r="AA797" t="s">
        <v>3783</v>
      </c>
      <c r="AC797">
        <v>9</v>
      </c>
      <c r="AD797">
        <v>1</v>
      </c>
      <c r="AE797">
        <v>0</v>
      </c>
      <c r="AF797">
        <v>511.84</v>
      </c>
      <c r="AI797" t="s">
        <v>3809</v>
      </c>
      <c r="AJ797">
        <v>63929</v>
      </c>
      <c r="AK797" t="s">
        <v>4068</v>
      </c>
      <c r="AP797">
        <v>0</v>
      </c>
      <c r="AR797" t="s">
        <v>49</v>
      </c>
      <c r="AS797" t="s">
        <v>4210</v>
      </c>
      <c r="AT797" t="s">
        <v>4219</v>
      </c>
    </row>
    <row r="798" spans="1:46">
      <c r="A798" s="1">
        <f>HYPERLINK("https://lsnyc.legalserver.org/matter/dynamic-profile/view/1891988","19-1891988")</f>
        <v>0</v>
      </c>
      <c r="B798" t="s">
        <v>66</v>
      </c>
      <c r="C798" t="s">
        <v>224</v>
      </c>
      <c r="E798" t="s">
        <v>739</v>
      </c>
      <c r="F798" t="s">
        <v>1248</v>
      </c>
      <c r="G798" t="s">
        <v>1632</v>
      </c>
      <c r="H798" t="s">
        <v>1960</v>
      </c>
      <c r="I798">
        <v>11233</v>
      </c>
      <c r="J798" t="s">
        <v>2002</v>
      </c>
      <c r="K798" t="s">
        <v>2003</v>
      </c>
      <c r="N798" t="s">
        <v>2417</v>
      </c>
      <c r="O798" t="s">
        <v>2436</v>
      </c>
      <c r="Q798" t="s">
        <v>2002</v>
      </c>
      <c r="R798" t="s">
        <v>2451</v>
      </c>
      <c r="S798" t="s">
        <v>243</v>
      </c>
      <c r="T798">
        <v>989.35</v>
      </c>
      <c r="U798" t="s">
        <v>2495</v>
      </c>
      <c r="W798" t="s">
        <v>3018</v>
      </c>
      <c r="Z798">
        <v>359</v>
      </c>
      <c r="AA798" t="s">
        <v>3783</v>
      </c>
      <c r="AB798" t="s">
        <v>2006</v>
      </c>
      <c r="AC798">
        <v>16</v>
      </c>
      <c r="AD798">
        <v>2</v>
      </c>
      <c r="AE798">
        <v>0</v>
      </c>
      <c r="AF798">
        <v>567.71</v>
      </c>
      <c r="AI798" t="s">
        <v>3809</v>
      </c>
      <c r="AJ798">
        <v>96000</v>
      </c>
      <c r="AK798" t="s">
        <v>4069</v>
      </c>
      <c r="AP798">
        <v>0</v>
      </c>
      <c r="AR798" t="s">
        <v>49</v>
      </c>
      <c r="AS798" t="s">
        <v>4210</v>
      </c>
      <c r="AT798" t="s">
        <v>4219</v>
      </c>
    </row>
    <row r="799" spans="1:46">
      <c r="A799" s="1">
        <f>HYPERLINK("https://lsnyc.legalserver.org/matter/dynamic-profile/view/1891452","19-1891452")</f>
        <v>0</v>
      </c>
      <c r="B799" t="s">
        <v>66</v>
      </c>
      <c r="C799" t="s">
        <v>164</v>
      </c>
      <c r="E799" t="s">
        <v>656</v>
      </c>
      <c r="F799" t="s">
        <v>1169</v>
      </c>
      <c r="G799" t="s">
        <v>1632</v>
      </c>
      <c r="H799" t="s">
        <v>1803</v>
      </c>
      <c r="I799">
        <v>11233</v>
      </c>
      <c r="J799" t="s">
        <v>2002</v>
      </c>
      <c r="K799" t="s">
        <v>2002</v>
      </c>
      <c r="N799" t="s">
        <v>2417</v>
      </c>
      <c r="O799" t="s">
        <v>2436</v>
      </c>
      <c r="Q799" t="s">
        <v>2002</v>
      </c>
      <c r="R799" t="s">
        <v>2451</v>
      </c>
      <c r="S799" t="s">
        <v>243</v>
      </c>
      <c r="T799">
        <v>1133</v>
      </c>
      <c r="U799" t="s">
        <v>2494</v>
      </c>
      <c r="W799" t="s">
        <v>2917</v>
      </c>
      <c r="Y799" t="s">
        <v>3655</v>
      </c>
      <c r="Z799">
        <v>764</v>
      </c>
      <c r="AA799" t="s">
        <v>3783</v>
      </c>
      <c r="AB799" t="s">
        <v>2006</v>
      </c>
      <c r="AC799">
        <v>36</v>
      </c>
      <c r="AD799">
        <v>2</v>
      </c>
      <c r="AE799">
        <v>0</v>
      </c>
      <c r="AF799">
        <v>674.16</v>
      </c>
      <c r="AI799" t="s">
        <v>3809</v>
      </c>
      <c r="AJ799">
        <v>114000</v>
      </c>
      <c r="AK799" t="s">
        <v>4070</v>
      </c>
      <c r="AP799">
        <v>0</v>
      </c>
      <c r="AR799" t="s">
        <v>49</v>
      </c>
      <c r="AS799" t="s">
        <v>4210</v>
      </c>
      <c r="AT799" t="s">
        <v>4219</v>
      </c>
    </row>
    <row r="800" spans="1:46">
      <c r="A800" s="1">
        <f>HYPERLINK("https://lsnyc.legalserver.org/matter/dynamic-profile/view/1898269","19-1898269")</f>
        <v>0</v>
      </c>
      <c r="B800" t="s">
        <v>66</v>
      </c>
      <c r="C800" t="s">
        <v>182</v>
      </c>
      <c r="E800" t="s">
        <v>740</v>
      </c>
      <c r="F800" t="s">
        <v>1250</v>
      </c>
      <c r="G800" t="s">
        <v>1482</v>
      </c>
      <c r="H800" t="s">
        <v>1962</v>
      </c>
      <c r="I800">
        <v>11233</v>
      </c>
      <c r="J800" t="s">
        <v>2002</v>
      </c>
      <c r="K800" t="s">
        <v>2003</v>
      </c>
      <c r="N800" t="s">
        <v>2417</v>
      </c>
      <c r="O800" t="s">
        <v>2436</v>
      </c>
      <c r="Q800" t="s">
        <v>2002</v>
      </c>
      <c r="R800" t="s">
        <v>2451</v>
      </c>
      <c r="S800" t="s">
        <v>243</v>
      </c>
      <c r="T800">
        <v>0</v>
      </c>
      <c r="U800" t="s">
        <v>2495</v>
      </c>
      <c r="W800" t="s">
        <v>3019</v>
      </c>
      <c r="Z800">
        <v>359</v>
      </c>
      <c r="AA800" t="s">
        <v>3783</v>
      </c>
      <c r="AC800">
        <v>14</v>
      </c>
      <c r="AD800">
        <v>1</v>
      </c>
      <c r="AE800">
        <v>0</v>
      </c>
      <c r="AF800">
        <v>720.58</v>
      </c>
      <c r="AI800" t="s">
        <v>3809</v>
      </c>
      <c r="AJ800">
        <v>90000</v>
      </c>
      <c r="AK800" t="s">
        <v>4071</v>
      </c>
      <c r="AP800">
        <v>0</v>
      </c>
      <c r="AR800" t="s">
        <v>49</v>
      </c>
      <c r="AS800" t="s">
        <v>4210</v>
      </c>
      <c r="AT800" t="s">
        <v>4219</v>
      </c>
    </row>
    <row r="801" spans="1:46">
      <c r="A801" s="1">
        <f>HYPERLINK("https://lsnyc.legalserver.org/matter/dynamic-profile/view/1891458","19-1891458")</f>
        <v>0</v>
      </c>
      <c r="B801" t="s">
        <v>66</v>
      </c>
      <c r="C801" t="s">
        <v>164</v>
      </c>
      <c r="E801" t="s">
        <v>662</v>
      </c>
      <c r="F801" t="s">
        <v>1166</v>
      </c>
      <c r="G801" t="s">
        <v>1632</v>
      </c>
      <c r="H801" t="s">
        <v>1871</v>
      </c>
      <c r="I801">
        <v>11233</v>
      </c>
      <c r="J801" t="s">
        <v>2002</v>
      </c>
      <c r="K801" t="s">
        <v>2002</v>
      </c>
      <c r="N801" t="s">
        <v>2417</v>
      </c>
      <c r="O801" t="s">
        <v>2436</v>
      </c>
      <c r="Q801" t="s">
        <v>2002</v>
      </c>
      <c r="R801" t="s">
        <v>2451</v>
      </c>
      <c r="S801" t="s">
        <v>243</v>
      </c>
      <c r="T801">
        <v>0</v>
      </c>
      <c r="U801" t="s">
        <v>2494</v>
      </c>
      <c r="W801" t="s">
        <v>2912</v>
      </c>
      <c r="Z801">
        <v>764</v>
      </c>
      <c r="AA801" t="s">
        <v>3783</v>
      </c>
      <c r="AB801" t="s">
        <v>2006</v>
      </c>
      <c r="AC801">
        <v>0</v>
      </c>
      <c r="AD801">
        <v>3</v>
      </c>
      <c r="AE801">
        <v>0</v>
      </c>
      <c r="AF801">
        <v>909.52</v>
      </c>
      <c r="AI801" t="s">
        <v>3809</v>
      </c>
      <c r="AJ801">
        <v>194000</v>
      </c>
      <c r="AK801" t="s">
        <v>4072</v>
      </c>
      <c r="AP801">
        <v>0</v>
      </c>
      <c r="AR801" t="s">
        <v>49</v>
      </c>
      <c r="AS801" t="s">
        <v>4210</v>
      </c>
      <c r="AT801" t="s">
        <v>4219</v>
      </c>
    </row>
    <row r="802" spans="1:46">
      <c r="A802" s="1">
        <f>HYPERLINK("https://lsnyc.legalserver.org/matter/dynamic-profile/view/1898263","19-1898263")</f>
        <v>0</v>
      </c>
      <c r="B802" t="s">
        <v>66</v>
      </c>
      <c r="C802" t="s">
        <v>182</v>
      </c>
      <c r="E802" t="s">
        <v>714</v>
      </c>
      <c r="F802" t="s">
        <v>1227</v>
      </c>
      <c r="G802" t="s">
        <v>1482</v>
      </c>
      <c r="H802" t="s">
        <v>1856</v>
      </c>
      <c r="I802">
        <v>11233</v>
      </c>
      <c r="J802" t="s">
        <v>2002</v>
      </c>
      <c r="K802" t="s">
        <v>2003</v>
      </c>
      <c r="N802" t="s">
        <v>2417</v>
      </c>
      <c r="O802" t="s">
        <v>2436</v>
      </c>
      <c r="Q802" t="s">
        <v>2002</v>
      </c>
      <c r="R802" t="s">
        <v>2451</v>
      </c>
      <c r="S802" t="s">
        <v>243</v>
      </c>
      <c r="T802">
        <v>1872.98</v>
      </c>
      <c r="W802" t="s">
        <v>2561</v>
      </c>
      <c r="Z802">
        <v>359</v>
      </c>
      <c r="AA802" t="s">
        <v>3783</v>
      </c>
      <c r="AC802">
        <v>2</v>
      </c>
      <c r="AD802">
        <v>1</v>
      </c>
      <c r="AE802">
        <v>0</v>
      </c>
      <c r="AF802">
        <v>3747</v>
      </c>
      <c r="AI802" t="s">
        <v>3809</v>
      </c>
      <c r="AJ802">
        <v>468000</v>
      </c>
      <c r="AK802" t="s">
        <v>4073</v>
      </c>
      <c r="AP802">
        <v>0</v>
      </c>
      <c r="AR802" t="s">
        <v>49</v>
      </c>
      <c r="AS802" t="s">
        <v>4210</v>
      </c>
      <c r="AT802" t="s">
        <v>4219</v>
      </c>
    </row>
    <row r="803" spans="1:46">
      <c r="A803" s="1">
        <f>HYPERLINK("https://lsnyc.legalserver.org/matter/dynamic-profile/view/1892098","19-1892098")</f>
        <v>0</v>
      </c>
      <c r="B803" t="s">
        <v>66</v>
      </c>
      <c r="C803" t="s">
        <v>242</v>
      </c>
      <c r="E803" t="s">
        <v>722</v>
      </c>
      <c r="F803" t="s">
        <v>938</v>
      </c>
      <c r="G803" t="s">
        <v>1482</v>
      </c>
      <c r="H803" t="s">
        <v>1946</v>
      </c>
      <c r="I803">
        <v>11233</v>
      </c>
      <c r="J803" t="s">
        <v>2002</v>
      </c>
      <c r="K803" t="s">
        <v>2003</v>
      </c>
      <c r="N803" t="s">
        <v>2417</v>
      </c>
      <c r="O803" t="s">
        <v>2436</v>
      </c>
      <c r="Q803" t="s">
        <v>2002</v>
      </c>
      <c r="R803" t="s">
        <v>2451</v>
      </c>
      <c r="S803" t="s">
        <v>243</v>
      </c>
      <c r="T803">
        <v>1037</v>
      </c>
      <c r="U803" t="s">
        <v>2495</v>
      </c>
      <c r="W803" t="s">
        <v>2998</v>
      </c>
      <c r="Z803">
        <v>359</v>
      </c>
      <c r="AA803" t="s">
        <v>3783</v>
      </c>
      <c r="AC803">
        <v>49</v>
      </c>
      <c r="AD803">
        <v>3</v>
      </c>
      <c r="AE803">
        <v>0</v>
      </c>
      <c r="AF803">
        <v>4388.19</v>
      </c>
      <c r="AI803" t="s">
        <v>3809</v>
      </c>
      <c r="AJ803">
        <v>936000</v>
      </c>
      <c r="AK803" t="s">
        <v>4074</v>
      </c>
      <c r="AP803">
        <v>0</v>
      </c>
      <c r="AR803" t="s">
        <v>49</v>
      </c>
      <c r="AS803" t="s">
        <v>4210</v>
      </c>
      <c r="AT803" t="s">
        <v>4219</v>
      </c>
    </row>
    <row r="804" spans="1:46">
      <c r="A804" s="1">
        <f>HYPERLINK("https://lsnyc.legalserver.org/matter/dynamic-profile/view/1892616","19-1892616")</f>
        <v>0</v>
      </c>
      <c r="B804" t="s">
        <v>66</v>
      </c>
      <c r="C804" t="s">
        <v>274</v>
      </c>
      <c r="D804" t="s">
        <v>254</v>
      </c>
      <c r="E804" t="s">
        <v>744</v>
      </c>
      <c r="F804" t="s">
        <v>1113</v>
      </c>
      <c r="G804" t="s">
        <v>1636</v>
      </c>
      <c r="H804" t="s">
        <v>1808</v>
      </c>
      <c r="I804">
        <v>11212</v>
      </c>
      <c r="J804" t="s">
        <v>2002</v>
      </c>
      <c r="K804" t="s">
        <v>2002</v>
      </c>
      <c r="M804" t="s">
        <v>2294</v>
      </c>
      <c r="N804" t="s">
        <v>2415</v>
      </c>
      <c r="O804" t="s">
        <v>2436</v>
      </c>
      <c r="P804" t="s">
        <v>2443</v>
      </c>
      <c r="Q804" t="s">
        <v>2003</v>
      </c>
      <c r="R804" t="s">
        <v>2451</v>
      </c>
      <c r="S804" t="s">
        <v>103</v>
      </c>
      <c r="T804">
        <v>1350</v>
      </c>
      <c r="U804" t="s">
        <v>2497</v>
      </c>
      <c r="V804" t="s">
        <v>2516</v>
      </c>
      <c r="W804" t="s">
        <v>3023</v>
      </c>
      <c r="Y804" t="s">
        <v>3660</v>
      </c>
      <c r="Z804">
        <v>78</v>
      </c>
      <c r="AA804" t="s">
        <v>3783</v>
      </c>
      <c r="AC804">
        <v>7</v>
      </c>
      <c r="AD804">
        <v>2</v>
      </c>
      <c r="AE804">
        <v>4</v>
      </c>
      <c r="AF804">
        <v>117.95</v>
      </c>
      <c r="AI804" t="s">
        <v>3809</v>
      </c>
      <c r="AJ804">
        <v>40800</v>
      </c>
      <c r="AP804">
        <v>0.1</v>
      </c>
      <c r="AQ804" t="s">
        <v>254</v>
      </c>
      <c r="AR804" t="s">
        <v>4185</v>
      </c>
      <c r="AS804" t="s">
        <v>4210</v>
      </c>
      <c r="AT804" t="s">
        <v>4219</v>
      </c>
    </row>
    <row r="805" spans="1:46">
      <c r="A805" s="1">
        <f>HYPERLINK("https://lsnyc.legalserver.org/matter/dynamic-profile/view/1895348","19-1895348")</f>
        <v>0</v>
      </c>
      <c r="B805" t="s">
        <v>66</v>
      </c>
      <c r="C805" t="s">
        <v>76</v>
      </c>
      <c r="E805" t="s">
        <v>517</v>
      </c>
      <c r="F805" t="s">
        <v>1029</v>
      </c>
      <c r="G805" t="s">
        <v>1354</v>
      </c>
      <c r="H805" t="s">
        <v>1754</v>
      </c>
      <c r="I805">
        <v>11221</v>
      </c>
      <c r="J805" t="s">
        <v>2003</v>
      </c>
      <c r="K805" t="s">
        <v>2003</v>
      </c>
      <c r="L805" t="s">
        <v>2006</v>
      </c>
      <c r="N805" t="s">
        <v>2416</v>
      </c>
      <c r="O805" t="s">
        <v>2438</v>
      </c>
      <c r="Q805" t="s">
        <v>2002</v>
      </c>
      <c r="S805" t="s">
        <v>76</v>
      </c>
      <c r="T805">
        <v>336.58</v>
      </c>
      <c r="U805" t="s">
        <v>2496</v>
      </c>
      <c r="W805" t="s">
        <v>2730</v>
      </c>
      <c r="X805" t="s">
        <v>3209</v>
      </c>
      <c r="Y805" t="s">
        <v>3483</v>
      </c>
      <c r="Z805">
        <v>12</v>
      </c>
      <c r="AA805" t="s">
        <v>3783</v>
      </c>
      <c r="AB805" t="s">
        <v>2006</v>
      </c>
      <c r="AC805">
        <v>8</v>
      </c>
      <c r="AD805">
        <v>1</v>
      </c>
      <c r="AE805">
        <v>1</v>
      </c>
      <c r="AF805">
        <v>82.79000000000001</v>
      </c>
      <c r="AI805" t="s">
        <v>3809</v>
      </c>
      <c r="AJ805">
        <v>14000</v>
      </c>
      <c r="AP805">
        <v>0.3</v>
      </c>
      <c r="AQ805" t="s">
        <v>3805</v>
      </c>
      <c r="AR805" t="s">
        <v>4185</v>
      </c>
      <c r="AS805" t="s">
        <v>4211</v>
      </c>
      <c r="AT805" t="s">
        <v>4219</v>
      </c>
    </row>
    <row r="806" spans="1:46">
      <c r="A806" s="1">
        <f>HYPERLINK("https://lsnyc.legalserver.org/matter/dynamic-profile/view/1895344","19-1895344")</f>
        <v>0</v>
      </c>
      <c r="B806" t="s">
        <v>66</v>
      </c>
      <c r="C806" t="s">
        <v>76</v>
      </c>
      <c r="E806" t="s">
        <v>508</v>
      </c>
      <c r="F806" t="s">
        <v>1022</v>
      </c>
      <c r="G806" t="s">
        <v>1354</v>
      </c>
      <c r="H806" t="s">
        <v>1741</v>
      </c>
      <c r="I806">
        <v>11221</v>
      </c>
      <c r="J806" t="s">
        <v>2003</v>
      </c>
      <c r="K806" t="s">
        <v>2003</v>
      </c>
      <c r="L806" t="s">
        <v>2006</v>
      </c>
      <c r="N806" t="s">
        <v>2416</v>
      </c>
      <c r="O806" t="s">
        <v>2438</v>
      </c>
      <c r="Q806" t="s">
        <v>2002</v>
      </c>
      <c r="S806" t="s">
        <v>76</v>
      </c>
      <c r="T806">
        <v>632.48</v>
      </c>
      <c r="U806" t="s">
        <v>2496</v>
      </c>
      <c r="W806" t="s">
        <v>2720</v>
      </c>
      <c r="X806" t="s">
        <v>2006</v>
      </c>
      <c r="Y806" t="s">
        <v>3473</v>
      </c>
      <c r="Z806">
        <v>12</v>
      </c>
      <c r="AA806" t="s">
        <v>3783</v>
      </c>
      <c r="AB806" t="s">
        <v>2006</v>
      </c>
      <c r="AC806">
        <v>18</v>
      </c>
      <c r="AD806">
        <v>3</v>
      </c>
      <c r="AE806">
        <v>0</v>
      </c>
      <c r="AF806">
        <v>398.5</v>
      </c>
      <c r="AI806" t="s">
        <v>3809</v>
      </c>
      <c r="AJ806">
        <v>85000</v>
      </c>
      <c r="AP806">
        <v>0.2</v>
      </c>
      <c r="AQ806" t="s">
        <v>318</v>
      </c>
      <c r="AR806" t="s">
        <v>4185</v>
      </c>
      <c r="AS806" t="s">
        <v>4211</v>
      </c>
      <c r="AT806" t="s">
        <v>4219</v>
      </c>
    </row>
    <row r="807" spans="1:46">
      <c r="A807" s="1">
        <f>HYPERLINK("https://lsnyc.legalserver.org/matter/dynamic-profile/view/1903267","19-1903267")</f>
        <v>0</v>
      </c>
      <c r="B807" t="s">
        <v>66</v>
      </c>
      <c r="C807" t="s">
        <v>108</v>
      </c>
      <c r="E807" t="s">
        <v>657</v>
      </c>
      <c r="F807" t="s">
        <v>1161</v>
      </c>
      <c r="G807" t="s">
        <v>1630</v>
      </c>
      <c r="H807" t="s">
        <v>1869</v>
      </c>
      <c r="I807">
        <v>11239</v>
      </c>
      <c r="J807" t="s">
        <v>2002</v>
      </c>
      <c r="K807" t="s">
        <v>2004</v>
      </c>
      <c r="L807" t="s">
        <v>2005</v>
      </c>
      <c r="M807" t="s">
        <v>2295</v>
      </c>
      <c r="N807" t="s">
        <v>2415</v>
      </c>
      <c r="O807" t="s">
        <v>2437</v>
      </c>
      <c r="Q807" t="s">
        <v>2003</v>
      </c>
      <c r="R807" t="s">
        <v>2451</v>
      </c>
      <c r="S807" t="s">
        <v>183</v>
      </c>
      <c r="T807">
        <v>986</v>
      </c>
      <c r="U807" t="s">
        <v>2497</v>
      </c>
      <c r="W807" t="s">
        <v>2907</v>
      </c>
      <c r="Y807" t="s">
        <v>3647</v>
      </c>
      <c r="Z807">
        <v>0</v>
      </c>
      <c r="AA807" t="s">
        <v>3787</v>
      </c>
      <c r="AC807">
        <v>5</v>
      </c>
      <c r="AD807">
        <v>1</v>
      </c>
      <c r="AE807">
        <v>2</v>
      </c>
      <c r="AF807">
        <v>180.5</v>
      </c>
      <c r="AI807" t="s">
        <v>3809</v>
      </c>
      <c r="AJ807">
        <v>38500</v>
      </c>
      <c r="AP807">
        <v>3</v>
      </c>
      <c r="AQ807" t="s">
        <v>321</v>
      </c>
      <c r="AR807" t="s">
        <v>66</v>
      </c>
      <c r="AS807" t="s">
        <v>4210</v>
      </c>
      <c r="AT807" t="s">
        <v>4219</v>
      </c>
    </row>
    <row r="808" spans="1:46">
      <c r="A808" s="1">
        <f>HYPERLINK("https://lsnyc.legalserver.org/matter/dynamic-profile/view/1899572","19-1899572")</f>
        <v>0</v>
      </c>
      <c r="B808" t="s">
        <v>66</v>
      </c>
      <c r="C808" t="s">
        <v>148</v>
      </c>
      <c r="D808" t="s">
        <v>254</v>
      </c>
      <c r="E808" t="s">
        <v>745</v>
      </c>
      <c r="F808" t="s">
        <v>1255</v>
      </c>
      <c r="G808" t="s">
        <v>1637</v>
      </c>
      <c r="H808" t="s">
        <v>1837</v>
      </c>
      <c r="I808">
        <v>11207</v>
      </c>
      <c r="J808" t="s">
        <v>2002</v>
      </c>
      <c r="K808" t="s">
        <v>2004</v>
      </c>
      <c r="L808" t="s">
        <v>2005</v>
      </c>
      <c r="M808" t="s">
        <v>2296</v>
      </c>
      <c r="N808" t="s">
        <v>2413</v>
      </c>
      <c r="O808" t="s">
        <v>2436</v>
      </c>
      <c r="P808" t="s">
        <v>2443</v>
      </c>
      <c r="Q808" t="s">
        <v>2003</v>
      </c>
      <c r="S808" t="s">
        <v>226</v>
      </c>
      <c r="T808">
        <v>750</v>
      </c>
      <c r="U808" t="s">
        <v>2495</v>
      </c>
      <c r="V808" t="s">
        <v>2514</v>
      </c>
      <c r="W808" t="s">
        <v>3024</v>
      </c>
      <c r="Y808" t="s">
        <v>3661</v>
      </c>
      <c r="Z808">
        <v>3</v>
      </c>
      <c r="AA808" t="s">
        <v>3784</v>
      </c>
      <c r="AB808" t="s">
        <v>2006</v>
      </c>
      <c r="AC808">
        <v>3</v>
      </c>
      <c r="AD808">
        <v>2</v>
      </c>
      <c r="AE808">
        <v>2</v>
      </c>
      <c r="AF808">
        <v>97.34999999999999</v>
      </c>
      <c r="AI808" t="s">
        <v>3809</v>
      </c>
      <c r="AJ808">
        <v>25068</v>
      </c>
      <c r="AP808">
        <v>3</v>
      </c>
      <c r="AQ808" t="s">
        <v>226</v>
      </c>
      <c r="AR808" t="s">
        <v>49</v>
      </c>
      <c r="AS808" t="s">
        <v>4210</v>
      </c>
      <c r="AT808" t="s">
        <v>4219</v>
      </c>
    </row>
    <row r="809" spans="1:46">
      <c r="A809" s="1">
        <f>HYPERLINK("https://lsnyc.legalserver.org/matter/dynamic-profile/view/1898906","19-1898906")</f>
        <v>0</v>
      </c>
      <c r="B809" t="s">
        <v>66</v>
      </c>
      <c r="C809" t="s">
        <v>140</v>
      </c>
      <c r="D809" t="s">
        <v>254</v>
      </c>
      <c r="E809" t="s">
        <v>709</v>
      </c>
      <c r="F809" t="s">
        <v>955</v>
      </c>
      <c r="G809" t="s">
        <v>1638</v>
      </c>
      <c r="H809" t="s">
        <v>1966</v>
      </c>
      <c r="I809">
        <v>11233</v>
      </c>
      <c r="J809" t="s">
        <v>2002</v>
      </c>
      <c r="K809" t="s">
        <v>2002</v>
      </c>
      <c r="L809" t="s">
        <v>2005</v>
      </c>
      <c r="M809" t="s">
        <v>2297</v>
      </c>
      <c r="N809" t="s">
        <v>2413</v>
      </c>
      <c r="O809" t="s">
        <v>2436</v>
      </c>
      <c r="P809" t="s">
        <v>2443</v>
      </c>
      <c r="S809" t="s">
        <v>226</v>
      </c>
      <c r="T809">
        <v>0</v>
      </c>
      <c r="U809" t="s">
        <v>2500</v>
      </c>
      <c r="V809" t="s">
        <v>2514</v>
      </c>
      <c r="W809" t="s">
        <v>3025</v>
      </c>
      <c r="Y809" t="s">
        <v>3662</v>
      </c>
      <c r="Z809">
        <v>0</v>
      </c>
      <c r="AC809">
        <v>0</v>
      </c>
      <c r="AD809">
        <v>3</v>
      </c>
      <c r="AE809">
        <v>2</v>
      </c>
      <c r="AF809">
        <v>132.05</v>
      </c>
      <c r="AI809" t="s">
        <v>3809</v>
      </c>
      <c r="AJ809">
        <v>39840</v>
      </c>
      <c r="AP809">
        <v>2.3</v>
      </c>
      <c r="AQ809" t="s">
        <v>226</v>
      </c>
      <c r="AR809" t="s">
        <v>4189</v>
      </c>
      <c r="AS809" t="s">
        <v>4210</v>
      </c>
      <c r="AT809" t="s">
        <v>4219</v>
      </c>
    </row>
    <row r="810" spans="1:46">
      <c r="A810" s="1">
        <f>HYPERLINK("https://lsnyc.legalserver.org/matter/dynamic-profile/view/1895314","19-1895314")</f>
        <v>0</v>
      </c>
      <c r="B810" t="s">
        <v>67</v>
      </c>
      <c r="C810" t="s">
        <v>76</v>
      </c>
      <c r="E810" t="s">
        <v>513</v>
      </c>
      <c r="F810" t="s">
        <v>1025</v>
      </c>
      <c r="G810" t="s">
        <v>1486</v>
      </c>
      <c r="H810" t="s">
        <v>1739</v>
      </c>
      <c r="I810">
        <v>11213</v>
      </c>
      <c r="J810" t="s">
        <v>2002</v>
      </c>
      <c r="K810" t="s">
        <v>2002</v>
      </c>
      <c r="L810" t="s">
        <v>2005</v>
      </c>
      <c r="M810" t="s">
        <v>2298</v>
      </c>
      <c r="N810" t="s">
        <v>2416</v>
      </c>
      <c r="O810" t="s">
        <v>2438</v>
      </c>
      <c r="Q810" t="s">
        <v>2002</v>
      </c>
      <c r="R810" t="s">
        <v>2451</v>
      </c>
      <c r="S810" t="s">
        <v>76</v>
      </c>
      <c r="T810">
        <v>412</v>
      </c>
      <c r="U810" t="s">
        <v>2509</v>
      </c>
      <c r="W810" t="s">
        <v>2725</v>
      </c>
      <c r="Y810" t="s">
        <v>3478</v>
      </c>
      <c r="Z810">
        <v>19</v>
      </c>
      <c r="AA810" t="s">
        <v>3783</v>
      </c>
      <c r="AB810" t="s">
        <v>2006</v>
      </c>
      <c r="AC810">
        <v>12</v>
      </c>
      <c r="AD810">
        <v>2</v>
      </c>
      <c r="AE810">
        <v>1</v>
      </c>
      <c r="AF810">
        <v>0</v>
      </c>
      <c r="AI810" t="s">
        <v>3809</v>
      </c>
      <c r="AJ810">
        <v>0</v>
      </c>
      <c r="AK810" t="s">
        <v>4075</v>
      </c>
      <c r="AP810">
        <v>6.5</v>
      </c>
      <c r="AQ810" t="s">
        <v>108</v>
      </c>
      <c r="AR810" t="s">
        <v>49</v>
      </c>
      <c r="AS810" t="s">
        <v>4211</v>
      </c>
      <c r="AT810" t="s">
        <v>4219</v>
      </c>
    </row>
    <row r="811" spans="1:46">
      <c r="A811" s="1">
        <f>HYPERLINK("https://lsnyc.legalserver.org/matter/dynamic-profile/view/1895311","19-1895311")</f>
        <v>0</v>
      </c>
      <c r="B811" t="s">
        <v>67</v>
      </c>
      <c r="C811" t="s">
        <v>76</v>
      </c>
      <c r="D811" t="s">
        <v>330</v>
      </c>
      <c r="E811" t="s">
        <v>515</v>
      </c>
      <c r="F811" t="s">
        <v>944</v>
      </c>
      <c r="G811" t="s">
        <v>1486</v>
      </c>
      <c r="H811" t="s">
        <v>1754</v>
      </c>
      <c r="I811">
        <v>11213</v>
      </c>
      <c r="J811" t="s">
        <v>2002</v>
      </c>
      <c r="K811" t="s">
        <v>2002</v>
      </c>
      <c r="L811" t="s">
        <v>2005</v>
      </c>
      <c r="M811" t="s">
        <v>2298</v>
      </c>
      <c r="N811" t="s">
        <v>2416</v>
      </c>
      <c r="O811" t="s">
        <v>2438</v>
      </c>
      <c r="P811" t="s">
        <v>2444</v>
      </c>
      <c r="Q811" t="s">
        <v>2002</v>
      </c>
      <c r="R811" t="s">
        <v>2451</v>
      </c>
      <c r="S811" t="s">
        <v>76</v>
      </c>
      <c r="T811">
        <v>643.51</v>
      </c>
      <c r="U811" t="s">
        <v>2497</v>
      </c>
      <c r="V811" t="s">
        <v>2526</v>
      </c>
      <c r="W811" t="s">
        <v>2727</v>
      </c>
      <c r="X811" t="s">
        <v>2006</v>
      </c>
      <c r="Y811" t="s">
        <v>3480</v>
      </c>
      <c r="Z811">
        <v>19</v>
      </c>
      <c r="AA811" t="s">
        <v>3783</v>
      </c>
      <c r="AB811" t="s">
        <v>2006</v>
      </c>
      <c r="AC811">
        <v>7</v>
      </c>
      <c r="AD811">
        <v>2</v>
      </c>
      <c r="AE811">
        <v>2</v>
      </c>
      <c r="AF811">
        <v>3.96</v>
      </c>
      <c r="AI811" t="s">
        <v>3809</v>
      </c>
      <c r="AJ811">
        <v>1020</v>
      </c>
      <c r="AP811">
        <v>0.2</v>
      </c>
      <c r="AQ811" t="s">
        <v>170</v>
      </c>
      <c r="AR811" t="s">
        <v>49</v>
      </c>
      <c r="AS811" t="s">
        <v>4211</v>
      </c>
      <c r="AT811" t="s">
        <v>4219</v>
      </c>
    </row>
    <row r="812" spans="1:46">
      <c r="A812" s="1">
        <f>HYPERLINK("https://lsnyc.legalserver.org/matter/dynamic-profile/view/1894832","19-1894832")</f>
        <v>0</v>
      </c>
      <c r="B812" t="s">
        <v>67</v>
      </c>
      <c r="C812" t="s">
        <v>245</v>
      </c>
      <c r="E812" t="s">
        <v>746</v>
      </c>
      <c r="F812" t="s">
        <v>1256</v>
      </c>
      <c r="G812" t="s">
        <v>1535</v>
      </c>
      <c r="H812" t="s">
        <v>1752</v>
      </c>
      <c r="I812">
        <v>11233</v>
      </c>
      <c r="J812" t="s">
        <v>2002</v>
      </c>
      <c r="K812" t="s">
        <v>2003</v>
      </c>
      <c r="M812" t="s">
        <v>2299</v>
      </c>
      <c r="N812" t="s">
        <v>2415</v>
      </c>
      <c r="O812" t="s">
        <v>2437</v>
      </c>
      <c r="Q812" t="s">
        <v>2003</v>
      </c>
      <c r="R812" t="s">
        <v>2451</v>
      </c>
      <c r="S812" t="s">
        <v>259</v>
      </c>
      <c r="T812">
        <v>2350</v>
      </c>
      <c r="U812" t="s">
        <v>2497</v>
      </c>
      <c r="W812" t="s">
        <v>3026</v>
      </c>
      <c r="Y812" t="s">
        <v>3663</v>
      </c>
      <c r="Z812">
        <v>7</v>
      </c>
      <c r="AA812" t="s">
        <v>3783</v>
      </c>
      <c r="AB812" t="s">
        <v>2006</v>
      </c>
      <c r="AC812">
        <v>3</v>
      </c>
      <c r="AD812">
        <v>2</v>
      </c>
      <c r="AE812">
        <v>0</v>
      </c>
      <c r="AF812">
        <v>85.16</v>
      </c>
      <c r="AI812" t="s">
        <v>3809</v>
      </c>
      <c r="AJ812">
        <v>14400</v>
      </c>
      <c r="AP812">
        <v>53.65</v>
      </c>
      <c r="AQ812" t="s">
        <v>330</v>
      </c>
      <c r="AR812" t="s">
        <v>4185</v>
      </c>
      <c r="AS812" t="s">
        <v>4210</v>
      </c>
      <c r="AT812" t="s">
        <v>4219</v>
      </c>
    </row>
    <row r="813" spans="1:46">
      <c r="A813" s="1">
        <f>HYPERLINK("https://lsnyc.legalserver.org/matter/dynamic-profile/view/1901303","19-1901303")</f>
        <v>0</v>
      </c>
      <c r="B813" t="s">
        <v>67</v>
      </c>
      <c r="C813" t="s">
        <v>260</v>
      </c>
      <c r="D813" t="s">
        <v>260</v>
      </c>
      <c r="E813" t="s">
        <v>747</v>
      </c>
      <c r="F813" t="s">
        <v>1257</v>
      </c>
      <c r="G813" t="s">
        <v>1542</v>
      </c>
      <c r="H813" t="s">
        <v>1765</v>
      </c>
      <c r="I813">
        <v>11212</v>
      </c>
      <c r="J813" t="s">
        <v>2002</v>
      </c>
      <c r="K813" t="s">
        <v>2004</v>
      </c>
      <c r="L813" t="s">
        <v>2005</v>
      </c>
      <c r="N813" t="s">
        <v>2417</v>
      </c>
      <c r="O813" t="s">
        <v>2436</v>
      </c>
      <c r="P813" t="s">
        <v>2443</v>
      </c>
      <c r="Q813" t="s">
        <v>2002</v>
      </c>
      <c r="S813" t="s">
        <v>169</v>
      </c>
      <c r="T813">
        <v>1500</v>
      </c>
      <c r="U813" t="s">
        <v>2497</v>
      </c>
      <c r="V813" t="s">
        <v>2523</v>
      </c>
      <c r="W813" t="s">
        <v>3027</v>
      </c>
      <c r="Y813" t="s">
        <v>3664</v>
      </c>
      <c r="Z813">
        <v>6</v>
      </c>
      <c r="AA813" t="s">
        <v>3783</v>
      </c>
      <c r="AC813">
        <v>2</v>
      </c>
      <c r="AD813">
        <v>2</v>
      </c>
      <c r="AE813">
        <v>0</v>
      </c>
      <c r="AF813">
        <v>49.67</v>
      </c>
      <c r="AI813" t="s">
        <v>3809</v>
      </c>
      <c r="AJ813">
        <v>8400</v>
      </c>
      <c r="AP813">
        <v>0.5</v>
      </c>
      <c r="AQ813" t="s">
        <v>260</v>
      </c>
      <c r="AR813" t="s">
        <v>4185</v>
      </c>
      <c r="AS813" t="s">
        <v>4210</v>
      </c>
      <c r="AT813" t="s">
        <v>4219</v>
      </c>
    </row>
    <row r="814" spans="1:46">
      <c r="A814" s="1">
        <f>HYPERLINK("https://lsnyc.legalserver.org/matter/dynamic-profile/view/1901324","19-1901324")</f>
        <v>0</v>
      </c>
      <c r="B814" t="s">
        <v>67</v>
      </c>
      <c r="C814" t="s">
        <v>260</v>
      </c>
      <c r="D814" t="s">
        <v>260</v>
      </c>
      <c r="E814" t="s">
        <v>748</v>
      </c>
      <c r="F814" t="s">
        <v>1258</v>
      </c>
      <c r="G814" t="s">
        <v>1542</v>
      </c>
      <c r="H814" t="s">
        <v>1748</v>
      </c>
      <c r="I814">
        <v>11212</v>
      </c>
      <c r="J814" t="s">
        <v>2002</v>
      </c>
      <c r="K814" t="s">
        <v>2004</v>
      </c>
      <c r="L814" t="s">
        <v>2005</v>
      </c>
      <c r="N814" t="s">
        <v>2027</v>
      </c>
      <c r="O814" t="s">
        <v>2436</v>
      </c>
      <c r="P814" t="s">
        <v>2443</v>
      </c>
      <c r="Q814" t="s">
        <v>2002</v>
      </c>
      <c r="S814" t="s">
        <v>169</v>
      </c>
      <c r="T814">
        <v>1326</v>
      </c>
      <c r="U814" t="s">
        <v>2497</v>
      </c>
      <c r="V814" t="s">
        <v>2523</v>
      </c>
      <c r="W814" t="s">
        <v>3028</v>
      </c>
      <c r="Y814" t="s">
        <v>3665</v>
      </c>
      <c r="Z814">
        <v>4</v>
      </c>
      <c r="AA814" t="s">
        <v>3784</v>
      </c>
      <c r="AB814" t="s">
        <v>2006</v>
      </c>
      <c r="AC814">
        <v>6</v>
      </c>
      <c r="AD814">
        <v>2</v>
      </c>
      <c r="AE814">
        <v>0</v>
      </c>
      <c r="AF814">
        <v>127.74</v>
      </c>
      <c r="AI814" t="s">
        <v>3809</v>
      </c>
      <c r="AJ814">
        <v>21600</v>
      </c>
      <c r="AP814">
        <v>0.5</v>
      </c>
      <c r="AQ814" t="s">
        <v>260</v>
      </c>
      <c r="AR814" t="s">
        <v>4185</v>
      </c>
      <c r="AS814" t="s">
        <v>4210</v>
      </c>
      <c r="AT814" t="s">
        <v>4219</v>
      </c>
    </row>
    <row r="815" spans="1:46">
      <c r="A815" s="1">
        <f>HYPERLINK("https://lsnyc.legalserver.org/matter/dynamic-profile/view/1899590","19-1899590")</f>
        <v>0</v>
      </c>
      <c r="B815" t="s">
        <v>67</v>
      </c>
      <c r="C815" t="s">
        <v>148</v>
      </c>
      <c r="E815" t="s">
        <v>749</v>
      </c>
      <c r="F815" t="s">
        <v>940</v>
      </c>
      <c r="G815" t="s">
        <v>1639</v>
      </c>
      <c r="H815" t="s">
        <v>1734</v>
      </c>
      <c r="I815">
        <v>11206</v>
      </c>
      <c r="J815" t="s">
        <v>2002</v>
      </c>
      <c r="K815" t="s">
        <v>2004</v>
      </c>
      <c r="L815" t="s">
        <v>2005</v>
      </c>
      <c r="M815" t="s">
        <v>2300</v>
      </c>
      <c r="N815" t="s">
        <v>2415</v>
      </c>
      <c r="O815" t="s">
        <v>2437</v>
      </c>
      <c r="Q815" t="s">
        <v>2003</v>
      </c>
      <c r="R815" t="s">
        <v>2451</v>
      </c>
      <c r="S815" t="s">
        <v>252</v>
      </c>
      <c r="T815">
        <v>1155.44</v>
      </c>
      <c r="U815" t="s">
        <v>2497</v>
      </c>
      <c r="W815" t="s">
        <v>3029</v>
      </c>
      <c r="X815" t="s">
        <v>2006</v>
      </c>
      <c r="Y815" t="s">
        <v>3666</v>
      </c>
      <c r="Z815">
        <v>25</v>
      </c>
      <c r="AA815" t="s">
        <v>3783</v>
      </c>
      <c r="AB815" t="s">
        <v>2006</v>
      </c>
      <c r="AC815">
        <v>10</v>
      </c>
      <c r="AD815">
        <v>3</v>
      </c>
      <c r="AE815">
        <v>5</v>
      </c>
      <c r="AF815">
        <v>87.5</v>
      </c>
      <c r="AI815" t="s">
        <v>3809</v>
      </c>
      <c r="AJ815">
        <v>38000</v>
      </c>
      <c r="AP815">
        <v>11.5</v>
      </c>
      <c r="AQ815" t="s">
        <v>310</v>
      </c>
      <c r="AR815" t="s">
        <v>4185</v>
      </c>
      <c r="AS815" t="s">
        <v>4210</v>
      </c>
      <c r="AT815" t="s">
        <v>4219</v>
      </c>
    </row>
    <row r="816" spans="1:46">
      <c r="A816" s="1">
        <f>HYPERLINK("https://lsnyc.legalserver.org/matter/dynamic-profile/view/1900978","19-1900978")</f>
        <v>0</v>
      </c>
      <c r="B816" t="s">
        <v>67</v>
      </c>
      <c r="C816" t="s">
        <v>278</v>
      </c>
      <c r="E816" t="s">
        <v>750</v>
      </c>
      <c r="F816" t="s">
        <v>1259</v>
      </c>
      <c r="G816" t="s">
        <v>1486</v>
      </c>
      <c r="H816" t="s">
        <v>1784</v>
      </c>
      <c r="I816">
        <v>11213</v>
      </c>
      <c r="J816" t="s">
        <v>2002</v>
      </c>
      <c r="K816" t="s">
        <v>2004</v>
      </c>
      <c r="L816" t="s">
        <v>2005</v>
      </c>
      <c r="M816" t="s">
        <v>2298</v>
      </c>
      <c r="N816" t="s">
        <v>2416</v>
      </c>
      <c r="O816" t="s">
        <v>2438</v>
      </c>
      <c r="Q816" t="s">
        <v>2002</v>
      </c>
      <c r="R816" t="s">
        <v>2451</v>
      </c>
      <c r="S816" t="s">
        <v>170</v>
      </c>
      <c r="T816">
        <v>380.62</v>
      </c>
      <c r="U816" t="s">
        <v>2494</v>
      </c>
      <c r="W816" t="s">
        <v>3030</v>
      </c>
      <c r="Y816" t="s">
        <v>3667</v>
      </c>
      <c r="Z816">
        <v>19</v>
      </c>
      <c r="AA816" t="s">
        <v>3783</v>
      </c>
      <c r="AB816" t="s">
        <v>2006</v>
      </c>
      <c r="AC816">
        <v>8</v>
      </c>
      <c r="AD816">
        <v>1</v>
      </c>
      <c r="AE816">
        <v>0</v>
      </c>
      <c r="AF816">
        <v>86.47</v>
      </c>
      <c r="AI816" t="s">
        <v>3809</v>
      </c>
      <c r="AJ816">
        <v>10800</v>
      </c>
      <c r="AK816" t="s">
        <v>4076</v>
      </c>
      <c r="AP816">
        <v>12.5</v>
      </c>
      <c r="AQ816" t="s">
        <v>4168</v>
      </c>
      <c r="AR816" t="s">
        <v>4185</v>
      </c>
      <c r="AS816" t="s">
        <v>4211</v>
      </c>
      <c r="AT816" t="s">
        <v>4219</v>
      </c>
    </row>
    <row r="817" spans="1:46">
      <c r="A817" s="1">
        <f>HYPERLINK("https://lsnyc.legalserver.org/matter/dynamic-profile/view/1900984","19-1900984")</f>
        <v>0</v>
      </c>
      <c r="B817" t="s">
        <v>67</v>
      </c>
      <c r="C817" t="s">
        <v>278</v>
      </c>
      <c r="E817" t="s">
        <v>751</v>
      </c>
      <c r="F817" t="s">
        <v>1260</v>
      </c>
      <c r="G817" t="s">
        <v>1486</v>
      </c>
      <c r="H817" t="s">
        <v>1737</v>
      </c>
      <c r="I817">
        <v>11213</v>
      </c>
      <c r="J817" t="s">
        <v>2002</v>
      </c>
      <c r="K817" t="s">
        <v>2004</v>
      </c>
      <c r="L817" t="s">
        <v>2005</v>
      </c>
      <c r="M817" t="s">
        <v>2298</v>
      </c>
      <c r="N817" t="s">
        <v>2416</v>
      </c>
      <c r="O817" t="s">
        <v>2438</v>
      </c>
      <c r="Q817" t="s">
        <v>2002</v>
      </c>
      <c r="R817" t="s">
        <v>2451</v>
      </c>
      <c r="S817" t="s">
        <v>170</v>
      </c>
      <c r="T817">
        <v>1110.38</v>
      </c>
      <c r="U817" t="s">
        <v>2494</v>
      </c>
      <c r="W817" t="s">
        <v>3031</v>
      </c>
      <c r="X817" t="s">
        <v>2006</v>
      </c>
      <c r="Z817">
        <v>19</v>
      </c>
      <c r="AA817" t="s">
        <v>3783</v>
      </c>
      <c r="AB817" t="s">
        <v>2006</v>
      </c>
      <c r="AC817">
        <v>12</v>
      </c>
      <c r="AD817">
        <v>1</v>
      </c>
      <c r="AE817">
        <v>0</v>
      </c>
      <c r="AF817">
        <v>172.94</v>
      </c>
      <c r="AI817" t="s">
        <v>3809</v>
      </c>
      <c r="AJ817">
        <v>21600</v>
      </c>
      <c r="AK817" t="s">
        <v>4077</v>
      </c>
      <c r="AP817">
        <v>4</v>
      </c>
      <c r="AQ817" t="s">
        <v>4167</v>
      </c>
      <c r="AR817" t="s">
        <v>4185</v>
      </c>
      <c r="AS817" t="s">
        <v>4211</v>
      </c>
      <c r="AT817" t="s">
        <v>4219</v>
      </c>
    </row>
    <row r="818" spans="1:46">
      <c r="A818" s="1">
        <f>HYPERLINK("https://lsnyc.legalserver.org/matter/dynamic-profile/view/1899826","19-1899826")</f>
        <v>0</v>
      </c>
      <c r="B818" t="s">
        <v>67</v>
      </c>
      <c r="C818" t="s">
        <v>183</v>
      </c>
      <c r="E818" t="s">
        <v>750</v>
      </c>
      <c r="F818" t="s">
        <v>1259</v>
      </c>
      <c r="G818" t="s">
        <v>1486</v>
      </c>
      <c r="H818" t="s">
        <v>1784</v>
      </c>
      <c r="I818">
        <v>11213</v>
      </c>
      <c r="J818" t="s">
        <v>2002</v>
      </c>
      <c r="K818" t="s">
        <v>2004</v>
      </c>
      <c r="L818" t="s">
        <v>2005</v>
      </c>
      <c r="M818" t="s">
        <v>2301</v>
      </c>
      <c r="N818" t="s">
        <v>2415</v>
      </c>
      <c r="O818" t="s">
        <v>2437</v>
      </c>
      <c r="Q818" t="s">
        <v>2003</v>
      </c>
      <c r="R818" t="s">
        <v>2451</v>
      </c>
      <c r="S818" t="s">
        <v>183</v>
      </c>
      <c r="T818">
        <v>380.62</v>
      </c>
      <c r="U818" t="s">
        <v>2494</v>
      </c>
      <c r="W818" t="s">
        <v>3030</v>
      </c>
      <c r="Y818" t="s">
        <v>3667</v>
      </c>
      <c r="Z818">
        <v>19</v>
      </c>
      <c r="AA818" t="s">
        <v>3783</v>
      </c>
      <c r="AB818" t="s">
        <v>2006</v>
      </c>
      <c r="AC818">
        <v>8</v>
      </c>
      <c r="AD818">
        <v>1</v>
      </c>
      <c r="AE818">
        <v>0</v>
      </c>
      <c r="AF818">
        <v>86.47</v>
      </c>
      <c r="AI818" t="s">
        <v>3809</v>
      </c>
      <c r="AJ818">
        <v>10800</v>
      </c>
      <c r="AP818">
        <v>7</v>
      </c>
      <c r="AQ818" t="s">
        <v>255</v>
      </c>
      <c r="AR818" t="s">
        <v>67</v>
      </c>
      <c r="AS818" t="s">
        <v>4210</v>
      </c>
      <c r="AT818" t="s">
        <v>4219</v>
      </c>
    </row>
    <row r="819" spans="1:46">
      <c r="A819" s="1">
        <f>HYPERLINK("https://lsnyc.legalserver.org/matter/dynamic-profile/view/1899824","19-1899824")</f>
        <v>0</v>
      </c>
      <c r="B819" t="s">
        <v>67</v>
      </c>
      <c r="C819" t="s">
        <v>183</v>
      </c>
      <c r="E819" t="s">
        <v>747</v>
      </c>
      <c r="F819" t="s">
        <v>1261</v>
      </c>
      <c r="G819" t="s">
        <v>1640</v>
      </c>
      <c r="H819" t="s">
        <v>1734</v>
      </c>
      <c r="I819">
        <v>11233</v>
      </c>
      <c r="J819" t="s">
        <v>2002</v>
      </c>
      <c r="K819" t="s">
        <v>2004</v>
      </c>
      <c r="L819" t="s">
        <v>2005</v>
      </c>
      <c r="M819" t="s">
        <v>2302</v>
      </c>
      <c r="N819" t="s">
        <v>2415</v>
      </c>
      <c r="O819" t="s">
        <v>2437</v>
      </c>
      <c r="Q819" t="s">
        <v>2003</v>
      </c>
      <c r="R819" t="s">
        <v>2451</v>
      </c>
      <c r="S819" t="s">
        <v>183</v>
      </c>
      <c r="T819">
        <v>1275.64</v>
      </c>
      <c r="U819" t="s">
        <v>2497</v>
      </c>
      <c r="W819" t="s">
        <v>3032</v>
      </c>
      <c r="X819" t="s">
        <v>2006</v>
      </c>
      <c r="Y819" t="s">
        <v>3668</v>
      </c>
      <c r="Z819">
        <v>6</v>
      </c>
      <c r="AA819" t="s">
        <v>3783</v>
      </c>
      <c r="AB819" t="s">
        <v>2006</v>
      </c>
      <c r="AC819">
        <v>16</v>
      </c>
      <c r="AD819">
        <v>3</v>
      </c>
      <c r="AE819">
        <v>0</v>
      </c>
      <c r="AF819">
        <v>103.14</v>
      </c>
      <c r="AI819" t="s">
        <v>3809</v>
      </c>
      <c r="AJ819">
        <v>22000</v>
      </c>
      <c r="AK819" t="s">
        <v>4078</v>
      </c>
      <c r="AP819">
        <v>33.5</v>
      </c>
      <c r="AQ819" t="s">
        <v>309</v>
      </c>
      <c r="AR819" t="s">
        <v>63</v>
      </c>
      <c r="AS819" t="s">
        <v>4210</v>
      </c>
      <c r="AT819" t="s">
        <v>4219</v>
      </c>
    </row>
    <row r="820" spans="1:46">
      <c r="A820" s="1">
        <f>HYPERLINK("https://lsnyc.legalserver.org/matter/dynamic-profile/view/1895279","19-1895279")</f>
        <v>0</v>
      </c>
      <c r="B820" t="s">
        <v>67</v>
      </c>
      <c r="C820" t="s">
        <v>76</v>
      </c>
      <c r="E820" t="s">
        <v>747</v>
      </c>
      <c r="F820" t="s">
        <v>1261</v>
      </c>
      <c r="G820" t="s">
        <v>1640</v>
      </c>
      <c r="H820" t="s">
        <v>1734</v>
      </c>
      <c r="I820">
        <v>11233</v>
      </c>
      <c r="J820" t="s">
        <v>2002</v>
      </c>
      <c r="K820" t="s">
        <v>2003</v>
      </c>
      <c r="L820" t="s">
        <v>2005</v>
      </c>
      <c r="M820" t="s">
        <v>2303</v>
      </c>
      <c r="N820" t="s">
        <v>2416</v>
      </c>
      <c r="O820" t="s">
        <v>2438</v>
      </c>
      <c r="Q820" t="s">
        <v>2002</v>
      </c>
      <c r="R820" t="s">
        <v>2451</v>
      </c>
      <c r="S820" t="s">
        <v>183</v>
      </c>
      <c r="T820">
        <v>1275.64</v>
      </c>
      <c r="U820" t="s">
        <v>2494</v>
      </c>
      <c r="W820" t="s">
        <v>3032</v>
      </c>
      <c r="X820" t="s">
        <v>2006</v>
      </c>
      <c r="Y820" t="s">
        <v>3668</v>
      </c>
      <c r="Z820">
        <v>6</v>
      </c>
      <c r="AA820" t="s">
        <v>3783</v>
      </c>
      <c r="AB820" t="s">
        <v>2006</v>
      </c>
      <c r="AC820">
        <v>16</v>
      </c>
      <c r="AD820">
        <v>3</v>
      </c>
      <c r="AE820">
        <v>0</v>
      </c>
      <c r="AF820">
        <v>134.08</v>
      </c>
      <c r="AI820" t="s">
        <v>3809</v>
      </c>
      <c r="AJ820">
        <v>28600</v>
      </c>
      <c r="AP820">
        <v>9</v>
      </c>
      <c r="AQ820" t="s">
        <v>325</v>
      </c>
      <c r="AR820" t="s">
        <v>4185</v>
      </c>
      <c r="AS820" t="s">
        <v>4211</v>
      </c>
      <c r="AT820" t="s">
        <v>4219</v>
      </c>
    </row>
    <row r="821" spans="1:46">
      <c r="A821" s="1">
        <f>HYPERLINK("https://lsnyc.legalserver.org/matter/dynamic-profile/view/1900103","19-1900103")</f>
        <v>0</v>
      </c>
      <c r="B821" t="s">
        <v>67</v>
      </c>
      <c r="C821" t="s">
        <v>279</v>
      </c>
      <c r="E821" t="s">
        <v>751</v>
      </c>
      <c r="F821" t="s">
        <v>1260</v>
      </c>
      <c r="G821" t="s">
        <v>1486</v>
      </c>
      <c r="H821" t="s">
        <v>1737</v>
      </c>
      <c r="I821">
        <v>11213</v>
      </c>
      <c r="J821" t="s">
        <v>2002</v>
      </c>
      <c r="K821" t="s">
        <v>2004</v>
      </c>
      <c r="L821" t="s">
        <v>2005</v>
      </c>
      <c r="M821" t="s">
        <v>2304</v>
      </c>
      <c r="N821" t="s">
        <v>2415</v>
      </c>
      <c r="O821" t="s">
        <v>2437</v>
      </c>
      <c r="Q821" t="s">
        <v>2003</v>
      </c>
      <c r="R821" t="s">
        <v>2451</v>
      </c>
      <c r="S821" t="s">
        <v>183</v>
      </c>
      <c r="T821">
        <v>1110.38</v>
      </c>
      <c r="U821" t="s">
        <v>2494</v>
      </c>
      <c r="W821" t="s">
        <v>3031</v>
      </c>
      <c r="X821" t="s">
        <v>2006</v>
      </c>
      <c r="Z821">
        <v>19</v>
      </c>
      <c r="AA821" t="s">
        <v>3783</v>
      </c>
      <c r="AB821" t="s">
        <v>2006</v>
      </c>
      <c r="AC821">
        <v>12</v>
      </c>
      <c r="AD821">
        <v>1</v>
      </c>
      <c r="AE821">
        <v>0</v>
      </c>
      <c r="AF821">
        <v>172.94</v>
      </c>
      <c r="AI821" t="s">
        <v>3809</v>
      </c>
      <c r="AJ821">
        <v>21600</v>
      </c>
      <c r="AK821" t="s">
        <v>4079</v>
      </c>
      <c r="AP821">
        <v>6.5</v>
      </c>
      <c r="AQ821" t="s">
        <v>329</v>
      </c>
      <c r="AR821" t="s">
        <v>4185</v>
      </c>
      <c r="AS821" t="s">
        <v>4210</v>
      </c>
      <c r="AT821" t="s">
        <v>4219</v>
      </c>
    </row>
    <row r="822" spans="1:46">
      <c r="A822" s="1">
        <f>HYPERLINK("https://lsnyc.legalserver.org/matter/dynamic-profile/view/1900011","19-1900011")</f>
        <v>0</v>
      </c>
      <c r="B822" t="s">
        <v>67</v>
      </c>
      <c r="C822" t="s">
        <v>249</v>
      </c>
      <c r="E822" t="s">
        <v>513</v>
      </c>
      <c r="F822" t="s">
        <v>1025</v>
      </c>
      <c r="G822" t="s">
        <v>1486</v>
      </c>
      <c r="H822" t="s">
        <v>1739</v>
      </c>
      <c r="I822">
        <v>11213</v>
      </c>
      <c r="J822" t="s">
        <v>2002</v>
      </c>
      <c r="K822" t="s">
        <v>2004</v>
      </c>
      <c r="L822" t="s">
        <v>2005</v>
      </c>
      <c r="M822" t="s">
        <v>2305</v>
      </c>
      <c r="N822" t="s">
        <v>2415</v>
      </c>
      <c r="O822" t="s">
        <v>2437</v>
      </c>
      <c r="Q822" t="s">
        <v>2003</v>
      </c>
      <c r="R822" t="s">
        <v>2451</v>
      </c>
      <c r="S822" t="s">
        <v>171</v>
      </c>
      <c r="T822">
        <v>412</v>
      </c>
      <c r="U822" t="s">
        <v>2509</v>
      </c>
      <c r="W822" t="s">
        <v>2725</v>
      </c>
      <c r="X822" t="s">
        <v>3163</v>
      </c>
      <c r="Y822" t="s">
        <v>3478</v>
      </c>
      <c r="Z822">
        <v>19</v>
      </c>
      <c r="AA822" t="s">
        <v>3783</v>
      </c>
      <c r="AB822" t="s">
        <v>2006</v>
      </c>
      <c r="AC822">
        <v>12</v>
      </c>
      <c r="AD822">
        <v>2</v>
      </c>
      <c r="AE822">
        <v>1</v>
      </c>
      <c r="AF822">
        <v>0</v>
      </c>
      <c r="AI822" t="s">
        <v>3809</v>
      </c>
      <c r="AJ822">
        <v>0</v>
      </c>
      <c r="AP822">
        <v>7.5</v>
      </c>
      <c r="AQ822" t="s">
        <v>329</v>
      </c>
      <c r="AR822" t="s">
        <v>4185</v>
      </c>
      <c r="AS822" t="s">
        <v>4210</v>
      </c>
      <c r="AT822" t="s">
        <v>4219</v>
      </c>
    </row>
    <row r="823" spans="1:46">
      <c r="A823" s="1">
        <f>HYPERLINK("https://lsnyc.legalserver.org/matter/dynamic-profile/view/1901300","19-1901300")</f>
        <v>0</v>
      </c>
      <c r="B823" t="s">
        <v>67</v>
      </c>
      <c r="C823" t="s">
        <v>260</v>
      </c>
      <c r="E823" t="s">
        <v>747</v>
      </c>
      <c r="F823" t="s">
        <v>1257</v>
      </c>
      <c r="G823" t="s">
        <v>1542</v>
      </c>
      <c r="H823" t="s">
        <v>1765</v>
      </c>
      <c r="I823">
        <v>11212</v>
      </c>
      <c r="J823" t="s">
        <v>2002</v>
      </c>
      <c r="K823" t="s">
        <v>2004</v>
      </c>
      <c r="L823" t="s">
        <v>2005</v>
      </c>
      <c r="M823" t="s">
        <v>2306</v>
      </c>
      <c r="N823" t="s">
        <v>2420</v>
      </c>
      <c r="O823" t="s">
        <v>2437</v>
      </c>
      <c r="Q823" t="s">
        <v>2002</v>
      </c>
      <c r="R823" t="s">
        <v>2451</v>
      </c>
      <c r="S823" t="s">
        <v>171</v>
      </c>
      <c r="T823">
        <v>1253</v>
      </c>
      <c r="U823" t="s">
        <v>2497</v>
      </c>
      <c r="W823" t="s">
        <v>3027</v>
      </c>
      <c r="Y823" t="s">
        <v>3664</v>
      </c>
      <c r="Z823">
        <v>6</v>
      </c>
      <c r="AA823" t="s">
        <v>2156</v>
      </c>
      <c r="AB823" t="s">
        <v>3793</v>
      </c>
      <c r="AC823">
        <v>3</v>
      </c>
      <c r="AD823">
        <v>2</v>
      </c>
      <c r="AE823">
        <v>0</v>
      </c>
      <c r="AF823">
        <v>49.67</v>
      </c>
      <c r="AI823" t="s">
        <v>3809</v>
      </c>
      <c r="AJ823">
        <v>8400</v>
      </c>
      <c r="AP823">
        <v>0.5</v>
      </c>
      <c r="AQ823" t="s">
        <v>2492</v>
      </c>
      <c r="AR823" t="s">
        <v>4185</v>
      </c>
      <c r="AS823" t="s">
        <v>4210</v>
      </c>
      <c r="AT823" t="s">
        <v>4219</v>
      </c>
    </row>
    <row r="824" spans="1:46">
      <c r="A824" s="1">
        <f>HYPERLINK("https://lsnyc.legalserver.org/matter/dynamic-profile/view/1901313","19-1901313")</f>
        <v>0</v>
      </c>
      <c r="B824" t="s">
        <v>67</v>
      </c>
      <c r="C824" t="s">
        <v>260</v>
      </c>
      <c r="E824" t="s">
        <v>748</v>
      </c>
      <c r="F824" t="s">
        <v>1258</v>
      </c>
      <c r="G824" t="s">
        <v>1542</v>
      </c>
      <c r="H824" t="s">
        <v>1748</v>
      </c>
      <c r="I824">
        <v>11212</v>
      </c>
      <c r="J824" t="s">
        <v>2002</v>
      </c>
      <c r="K824" t="s">
        <v>2004</v>
      </c>
      <c r="L824" t="s">
        <v>2005</v>
      </c>
      <c r="M824" t="s">
        <v>2306</v>
      </c>
      <c r="N824" t="s">
        <v>2420</v>
      </c>
      <c r="O824" t="s">
        <v>2437</v>
      </c>
      <c r="Q824" t="s">
        <v>2002</v>
      </c>
      <c r="R824" t="s">
        <v>2451</v>
      </c>
      <c r="S824" t="s">
        <v>171</v>
      </c>
      <c r="T824">
        <v>1326</v>
      </c>
      <c r="U824" t="s">
        <v>2497</v>
      </c>
      <c r="W824" t="s">
        <v>3028</v>
      </c>
      <c r="Y824" t="s">
        <v>3665</v>
      </c>
      <c r="Z824">
        <v>4</v>
      </c>
      <c r="AA824" t="s">
        <v>2156</v>
      </c>
      <c r="AB824" t="s">
        <v>2006</v>
      </c>
      <c r="AC824">
        <v>9</v>
      </c>
      <c r="AD824">
        <v>2</v>
      </c>
      <c r="AE824">
        <v>0</v>
      </c>
      <c r="AF824">
        <v>127.74</v>
      </c>
      <c r="AI824" t="s">
        <v>3809</v>
      </c>
      <c r="AJ824">
        <v>21600</v>
      </c>
      <c r="AP824">
        <v>0.5</v>
      </c>
      <c r="AQ824" t="s">
        <v>2492</v>
      </c>
      <c r="AR824" t="s">
        <v>4185</v>
      </c>
      <c r="AS824" t="s">
        <v>4210</v>
      </c>
      <c r="AT824" t="s">
        <v>4219</v>
      </c>
    </row>
    <row r="825" spans="1:46">
      <c r="A825" s="1">
        <f>HYPERLINK("https://lsnyc.legalserver.org/matter/dynamic-profile/view/1900002","19-1900002")</f>
        <v>0</v>
      </c>
      <c r="B825" t="s">
        <v>67</v>
      </c>
      <c r="C825" t="s">
        <v>172</v>
      </c>
      <c r="E825" t="s">
        <v>752</v>
      </c>
      <c r="F825" t="s">
        <v>1262</v>
      </c>
      <c r="G825" t="s">
        <v>1485</v>
      </c>
      <c r="H825" t="s">
        <v>1806</v>
      </c>
      <c r="I825">
        <v>11206</v>
      </c>
      <c r="J825" t="s">
        <v>2002</v>
      </c>
      <c r="K825" t="s">
        <v>2004</v>
      </c>
      <c r="L825" t="s">
        <v>2005</v>
      </c>
      <c r="M825" t="s">
        <v>2307</v>
      </c>
      <c r="N825" t="s">
        <v>2415</v>
      </c>
      <c r="O825" t="s">
        <v>2437</v>
      </c>
      <c r="Q825" t="s">
        <v>2003</v>
      </c>
      <c r="R825" t="s">
        <v>2451</v>
      </c>
      <c r="S825" t="s">
        <v>172</v>
      </c>
      <c r="T825">
        <v>473</v>
      </c>
      <c r="U825" t="s">
        <v>2497</v>
      </c>
      <c r="W825" t="s">
        <v>3033</v>
      </c>
      <c r="X825" t="s">
        <v>2006</v>
      </c>
      <c r="Y825" t="s">
        <v>3669</v>
      </c>
      <c r="Z825">
        <v>16</v>
      </c>
      <c r="AA825" t="s">
        <v>3783</v>
      </c>
      <c r="AB825" t="s">
        <v>2006</v>
      </c>
      <c r="AC825">
        <v>7</v>
      </c>
      <c r="AD825">
        <v>1</v>
      </c>
      <c r="AE825">
        <v>0</v>
      </c>
      <c r="AF825">
        <v>73.98</v>
      </c>
      <c r="AI825" t="s">
        <v>3809</v>
      </c>
      <c r="AJ825">
        <v>9240</v>
      </c>
      <c r="AK825" t="s">
        <v>4080</v>
      </c>
      <c r="AP825">
        <v>15</v>
      </c>
      <c r="AQ825" t="s">
        <v>314</v>
      </c>
      <c r="AR825" t="s">
        <v>4185</v>
      </c>
      <c r="AS825" t="s">
        <v>4210</v>
      </c>
      <c r="AT825" t="s">
        <v>4219</v>
      </c>
    </row>
    <row r="826" spans="1:46">
      <c r="A826" s="1">
        <f>HYPERLINK("https://lsnyc.legalserver.org/matter/dynamic-profile/view/1880054","18-1880054")</f>
        <v>0</v>
      </c>
      <c r="B826" t="s">
        <v>68</v>
      </c>
      <c r="C826" t="s">
        <v>121</v>
      </c>
      <c r="E826" t="s">
        <v>427</v>
      </c>
      <c r="F826" t="s">
        <v>1065</v>
      </c>
      <c r="G826" t="s">
        <v>1517</v>
      </c>
      <c r="H826" t="s">
        <v>1768</v>
      </c>
      <c r="I826">
        <v>11207</v>
      </c>
      <c r="J826" t="s">
        <v>2003</v>
      </c>
      <c r="K826" t="s">
        <v>2003</v>
      </c>
      <c r="N826" t="s">
        <v>2424</v>
      </c>
      <c r="O826" t="s">
        <v>2441</v>
      </c>
      <c r="Q826" t="s">
        <v>2002</v>
      </c>
      <c r="R826" t="s">
        <v>2451</v>
      </c>
      <c r="S826" t="s">
        <v>2459</v>
      </c>
      <c r="T826">
        <v>0</v>
      </c>
      <c r="U826" t="s">
        <v>2497</v>
      </c>
      <c r="W826" t="s">
        <v>2773</v>
      </c>
      <c r="Z826">
        <v>6</v>
      </c>
      <c r="AA826" t="s">
        <v>3783</v>
      </c>
      <c r="AC826">
        <v>0</v>
      </c>
      <c r="AD826">
        <v>1</v>
      </c>
      <c r="AE826">
        <v>3</v>
      </c>
      <c r="AF826">
        <v>41.43</v>
      </c>
      <c r="AI826" t="s">
        <v>3809</v>
      </c>
      <c r="AJ826">
        <v>10400</v>
      </c>
      <c r="AP826">
        <v>0.25</v>
      </c>
      <c r="AQ826" t="s">
        <v>161</v>
      </c>
      <c r="AR826" t="s">
        <v>4185</v>
      </c>
      <c r="AS826" t="s">
        <v>4210</v>
      </c>
      <c r="AT826" t="s">
        <v>4219</v>
      </c>
    </row>
    <row r="827" spans="1:46">
      <c r="A827" s="1">
        <f>HYPERLINK("https://lsnyc.legalserver.org/matter/dynamic-profile/view/1880052","18-1880052")</f>
        <v>0</v>
      </c>
      <c r="B827" t="s">
        <v>68</v>
      </c>
      <c r="C827" t="s">
        <v>121</v>
      </c>
      <c r="E827" t="s">
        <v>427</v>
      </c>
      <c r="F827" t="s">
        <v>1065</v>
      </c>
      <c r="G827" t="s">
        <v>1517</v>
      </c>
      <c r="H827" t="s">
        <v>1768</v>
      </c>
      <c r="I827">
        <v>11207</v>
      </c>
      <c r="J827" t="s">
        <v>2003</v>
      </c>
      <c r="K827" t="s">
        <v>2003</v>
      </c>
      <c r="M827" t="s">
        <v>2027</v>
      </c>
      <c r="N827" t="s">
        <v>2419</v>
      </c>
      <c r="O827" t="s">
        <v>2440</v>
      </c>
      <c r="Q827" t="s">
        <v>2002</v>
      </c>
      <c r="R827" t="s">
        <v>2451</v>
      </c>
      <c r="S827" t="s">
        <v>2459</v>
      </c>
      <c r="T827">
        <v>0</v>
      </c>
      <c r="U827" t="s">
        <v>2497</v>
      </c>
      <c r="W827" t="s">
        <v>2773</v>
      </c>
      <c r="Z827">
        <v>6</v>
      </c>
      <c r="AA827" t="s">
        <v>3783</v>
      </c>
      <c r="AC827">
        <v>0</v>
      </c>
      <c r="AD827">
        <v>1</v>
      </c>
      <c r="AE827">
        <v>3</v>
      </c>
      <c r="AF827">
        <v>41.43</v>
      </c>
      <c r="AI827" t="s">
        <v>3809</v>
      </c>
      <c r="AJ827">
        <v>10400</v>
      </c>
      <c r="AP827">
        <v>0</v>
      </c>
      <c r="AR827" t="s">
        <v>4185</v>
      </c>
      <c r="AS827" t="s">
        <v>4210</v>
      </c>
      <c r="AT827" t="s">
        <v>4219</v>
      </c>
    </row>
    <row r="828" spans="1:46">
      <c r="A828" s="1">
        <f>HYPERLINK("https://lsnyc.legalserver.org/matter/dynamic-profile/view/1879904","18-1879904")</f>
        <v>0</v>
      </c>
      <c r="B828" t="s">
        <v>68</v>
      </c>
      <c r="C828" t="s">
        <v>112</v>
      </c>
      <c r="E828" t="s">
        <v>554</v>
      </c>
      <c r="F828" t="s">
        <v>1066</v>
      </c>
      <c r="G828" t="s">
        <v>1517</v>
      </c>
      <c r="H828" t="s">
        <v>1735</v>
      </c>
      <c r="I828">
        <v>11207</v>
      </c>
      <c r="J828" t="s">
        <v>2002</v>
      </c>
      <c r="K828" t="s">
        <v>2002</v>
      </c>
      <c r="N828" t="s">
        <v>2424</v>
      </c>
      <c r="O828" t="s">
        <v>2441</v>
      </c>
      <c r="Q828" t="s">
        <v>2002</v>
      </c>
      <c r="R828" t="s">
        <v>2451</v>
      </c>
      <c r="S828" t="s">
        <v>2459</v>
      </c>
      <c r="T828">
        <v>1250</v>
      </c>
      <c r="U828" t="s">
        <v>2494</v>
      </c>
      <c r="W828" t="s">
        <v>2774</v>
      </c>
      <c r="X828" t="s">
        <v>3160</v>
      </c>
      <c r="Y828" t="s">
        <v>3524</v>
      </c>
      <c r="Z828">
        <v>6</v>
      </c>
      <c r="AA828" t="s">
        <v>3783</v>
      </c>
      <c r="AB828" t="s">
        <v>3798</v>
      </c>
      <c r="AC828">
        <v>7</v>
      </c>
      <c r="AD828">
        <v>1</v>
      </c>
      <c r="AE828">
        <v>1</v>
      </c>
      <c r="AF828">
        <v>45.52</v>
      </c>
      <c r="AI828" t="s">
        <v>3809</v>
      </c>
      <c r="AJ828">
        <v>7492</v>
      </c>
      <c r="AK828" t="s">
        <v>3908</v>
      </c>
      <c r="AP828">
        <v>0.25</v>
      </c>
      <c r="AQ828" t="s">
        <v>161</v>
      </c>
      <c r="AR828" t="s">
        <v>4185</v>
      </c>
      <c r="AS828" t="s">
        <v>4210</v>
      </c>
      <c r="AT828" t="s">
        <v>4219</v>
      </c>
    </row>
    <row r="829" spans="1:46">
      <c r="A829" s="1">
        <f>HYPERLINK("https://lsnyc.legalserver.org/matter/dynamic-profile/view/1879900","18-1879900")</f>
        <v>0</v>
      </c>
      <c r="B829" t="s">
        <v>68</v>
      </c>
      <c r="C829" t="s">
        <v>112</v>
      </c>
      <c r="E829" t="s">
        <v>554</v>
      </c>
      <c r="F829" t="s">
        <v>1066</v>
      </c>
      <c r="G829" t="s">
        <v>1517</v>
      </c>
      <c r="H829" t="s">
        <v>1735</v>
      </c>
      <c r="I829">
        <v>11207</v>
      </c>
      <c r="J829" t="s">
        <v>2002</v>
      </c>
      <c r="K829" t="s">
        <v>2002</v>
      </c>
      <c r="N829" t="s">
        <v>2027</v>
      </c>
      <c r="O829" t="s">
        <v>2440</v>
      </c>
      <c r="Q829" t="s">
        <v>2002</v>
      </c>
      <c r="R829" t="s">
        <v>2451</v>
      </c>
      <c r="S829" t="s">
        <v>2459</v>
      </c>
      <c r="T829">
        <v>1250</v>
      </c>
      <c r="U829" t="s">
        <v>2494</v>
      </c>
      <c r="W829" t="s">
        <v>2774</v>
      </c>
      <c r="X829" t="s">
        <v>3160</v>
      </c>
      <c r="Y829" t="s">
        <v>3524</v>
      </c>
      <c r="Z829">
        <v>6</v>
      </c>
      <c r="AA829" t="s">
        <v>3783</v>
      </c>
      <c r="AB829" t="s">
        <v>3798</v>
      </c>
      <c r="AC829">
        <v>7</v>
      </c>
      <c r="AD829">
        <v>1</v>
      </c>
      <c r="AE829">
        <v>1</v>
      </c>
      <c r="AF829">
        <v>45.52</v>
      </c>
      <c r="AI829" t="s">
        <v>3809</v>
      </c>
      <c r="AJ829">
        <v>7492</v>
      </c>
      <c r="AK829" t="s">
        <v>3908</v>
      </c>
      <c r="AP829">
        <v>0.25</v>
      </c>
      <c r="AQ829" t="s">
        <v>161</v>
      </c>
      <c r="AR829" t="s">
        <v>4185</v>
      </c>
      <c r="AS829" t="s">
        <v>4210</v>
      </c>
      <c r="AT829" t="s">
        <v>4219</v>
      </c>
    </row>
    <row r="830" spans="1:46">
      <c r="A830" s="1">
        <f>HYPERLINK("https://lsnyc.legalserver.org/matter/dynamic-profile/view/1880021","18-1880021")</f>
        <v>0</v>
      </c>
      <c r="B830" t="s">
        <v>68</v>
      </c>
      <c r="C830" t="s">
        <v>121</v>
      </c>
      <c r="E830" t="s">
        <v>484</v>
      </c>
      <c r="F830" t="s">
        <v>868</v>
      </c>
      <c r="G830" t="s">
        <v>1517</v>
      </c>
      <c r="H830" t="s">
        <v>1746</v>
      </c>
      <c r="I830">
        <v>11207</v>
      </c>
      <c r="J830" t="s">
        <v>2002</v>
      </c>
      <c r="K830" t="s">
        <v>2002</v>
      </c>
      <c r="M830" t="s">
        <v>2027</v>
      </c>
      <c r="N830" t="s">
        <v>2419</v>
      </c>
      <c r="O830" t="s">
        <v>2440</v>
      </c>
      <c r="Q830" t="s">
        <v>2002</v>
      </c>
      <c r="R830" t="s">
        <v>2451</v>
      </c>
      <c r="S830" t="s">
        <v>2459</v>
      </c>
      <c r="T830">
        <v>1365</v>
      </c>
      <c r="U830" t="s">
        <v>2497</v>
      </c>
      <c r="W830" t="s">
        <v>2775</v>
      </c>
      <c r="X830" t="s">
        <v>3160</v>
      </c>
      <c r="Y830" t="s">
        <v>3525</v>
      </c>
      <c r="Z830">
        <v>6</v>
      </c>
      <c r="AA830" t="s">
        <v>3783</v>
      </c>
      <c r="AB830" t="s">
        <v>3798</v>
      </c>
      <c r="AC830">
        <v>5</v>
      </c>
      <c r="AD830">
        <v>2</v>
      </c>
      <c r="AE830">
        <v>0</v>
      </c>
      <c r="AF830">
        <v>55.12</v>
      </c>
      <c r="AI830" t="s">
        <v>3809</v>
      </c>
      <c r="AJ830">
        <v>9072</v>
      </c>
      <c r="AK830" t="s">
        <v>3909</v>
      </c>
      <c r="AP830">
        <v>0.25</v>
      </c>
      <c r="AQ830" t="s">
        <v>161</v>
      </c>
      <c r="AR830" t="s">
        <v>4185</v>
      </c>
      <c r="AS830" t="s">
        <v>4210</v>
      </c>
      <c r="AT830" t="s">
        <v>4219</v>
      </c>
    </row>
    <row r="831" spans="1:46">
      <c r="A831" s="1">
        <f>HYPERLINK("https://lsnyc.legalserver.org/matter/dynamic-profile/view/1859332","18-1859332")</f>
        <v>0</v>
      </c>
      <c r="B831" t="s">
        <v>68</v>
      </c>
      <c r="C831" t="s">
        <v>280</v>
      </c>
      <c r="E831" t="s">
        <v>753</v>
      </c>
      <c r="F831" t="s">
        <v>1146</v>
      </c>
      <c r="G831" t="s">
        <v>1615</v>
      </c>
      <c r="H831" t="s">
        <v>1823</v>
      </c>
      <c r="I831">
        <v>11239</v>
      </c>
      <c r="J831" t="s">
        <v>2002</v>
      </c>
      <c r="K831" t="s">
        <v>2002</v>
      </c>
      <c r="M831" t="s">
        <v>2132</v>
      </c>
      <c r="N831" t="s">
        <v>2027</v>
      </c>
      <c r="O831" t="s">
        <v>2439</v>
      </c>
      <c r="S831" t="s">
        <v>2459</v>
      </c>
      <c r="T831">
        <v>2000</v>
      </c>
      <c r="U831" t="s">
        <v>2509</v>
      </c>
      <c r="W831" t="s">
        <v>2889</v>
      </c>
      <c r="X831" t="s">
        <v>3254</v>
      </c>
      <c r="Y831" t="s">
        <v>3630</v>
      </c>
      <c r="Z831">
        <v>88</v>
      </c>
      <c r="AA831" t="s">
        <v>3783</v>
      </c>
      <c r="AB831" t="s">
        <v>3793</v>
      </c>
      <c r="AC831">
        <v>24</v>
      </c>
      <c r="AD831">
        <v>2</v>
      </c>
      <c r="AE831">
        <v>1</v>
      </c>
      <c r="AF831">
        <v>70.52</v>
      </c>
      <c r="AI831" t="s">
        <v>3809</v>
      </c>
      <c r="AJ831">
        <v>14400</v>
      </c>
      <c r="AK831" t="s">
        <v>3829</v>
      </c>
      <c r="AP831">
        <v>1</v>
      </c>
      <c r="AQ831" t="s">
        <v>4182</v>
      </c>
      <c r="AR831" t="s">
        <v>4194</v>
      </c>
      <c r="AS831" t="s">
        <v>4210</v>
      </c>
      <c r="AT831" t="s">
        <v>4219</v>
      </c>
    </row>
    <row r="832" spans="1:46">
      <c r="A832" s="1">
        <f>HYPERLINK("https://lsnyc.legalserver.org/matter/dynamic-profile/view/1879615","18-1879615")</f>
        <v>0</v>
      </c>
      <c r="B832" t="s">
        <v>68</v>
      </c>
      <c r="C832" t="s">
        <v>212</v>
      </c>
      <c r="E832" t="s">
        <v>551</v>
      </c>
      <c r="F832" t="s">
        <v>928</v>
      </c>
      <c r="G832" t="s">
        <v>1517</v>
      </c>
      <c r="H832" t="s">
        <v>1749</v>
      </c>
      <c r="I832">
        <v>11207</v>
      </c>
      <c r="J832" t="s">
        <v>2003</v>
      </c>
      <c r="K832" t="s">
        <v>2003</v>
      </c>
      <c r="M832" t="s">
        <v>2027</v>
      </c>
      <c r="N832" t="s">
        <v>2417</v>
      </c>
      <c r="O832" t="s">
        <v>2440</v>
      </c>
      <c r="Q832" t="s">
        <v>2002</v>
      </c>
      <c r="R832" t="s">
        <v>2451</v>
      </c>
      <c r="S832" t="s">
        <v>2459</v>
      </c>
      <c r="T832">
        <v>1000</v>
      </c>
      <c r="U832" t="s">
        <v>2497</v>
      </c>
      <c r="W832" t="s">
        <v>2770</v>
      </c>
      <c r="X832" t="s">
        <v>3160</v>
      </c>
      <c r="Y832" t="s">
        <v>3521</v>
      </c>
      <c r="Z832">
        <v>6</v>
      </c>
      <c r="AA832" t="s">
        <v>3783</v>
      </c>
      <c r="AB832" t="s">
        <v>2006</v>
      </c>
      <c r="AC832">
        <v>4</v>
      </c>
      <c r="AD832">
        <v>1</v>
      </c>
      <c r="AE832">
        <v>3</v>
      </c>
      <c r="AF832">
        <v>82.87</v>
      </c>
      <c r="AI832" t="s">
        <v>3809</v>
      </c>
      <c r="AJ832">
        <v>20800</v>
      </c>
      <c r="AP832">
        <v>0</v>
      </c>
      <c r="AR832" t="s">
        <v>4185</v>
      </c>
      <c r="AS832" t="s">
        <v>4210</v>
      </c>
      <c r="AT832" t="s">
        <v>4219</v>
      </c>
    </row>
    <row r="833" spans="1:46">
      <c r="A833" s="1">
        <f>HYPERLINK("https://lsnyc.legalserver.org/matter/dynamic-profile/view/1866186","18-1866186")</f>
        <v>0</v>
      </c>
      <c r="B833" t="s">
        <v>68</v>
      </c>
      <c r="C833" t="s">
        <v>281</v>
      </c>
      <c r="E833" t="s">
        <v>754</v>
      </c>
      <c r="F833" t="s">
        <v>770</v>
      </c>
      <c r="G833" t="s">
        <v>1641</v>
      </c>
      <c r="H833" t="s">
        <v>1967</v>
      </c>
      <c r="I833">
        <v>11212</v>
      </c>
      <c r="J833" t="s">
        <v>2002</v>
      </c>
      <c r="K833" t="s">
        <v>2002</v>
      </c>
      <c r="M833" t="s">
        <v>2027</v>
      </c>
      <c r="N833" t="s">
        <v>2417</v>
      </c>
      <c r="O833" t="s">
        <v>2436</v>
      </c>
      <c r="Q833" t="s">
        <v>2003</v>
      </c>
      <c r="S833" t="s">
        <v>2459</v>
      </c>
      <c r="T833">
        <v>710</v>
      </c>
      <c r="U833" t="s">
        <v>2499</v>
      </c>
      <c r="W833" t="s">
        <v>3034</v>
      </c>
      <c r="X833" t="s">
        <v>3268</v>
      </c>
      <c r="Y833" t="s">
        <v>3670</v>
      </c>
      <c r="Z833">
        <v>90</v>
      </c>
      <c r="AA833" t="s">
        <v>3787</v>
      </c>
      <c r="AB833" t="s">
        <v>3793</v>
      </c>
      <c r="AC833">
        <v>11</v>
      </c>
      <c r="AD833">
        <v>1</v>
      </c>
      <c r="AE833">
        <v>1</v>
      </c>
      <c r="AF833">
        <v>199.34</v>
      </c>
      <c r="AI833" t="s">
        <v>3809</v>
      </c>
      <c r="AJ833">
        <v>32812</v>
      </c>
      <c r="AK833" t="s">
        <v>3829</v>
      </c>
      <c r="AP833">
        <v>1</v>
      </c>
      <c r="AQ833" t="s">
        <v>281</v>
      </c>
      <c r="AR833" t="s">
        <v>4207</v>
      </c>
      <c r="AS833" t="s">
        <v>4210</v>
      </c>
      <c r="AT833" t="s">
        <v>4219</v>
      </c>
    </row>
    <row r="834" spans="1:46">
      <c r="A834" s="1">
        <f>HYPERLINK("https://lsnyc.legalserver.org/matter/dynamic-profile/view/1879665","18-1879665")</f>
        <v>0</v>
      </c>
      <c r="B834" t="s">
        <v>68</v>
      </c>
      <c r="C834" t="s">
        <v>212</v>
      </c>
      <c r="E834" t="s">
        <v>337</v>
      </c>
      <c r="F834" t="s">
        <v>1263</v>
      </c>
      <c r="G834" t="s">
        <v>1517</v>
      </c>
      <c r="H834" t="s">
        <v>1748</v>
      </c>
      <c r="I834">
        <v>11207</v>
      </c>
      <c r="J834" t="s">
        <v>2003</v>
      </c>
      <c r="K834" t="s">
        <v>2003</v>
      </c>
      <c r="N834" t="s">
        <v>2424</v>
      </c>
      <c r="O834" t="s">
        <v>2441</v>
      </c>
      <c r="Q834" t="s">
        <v>2002</v>
      </c>
      <c r="R834" t="s">
        <v>2451</v>
      </c>
      <c r="S834" t="s">
        <v>2459</v>
      </c>
      <c r="T834">
        <v>1000</v>
      </c>
      <c r="U834" t="s">
        <v>2497</v>
      </c>
      <c r="V834" t="s">
        <v>2518</v>
      </c>
      <c r="W834" t="s">
        <v>3035</v>
      </c>
      <c r="X834" t="s">
        <v>2006</v>
      </c>
      <c r="Z834">
        <v>6</v>
      </c>
      <c r="AA834" t="s">
        <v>3783</v>
      </c>
      <c r="AB834" t="s">
        <v>2006</v>
      </c>
      <c r="AC834">
        <v>3</v>
      </c>
      <c r="AD834">
        <v>1</v>
      </c>
      <c r="AE834">
        <v>0</v>
      </c>
      <c r="AF834">
        <v>494.23</v>
      </c>
      <c r="AI834" t="s">
        <v>3809</v>
      </c>
      <c r="AJ834">
        <v>60000</v>
      </c>
      <c r="AP834">
        <v>0.5</v>
      </c>
      <c r="AQ834" t="s">
        <v>161</v>
      </c>
      <c r="AR834" t="s">
        <v>4185</v>
      </c>
      <c r="AS834" t="s">
        <v>4210</v>
      </c>
      <c r="AT834" t="s">
        <v>4219</v>
      </c>
    </row>
    <row r="835" spans="1:46">
      <c r="A835" s="1">
        <f>HYPERLINK("https://lsnyc.legalserver.org/matter/dynamic-profile/view/1879662","18-1879662")</f>
        <v>0</v>
      </c>
      <c r="B835" t="s">
        <v>68</v>
      </c>
      <c r="C835" t="s">
        <v>212</v>
      </c>
      <c r="E835" t="s">
        <v>337</v>
      </c>
      <c r="F835" t="s">
        <v>1263</v>
      </c>
      <c r="G835" t="s">
        <v>1517</v>
      </c>
      <c r="H835" t="s">
        <v>1748</v>
      </c>
      <c r="I835">
        <v>11207</v>
      </c>
      <c r="J835" t="s">
        <v>2003</v>
      </c>
      <c r="K835" t="s">
        <v>2003</v>
      </c>
      <c r="N835" t="s">
        <v>2027</v>
      </c>
      <c r="O835" t="s">
        <v>2440</v>
      </c>
      <c r="Q835" t="s">
        <v>2002</v>
      </c>
      <c r="R835" t="s">
        <v>2451</v>
      </c>
      <c r="S835" t="s">
        <v>2459</v>
      </c>
      <c r="T835">
        <v>1000</v>
      </c>
      <c r="U835" t="s">
        <v>2497</v>
      </c>
      <c r="W835" t="s">
        <v>3035</v>
      </c>
      <c r="Z835">
        <v>6</v>
      </c>
      <c r="AA835" t="s">
        <v>3783</v>
      </c>
      <c r="AB835" t="s">
        <v>2006</v>
      </c>
      <c r="AC835">
        <v>3</v>
      </c>
      <c r="AD835">
        <v>1</v>
      </c>
      <c r="AE835">
        <v>0</v>
      </c>
      <c r="AF835">
        <v>494.23</v>
      </c>
      <c r="AI835" t="s">
        <v>3809</v>
      </c>
      <c r="AJ835">
        <v>60000</v>
      </c>
      <c r="AP835">
        <v>0</v>
      </c>
      <c r="AR835" t="s">
        <v>4185</v>
      </c>
      <c r="AS835" t="s">
        <v>4210</v>
      </c>
      <c r="AT835" t="s">
        <v>4219</v>
      </c>
    </row>
    <row r="836" spans="1:46">
      <c r="A836" s="1">
        <f>HYPERLINK("https://lsnyc.legalserver.org/matter/dynamic-profile/view/1871601","18-1871601")</f>
        <v>0</v>
      </c>
      <c r="B836" t="s">
        <v>68</v>
      </c>
      <c r="C836" t="s">
        <v>215</v>
      </c>
      <c r="E836" t="s">
        <v>755</v>
      </c>
      <c r="F836" t="s">
        <v>1264</v>
      </c>
      <c r="G836" t="s">
        <v>1642</v>
      </c>
      <c r="H836" t="s">
        <v>1968</v>
      </c>
      <c r="I836">
        <v>11206</v>
      </c>
      <c r="J836" t="s">
        <v>2002</v>
      </c>
      <c r="K836" t="s">
        <v>2002</v>
      </c>
      <c r="N836" t="s">
        <v>2433</v>
      </c>
      <c r="O836" t="s">
        <v>2442</v>
      </c>
      <c r="Q836" t="s">
        <v>2003</v>
      </c>
      <c r="S836" t="s">
        <v>215</v>
      </c>
      <c r="T836">
        <v>513</v>
      </c>
      <c r="U836" t="s">
        <v>2506</v>
      </c>
      <c r="W836" t="s">
        <v>3036</v>
      </c>
      <c r="Y836" t="s">
        <v>3671</v>
      </c>
      <c r="Z836">
        <v>6</v>
      </c>
      <c r="AA836" t="s">
        <v>3791</v>
      </c>
      <c r="AC836">
        <v>17</v>
      </c>
      <c r="AD836">
        <v>2</v>
      </c>
      <c r="AE836">
        <v>1</v>
      </c>
      <c r="AF836">
        <v>117.34</v>
      </c>
      <c r="AG836" t="s">
        <v>3803</v>
      </c>
      <c r="AH836" t="s">
        <v>3808</v>
      </c>
      <c r="AI836" t="s">
        <v>3810</v>
      </c>
      <c r="AJ836">
        <v>24384</v>
      </c>
      <c r="AP836">
        <v>0</v>
      </c>
      <c r="AR836" t="s">
        <v>4184</v>
      </c>
      <c r="AS836" t="s">
        <v>4216</v>
      </c>
      <c r="AT836" t="s">
        <v>4220</v>
      </c>
    </row>
    <row r="837" spans="1:46">
      <c r="A837" s="1">
        <f>HYPERLINK("https://lsnyc.legalserver.org/matter/dynamic-profile/view/1866708","18-1866708")</f>
        <v>0</v>
      </c>
      <c r="B837" t="s">
        <v>68</v>
      </c>
      <c r="C837" t="s">
        <v>213</v>
      </c>
      <c r="E837" t="s">
        <v>457</v>
      </c>
      <c r="F837" t="s">
        <v>966</v>
      </c>
      <c r="G837" t="s">
        <v>1464</v>
      </c>
      <c r="H837" t="s">
        <v>1740</v>
      </c>
      <c r="I837">
        <v>11233</v>
      </c>
      <c r="J837" t="s">
        <v>2002</v>
      </c>
      <c r="K837" t="s">
        <v>2002</v>
      </c>
      <c r="M837" t="s">
        <v>2006</v>
      </c>
      <c r="N837" t="s">
        <v>2417</v>
      </c>
      <c r="O837" t="s">
        <v>2436</v>
      </c>
      <c r="Q837" t="s">
        <v>2003</v>
      </c>
      <c r="S837" t="s">
        <v>308</v>
      </c>
      <c r="T837">
        <v>647</v>
      </c>
      <c r="U837" t="s">
        <v>2508</v>
      </c>
      <c r="W837" t="s">
        <v>2659</v>
      </c>
      <c r="X837" t="s">
        <v>3201</v>
      </c>
      <c r="Y837" t="s">
        <v>3426</v>
      </c>
      <c r="Z837">
        <v>23</v>
      </c>
      <c r="AA837" t="s">
        <v>3783</v>
      </c>
      <c r="AB837" t="s">
        <v>3799</v>
      </c>
      <c r="AC837">
        <v>4</v>
      </c>
      <c r="AD837">
        <v>1</v>
      </c>
      <c r="AE837">
        <v>0</v>
      </c>
      <c r="AF837">
        <v>192.75</v>
      </c>
      <c r="AI837" t="s">
        <v>3809</v>
      </c>
      <c r="AJ837">
        <v>23400</v>
      </c>
      <c r="AK837" t="s">
        <v>3924</v>
      </c>
      <c r="AP837">
        <v>5.5</v>
      </c>
      <c r="AQ837" t="s">
        <v>239</v>
      </c>
      <c r="AR837" t="s">
        <v>4205</v>
      </c>
      <c r="AS837" t="s">
        <v>4210</v>
      </c>
      <c r="AT837" t="s">
        <v>4219</v>
      </c>
    </row>
    <row r="838" spans="1:46">
      <c r="A838" s="1">
        <f>HYPERLINK("https://lsnyc.legalserver.org/matter/dynamic-profile/view/1876512","18-1876512")</f>
        <v>0</v>
      </c>
      <c r="B838" t="s">
        <v>68</v>
      </c>
      <c r="C838" t="s">
        <v>176</v>
      </c>
      <c r="E838" t="s">
        <v>640</v>
      </c>
      <c r="F838" t="s">
        <v>1265</v>
      </c>
      <c r="G838" t="s">
        <v>1643</v>
      </c>
      <c r="H838" t="s">
        <v>1969</v>
      </c>
      <c r="I838">
        <v>11213</v>
      </c>
      <c r="J838" t="s">
        <v>2002</v>
      </c>
      <c r="K838" t="s">
        <v>2002</v>
      </c>
      <c r="L838" t="s">
        <v>2005</v>
      </c>
      <c r="M838" t="s">
        <v>2308</v>
      </c>
      <c r="N838" t="s">
        <v>2414</v>
      </c>
      <c r="O838" t="s">
        <v>2437</v>
      </c>
      <c r="Q838" t="s">
        <v>2002</v>
      </c>
      <c r="S838" t="s">
        <v>193</v>
      </c>
      <c r="T838">
        <v>905.59</v>
      </c>
      <c r="U838" t="s">
        <v>2496</v>
      </c>
      <c r="W838" t="s">
        <v>3037</v>
      </c>
      <c r="Y838" t="s">
        <v>3672</v>
      </c>
      <c r="Z838">
        <v>34</v>
      </c>
      <c r="AA838" t="s">
        <v>3783</v>
      </c>
      <c r="AB838" t="s">
        <v>2006</v>
      </c>
      <c r="AC838">
        <v>25</v>
      </c>
      <c r="AD838">
        <v>2</v>
      </c>
      <c r="AE838">
        <v>0</v>
      </c>
      <c r="AF838">
        <v>167.68</v>
      </c>
      <c r="AI838" t="s">
        <v>3810</v>
      </c>
      <c r="AJ838">
        <v>27600</v>
      </c>
      <c r="AK838" t="s">
        <v>3924</v>
      </c>
      <c r="AP838">
        <v>0.1</v>
      </c>
      <c r="AQ838" t="s">
        <v>226</v>
      </c>
      <c r="AR838" t="s">
        <v>4185</v>
      </c>
      <c r="AS838" t="s">
        <v>4210</v>
      </c>
      <c r="AT838" t="s">
        <v>4219</v>
      </c>
    </row>
    <row r="839" spans="1:46">
      <c r="A839" s="1">
        <f>HYPERLINK("https://lsnyc.legalserver.org/matter/dynamic-profile/view/1876511","18-1876511")</f>
        <v>0</v>
      </c>
      <c r="B839" t="s">
        <v>68</v>
      </c>
      <c r="C839" t="s">
        <v>176</v>
      </c>
      <c r="E839" t="s">
        <v>756</v>
      </c>
      <c r="F839" t="s">
        <v>1266</v>
      </c>
      <c r="G839" t="s">
        <v>1643</v>
      </c>
      <c r="H839" t="s">
        <v>1970</v>
      </c>
      <c r="I839">
        <v>11213</v>
      </c>
      <c r="J839" t="s">
        <v>2002</v>
      </c>
      <c r="K839" t="s">
        <v>2002</v>
      </c>
      <c r="M839" t="s">
        <v>2287</v>
      </c>
      <c r="N839" t="s">
        <v>2414</v>
      </c>
      <c r="O839" t="s">
        <v>2437</v>
      </c>
      <c r="Q839" t="s">
        <v>2002</v>
      </c>
      <c r="S839" t="s">
        <v>193</v>
      </c>
      <c r="T839">
        <v>756</v>
      </c>
      <c r="U839" t="s">
        <v>2496</v>
      </c>
      <c r="W839" t="s">
        <v>3038</v>
      </c>
      <c r="Y839" t="s">
        <v>3673</v>
      </c>
      <c r="Z839">
        <v>34</v>
      </c>
      <c r="AA839" t="s">
        <v>3783</v>
      </c>
      <c r="AB839" t="s">
        <v>2006</v>
      </c>
      <c r="AC839">
        <v>40</v>
      </c>
      <c r="AD839">
        <v>2</v>
      </c>
      <c r="AE839">
        <v>0</v>
      </c>
      <c r="AF839">
        <v>335.36</v>
      </c>
      <c r="AI839" t="s">
        <v>3809</v>
      </c>
      <c r="AJ839">
        <v>55200</v>
      </c>
      <c r="AP839">
        <v>0.75</v>
      </c>
      <c r="AQ839" t="s">
        <v>242</v>
      </c>
      <c r="AR839" t="s">
        <v>4185</v>
      </c>
      <c r="AS839" t="s">
        <v>4210</v>
      </c>
      <c r="AT839" t="s">
        <v>4219</v>
      </c>
    </row>
    <row r="840" spans="1:46">
      <c r="A840" s="1">
        <f>HYPERLINK("https://lsnyc.legalserver.org/matter/dynamic-profile/view/1876516","18-1876516")</f>
        <v>0</v>
      </c>
      <c r="B840" t="s">
        <v>68</v>
      </c>
      <c r="C840" t="s">
        <v>176</v>
      </c>
      <c r="E840" t="s">
        <v>757</v>
      </c>
      <c r="F840" t="s">
        <v>1267</v>
      </c>
      <c r="G840" t="s">
        <v>1541</v>
      </c>
      <c r="H840">
        <v>27</v>
      </c>
      <c r="I840">
        <v>11213</v>
      </c>
      <c r="J840" t="s">
        <v>2002</v>
      </c>
      <c r="K840" t="s">
        <v>2002</v>
      </c>
      <c r="M840" t="s">
        <v>2287</v>
      </c>
      <c r="N840" t="s">
        <v>2414</v>
      </c>
      <c r="O840" t="s">
        <v>2437</v>
      </c>
      <c r="Q840" t="s">
        <v>2002</v>
      </c>
      <c r="S840" t="s">
        <v>193</v>
      </c>
      <c r="T840">
        <v>861.2</v>
      </c>
      <c r="U840" t="s">
        <v>2496</v>
      </c>
      <c r="W840" t="s">
        <v>3039</v>
      </c>
      <c r="Y840" t="s">
        <v>3674</v>
      </c>
      <c r="Z840">
        <v>31</v>
      </c>
      <c r="AA840" t="s">
        <v>3783</v>
      </c>
      <c r="AB840" t="s">
        <v>2006</v>
      </c>
      <c r="AC840">
        <v>34</v>
      </c>
      <c r="AD840">
        <v>2</v>
      </c>
      <c r="AE840">
        <v>0</v>
      </c>
      <c r="AF840">
        <v>369.38</v>
      </c>
      <c r="AI840" t="s">
        <v>3809</v>
      </c>
      <c r="AJ840">
        <v>60800</v>
      </c>
      <c r="AP840">
        <v>0.1</v>
      </c>
      <c r="AQ840" t="s">
        <v>242</v>
      </c>
      <c r="AR840" t="s">
        <v>4185</v>
      </c>
      <c r="AS840" t="s">
        <v>4210</v>
      </c>
      <c r="AT840" t="s">
        <v>4219</v>
      </c>
    </row>
    <row r="841" spans="1:46">
      <c r="A841" s="1">
        <f>HYPERLINK("https://lsnyc.legalserver.org/matter/dynamic-profile/view/1879255","18-1879255")</f>
        <v>0</v>
      </c>
      <c r="B841" t="s">
        <v>68</v>
      </c>
      <c r="C841" t="s">
        <v>116</v>
      </c>
      <c r="E841" t="s">
        <v>758</v>
      </c>
      <c r="F841" t="s">
        <v>1268</v>
      </c>
      <c r="G841" t="s">
        <v>1540</v>
      </c>
      <c r="H841" t="s">
        <v>1736</v>
      </c>
      <c r="I841">
        <v>11213</v>
      </c>
      <c r="J841" t="s">
        <v>2002</v>
      </c>
      <c r="K841" t="s">
        <v>2002</v>
      </c>
      <c r="L841" t="s">
        <v>2005</v>
      </c>
      <c r="M841" t="s">
        <v>2287</v>
      </c>
      <c r="N841" t="s">
        <v>2414</v>
      </c>
      <c r="O841" t="s">
        <v>2437</v>
      </c>
      <c r="Q841" t="s">
        <v>2002</v>
      </c>
      <c r="S841" t="s">
        <v>81</v>
      </c>
      <c r="T841">
        <v>1200</v>
      </c>
      <c r="W841" t="s">
        <v>3040</v>
      </c>
      <c r="Y841" t="s">
        <v>3675</v>
      </c>
      <c r="Z841">
        <v>35</v>
      </c>
      <c r="AA841" t="s">
        <v>3783</v>
      </c>
      <c r="AC841">
        <v>10</v>
      </c>
      <c r="AD841">
        <v>3</v>
      </c>
      <c r="AE841">
        <v>1</v>
      </c>
      <c r="AF841">
        <v>79.68000000000001</v>
      </c>
      <c r="AI841" t="s">
        <v>3809</v>
      </c>
      <c r="AJ841">
        <v>20000</v>
      </c>
      <c r="AP841">
        <v>0.1</v>
      </c>
      <c r="AQ841" t="s">
        <v>226</v>
      </c>
      <c r="AR841" t="s">
        <v>4185</v>
      </c>
      <c r="AS841" t="s">
        <v>4210</v>
      </c>
      <c r="AT841" t="s">
        <v>4219</v>
      </c>
    </row>
    <row r="842" spans="1:46">
      <c r="A842" s="1">
        <f>HYPERLINK("https://lsnyc.legalserver.org/matter/dynamic-profile/view/1879248","18-1879248")</f>
        <v>0</v>
      </c>
      <c r="B842" t="s">
        <v>68</v>
      </c>
      <c r="C842" t="s">
        <v>116</v>
      </c>
      <c r="E842" t="s">
        <v>759</v>
      </c>
      <c r="F842" t="s">
        <v>1190</v>
      </c>
      <c r="G842" t="s">
        <v>1644</v>
      </c>
      <c r="H842" t="s">
        <v>1764</v>
      </c>
      <c r="I842">
        <v>11213</v>
      </c>
      <c r="J842" t="s">
        <v>2002</v>
      </c>
      <c r="K842" t="s">
        <v>2002</v>
      </c>
      <c r="M842" t="s">
        <v>2287</v>
      </c>
      <c r="N842" t="s">
        <v>2414</v>
      </c>
      <c r="O842" t="s">
        <v>2437</v>
      </c>
      <c r="Q842" t="s">
        <v>2002</v>
      </c>
      <c r="S842" t="s">
        <v>81</v>
      </c>
      <c r="T842">
        <v>652.36</v>
      </c>
      <c r="W842" t="s">
        <v>3041</v>
      </c>
      <c r="Y842" t="s">
        <v>3676</v>
      </c>
      <c r="Z842">
        <v>6</v>
      </c>
      <c r="AA842" t="s">
        <v>3783</v>
      </c>
      <c r="AB842" t="s">
        <v>2006</v>
      </c>
      <c r="AC842">
        <v>45</v>
      </c>
      <c r="AD842">
        <v>2</v>
      </c>
      <c r="AE842">
        <v>0</v>
      </c>
      <c r="AF842">
        <v>230.46</v>
      </c>
      <c r="AI842" t="s">
        <v>3809</v>
      </c>
      <c r="AJ842">
        <v>37934.16</v>
      </c>
      <c r="AP842">
        <v>0.1</v>
      </c>
      <c r="AQ842" t="s">
        <v>242</v>
      </c>
      <c r="AR842" t="s">
        <v>4185</v>
      </c>
      <c r="AS842" t="s">
        <v>4210</v>
      </c>
      <c r="AT842" t="s">
        <v>4219</v>
      </c>
    </row>
    <row r="843" spans="1:46">
      <c r="A843" s="1">
        <f>HYPERLINK("https://lsnyc.legalserver.org/matter/dynamic-profile/view/1880097","18-1880097")</f>
        <v>0</v>
      </c>
      <c r="B843" t="s">
        <v>68</v>
      </c>
      <c r="C843" t="s">
        <v>121</v>
      </c>
      <c r="E843" t="s">
        <v>760</v>
      </c>
      <c r="F843" t="s">
        <v>1245</v>
      </c>
      <c r="G843" t="s">
        <v>1643</v>
      </c>
      <c r="H843" t="s">
        <v>1752</v>
      </c>
      <c r="I843">
        <v>11213</v>
      </c>
      <c r="J843" t="s">
        <v>2002</v>
      </c>
      <c r="K843" t="s">
        <v>2002</v>
      </c>
      <c r="M843" t="s">
        <v>2287</v>
      </c>
      <c r="N843" t="s">
        <v>2414</v>
      </c>
      <c r="O843" t="s">
        <v>2437</v>
      </c>
      <c r="Q843" t="s">
        <v>2002</v>
      </c>
      <c r="R843" t="s">
        <v>2451</v>
      </c>
      <c r="S843" t="s">
        <v>91</v>
      </c>
      <c r="T843">
        <v>0</v>
      </c>
      <c r="U843" t="s">
        <v>2496</v>
      </c>
      <c r="W843" t="s">
        <v>3042</v>
      </c>
      <c r="X843" t="s">
        <v>2006</v>
      </c>
      <c r="Y843" t="s">
        <v>3677</v>
      </c>
      <c r="Z843">
        <v>34</v>
      </c>
      <c r="AA843" t="s">
        <v>3783</v>
      </c>
      <c r="AB843" t="s">
        <v>2006</v>
      </c>
      <c r="AC843">
        <v>0</v>
      </c>
      <c r="AD843">
        <v>1</v>
      </c>
      <c r="AE843">
        <v>0</v>
      </c>
      <c r="AF843">
        <v>461.29</v>
      </c>
      <c r="AI843" t="s">
        <v>3809</v>
      </c>
      <c r="AJ843">
        <v>56000</v>
      </c>
      <c r="AP843">
        <v>1.2</v>
      </c>
      <c r="AQ843" t="s">
        <v>91</v>
      </c>
      <c r="AR843" t="s">
        <v>4185</v>
      </c>
      <c r="AS843" t="s">
        <v>4210</v>
      </c>
      <c r="AT843" t="s">
        <v>4219</v>
      </c>
    </row>
    <row r="844" spans="1:46">
      <c r="A844" s="1">
        <f>HYPERLINK("https://lsnyc.legalserver.org/matter/dynamic-profile/view/1880274","18-1880274")</f>
        <v>0</v>
      </c>
      <c r="B844" t="s">
        <v>68</v>
      </c>
      <c r="C844" t="s">
        <v>114</v>
      </c>
      <c r="E844" t="s">
        <v>761</v>
      </c>
      <c r="F844" t="s">
        <v>1269</v>
      </c>
      <c r="G844" t="s">
        <v>1541</v>
      </c>
      <c r="H844">
        <v>7</v>
      </c>
      <c r="I844">
        <v>11213</v>
      </c>
      <c r="J844" t="s">
        <v>2002</v>
      </c>
      <c r="K844" t="s">
        <v>2002</v>
      </c>
      <c r="L844" t="s">
        <v>2005</v>
      </c>
      <c r="M844" t="s">
        <v>2027</v>
      </c>
      <c r="N844" t="s">
        <v>2425</v>
      </c>
      <c r="O844" t="s">
        <v>2436</v>
      </c>
      <c r="Q844" t="s">
        <v>2003</v>
      </c>
      <c r="R844" t="s">
        <v>2451</v>
      </c>
      <c r="S844" t="s">
        <v>112</v>
      </c>
      <c r="T844">
        <v>931.36</v>
      </c>
      <c r="W844" t="s">
        <v>3043</v>
      </c>
      <c r="X844" t="s">
        <v>2006</v>
      </c>
      <c r="Z844">
        <v>31</v>
      </c>
      <c r="AA844" t="s">
        <v>3783</v>
      </c>
      <c r="AB844" t="s">
        <v>2006</v>
      </c>
      <c r="AC844">
        <v>35</v>
      </c>
      <c r="AD844">
        <v>2</v>
      </c>
      <c r="AE844">
        <v>0</v>
      </c>
      <c r="AF844">
        <v>194.41</v>
      </c>
      <c r="AI844" t="s">
        <v>3809</v>
      </c>
      <c r="AJ844">
        <v>32000</v>
      </c>
      <c r="AK844" t="s">
        <v>4081</v>
      </c>
      <c r="AP844">
        <v>0</v>
      </c>
      <c r="AR844" t="s">
        <v>4185</v>
      </c>
      <c r="AS844" t="s">
        <v>4210</v>
      </c>
      <c r="AT844" t="s">
        <v>4219</v>
      </c>
    </row>
    <row r="845" spans="1:46">
      <c r="A845" s="1">
        <f>HYPERLINK("https://lsnyc.legalserver.org/matter/dynamic-profile/view/1880062","18-1880062")</f>
        <v>0</v>
      </c>
      <c r="B845" t="s">
        <v>68</v>
      </c>
      <c r="C845" t="s">
        <v>121</v>
      </c>
      <c r="E845" t="s">
        <v>427</v>
      </c>
      <c r="F845" t="s">
        <v>1065</v>
      </c>
      <c r="G845" t="s">
        <v>1517</v>
      </c>
      <c r="H845" t="s">
        <v>1768</v>
      </c>
      <c r="I845">
        <v>11207</v>
      </c>
      <c r="J845" t="s">
        <v>2003</v>
      </c>
      <c r="K845" t="s">
        <v>2003</v>
      </c>
      <c r="M845" t="s">
        <v>2027</v>
      </c>
      <c r="N845" t="s">
        <v>2420</v>
      </c>
      <c r="O845" t="s">
        <v>2437</v>
      </c>
      <c r="Q845" t="s">
        <v>2002</v>
      </c>
      <c r="R845" t="s">
        <v>2451</v>
      </c>
      <c r="S845" t="s">
        <v>328</v>
      </c>
      <c r="T845">
        <v>0</v>
      </c>
      <c r="U845" t="s">
        <v>2497</v>
      </c>
      <c r="W845" t="s">
        <v>2773</v>
      </c>
      <c r="Z845">
        <v>6</v>
      </c>
      <c r="AA845" t="s">
        <v>3783</v>
      </c>
      <c r="AC845">
        <v>0</v>
      </c>
      <c r="AD845">
        <v>1</v>
      </c>
      <c r="AE845">
        <v>3</v>
      </c>
      <c r="AF845">
        <v>41.43</v>
      </c>
      <c r="AI845" t="s">
        <v>3809</v>
      </c>
      <c r="AJ845">
        <v>10400</v>
      </c>
      <c r="AP845">
        <v>0</v>
      </c>
      <c r="AR845" t="s">
        <v>4185</v>
      </c>
      <c r="AS845" t="s">
        <v>4210</v>
      </c>
      <c r="AT845" t="s">
        <v>4219</v>
      </c>
    </row>
    <row r="846" spans="1:46">
      <c r="A846" s="1">
        <f>HYPERLINK("https://lsnyc.legalserver.org/matter/dynamic-profile/view/1879917","18-1879917")</f>
        <v>0</v>
      </c>
      <c r="B846" t="s">
        <v>68</v>
      </c>
      <c r="C846" t="s">
        <v>112</v>
      </c>
      <c r="E846" t="s">
        <v>554</v>
      </c>
      <c r="F846" t="s">
        <v>1066</v>
      </c>
      <c r="G846" t="s">
        <v>1517</v>
      </c>
      <c r="H846" t="s">
        <v>1735</v>
      </c>
      <c r="I846">
        <v>11207</v>
      </c>
      <c r="J846" t="s">
        <v>2002</v>
      </c>
      <c r="K846" t="s">
        <v>2002</v>
      </c>
      <c r="N846" t="s">
        <v>2420</v>
      </c>
      <c r="O846" t="s">
        <v>2437</v>
      </c>
      <c r="Q846" t="s">
        <v>2002</v>
      </c>
      <c r="R846" t="s">
        <v>2451</v>
      </c>
      <c r="S846" t="s">
        <v>328</v>
      </c>
      <c r="T846">
        <v>1250</v>
      </c>
      <c r="U846" t="s">
        <v>2494</v>
      </c>
      <c r="W846" t="s">
        <v>2774</v>
      </c>
      <c r="X846" t="s">
        <v>3160</v>
      </c>
      <c r="Y846" t="s">
        <v>3524</v>
      </c>
      <c r="Z846">
        <v>6</v>
      </c>
      <c r="AA846" t="s">
        <v>3783</v>
      </c>
      <c r="AB846" t="s">
        <v>3798</v>
      </c>
      <c r="AC846">
        <v>7</v>
      </c>
      <c r="AD846">
        <v>1</v>
      </c>
      <c r="AE846">
        <v>1</v>
      </c>
      <c r="AF846">
        <v>45.52</v>
      </c>
      <c r="AI846" t="s">
        <v>3809</v>
      </c>
      <c r="AJ846">
        <v>7492</v>
      </c>
      <c r="AK846" t="s">
        <v>3908</v>
      </c>
      <c r="AP846">
        <v>0.12</v>
      </c>
      <c r="AQ846" t="s">
        <v>161</v>
      </c>
      <c r="AR846" t="s">
        <v>4185</v>
      </c>
      <c r="AS846" t="s">
        <v>4210</v>
      </c>
      <c r="AT846" t="s">
        <v>4219</v>
      </c>
    </row>
    <row r="847" spans="1:46">
      <c r="A847" s="1">
        <f>HYPERLINK("https://lsnyc.legalserver.org/matter/dynamic-profile/view/1879627","18-1879627")</f>
        <v>0</v>
      </c>
      <c r="B847" t="s">
        <v>68</v>
      </c>
      <c r="C847" t="s">
        <v>212</v>
      </c>
      <c r="E847" t="s">
        <v>551</v>
      </c>
      <c r="F847" t="s">
        <v>928</v>
      </c>
      <c r="G847" t="s">
        <v>1517</v>
      </c>
      <c r="H847" t="s">
        <v>1749</v>
      </c>
      <c r="I847">
        <v>11207</v>
      </c>
      <c r="J847" t="s">
        <v>2003</v>
      </c>
      <c r="K847" t="s">
        <v>2003</v>
      </c>
      <c r="N847" t="s">
        <v>2420</v>
      </c>
      <c r="O847" t="s">
        <v>2437</v>
      </c>
      <c r="Q847" t="s">
        <v>2002</v>
      </c>
      <c r="R847" t="s">
        <v>2451</v>
      </c>
      <c r="S847" t="s">
        <v>328</v>
      </c>
      <c r="T847">
        <v>1000</v>
      </c>
      <c r="U847" t="s">
        <v>2497</v>
      </c>
      <c r="W847" t="s">
        <v>2770</v>
      </c>
      <c r="Y847" t="s">
        <v>3521</v>
      </c>
      <c r="Z847">
        <v>6</v>
      </c>
      <c r="AA847" t="s">
        <v>3783</v>
      </c>
      <c r="AB847" t="s">
        <v>2006</v>
      </c>
      <c r="AC847">
        <v>4</v>
      </c>
      <c r="AD847">
        <v>1</v>
      </c>
      <c r="AE847">
        <v>3</v>
      </c>
      <c r="AF847">
        <v>82.87</v>
      </c>
      <c r="AI847" t="s">
        <v>3809</v>
      </c>
      <c r="AJ847">
        <v>20800</v>
      </c>
      <c r="AP847">
        <v>0</v>
      </c>
      <c r="AR847" t="s">
        <v>4185</v>
      </c>
      <c r="AS847" t="s">
        <v>4210</v>
      </c>
      <c r="AT847" t="s">
        <v>4219</v>
      </c>
    </row>
    <row r="848" spans="1:46">
      <c r="A848" s="1">
        <f>HYPERLINK("https://lsnyc.legalserver.org/matter/dynamic-profile/view/1879674","18-1879674")</f>
        <v>0</v>
      </c>
      <c r="B848" t="s">
        <v>68</v>
      </c>
      <c r="C848" t="s">
        <v>212</v>
      </c>
      <c r="E848" t="s">
        <v>337</v>
      </c>
      <c r="F848" t="s">
        <v>1263</v>
      </c>
      <c r="G848" t="s">
        <v>1517</v>
      </c>
      <c r="H848" t="s">
        <v>1748</v>
      </c>
      <c r="I848">
        <v>11207</v>
      </c>
      <c r="J848" t="s">
        <v>2003</v>
      </c>
      <c r="K848" t="s">
        <v>2003</v>
      </c>
      <c r="M848" t="s">
        <v>2027</v>
      </c>
      <c r="N848" t="s">
        <v>2420</v>
      </c>
      <c r="O848" t="s">
        <v>2437</v>
      </c>
      <c r="Q848" t="s">
        <v>2002</v>
      </c>
      <c r="R848" t="s">
        <v>2451</v>
      </c>
      <c r="S848" t="s">
        <v>328</v>
      </c>
      <c r="T848">
        <v>1000</v>
      </c>
      <c r="U848" t="s">
        <v>2497</v>
      </c>
      <c r="W848" t="s">
        <v>3035</v>
      </c>
      <c r="X848" t="s">
        <v>2006</v>
      </c>
      <c r="Z848">
        <v>6</v>
      </c>
      <c r="AA848" t="s">
        <v>3783</v>
      </c>
      <c r="AB848" t="s">
        <v>2006</v>
      </c>
      <c r="AC848">
        <v>3</v>
      </c>
      <c r="AD848">
        <v>1</v>
      </c>
      <c r="AE848">
        <v>0</v>
      </c>
      <c r="AF848">
        <v>494.23</v>
      </c>
      <c r="AI848" t="s">
        <v>3809</v>
      </c>
      <c r="AJ848">
        <v>60000</v>
      </c>
      <c r="AP848">
        <v>0</v>
      </c>
      <c r="AR848" t="s">
        <v>4185</v>
      </c>
      <c r="AS848" t="s">
        <v>4210</v>
      </c>
      <c r="AT848" t="s">
        <v>4219</v>
      </c>
    </row>
    <row r="849" spans="1:46">
      <c r="A849" s="1">
        <f>HYPERLINK("https://lsnyc.legalserver.org/matter/dynamic-profile/view/1882154","18-1882154")</f>
        <v>0</v>
      </c>
      <c r="B849" t="s">
        <v>68</v>
      </c>
      <c r="C849" t="s">
        <v>96</v>
      </c>
      <c r="E849" t="s">
        <v>762</v>
      </c>
      <c r="F849" t="s">
        <v>1270</v>
      </c>
      <c r="G849" t="s">
        <v>1540</v>
      </c>
      <c r="H849" t="s">
        <v>1818</v>
      </c>
      <c r="I849">
        <v>11213</v>
      </c>
      <c r="J849" t="s">
        <v>2002</v>
      </c>
      <c r="K849" t="s">
        <v>2002</v>
      </c>
      <c r="L849" t="s">
        <v>2005</v>
      </c>
      <c r="N849" t="s">
        <v>2414</v>
      </c>
      <c r="O849" t="s">
        <v>2437</v>
      </c>
      <c r="Q849" t="s">
        <v>2002</v>
      </c>
      <c r="R849" t="s">
        <v>2451</v>
      </c>
      <c r="S849" t="s">
        <v>2488</v>
      </c>
      <c r="T849">
        <v>606</v>
      </c>
      <c r="U849" t="s">
        <v>2496</v>
      </c>
      <c r="W849" t="s">
        <v>3044</v>
      </c>
      <c r="Z849">
        <v>35</v>
      </c>
      <c r="AA849" t="s">
        <v>3783</v>
      </c>
      <c r="AB849" t="s">
        <v>2006</v>
      </c>
      <c r="AC849">
        <v>5</v>
      </c>
      <c r="AD849">
        <v>2</v>
      </c>
      <c r="AE849">
        <v>3</v>
      </c>
      <c r="AF849">
        <v>81.58</v>
      </c>
      <c r="AH849" t="s">
        <v>3807</v>
      </c>
      <c r="AI849" t="s">
        <v>3809</v>
      </c>
      <c r="AJ849">
        <v>24000</v>
      </c>
      <c r="AP849">
        <v>0.1</v>
      </c>
      <c r="AQ849" t="s">
        <v>226</v>
      </c>
      <c r="AR849" t="s">
        <v>4185</v>
      </c>
      <c r="AS849" t="s">
        <v>4210</v>
      </c>
      <c r="AT849" t="s">
        <v>4219</v>
      </c>
    </row>
    <row r="850" spans="1:46">
      <c r="A850" s="1">
        <f>HYPERLINK("https://lsnyc.legalserver.org/matter/dynamic-profile/view/1882161","18-1882161")</f>
        <v>0</v>
      </c>
      <c r="B850" t="s">
        <v>68</v>
      </c>
      <c r="C850" t="s">
        <v>96</v>
      </c>
      <c r="E850" t="s">
        <v>763</v>
      </c>
      <c r="F850" t="s">
        <v>1271</v>
      </c>
      <c r="G850" t="s">
        <v>1541</v>
      </c>
      <c r="I850">
        <v>11213</v>
      </c>
      <c r="J850" t="s">
        <v>2002</v>
      </c>
      <c r="K850" t="s">
        <v>2002</v>
      </c>
      <c r="M850" t="s">
        <v>2287</v>
      </c>
      <c r="N850" t="s">
        <v>2414</v>
      </c>
      <c r="O850" t="s">
        <v>2437</v>
      </c>
      <c r="Q850" t="s">
        <v>2002</v>
      </c>
      <c r="R850" t="s">
        <v>2451</v>
      </c>
      <c r="S850" t="s">
        <v>2488</v>
      </c>
      <c r="T850">
        <v>881.67</v>
      </c>
      <c r="U850" t="s">
        <v>2496</v>
      </c>
      <c r="W850" t="s">
        <v>3045</v>
      </c>
      <c r="X850" t="s">
        <v>2006</v>
      </c>
      <c r="Y850" t="s">
        <v>3678</v>
      </c>
      <c r="Z850">
        <v>31</v>
      </c>
      <c r="AA850" t="s">
        <v>3783</v>
      </c>
      <c r="AB850" t="s">
        <v>2006</v>
      </c>
      <c r="AC850">
        <v>17</v>
      </c>
      <c r="AD850">
        <v>2</v>
      </c>
      <c r="AE850">
        <v>0</v>
      </c>
      <c r="AF850">
        <v>179.22</v>
      </c>
      <c r="AI850" t="s">
        <v>3809</v>
      </c>
      <c r="AJ850">
        <v>29500</v>
      </c>
      <c r="AP850">
        <v>0.1</v>
      </c>
      <c r="AQ850" t="s">
        <v>226</v>
      </c>
      <c r="AR850" t="s">
        <v>4185</v>
      </c>
      <c r="AS850" t="s">
        <v>4210</v>
      </c>
      <c r="AT850" t="s">
        <v>4219</v>
      </c>
    </row>
    <row r="851" spans="1:46">
      <c r="A851" s="1">
        <f>HYPERLINK("https://lsnyc.legalserver.org/matter/dynamic-profile/view/1882164","18-1882164")</f>
        <v>0</v>
      </c>
      <c r="B851" t="s">
        <v>68</v>
      </c>
      <c r="C851" t="s">
        <v>96</v>
      </c>
      <c r="E851" t="s">
        <v>764</v>
      </c>
      <c r="F851" t="s">
        <v>1272</v>
      </c>
      <c r="G851" t="s">
        <v>1540</v>
      </c>
      <c r="I851">
        <v>11213</v>
      </c>
      <c r="J851" t="s">
        <v>2002</v>
      </c>
      <c r="K851" t="s">
        <v>2002</v>
      </c>
      <c r="L851" t="s">
        <v>2005</v>
      </c>
      <c r="M851" t="s">
        <v>2308</v>
      </c>
      <c r="N851" t="s">
        <v>2414</v>
      </c>
      <c r="O851" t="s">
        <v>2437</v>
      </c>
      <c r="Q851" t="s">
        <v>2002</v>
      </c>
      <c r="R851" t="s">
        <v>2451</v>
      </c>
      <c r="S851" t="s">
        <v>2488</v>
      </c>
      <c r="T851">
        <v>678.92</v>
      </c>
      <c r="U851" t="s">
        <v>2496</v>
      </c>
      <c r="W851" t="s">
        <v>3046</v>
      </c>
      <c r="X851" t="s">
        <v>2006</v>
      </c>
      <c r="Y851" t="s">
        <v>3679</v>
      </c>
      <c r="Z851">
        <v>35</v>
      </c>
      <c r="AA851" t="s">
        <v>3783</v>
      </c>
      <c r="AB851" t="s">
        <v>2006</v>
      </c>
      <c r="AC851">
        <v>22</v>
      </c>
      <c r="AD851">
        <v>1</v>
      </c>
      <c r="AE851">
        <v>0</v>
      </c>
      <c r="AF851">
        <v>181.64</v>
      </c>
      <c r="AH851" t="s">
        <v>3807</v>
      </c>
      <c r="AI851" t="s">
        <v>3809</v>
      </c>
      <c r="AJ851">
        <v>22051</v>
      </c>
      <c r="AP851">
        <v>0.1</v>
      </c>
      <c r="AQ851" t="s">
        <v>147</v>
      </c>
      <c r="AR851" t="s">
        <v>4185</v>
      </c>
      <c r="AS851" t="s">
        <v>4210</v>
      </c>
      <c r="AT851" t="s">
        <v>4219</v>
      </c>
    </row>
    <row r="852" spans="1:46">
      <c r="A852" s="1">
        <f>HYPERLINK("https://lsnyc.legalserver.org/matter/dynamic-profile/view/1882158","18-1882158")</f>
        <v>0</v>
      </c>
      <c r="B852" t="s">
        <v>68</v>
      </c>
      <c r="C852" t="s">
        <v>96</v>
      </c>
      <c r="E852" t="s">
        <v>765</v>
      </c>
      <c r="F852" t="s">
        <v>1273</v>
      </c>
      <c r="G852" t="s">
        <v>1540</v>
      </c>
      <c r="H852" t="s">
        <v>1817</v>
      </c>
      <c r="I852">
        <v>11213</v>
      </c>
      <c r="J852" t="s">
        <v>2002</v>
      </c>
      <c r="K852" t="s">
        <v>2002</v>
      </c>
      <c r="M852" t="s">
        <v>2027</v>
      </c>
      <c r="N852" t="s">
        <v>2414</v>
      </c>
      <c r="O852" t="s">
        <v>2437</v>
      </c>
      <c r="Q852" t="s">
        <v>2002</v>
      </c>
      <c r="R852" t="s">
        <v>2451</v>
      </c>
      <c r="S852" t="s">
        <v>2488</v>
      </c>
      <c r="T852">
        <v>1169.88</v>
      </c>
      <c r="U852" t="s">
        <v>2496</v>
      </c>
      <c r="W852" t="s">
        <v>3047</v>
      </c>
      <c r="X852" t="s">
        <v>2006</v>
      </c>
      <c r="Y852" t="s">
        <v>3680</v>
      </c>
      <c r="Z852">
        <v>35</v>
      </c>
      <c r="AA852" t="s">
        <v>3783</v>
      </c>
      <c r="AB852" t="s">
        <v>2006</v>
      </c>
      <c r="AC852">
        <v>5</v>
      </c>
      <c r="AD852">
        <v>2</v>
      </c>
      <c r="AE852">
        <v>0</v>
      </c>
      <c r="AF852">
        <v>437.42</v>
      </c>
      <c r="AH852" t="s">
        <v>3807</v>
      </c>
      <c r="AI852" t="s">
        <v>3809</v>
      </c>
      <c r="AJ852">
        <v>72000</v>
      </c>
      <c r="AP852">
        <v>0.1</v>
      </c>
      <c r="AQ852" t="s">
        <v>226</v>
      </c>
      <c r="AR852" t="s">
        <v>4185</v>
      </c>
      <c r="AS852" t="s">
        <v>4210</v>
      </c>
      <c r="AT852" t="s">
        <v>4219</v>
      </c>
    </row>
    <row r="853" spans="1:46">
      <c r="A853" s="1">
        <f>HYPERLINK("https://lsnyc.legalserver.org/matter/dynamic-profile/view/1880059","18-1880059")</f>
        <v>0</v>
      </c>
      <c r="B853" t="s">
        <v>68</v>
      </c>
      <c r="C853" t="s">
        <v>121</v>
      </c>
      <c r="E853" t="s">
        <v>427</v>
      </c>
      <c r="F853" t="s">
        <v>1065</v>
      </c>
      <c r="G853" t="s">
        <v>1517</v>
      </c>
      <c r="H853" t="s">
        <v>1768</v>
      </c>
      <c r="I853">
        <v>11207</v>
      </c>
      <c r="J853" t="s">
        <v>2003</v>
      </c>
      <c r="K853" t="s">
        <v>2003</v>
      </c>
      <c r="M853" t="s">
        <v>2027</v>
      </c>
      <c r="N853" t="s">
        <v>2434</v>
      </c>
      <c r="O853" t="s">
        <v>2437</v>
      </c>
      <c r="Q853" t="s">
        <v>2002</v>
      </c>
      <c r="R853" t="s">
        <v>2451</v>
      </c>
      <c r="S853" t="s">
        <v>96</v>
      </c>
      <c r="T853">
        <v>0</v>
      </c>
      <c r="U853" t="s">
        <v>2497</v>
      </c>
      <c r="W853" t="s">
        <v>2773</v>
      </c>
      <c r="Z853">
        <v>6</v>
      </c>
      <c r="AA853" t="s">
        <v>3783</v>
      </c>
      <c r="AC853">
        <v>0</v>
      </c>
      <c r="AD853">
        <v>1</v>
      </c>
      <c r="AE853">
        <v>3</v>
      </c>
      <c r="AF853">
        <v>41.43</v>
      </c>
      <c r="AI853" t="s">
        <v>3809</v>
      </c>
      <c r="AJ853">
        <v>10400</v>
      </c>
      <c r="AP853">
        <v>0</v>
      </c>
      <c r="AR853" t="s">
        <v>4185</v>
      </c>
      <c r="AS853" t="s">
        <v>4210</v>
      </c>
      <c r="AT853" t="s">
        <v>4219</v>
      </c>
    </row>
    <row r="854" spans="1:46">
      <c r="A854" s="1">
        <f>HYPERLINK("https://lsnyc.legalserver.org/matter/dynamic-profile/view/1880041","18-1880041")</f>
        <v>0</v>
      </c>
      <c r="B854" t="s">
        <v>68</v>
      </c>
      <c r="C854" t="s">
        <v>121</v>
      </c>
      <c r="E854" t="s">
        <v>427</v>
      </c>
      <c r="F854" t="s">
        <v>1065</v>
      </c>
      <c r="G854" t="s">
        <v>1517</v>
      </c>
      <c r="H854" t="s">
        <v>1768</v>
      </c>
      <c r="I854">
        <v>11207</v>
      </c>
      <c r="J854" t="s">
        <v>2003</v>
      </c>
      <c r="K854" t="s">
        <v>2003</v>
      </c>
      <c r="M854" t="s">
        <v>2027</v>
      </c>
      <c r="O854" t="s">
        <v>2436</v>
      </c>
      <c r="Q854" t="s">
        <v>2002</v>
      </c>
      <c r="R854" t="s">
        <v>2451</v>
      </c>
      <c r="S854" t="s">
        <v>96</v>
      </c>
      <c r="T854">
        <v>0</v>
      </c>
      <c r="U854" t="s">
        <v>2497</v>
      </c>
      <c r="W854" t="s">
        <v>2773</v>
      </c>
      <c r="Z854">
        <v>6</v>
      </c>
      <c r="AA854" t="s">
        <v>3783</v>
      </c>
      <c r="AC854">
        <v>0</v>
      </c>
      <c r="AD854">
        <v>1</v>
      </c>
      <c r="AE854">
        <v>3</v>
      </c>
      <c r="AF854">
        <v>41.43</v>
      </c>
      <c r="AI854" t="s">
        <v>3809</v>
      </c>
      <c r="AJ854">
        <v>10400</v>
      </c>
      <c r="AP854">
        <v>0</v>
      </c>
      <c r="AR854" t="s">
        <v>4185</v>
      </c>
      <c r="AS854" t="s">
        <v>4210</v>
      </c>
      <c r="AT854" t="s">
        <v>4219</v>
      </c>
    </row>
    <row r="855" spans="1:46">
      <c r="A855" s="1">
        <f>HYPERLINK("https://lsnyc.legalserver.org/matter/dynamic-profile/view/1879912","18-1879912")</f>
        <v>0</v>
      </c>
      <c r="B855" t="s">
        <v>68</v>
      </c>
      <c r="C855" t="s">
        <v>112</v>
      </c>
      <c r="E855" t="s">
        <v>554</v>
      </c>
      <c r="F855" t="s">
        <v>1066</v>
      </c>
      <c r="G855" t="s">
        <v>1517</v>
      </c>
      <c r="H855" t="s">
        <v>1735</v>
      </c>
      <c r="I855">
        <v>11207</v>
      </c>
      <c r="J855" t="s">
        <v>2002</v>
      </c>
      <c r="K855" t="s">
        <v>2002</v>
      </c>
      <c r="N855" t="s">
        <v>2434</v>
      </c>
      <c r="O855" t="s">
        <v>2437</v>
      </c>
      <c r="Q855" t="s">
        <v>2002</v>
      </c>
      <c r="R855" t="s">
        <v>2451</v>
      </c>
      <c r="S855" t="s">
        <v>96</v>
      </c>
      <c r="T855">
        <v>1250</v>
      </c>
      <c r="U855" t="s">
        <v>2494</v>
      </c>
      <c r="W855" t="s">
        <v>2774</v>
      </c>
      <c r="X855" t="s">
        <v>3160</v>
      </c>
      <c r="Y855" t="s">
        <v>3524</v>
      </c>
      <c r="Z855">
        <v>6</v>
      </c>
      <c r="AA855" t="s">
        <v>3783</v>
      </c>
      <c r="AB855" t="s">
        <v>3798</v>
      </c>
      <c r="AC855">
        <v>7</v>
      </c>
      <c r="AD855">
        <v>1</v>
      </c>
      <c r="AE855">
        <v>1</v>
      </c>
      <c r="AF855">
        <v>45.52</v>
      </c>
      <c r="AI855" t="s">
        <v>3809</v>
      </c>
      <c r="AJ855">
        <v>7492</v>
      </c>
      <c r="AK855" t="s">
        <v>3908</v>
      </c>
      <c r="AP855">
        <v>0.25</v>
      </c>
      <c r="AQ855" t="s">
        <v>161</v>
      </c>
      <c r="AR855" t="s">
        <v>4185</v>
      </c>
      <c r="AS855" t="s">
        <v>4210</v>
      </c>
      <c r="AT855" t="s">
        <v>4219</v>
      </c>
    </row>
    <row r="856" spans="1:46">
      <c r="A856" s="1">
        <f>HYPERLINK("https://lsnyc.legalserver.org/matter/dynamic-profile/view/1879893","18-1879893")</f>
        <v>0</v>
      </c>
      <c r="B856" t="s">
        <v>68</v>
      </c>
      <c r="C856" t="s">
        <v>112</v>
      </c>
      <c r="E856" t="s">
        <v>554</v>
      </c>
      <c r="F856" t="s">
        <v>1066</v>
      </c>
      <c r="G856" t="s">
        <v>1517</v>
      </c>
      <c r="H856" t="s">
        <v>1735</v>
      </c>
      <c r="I856">
        <v>11207</v>
      </c>
      <c r="J856" t="s">
        <v>2002</v>
      </c>
      <c r="K856" t="s">
        <v>2002</v>
      </c>
      <c r="M856" t="s">
        <v>2027</v>
      </c>
      <c r="N856" t="s">
        <v>2027</v>
      </c>
      <c r="O856" t="s">
        <v>2436</v>
      </c>
      <c r="Q856" t="s">
        <v>2002</v>
      </c>
      <c r="R856" t="s">
        <v>2451</v>
      </c>
      <c r="S856" t="s">
        <v>96</v>
      </c>
      <c r="T856">
        <v>1250</v>
      </c>
      <c r="U856" t="s">
        <v>2494</v>
      </c>
      <c r="W856" t="s">
        <v>2774</v>
      </c>
      <c r="X856" t="s">
        <v>3160</v>
      </c>
      <c r="Y856" t="s">
        <v>3524</v>
      </c>
      <c r="Z856">
        <v>6</v>
      </c>
      <c r="AA856" t="s">
        <v>3783</v>
      </c>
      <c r="AB856" t="s">
        <v>3798</v>
      </c>
      <c r="AC856">
        <v>7</v>
      </c>
      <c r="AD856">
        <v>1</v>
      </c>
      <c r="AE856">
        <v>1</v>
      </c>
      <c r="AF856">
        <v>45.52</v>
      </c>
      <c r="AI856" t="s">
        <v>3809</v>
      </c>
      <c r="AJ856">
        <v>7492</v>
      </c>
      <c r="AK856" t="s">
        <v>3908</v>
      </c>
      <c r="AP856">
        <v>0.18</v>
      </c>
      <c r="AQ856" t="s">
        <v>161</v>
      </c>
      <c r="AR856" t="s">
        <v>4185</v>
      </c>
      <c r="AS856" t="s">
        <v>4210</v>
      </c>
      <c r="AT856" t="s">
        <v>4219</v>
      </c>
    </row>
    <row r="857" spans="1:46">
      <c r="A857" s="1">
        <f>HYPERLINK("https://lsnyc.legalserver.org/matter/dynamic-profile/view/1880031","18-1880031")</f>
        <v>0</v>
      </c>
      <c r="B857" t="s">
        <v>68</v>
      </c>
      <c r="C857" t="s">
        <v>121</v>
      </c>
      <c r="E857" t="s">
        <v>484</v>
      </c>
      <c r="F857" t="s">
        <v>868</v>
      </c>
      <c r="G857" t="s">
        <v>1517</v>
      </c>
      <c r="H857" t="s">
        <v>1746</v>
      </c>
      <c r="I857">
        <v>11207</v>
      </c>
      <c r="J857" t="s">
        <v>2002</v>
      </c>
      <c r="K857" t="s">
        <v>2002</v>
      </c>
      <c r="M857" t="s">
        <v>2027</v>
      </c>
      <c r="N857" t="s">
        <v>2434</v>
      </c>
      <c r="O857" t="s">
        <v>2437</v>
      </c>
      <c r="Q857" t="s">
        <v>2002</v>
      </c>
      <c r="R857" t="s">
        <v>2451</v>
      </c>
      <c r="S857" t="s">
        <v>96</v>
      </c>
      <c r="T857">
        <v>1365</v>
      </c>
      <c r="U857" t="s">
        <v>2497</v>
      </c>
      <c r="W857" t="s">
        <v>2775</v>
      </c>
      <c r="X857" t="s">
        <v>3160</v>
      </c>
      <c r="Y857" t="s">
        <v>3525</v>
      </c>
      <c r="Z857">
        <v>6</v>
      </c>
      <c r="AA857" t="s">
        <v>3783</v>
      </c>
      <c r="AB857" t="s">
        <v>3798</v>
      </c>
      <c r="AC857">
        <v>5</v>
      </c>
      <c r="AD857">
        <v>2</v>
      </c>
      <c r="AE857">
        <v>0</v>
      </c>
      <c r="AF857">
        <v>55.12</v>
      </c>
      <c r="AI857" t="s">
        <v>3809</v>
      </c>
      <c r="AJ857">
        <v>9072</v>
      </c>
      <c r="AK857" t="s">
        <v>3909</v>
      </c>
      <c r="AP857">
        <v>0.1</v>
      </c>
      <c r="AQ857" t="s">
        <v>161</v>
      </c>
      <c r="AR857" t="s">
        <v>4185</v>
      </c>
      <c r="AS857" t="s">
        <v>4210</v>
      </c>
      <c r="AT857" t="s">
        <v>4219</v>
      </c>
    </row>
    <row r="858" spans="1:46">
      <c r="A858" s="1">
        <f>HYPERLINK("https://lsnyc.legalserver.org/matter/dynamic-profile/view/1880018","18-1880018")</f>
        <v>0</v>
      </c>
      <c r="B858" t="s">
        <v>68</v>
      </c>
      <c r="C858" t="s">
        <v>121</v>
      </c>
      <c r="E858" t="s">
        <v>484</v>
      </c>
      <c r="F858" t="s">
        <v>868</v>
      </c>
      <c r="G858" t="s">
        <v>1517</v>
      </c>
      <c r="H858" t="s">
        <v>1746</v>
      </c>
      <c r="I858">
        <v>11207</v>
      </c>
      <c r="J858" t="s">
        <v>2002</v>
      </c>
      <c r="K858" t="s">
        <v>2002</v>
      </c>
      <c r="M858" t="s">
        <v>2027</v>
      </c>
      <c r="N858" t="s">
        <v>2027</v>
      </c>
      <c r="O858" t="s">
        <v>2436</v>
      </c>
      <c r="Q858" t="s">
        <v>2002</v>
      </c>
      <c r="R858" t="s">
        <v>2451</v>
      </c>
      <c r="S858" t="s">
        <v>96</v>
      </c>
      <c r="T858">
        <v>1365</v>
      </c>
      <c r="U858" t="s">
        <v>2497</v>
      </c>
      <c r="W858" t="s">
        <v>2775</v>
      </c>
      <c r="X858" t="s">
        <v>3160</v>
      </c>
      <c r="Y858" t="s">
        <v>3525</v>
      </c>
      <c r="Z858">
        <v>6</v>
      </c>
      <c r="AA858" t="s">
        <v>3783</v>
      </c>
      <c r="AB858" t="s">
        <v>3798</v>
      </c>
      <c r="AC858">
        <v>5</v>
      </c>
      <c r="AD858">
        <v>2</v>
      </c>
      <c r="AE858">
        <v>0</v>
      </c>
      <c r="AF858">
        <v>55.12</v>
      </c>
      <c r="AI858" t="s">
        <v>3809</v>
      </c>
      <c r="AJ858">
        <v>9072</v>
      </c>
      <c r="AK858" t="s">
        <v>3909</v>
      </c>
      <c r="AP858">
        <v>0.1</v>
      </c>
      <c r="AQ858" t="s">
        <v>161</v>
      </c>
      <c r="AR858" t="s">
        <v>4185</v>
      </c>
      <c r="AS858" t="s">
        <v>4210</v>
      </c>
      <c r="AT858" t="s">
        <v>4219</v>
      </c>
    </row>
    <row r="859" spans="1:46">
      <c r="A859" s="1">
        <f>HYPERLINK("https://lsnyc.legalserver.org/matter/dynamic-profile/view/1879625","18-1879625")</f>
        <v>0</v>
      </c>
      <c r="B859" t="s">
        <v>68</v>
      </c>
      <c r="C859" t="s">
        <v>212</v>
      </c>
      <c r="E859" t="s">
        <v>551</v>
      </c>
      <c r="F859" t="s">
        <v>928</v>
      </c>
      <c r="G859" t="s">
        <v>1517</v>
      </c>
      <c r="H859" t="s">
        <v>1749</v>
      </c>
      <c r="I859">
        <v>11207</v>
      </c>
      <c r="J859" t="s">
        <v>2003</v>
      </c>
      <c r="K859" t="s">
        <v>2003</v>
      </c>
      <c r="N859" t="s">
        <v>2434</v>
      </c>
      <c r="O859" t="s">
        <v>2437</v>
      </c>
      <c r="R859" t="s">
        <v>2451</v>
      </c>
      <c r="S859" t="s">
        <v>96</v>
      </c>
      <c r="T859">
        <v>1000</v>
      </c>
      <c r="U859" t="s">
        <v>2497</v>
      </c>
      <c r="W859" t="s">
        <v>2770</v>
      </c>
      <c r="X859" t="s">
        <v>3160</v>
      </c>
      <c r="Y859" t="s">
        <v>3521</v>
      </c>
      <c r="Z859">
        <v>6</v>
      </c>
      <c r="AA859" t="s">
        <v>3783</v>
      </c>
      <c r="AB859" t="s">
        <v>2006</v>
      </c>
      <c r="AC859">
        <v>4</v>
      </c>
      <c r="AD859">
        <v>1</v>
      </c>
      <c r="AE859">
        <v>3</v>
      </c>
      <c r="AF859">
        <v>82.87</v>
      </c>
      <c r="AI859" t="s">
        <v>3809</v>
      </c>
      <c r="AJ859">
        <v>20800</v>
      </c>
      <c r="AP859">
        <v>0</v>
      </c>
      <c r="AR859" t="s">
        <v>4185</v>
      </c>
      <c r="AS859" t="s">
        <v>4210</v>
      </c>
      <c r="AT859" t="s">
        <v>4219</v>
      </c>
    </row>
    <row r="860" spans="1:46">
      <c r="A860" s="1">
        <f>HYPERLINK("https://lsnyc.legalserver.org/matter/dynamic-profile/view/1879623","18-1879623")</f>
        <v>0</v>
      </c>
      <c r="B860" t="s">
        <v>68</v>
      </c>
      <c r="C860" t="s">
        <v>212</v>
      </c>
      <c r="E860" t="s">
        <v>551</v>
      </c>
      <c r="F860" t="s">
        <v>928</v>
      </c>
      <c r="G860" t="s">
        <v>1517</v>
      </c>
      <c r="H860" t="s">
        <v>1749</v>
      </c>
      <c r="I860">
        <v>11207</v>
      </c>
      <c r="J860" t="s">
        <v>2003</v>
      </c>
      <c r="K860" t="s">
        <v>2003</v>
      </c>
      <c r="M860" t="s">
        <v>2027</v>
      </c>
      <c r="N860" t="s">
        <v>2424</v>
      </c>
      <c r="O860" t="s">
        <v>2441</v>
      </c>
      <c r="Q860" t="s">
        <v>2002</v>
      </c>
      <c r="R860" t="s">
        <v>2451</v>
      </c>
      <c r="S860" t="s">
        <v>96</v>
      </c>
      <c r="T860">
        <v>1000</v>
      </c>
      <c r="U860" t="s">
        <v>2497</v>
      </c>
      <c r="W860" t="s">
        <v>2770</v>
      </c>
      <c r="X860" t="s">
        <v>3160</v>
      </c>
      <c r="Y860" t="s">
        <v>3521</v>
      </c>
      <c r="Z860">
        <v>6</v>
      </c>
      <c r="AA860" t="s">
        <v>3783</v>
      </c>
      <c r="AB860" t="s">
        <v>2006</v>
      </c>
      <c r="AC860">
        <v>4</v>
      </c>
      <c r="AD860">
        <v>1</v>
      </c>
      <c r="AE860">
        <v>3</v>
      </c>
      <c r="AF860">
        <v>82.87</v>
      </c>
      <c r="AI860" t="s">
        <v>3809</v>
      </c>
      <c r="AJ860">
        <v>20800</v>
      </c>
      <c r="AP860">
        <v>0.5</v>
      </c>
      <c r="AQ860" t="s">
        <v>161</v>
      </c>
      <c r="AR860" t="s">
        <v>4185</v>
      </c>
      <c r="AS860" t="s">
        <v>4210</v>
      </c>
      <c r="AT860" t="s">
        <v>4219</v>
      </c>
    </row>
    <row r="861" spans="1:46">
      <c r="A861" s="1">
        <f>HYPERLINK("https://lsnyc.legalserver.org/matter/dynamic-profile/view/1879613","18-1879613")</f>
        <v>0</v>
      </c>
      <c r="B861" t="s">
        <v>68</v>
      </c>
      <c r="C861" t="s">
        <v>212</v>
      </c>
      <c r="E861" t="s">
        <v>551</v>
      </c>
      <c r="F861" t="s">
        <v>928</v>
      </c>
      <c r="G861" t="s">
        <v>1517</v>
      </c>
      <c r="H861" t="s">
        <v>1749</v>
      </c>
      <c r="I861">
        <v>11207</v>
      </c>
      <c r="J861" t="s">
        <v>2003</v>
      </c>
      <c r="K861" t="s">
        <v>2003</v>
      </c>
      <c r="N861" t="s">
        <v>2027</v>
      </c>
      <c r="O861" t="s">
        <v>2436</v>
      </c>
      <c r="Q861" t="s">
        <v>2002</v>
      </c>
      <c r="R861" t="s">
        <v>2451</v>
      </c>
      <c r="S861" t="s">
        <v>96</v>
      </c>
      <c r="T861">
        <v>1000</v>
      </c>
      <c r="U861" t="s">
        <v>2497</v>
      </c>
      <c r="W861" t="s">
        <v>2770</v>
      </c>
      <c r="Y861" t="s">
        <v>3521</v>
      </c>
      <c r="Z861">
        <v>6</v>
      </c>
      <c r="AA861" t="s">
        <v>3783</v>
      </c>
      <c r="AB861" t="s">
        <v>2006</v>
      </c>
      <c r="AC861">
        <v>4</v>
      </c>
      <c r="AD861">
        <v>1</v>
      </c>
      <c r="AE861">
        <v>3</v>
      </c>
      <c r="AF861">
        <v>82.87</v>
      </c>
      <c r="AI861" t="s">
        <v>3809</v>
      </c>
      <c r="AJ861">
        <v>20800</v>
      </c>
      <c r="AP861">
        <v>0</v>
      </c>
      <c r="AR861" t="s">
        <v>4185</v>
      </c>
      <c r="AS861" t="s">
        <v>4210</v>
      </c>
      <c r="AT861" t="s">
        <v>4219</v>
      </c>
    </row>
    <row r="862" spans="1:46">
      <c r="A862" s="1">
        <f>HYPERLINK("https://lsnyc.legalserver.org/matter/dynamic-profile/view/1879671","18-1879671")</f>
        <v>0</v>
      </c>
      <c r="B862" t="s">
        <v>68</v>
      </c>
      <c r="C862" t="s">
        <v>212</v>
      </c>
      <c r="E862" t="s">
        <v>337</v>
      </c>
      <c r="F862" t="s">
        <v>1263</v>
      </c>
      <c r="G862" t="s">
        <v>1517</v>
      </c>
      <c r="H862" t="s">
        <v>1748</v>
      </c>
      <c r="I862">
        <v>11207</v>
      </c>
      <c r="J862" t="s">
        <v>2003</v>
      </c>
      <c r="K862" t="s">
        <v>2003</v>
      </c>
      <c r="N862" t="s">
        <v>2434</v>
      </c>
      <c r="O862" t="s">
        <v>2437</v>
      </c>
      <c r="Q862" t="s">
        <v>2002</v>
      </c>
      <c r="R862" t="s">
        <v>2451</v>
      </c>
      <c r="S862" t="s">
        <v>96</v>
      </c>
      <c r="T862">
        <v>1000</v>
      </c>
      <c r="U862" t="s">
        <v>2497</v>
      </c>
      <c r="W862" t="s">
        <v>3035</v>
      </c>
      <c r="X862" t="s">
        <v>2006</v>
      </c>
      <c r="Z862">
        <v>6</v>
      </c>
      <c r="AA862" t="s">
        <v>3783</v>
      </c>
      <c r="AB862" t="s">
        <v>2006</v>
      </c>
      <c r="AC862">
        <v>3</v>
      </c>
      <c r="AD862">
        <v>1</v>
      </c>
      <c r="AE862">
        <v>0</v>
      </c>
      <c r="AF862">
        <v>494.23</v>
      </c>
      <c r="AI862" t="s">
        <v>3809</v>
      </c>
      <c r="AJ862">
        <v>60000</v>
      </c>
      <c r="AP862">
        <v>0</v>
      </c>
      <c r="AR862" t="s">
        <v>4185</v>
      </c>
      <c r="AS862" t="s">
        <v>4210</v>
      </c>
      <c r="AT862" t="s">
        <v>4219</v>
      </c>
    </row>
    <row r="863" spans="1:46">
      <c r="A863" s="1">
        <f>HYPERLINK("https://lsnyc.legalserver.org/matter/dynamic-profile/view/1879667","18-1879667")</f>
        <v>0</v>
      </c>
      <c r="B863" t="s">
        <v>68</v>
      </c>
      <c r="C863" t="s">
        <v>212</v>
      </c>
      <c r="E863" t="s">
        <v>337</v>
      </c>
      <c r="F863" t="s">
        <v>1263</v>
      </c>
      <c r="G863" t="s">
        <v>1517</v>
      </c>
      <c r="H863" t="s">
        <v>1748</v>
      </c>
      <c r="I863">
        <v>11207</v>
      </c>
      <c r="J863" t="s">
        <v>2003</v>
      </c>
      <c r="K863" t="s">
        <v>2003</v>
      </c>
      <c r="N863" t="s">
        <v>2424</v>
      </c>
      <c r="O863" t="s">
        <v>2441</v>
      </c>
      <c r="Q863" t="s">
        <v>2002</v>
      </c>
      <c r="R863" t="s">
        <v>2451</v>
      </c>
      <c r="S863" t="s">
        <v>96</v>
      </c>
      <c r="T863">
        <v>1000</v>
      </c>
      <c r="U863" t="s">
        <v>2497</v>
      </c>
      <c r="W863" t="s">
        <v>3035</v>
      </c>
      <c r="X863" t="s">
        <v>2006</v>
      </c>
      <c r="Z863">
        <v>6</v>
      </c>
      <c r="AA863" t="s">
        <v>3783</v>
      </c>
      <c r="AB863" t="s">
        <v>2006</v>
      </c>
      <c r="AC863">
        <v>3</v>
      </c>
      <c r="AD863">
        <v>1</v>
      </c>
      <c r="AE863">
        <v>0</v>
      </c>
      <c r="AF863">
        <v>494.23</v>
      </c>
      <c r="AI863" t="s">
        <v>3809</v>
      </c>
      <c r="AJ863">
        <v>60000</v>
      </c>
      <c r="AP863">
        <v>0</v>
      </c>
      <c r="AR863" t="s">
        <v>4185</v>
      </c>
      <c r="AS863" t="s">
        <v>4210</v>
      </c>
      <c r="AT863" t="s">
        <v>4219</v>
      </c>
    </row>
    <row r="864" spans="1:46">
      <c r="A864" s="1">
        <f>HYPERLINK("https://lsnyc.legalserver.org/matter/dynamic-profile/view/1879657","18-1879657")</f>
        <v>0</v>
      </c>
      <c r="B864" t="s">
        <v>68</v>
      </c>
      <c r="C864" t="s">
        <v>212</v>
      </c>
      <c r="E864" t="s">
        <v>337</v>
      </c>
      <c r="F864" t="s">
        <v>1263</v>
      </c>
      <c r="G864" t="s">
        <v>1517</v>
      </c>
      <c r="H864" t="s">
        <v>1748</v>
      </c>
      <c r="I864">
        <v>11207</v>
      </c>
      <c r="J864" t="s">
        <v>2003</v>
      </c>
      <c r="K864" t="s">
        <v>2003</v>
      </c>
      <c r="N864" t="s">
        <v>2027</v>
      </c>
      <c r="O864" t="s">
        <v>2436</v>
      </c>
      <c r="Q864" t="s">
        <v>2002</v>
      </c>
      <c r="R864" t="s">
        <v>2451</v>
      </c>
      <c r="S864" t="s">
        <v>96</v>
      </c>
      <c r="T864">
        <v>1000</v>
      </c>
      <c r="U864" t="s">
        <v>2497</v>
      </c>
      <c r="W864" t="s">
        <v>3035</v>
      </c>
      <c r="Z864">
        <v>6</v>
      </c>
      <c r="AA864" t="s">
        <v>3783</v>
      </c>
      <c r="AB864" t="s">
        <v>2006</v>
      </c>
      <c r="AC864">
        <v>3</v>
      </c>
      <c r="AD864">
        <v>1</v>
      </c>
      <c r="AE864">
        <v>0</v>
      </c>
      <c r="AF864">
        <v>494.23</v>
      </c>
      <c r="AI864" t="s">
        <v>3809</v>
      </c>
      <c r="AJ864">
        <v>60000</v>
      </c>
      <c r="AP864">
        <v>0</v>
      </c>
      <c r="AR864" t="s">
        <v>4185</v>
      </c>
      <c r="AS864" t="s">
        <v>4210</v>
      </c>
      <c r="AT864" t="s">
        <v>4219</v>
      </c>
    </row>
    <row r="865" spans="1:46">
      <c r="A865" s="1">
        <f>HYPERLINK("https://lsnyc.legalserver.org/matter/dynamic-profile/view/1884207","18-1884207")</f>
        <v>0</v>
      </c>
      <c r="B865" t="s">
        <v>68</v>
      </c>
      <c r="C865" t="s">
        <v>267</v>
      </c>
      <c r="E865" t="s">
        <v>766</v>
      </c>
      <c r="F865" t="s">
        <v>1274</v>
      </c>
      <c r="G865" t="s">
        <v>1540</v>
      </c>
      <c r="H865" t="s">
        <v>1805</v>
      </c>
      <c r="I865">
        <v>11213</v>
      </c>
      <c r="J865" t="s">
        <v>2002</v>
      </c>
      <c r="K865" t="s">
        <v>2002</v>
      </c>
      <c r="L865" t="s">
        <v>2005</v>
      </c>
      <c r="N865" t="s">
        <v>2414</v>
      </c>
      <c r="O865" t="s">
        <v>2437</v>
      </c>
      <c r="Q865" t="s">
        <v>2002</v>
      </c>
      <c r="R865" t="s">
        <v>2451</v>
      </c>
      <c r="S865" t="s">
        <v>118</v>
      </c>
      <c r="T865">
        <v>659.52</v>
      </c>
      <c r="U865" t="s">
        <v>2496</v>
      </c>
      <c r="W865" t="s">
        <v>3048</v>
      </c>
      <c r="X865" t="s">
        <v>3269</v>
      </c>
      <c r="Z865">
        <v>35</v>
      </c>
      <c r="AA865" t="s">
        <v>3783</v>
      </c>
      <c r="AB865" t="s">
        <v>2006</v>
      </c>
      <c r="AC865">
        <v>30</v>
      </c>
      <c r="AD865">
        <v>2</v>
      </c>
      <c r="AE865">
        <v>0</v>
      </c>
      <c r="AF865">
        <v>94.78</v>
      </c>
      <c r="AI865" t="s">
        <v>3809</v>
      </c>
      <c r="AJ865">
        <v>15600</v>
      </c>
      <c r="AP865">
        <v>0.1</v>
      </c>
      <c r="AQ865" t="s">
        <v>2491</v>
      </c>
      <c r="AR865" t="s">
        <v>4185</v>
      </c>
      <c r="AS865" t="s">
        <v>4210</v>
      </c>
      <c r="AT865" t="s">
        <v>4219</v>
      </c>
    </row>
    <row r="866" spans="1:46">
      <c r="A866" s="1">
        <f>HYPERLINK("https://lsnyc.legalserver.org/matter/dynamic-profile/view/1892214","19-1892214")</f>
        <v>0</v>
      </c>
      <c r="B866" t="s">
        <v>68</v>
      </c>
      <c r="C866" t="s">
        <v>282</v>
      </c>
      <c r="E866" t="s">
        <v>767</v>
      </c>
      <c r="F866" t="s">
        <v>396</v>
      </c>
      <c r="G866" t="s">
        <v>1540</v>
      </c>
      <c r="H866" t="s">
        <v>1804</v>
      </c>
      <c r="I866">
        <v>11213</v>
      </c>
      <c r="J866" t="s">
        <v>2002</v>
      </c>
      <c r="K866" t="s">
        <v>2002</v>
      </c>
      <c r="M866" t="s">
        <v>2309</v>
      </c>
      <c r="N866" t="s">
        <v>2414</v>
      </c>
      <c r="O866" t="s">
        <v>2437</v>
      </c>
      <c r="Q866" t="s">
        <v>2002</v>
      </c>
      <c r="R866" t="s">
        <v>2451</v>
      </c>
      <c r="S866" t="s">
        <v>118</v>
      </c>
      <c r="T866">
        <v>1071.14</v>
      </c>
      <c r="W866" t="s">
        <v>3049</v>
      </c>
      <c r="Z866">
        <v>35</v>
      </c>
      <c r="AA866" t="s">
        <v>3783</v>
      </c>
      <c r="AB866" t="s">
        <v>2006</v>
      </c>
      <c r="AC866">
        <v>19</v>
      </c>
      <c r="AD866">
        <v>3</v>
      </c>
      <c r="AE866">
        <v>1</v>
      </c>
      <c r="AF866">
        <v>201.94</v>
      </c>
      <c r="AI866" t="s">
        <v>3809</v>
      </c>
      <c r="AJ866">
        <v>52000</v>
      </c>
      <c r="AK866" t="s">
        <v>4082</v>
      </c>
      <c r="AP866">
        <v>0</v>
      </c>
      <c r="AR866" t="s">
        <v>4185</v>
      </c>
      <c r="AS866" t="s">
        <v>4210</v>
      </c>
      <c r="AT866" t="s">
        <v>4219</v>
      </c>
    </row>
    <row r="867" spans="1:46">
      <c r="A867" s="1">
        <f>HYPERLINK("https://lsnyc.legalserver.org/matter/dynamic-profile/view/1885317","18-1885317")</f>
        <v>0</v>
      </c>
      <c r="B867" t="s">
        <v>68</v>
      </c>
      <c r="C867" t="s">
        <v>98</v>
      </c>
      <c r="E867" t="s">
        <v>574</v>
      </c>
      <c r="F867" t="s">
        <v>396</v>
      </c>
      <c r="G867" t="s">
        <v>1643</v>
      </c>
      <c r="H867" t="s">
        <v>1971</v>
      </c>
      <c r="I867">
        <v>11213</v>
      </c>
      <c r="J867" t="s">
        <v>2002</v>
      </c>
      <c r="K867" t="s">
        <v>2002</v>
      </c>
      <c r="M867" t="s">
        <v>2287</v>
      </c>
      <c r="N867" t="s">
        <v>2414</v>
      </c>
      <c r="O867" t="s">
        <v>2437</v>
      </c>
      <c r="Q867" t="s">
        <v>2002</v>
      </c>
      <c r="R867" t="s">
        <v>2451</v>
      </c>
      <c r="S867" t="s">
        <v>2466</v>
      </c>
      <c r="T867">
        <v>1197</v>
      </c>
      <c r="U867" t="s">
        <v>2496</v>
      </c>
      <c r="W867" t="s">
        <v>3050</v>
      </c>
      <c r="X867" t="s">
        <v>2006</v>
      </c>
      <c r="Y867" t="s">
        <v>3681</v>
      </c>
      <c r="Z867">
        <v>34</v>
      </c>
      <c r="AA867" t="s">
        <v>3783</v>
      </c>
      <c r="AB867" t="s">
        <v>2006</v>
      </c>
      <c r="AC867">
        <v>7</v>
      </c>
      <c r="AD867">
        <v>3</v>
      </c>
      <c r="AE867">
        <v>0</v>
      </c>
      <c r="AF867">
        <v>457.41</v>
      </c>
      <c r="AI867" t="s">
        <v>3809</v>
      </c>
      <c r="AJ867">
        <v>95050.08</v>
      </c>
      <c r="AP867">
        <v>0.1</v>
      </c>
      <c r="AQ867" t="s">
        <v>242</v>
      </c>
      <c r="AR867" t="s">
        <v>4185</v>
      </c>
      <c r="AS867" t="s">
        <v>4210</v>
      </c>
      <c r="AT867" t="s">
        <v>4219</v>
      </c>
    </row>
    <row r="868" spans="1:46">
      <c r="A868" s="1">
        <f>HYPERLINK("https://lsnyc.legalserver.org/matter/dynamic-profile/view/1891794","19-1891794")</f>
        <v>0</v>
      </c>
      <c r="B868" t="s">
        <v>68</v>
      </c>
      <c r="C868" t="s">
        <v>277</v>
      </c>
      <c r="E868" t="s">
        <v>768</v>
      </c>
      <c r="F868" t="s">
        <v>1275</v>
      </c>
      <c r="G868" t="s">
        <v>1645</v>
      </c>
      <c r="H868" t="s">
        <v>1791</v>
      </c>
      <c r="I868">
        <v>11213</v>
      </c>
      <c r="J868" t="s">
        <v>2002</v>
      </c>
      <c r="K868" t="s">
        <v>2002</v>
      </c>
      <c r="M868" t="s">
        <v>2287</v>
      </c>
      <c r="N868" t="s">
        <v>2414</v>
      </c>
      <c r="O868" t="s">
        <v>2437</v>
      </c>
      <c r="Q868" t="s">
        <v>2002</v>
      </c>
      <c r="R868" t="s">
        <v>2451</v>
      </c>
      <c r="S868" t="s">
        <v>2489</v>
      </c>
      <c r="T868">
        <v>852</v>
      </c>
      <c r="W868" t="s">
        <v>3051</v>
      </c>
      <c r="Y868" t="s">
        <v>3682</v>
      </c>
      <c r="Z868">
        <v>23</v>
      </c>
      <c r="AA868" t="s">
        <v>3783</v>
      </c>
      <c r="AC868">
        <v>20</v>
      </c>
      <c r="AD868">
        <v>2</v>
      </c>
      <c r="AE868">
        <v>0</v>
      </c>
      <c r="AF868">
        <v>0</v>
      </c>
      <c r="AI868" t="s">
        <v>3809</v>
      </c>
      <c r="AJ868">
        <v>0</v>
      </c>
      <c r="AP868">
        <v>0.1</v>
      </c>
      <c r="AQ868" t="s">
        <v>274</v>
      </c>
      <c r="AR868" t="s">
        <v>4185</v>
      </c>
      <c r="AS868" t="s">
        <v>4210</v>
      </c>
      <c r="AT868" t="s">
        <v>4219</v>
      </c>
    </row>
    <row r="869" spans="1:46">
      <c r="A869" s="1">
        <f>HYPERLINK("https://lsnyc.legalserver.org/matter/dynamic-profile/view/1895289","19-1895289")</f>
        <v>0</v>
      </c>
      <c r="B869" t="s">
        <v>68</v>
      </c>
      <c r="C869" t="s">
        <v>283</v>
      </c>
      <c r="E869" t="s">
        <v>757</v>
      </c>
      <c r="F869" t="s">
        <v>1276</v>
      </c>
      <c r="G869" t="s">
        <v>1480</v>
      </c>
      <c r="H869" t="s">
        <v>1772</v>
      </c>
      <c r="I869">
        <v>11212</v>
      </c>
      <c r="J869" t="s">
        <v>2002</v>
      </c>
      <c r="K869" t="s">
        <v>2002</v>
      </c>
      <c r="L869" t="s">
        <v>2005</v>
      </c>
      <c r="M869" t="s">
        <v>2310</v>
      </c>
      <c r="N869" t="s">
        <v>2419</v>
      </c>
      <c r="O869" t="s">
        <v>2436</v>
      </c>
      <c r="Q869" t="s">
        <v>2002</v>
      </c>
      <c r="R869" t="s">
        <v>2451</v>
      </c>
      <c r="S869" t="s">
        <v>277</v>
      </c>
      <c r="T869">
        <v>1515</v>
      </c>
      <c r="U869" t="s">
        <v>2494</v>
      </c>
      <c r="W869" t="s">
        <v>3052</v>
      </c>
      <c r="Y869" t="s">
        <v>3683</v>
      </c>
      <c r="Z869">
        <v>16</v>
      </c>
      <c r="AA869" t="s">
        <v>3783</v>
      </c>
      <c r="AB869" t="s">
        <v>3799</v>
      </c>
      <c r="AC869">
        <v>3</v>
      </c>
      <c r="AD869">
        <v>2</v>
      </c>
      <c r="AE869">
        <v>0</v>
      </c>
      <c r="AF869">
        <v>0</v>
      </c>
      <c r="AI869" t="s">
        <v>3809</v>
      </c>
      <c r="AJ869">
        <v>0</v>
      </c>
      <c r="AK869" t="s">
        <v>4083</v>
      </c>
      <c r="AP869">
        <v>0</v>
      </c>
      <c r="AR869" t="s">
        <v>49</v>
      </c>
      <c r="AS869" t="s">
        <v>4217</v>
      </c>
      <c r="AT869" t="s">
        <v>4219</v>
      </c>
    </row>
    <row r="870" spans="1:46">
      <c r="A870" s="1">
        <f>HYPERLINK("https://lsnyc.legalserver.org/matter/dynamic-profile/view/1901085","19-1901085")</f>
        <v>0</v>
      </c>
      <c r="B870" t="s">
        <v>68</v>
      </c>
      <c r="C870" t="s">
        <v>171</v>
      </c>
      <c r="E870" t="s">
        <v>757</v>
      </c>
      <c r="F870" t="s">
        <v>1276</v>
      </c>
      <c r="G870" t="s">
        <v>1480</v>
      </c>
      <c r="H870" t="s">
        <v>1772</v>
      </c>
      <c r="I870">
        <v>11212</v>
      </c>
      <c r="J870" t="s">
        <v>2002</v>
      </c>
      <c r="K870" t="s">
        <v>2004</v>
      </c>
      <c r="L870" t="s">
        <v>2005</v>
      </c>
      <c r="M870" t="s">
        <v>2311</v>
      </c>
      <c r="O870" t="s">
        <v>2438</v>
      </c>
      <c r="Q870" t="s">
        <v>2002</v>
      </c>
      <c r="R870" t="s">
        <v>2451</v>
      </c>
      <c r="S870" t="s">
        <v>76</v>
      </c>
      <c r="T870">
        <v>1515</v>
      </c>
      <c r="U870" t="s">
        <v>2494</v>
      </c>
      <c r="W870" t="s">
        <v>3052</v>
      </c>
      <c r="Y870" t="s">
        <v>3683</v>
      </c>
      <c r="Z870">
        <v>16</v>
      </c>
      <c r="AA870" t="s">
        <v>3783</v>
      </c>
      <c r="AB870" t="s">
        <v>3799</v>
      </c>
      <c r="AC870">
        <v>3</v>
      </c>
      <c r="AD870">
        <v>2</v>
      </c>
      <c r="AE870">
        <v>0</v>
      </c>
      <c r="AF870">
        <v>0</v>
      </c>
      <c r="AI870" t="s">
        <v>3809</v>
      </c>
      <c r="AJ870">
        <v>0</v>
      </c>
      <c r="AK870" t="s">
        <v>4084</v>
      </c>
      <c r="AP870">
        <v>0.7</v>
      </c>
      <c r="AQ870" t="s">
        <v>327</v>
      </c>
      <c r="AR870" t="s">
        <v>4185</v>
      </c>
      <c r="AS870" t="s">
        <v>4211</v>
      </c>
      <c r="AT870" t="s">
        <v>4219</v>
      </c>
    </row>
    <row r="871" spans="1:46">
      <c r="A871" s="1">
        <f>HYPERLINK("https://lsnyc.legalserver.org/matter/dynamic-profile/view/1901098","19-1901098")</f>
        <v>0</v>
      </c>
      <c r="B871" t="s">
        <v>68</v>
      </c>
      <c r="C871" t="s">
        <v>171</v>
      </c>
      <c r="E871" t="s">
        <v>769</v>
      </c>
      <c r="F871" t="s">
        <v>1277</v>
      </c>
      <c r="G871" t="s">
        <v>1480</v>
      </c>
      <c r="H871" t="s">
        <v>1754</v>
      </c>
      <c r="I871">
        <v>11212</v>
      </c>
      <c r="J871" t="s">
        <v>2002</v>
      </c>
      <c r="K871" t="s">
        <v>2004</v>
      </c>
      <c r="L871" t="s">
        <v>2005</v>
      </c>
      <c r="M871" t="s">
        <v>2311</v>
      </c>
      <c r="O871" t="s">
        <v>2438</v>
      </c>
      <c r="Q871" t="s">
        <v>2002</v>
      </c>
      <c r="R871" t="s">
        <v>2451</v>
      </c>
      <c r="S871" t="s">
        <v>76</v>
      </c>
      <c r="T871">
        <v>0</v>
      </c>
      <c r="U871" t="s">
        <v>2494</v>
      </c>
      <c r="W871" t="s">
        <v>3053</v>
      </c>
      <c r="Y871" t="s">
        <v>3684</v>
      </c>
      <c r="Z871">
        <v>23</v>
      </c>
      <c r="AA871" t="s">
        <v>3783</v>
      </c>
      <c r="AB871" t="s">
        <v>2006</v>
      </c>
      <c r="AC871">
        <v>0</v>
      </c>
      <c r="AD871">
        <v>1</v>
      </c>
      <c r="AE871">
        <v>0</v>
      </c>
      <c r="AF871">
        <v>88.29000000000001</v>
      </c>
      <c r="AI871" t="s">
        <v>3809</v>
      </c>
      <c r="AJ871">
        <v>11028</v>
      </c>
      <c r="AP871">
        <v>0</v>
      </c>
      <c r="AR871" t="s">
        <v>4185</v>
      </c>
      <c r="AS871" t="s">
        <v>4211</v>
      </c>
      <c r="AT871" t="s">
        <v>4219</v>
      </c>
    </row>
    <row r="872" spans="1:46">
      <c r="A872" s="1">
        <f>HYPERLINK("https://lsnyc.legalserver.org/matter/dynamic-profile/view/1901077","19-1901077")</f>
        <v>0</v>
      </c>
      <c r="B872" t="s">
        <v>68</v>
      </c>
      <c r="C872" t="s">
        <v>171</v>
      </c>
      <c r="E872" t="s">
        <v>501</v>
      </c>
      <c r="F872" t="s">
        <v>993</v>
      </c>
      <c r="G872" t="s">
        <v>1480</v>
      </c>
      <c r="H872" t="s">
        <v>1737</v>
      </c>
      <c r="I872">
        <v>11212</v>
      </c>
      <c r="J872" t="s">
        <v>2002</v>
      </c>
      <c r="K872" t="s">
        <v>2004</v>
      </c>
      <c r="L872" t="s">
        <v>2005</v>
      </c>
      <c r="M872" t="s">
        <v>2311</v>
      </c>
      <c r="O872" t="s">
        <v>2438</v>
      </c>
      <c r="Q872" t="s">
        <v>2002</v>
      </c>
      <c r="R872" t="s">
        <v>2451</v>
      </c>
      <c r="S872" t="s">
        <v>76</v>
      </c>
      <c r="T872">
        <v>1326</v>
      </c>
      <c r="U872" t="s">
        <v>2495</v>
      </c>
      <c r="W872" t="s">
        <v>2711</v>
      </c>
      <c r="Z872">
        <v>16</v>
      </c>
      <c r="AA872" t="s">
        <v>3783</v>
      </c>
      <c r="AB872" t="s">
        <v>3796</v>
      </c>
      <c r="AC872">
        <v>3</v>
      </c>
      <c r="AD872">
        <v>1</v>
      </c>
      <c r="AE872">
        <v>1</v>
      </c>
      <c r="AF872">
        <v>116.88</v>
      </c>
      <c r="AI872" t="s">
        <v>3809</v>
      </c>
      <c r="AJ872">
        <v>19764</v>
      </c>
      <c r="AK872" t="s">
        <v>3868</v>
      </c>
      <c r="AP872">
        <v>0</v>
      </c>
      <c r="AR872" t="s">
        <v>4185</v>
      </c>
      <c r="AS872" t="s">
        <v>4210</v>
      </c>
      <c r="AT872" t="s">
        <v>4219</v>
      </c>
    </row>
    <row r="873" spans="1:46">
      <c r="A873" s="1">
        <f>HYPERLINK("https://lsnyc.legalserver.org/matter/dynamic-profile/view/1901091","19-1901091")</f>
        <v>0</v>
      </c>
      <c r="B873" t="s">
        <v>68</v>
      </c>
      <c r="C873" t="s">
        <v>171</v>
      </c>
      <c r="E873" t="s">
        <v>482</v>
      </c>
      <c r="F873" t="s">
        <v>1014</v>
      </c>
      <c r="G873" t="s">
        <v>1480</v>
      </c>
      <c r="H873" t="s">
        <v>1760</v>
      </c>
      <c r="I873">
        <v>11212</v>
      </c>
      <c r="J873" t="s">
        <v>2002</v>
      </c>
      <c r="K873" t="s">
        <v>2004</v>
      </c>
      <c r="L873" t="s">
        <v>2005</v>
      </c>
      <c r="M873" t="s">
        <v>2311</v>
      </c>
      <c r="O873" t="s">
        <v>2438</v>
      </c>
      <c r="Q873" t="s">
        <v>2002</v>
      </c>
      <c r="R873" t="s">
        <v>2451</v>
      </c>
      <c r="S873" t="s">
        <v>76</v>
      </c>
      <c r="T873">
        <v>996</v>
      </c>
      <c r="U873" t="s">
        <v>2497</v>
      </c>
      <c r="W873" t="s">
        <v>2710</v>
      </c>
      <c r="Y873" t="s">
        <v>3465</v>
      </c>
      <c r="Z873">
        <v>16</v>
      </c>
      <c r="AA873" t="s">
        <v>3783</v>
      </c>
      <c r="AB873" t="s">
        <v>2006</v>
      </c>
      <c r="AC873">
        <v>16</v>
      </c>
      <c r="AD873">
        <v>3</v>
      </c>
      <c r="AE873">
        <v>0</v>
      </c>
      <c r="AF873">
        <v>468.82</v>
      </c>
      <c r="AI873" t="s">
        <v>3809</v>
      </c>
      <c r="AJ873">
        <v>100000</v>
      </c>
      <c r="AK873" t="s">
        <v>4085</v>
      </c>
      <c r="AP873">
        <v>0</v>
      </c>
      <c r="AR873" t="s">
        <v>4185</v>
      </c>
      <c r="AS873" t="s">
        <v>4211</v>
      </c>
      <c r="AT873" t="s">
        <v>4219</v>
      </c>
    </row>
    <row r="874" spans="1:46">
      <c r="A874" s="1">
        <f>HYPERLINK("https://lsnyc.legalserver.org/matter/dynamic-profile/view/1900799","19-1900799")</f>
        <v>0</v>
      </c>
      <c r="B874" t="s">
        <v>68</v>
      </c>
      <c r="C874" t="s">
        <v>262</v>
      </c>
      <c r="E874" t="s">
        <v>758</v>
      </c>
      <c r="F874" t="s">
        <v>1268</v>
      </c>
      <c r="G874" t="s">
        <v>1540</v>
      </c>
      <c r="H874" t="s">
        <v>1736</v>
      </c>
      <c r="I874">
        <v>11213</v>
      </c>
      <c r="J874" t="s">
        <v>2002</v>
      </c>
      <c r="K874" t="s">
        <v>2004</v>
      </c>
      <c r="L874" t="s">
        <v>2005</v>
      </c>
      <c r="N874" t="s">
        <v>2027</v>
      </c>
      <c r="O874" t="s">
        <v>2440</v>
      </c>
      <c r="Q874" t="s">
        <v>2002</v>
      </c>
      <c r="R874" t="s">
        <v>2451</v>
      </c>
      <c r="S874" t="s">
        <v>273</v>
      </c>
      <c r="T874">
        <v>1200</v>
      </c>
      <c r="W874" t="s">
        <v>3040</v>
      </c>
      <c r="Y874" t="s">
        <v>3675</v>
      </c>
      <c r="Z874">
        <v>35</v>
      </c>
      <c r="AA874" t="s">
        <v>3783</v>
      </c>
      <c r="AC874">
        <v>10</v>
      </c>
      <c r="AD874">
        <v>3</v>
      </c>
      <c r="AE874">
        <v>1</v>
      </c>
      <c r="AF874">
        <v>77.67</v>
      </c>
      <c r="AI874" t="s">
        <v>3809</v>
      </c>
      <c r="AJ874">
        <v>20000</v>
      </c>
      <c r="AK874" t="s">
        <v>4086</v>
      </c>
      <c r="AP874">
        <v>0</v>
      </c>
      <c r="AR874" t="s">
        <v>4185</v>
      </c>
      <c r="AS874" t="s">
        <v>4210</v>
      </c>
      <c r="AT874" t="s">
        <v>4219</v>
      </c>
    </row>
    <row r="875" spans="1:46">
      <c r="A875" s="1">
        <f>HYPERLINK("https://lsnyc.legalserver.org/matter/dynamic-profile/view/1900683","19-1900683")</f>
        <v>0</v>
      </c>
      <c r="B875" t="s">
        <v>68</v>
      </c>
      <c r="C875" t="s">
        <v>258</v>
      </c>
      <c r="E875" t="s">
        <v>762</v>
      </c>
      <c r="F875" t="s">
        <v>1270</v>
      </c>
      <c r="G875" t="s">
        <v>1540</v>
      </c>
      <c r="H875" t="s">
        <v>1818</v>
      </c>
      <c r="I875">
        <v>11213</v>
      </c>
      <c r="J875" t="s">
        <v>2002</v>
      </c>
      <c r="K875" t="s">
        <v>2004</v>
      </c>
      <c r="L875" t="s">
        <v>2005</v>
      </c>
      <c r="M875" t="s">
        <v>2006</v>
      </c>
      <c r="N875" t="s">
        <v>2027</v>
      </c>
      <c r="O875" t="s">
        <v>2440</v>
      </c>
      <c r="Q875" t="s">
        <v>2002</v>
      </c>
      <c r="R875" t="s">
        <v>2451</v>
      </c>
      <c r="S875" t="s">
        <v>273</v>
      </c>
      <c r="T875">
        <v>606</v>
      </c>
      <c r="U875" t="s">
        <v>2496</v>
      </c>
      <c r="W875" t="s">
        <v>3044</v>
      </c>
      <c r="Z875">
        <v>35</v>
      </c>
      <c r="AA875" t="s">
        <v>3783</v>
      </c>
      <c r="AB875" t="s">
        <v>2006</v>
      </c>
      <c r="AC875">
        <v>5</v>
      </c>
      <c r="AD875">
        <v>2</v>
      </c>
      <c r="AE875">
        <v>3</v>
      </c>
      <c r="AF875">
        <v>79.55</v>
      </c>
      <c r="AI875" t="s">
        <v>3809</v>
      </c>
      <c r="AJ875">
        <v>24000</v>
      </c>
      <c r="AK875" t="s">
        <v>4087</v>
      </c>
      <c r="AP875">
        <v>0</v>
      </c>
      <c r="AR875" t="s">
        <v>4185</v>
      </c>
      <c r="AS875" t="s">
        <v>4210</v>
      </c>
      <c r="AT875" t="s">
        <v>4219</v>
      </c>
    </row>
    <row r="876" spans="1:46">
      <c r="A876" s="1">
        <f>HYPERLINK("https://lsnyc.legalserver.org/matter/dynamic-profile/view/1900700","19-1900700")</f>
        <v>0</v>
      </c>
      <c r="B876" t="s">
        <v>68</v>
      </c>
      <c r="C876" t="s">
        <v>258</v>
      </c>
      <c r="E876" t="s">
        <v>766</v>
      </c>
      <c r="F876" t="s">
        <v>1274</v>
      </c>
      <c r="G876" t="s">
        <v>1540</v>
      </c>
      <c r="H876" t="s">
        <v>1805</v>
      </c>
      <c r="I876">
        <v>11213</v>
      </c>
      <c r="J876" t="s">
        <v>2002</v>
      </c>
      <c r="K876" t="s">
        <v>2004</v>
      </c>
      <c r="L876" t="s">
        <v>2005</v>
      </c>
      <c r="N876" t="s">
        <v>2027</v>
      </c>
      <c r="O876" t="s">
        <v>2440</v>
      </c>
      <c r="Q876" t="s">
        <v>2002</v>
      </c>
      <c r="R876" t="s">
        <v>2451</v>
      </c>
      <c r="S876" t="s">
        <v>273</v>
      </c>
      <c r="T876">
        <v>659.52</v>
      </c>
      <c r="U876" t="s">
        <v>2496</v>
      </c>
      <c r="W876" t="s">
        <v>3048</v>
      </c>
      <c r="X876" t="s">
        <v>3269</v>
      </c>
      <c r="Z876">
        <v>35</v>
      </c>
      <c r="AA876" t="s">
        <v>3783</v>
      </c>
      <c r="AB876" t="s">
        <v>2006</v>
      </c>
      <c r="AC876">
        <v>30</v>
      </c>
      <c r="AD876">
        <v>2</v>
      </c>
      <c r="AE876">
        <v>0</v>
      </c>
      <c r="AF876">
        <v>85.16</v>
      </c>
      <c r="AI876" t="s">
        <v>3809</v>
      </c>
      <c r="AJ876">
        <v>14400</v>
      </c>
      <c r="AK876" t="s">
        <v>4088</v>
      </c>
      <c r="AP876">
        <v>0</v>
      </c>
      <c r="AR876" t="s">
        <v>4185</v>
      </c>
      <c r="AS876" t="s">
        <v>4210</v>
      </c>
      <c r="AT876" t="s">
        <v>4219</v>
      </c>
    </row>
    <row r="877" spans="1:46">
      <c r="A877" s="1">
        <f>HYPERLINK("https://lsnyc.legalserver.org/matter/dynamic-profile/view/1900722","19-1900722")</f>
        <v>0</v>
      </c>
      <c r="B877" t="s">
        <v>68</v>
      </c>
      <c r="C877" t="s">
        <v>258</v>
      </c>
      <c r="E877" t="s">
        <v>640</v>
      </c>
      <c r="F877" t="s">
        <v>1265</v>
      </c>
      <c r="G877" t="s">
        <v>1643</v>
      </c>
      <c r="H877" t="s">
        <v>1969</v>
      </c>
      <c r="I877">
        <v>11213</v>
      </c>
      <c r="J877" t="s">
        <v>2002</v>
      </c>
      <c r="K877" t="s">
        <v>2004</v>
      </c>
      <c r="L877" t="s">
        <v>2005</v>
      </c>
      <c r="N877" t="s">
        <v>2027</v>
      </c>
      <c r="O877" t="s">
        <v>2440</v>
      </c>
      <c r="Q877" t="s">
        <v>2002</v>
      </c>
      <c r="R877" t="s">
        <v>2451</v>
      </c>
      <c r="S877" t="s">
        <v>273</v>
      </c>
      <c r="T877">
        <v>905.59</v>
      </c>
      <c r="U877" t="s">
        <v>2496</v>
      </c>
      <c r="W877" t="s">
        <v>3037</v>
      </c>
      <c r="Y877" t="s">
        <v>3672</v>
      </c>
      <c r="Z877">
        <v>34</v>
      </c>
      <c r="AA877" t="s">
        <v>3783</v>
      </c>
      <c r="AB877" t="s">
        <v>2006</v>
      </c>
      <c r="AC877">
        <v>25</v>
      </c>
      <c r="AD877">
        <v>2</v>
      </c>
      <c r="AE877">
        <v>0</v>
      </c>
      <c r="AF877">
        <v>163.22</v>
      </c>
      <c r="AI877" t="s">
        <v>3810</v>
      </c>
      <c r="AJ877">
        <v>27600</v>
      </c>
      <c r="AK877" t="s">
        <v>4089</v>
      </c>
      <c r="AP877">
        <v>0</v>
      </c>
      <c r="AR877" t="s">
        <v>4185</v>
      </c>
      <c r="AS877" t="s">
        <v>4210</v>
      </c>
      <c r="AT877" t="s">
        <v>4219</v>
      </c>
    </row>
    <row r="878" spans="1:46">
      <c r="A878" s="1">
        <f>HYPERLINK("https://lsnyc.legalserver.org/matter/dynamic-profile/view/1900691","19-1900691")</f>
        <v>0</v>
      </c>
      <c r="B878" t="s">
        <v>68</v>
      </c>
      <c r="C878" t="s">
        <v>258</v>
      </c>
      <c r="E878" t="s">
        <v>763</v>
      </c>
      <c r="F878" t="s">
        <v>1271</v>
      </c>
      <c r="G878" t="s">
        <v>1541</v>
      </c>
      <c r="I878">
        <v>11213</v>
      </c>
      <c r="J878" t="s">
        <v>2002</v>
      </c>
      <c r="K878" t="s">
        <v>2004</v>
      </c>
      <c r="L878" t="s">
        <v>2005</v>
      </c>
      <c r="M878" t="s">
        <v>2006</v>
      </c>
      <c r="N878" t="s">
        <v>2027</v>
      </c>
      <c r="O878" t="s">
        <v>2440</v>
      </c>
      <c r="Q878" t="s">
        <v>2002</v>
      </c>
      <c r="R878" t="s">
        <v>2451</v>
      </c>
      <c r="S878" t="s">
        <v>273</v>
      </c>
      <c r="T878">
        <v>881.67</v>
      </c>
      <c r="U878" t="s">
        <v>2496</v>
      </c>
      <c r="W878" t="s">
        <v>3045</v>
      </c>
      <c r="X878" t="s">
        <v>2006</v>
      </c>
      <c r="Y878" t="s">
        <v>3678</v>
      </c>
      <c r="Z878">
        <v>0</v>
      </c>
      <c r="AA878" t="s">
        <v>3783</v>
      </c>
      <c r="AB878" t="s">
        <v>2006</v>
      </c>
      <c r="AC878">
        <v>17</v>
      </c>
      <c r="AD878">
        <v>2</v>
      </c>
      <c r="AE878">
        <v>0</v>
      </c>
      <c r="AF878">
        <v>174.45</v>
      </c>
      <c r="AI878" t="s">
        <v>3809</v>
      </c>
      <c r="AJ878">
        <v>29500</v>
      </c>
      <c r="AP878">
        <v>0</v>
      </c>
      <c r="AR878" t="s">
        <v>4185</v>
      </c>
      <c r="AS878" t="s">
        <v>4210</v>
      </c>
      <c r="AT878" t="s">
        <v>4219</v>
      </c>
    </row>
    <row r="879" spans="1:46">
      <c r="A879" s="1">
        <f>HYPERLINK("https://lsnyc.legalserver.org/matter/dynamic-profile/view/1900693","19-1900693")</f>
        <v>0</v>
      </c>
      <c r="B879" t="s">
        <v>68</v>
      </c>
      <c r="C879" t="s">
        <v>258</v>
      </c>
      <c r="E879" t="s">
        <v>764</v>
      </c>
      <c r="F879" t="s">
        <v>1272</v>
      </c>
      <c r="G879" t="s">
        <v>1540</v>
      </c>
      <c r="I879">
        <v>11213</v>
      </c>
      <c r="J879" t="s">
        <v>2002</v>
      </c>
      <c r="K879" t="s">
        <v>2004</v>
      </c>
      <c r="L879" t="s">
        <v>2005</v>
      </c>
      <c r="N879" t="s">
        <v>2027</v>
      </c>
      <c r="O879" t="s">
        <v>2440</v>
      </c>
      <c r="Q879" t="s">
        <v>2002</v>
      </c>
      <c r="R879" t="s">
        <v>2451</v>
      </c>
      <c r="S879" t="s">
        <v>273</v>
      </c>
      <c r="T879">
        <v>678.92</v>
      </c>
      <c r="U879" t="s">
        <v>2496</v>
      </c>
      <c r="W879" t="s">
        <v>3046</v>
      </c>
      <c r="X879" t="s">
        <v>2006</v>
      </c>
      <c r="Y879" t="s">
        <v>3679</v>
      </c>
      <c r="Z879">
        <v>35</v>
      </c>
      <c r="AA879" t="s">
        <v>3783</v>
      </c>
      <c r="AB879" t="s">
        <v>2006</v>
      </c>
      <c r="AC879">
        <v>22</v>
      </c>
      <c r="AD879">
        <v>1</v>
      </c>
      <c r="AE879">
        <v>0</v>
      </c>
      <c r="AF879">
        <v>176.55</v>
      </c>
      <c r="AI879" t="s">
        <v>3809</v>
      </c>
      <c r="AJ879">
        <v>22051</v>
      </c>
      <c r="AK879" t="s">
        <v>4090</v>
      </c>
      <c r="AP879">
        <v>0</v>
      </c>
      <c r="AR879" t="s">
        <v>4185</v>
      </c>
      <c r="AS879" t="s">
        <v>4210</v>
      </c>
      <c r="AT879" t="s">
        <v>4219</v>
      </c>
    </row>
    <row r="880" spans="1:46">
      <c r="A880" s="1">
        <f>HYPERLINK("https://lsnyc.legalserver.org/matter/dynamic-profile/view/1900672","19-1900672")</f>
        <v>0</v>
      </c>
      <c r="B880" t="s">
        <v>68</v>
      </c>
      <c r="C880" t="s">
        <v>226</v>
      </c>
      <c r="E880" t="s">
        <v>656</v>
      </c>
      <c r="F880" t="s">
        <v>1160</v>
      </c>
      <c r="G880" t="s">
        <v>1541</v>
      </c>
      <c r="H880">
        <v>24</v>
      </c>
      <c r="I880">
        <v>11213</v>
      </c>
      <c r="J880" t="s">
        <v>2002</v>
      </c>
      <c r="K880" t="s">
        <v>2004</v>
      </c>
      <c r="L880" t="s">
        <v>2005</v>
      </c>
      <c r="M880" t="s">
        <v>2006</v>
      </c>
      <c r="N880" t="s">
        <v>2027</v>
      </c>
      <c r="O880" t="s">
        <v>2440</v>
      </c>
      <c r="Q880" t="s">
        <v>2002</v>
      </c>
      <c r="R880" t="s">
        <v>2451</v>
      </c>
      <c r="S880" t="s">
        <v>273</v>
      </c>
      <c r="T880">
        <v>917</v>
      </c>
      <c r="U880" t="s">
        <v>2496</v>
      </c>
      <c r="W880" t="s">
        <v>2906</v>
      </c>
      <c r="Y880" t="s">
        <v>3646</v>
      </c>
      <c r="Z880">
        <v>31</v>
      </c>
      <c r="AA880" t="s">
        <v>3783</v>
      </c>
      <c r="AB880" t="s">
        <v>2006</v>
      </c>
      <c r="AC880">
        <v>18</v>
      </c>
      <c r="AD880">
        <v>3</v>
      </c>
      <c r="AE880">
        <v>0</v>
      </c>
      <c r="AF880">
        <v>197.84</v>
      </c>
      <c r="AI880" t="s">
        <v>3809</v>
      </c>
      <c r="AJ880">
        <v>42200</v>
      </c>
      <c r="AK880" t="s">
        <v>4091</v>
      </c>
      <c r="AP880">
        <v>0.3</v>
      </c>
      <c r="AQ880" t="s">
        <v>258</v>
      </c>
      <c r="AR880" t="s">
        <v>4185</v>
      </c>
      <c r="AS880" t="s">
        <v>4210</v>
      </c>
      <c r="AT880" t="s">
        <v>4219</v>
      </c>
    </row>
    <row r="881" spans="1:46">
      <c r="A881" s="1">
        <f>HYPERLINK("https://lsnyc.legalserver.org/matter/dynamic-profile/view/1900793","19-1900793")</f>
        <v>0</v>
      </c>
      <c r="B881" t="s">
        <v>68</v>
      </c>
      <c r="C881" t="s">
        <v>262</v>
      </c>
      <c r="E881" t="s">
        <v>759</v>
      </c>
      <c r="F881" t="s">
        <v>1190</v>
      </c>
      <c r="G881" t="s">
        <v>1644</v>
      </c>
      <c r="H881" t="s">
        <v>1764</v>
      </c>
      <c r="I881">
        <v>11213</v>
      </c>
      <c r="J881" t="s">
        <v>2002</v>
      </c>
      <c r="K881" t="s">
        <v>2004</v>
      </c>
      <c r="L881" t="s">
        <v>2005</v>
      </c>
      <c r="N881" t="s">
        <v>2027</v>
      </c>
      <c r="O881" t="s">
        <v>2440</v>
      </c>
      <c r="Q881" t="s">
        <v>2002</v>
      </c>
      <c r="R881" t="s">
        <v>2451</v>
      </c>
      <c r="S881" t="s">
        <v>273</v>
      </c>
      <c r="T881">
        <v>652.36</v>
      </c>
      <c r="W881" t="s">
        <v>3041</v>
      </c>
      <c r="Y881" t="s">
        <v>3676</v>
      </c>
      <c r="Z881">
        <v>6</v>
      </c>
      <c r="AA881" t="s">
        <v>3783</v>
      </c>
      <c r="AB881" t="s">
        <v>2006</v>
      </c>
      <c r="AC881">
        <v>45</v>
      </c>
      <c r="AD881">
        <v>2</v>
      </c>
      <c r="AE881">
        <v>0</v>
      </c>
      <c r="AF881">
        <v>224.33</v>
      </c>
      <c r="AI881" t="s">
        <v>3809</v>
      </c>
      <c r="AJ881">
        <v>37934.16</v>
      </c>
      <c r="AK881" t="s">
        <v>4092</v>
      </c>
      <c r="AP881">
        <v>0</v>
      </c>
      <c r="AR881" t="s">
        <v>4185</v>
      </c>
      <c r="AS881" t="s">
        <v>4210</v>
      </c>
      <c r="AT881" t="s">
        <v>4219</v>
      </c>
    </row>
    <row r="882" spans="1:46">
      <c r="A882" s="1">
        <f>HYPERLINK("https://lsnyc.legalserver.org/matter/dynamic-profile/view/1900719","19-1900719")</f>
        <v>0</v>
      </c>
      <c r="B882" t="s">
        <v>68</v>
      </c>
      <c r="C882" t="s">
        <v>258</v>
      </c>
      <c r="E882" t="s">
        <v>756</v>
      </c>
      <c r="F882" t="s">
        <v>1266</v>
      </c>
      <c r="G882" t="s">
        <v>1643</v>
      </c>
      <c r="H882" t="s">
        <v>1970</v>
      </c>
      <c r="I882">
        <v>11213</v>
      </c>
      <c r="J882" t="s">
        <v>2002</v>
      </c>
      <c r="K882" t="s">
        <v>2004</v>
      </c>
      <c r="L882" t="s">
        <v>2005</v>
      </c>
      <c r="N882" t="s">
        <v>2027</v>
      </c>
      <c r="O882" t="s">
        <v>2440</v>
      </c>
      <c r="Q882" t="s">
        <v>2002</v>
      </c>
      <c r="R882" t="s">
        <v>2451</v>
      </c>
      <c r="S882" t="s">
        <v>273</v>
      </c>
      <c r="T882">
        <v>756</v>
      </c>
      <c r="U882" t="s">
        <v>2496</v>
      </c>
      <c r="W882" t="s">
        <v>3038</v>
      </c>
      <c r="Y882" t="s">
        <v>3673</v>
      </c>
      <c r="Z882">
        <v>34</v>
      </c>
      <c r="AA882" t="s">
        <v>3783</v>
      </c>
      <c r="AB882" t="s">
        <v>2006</v>
      </c>
      <c r="AC882">
        <v>40</v>
      </c>
      <c r="AD882">
        <v>2</v>
      </c>
      <c r="AE882">
        <v>0</v>
      </c>
      <c r="AF882">
        <v>326.43</v>
      </c>
      <c r="AI882" t="s">
        <v>3809</v>
      </c>
      <c r="AJ882">
        <v>55200</v>
      </c>
      <c r="AK882" t="s">
        <v>4093</v>
      </c>
      <c r="AP882">
        <v>0</v>
      </c>
      <c r="AR882" t="s">
        <v>4185</v>
      </c>
      <c r="AS882" t="s">
        <v>4210</v>
      </c>
      <c r="AT882" t="s">
        <v>4219</v>
      </c>
    </row>
    <row r="883" spans="1:46">
      <c r="A883" s="1">
        <f>HYPERLINK("https://lsnyc.legalserver.org/matter/dynamic-profile/view/1900725","19-1900725")</f>
        <v>0</v>
      </c>
      <c r="B883" t="s">
        <v>68</v>
      </c>
      <c r="C883" t="s">
        <v>258</v>
      </c>
      <c r="E883" t="s">
        <v>757</v>
      </c>
      <c r="F883" t="s">
        <v>1267</v>
      </c>
      <c r="G883" t="s">
        <v>1541</v>
      </c>
      <c r="H883">
        <v>27</v>
      </c>
      <c r="I883">
        <v>11213</v>
      </c>
      <c r="J883" t="s">
        <v>2002</v>
      </c>
      <c r="K883" t="s">
        <v>2004</v>
      </c>
      <c r="L883" t="s">
        <v>2005</v>
      </c>
      <c r="N883" t="s">
        <v>2027</v>
      </c>
      <c r="O883" t="s">
        <v>2440</v>
      </c>
      <c r="Q883" t="s">
        <v>2002</v>
      </c>
      <c r="R883" t="s">
        <v>2451</v>
      </c>
      <c r="S883" t="s">
        <v>273</v>
      </c>
      <c r="T883">
        <v>861.2</v>
      </c>
      <c r="U883" t="s">
        <v>2496</v>
      </c>
      <c r="W883" t="s">
        <v>3039</v>
      </c>
      <c r="Y883" t="s">
        <v>3674</v>
      </c>
      <c r="Z883">
        <v>31</v>
      </c>
      <c r="AA883" t="s">
        <v>3783</v>
      </c>
      <c r="AB883" t="s">
        <v>2006</v>
      </c>
      <c r="AC883">
        <v>34</v>
      </c>
      <c r="AD883">
        <v>2</v>
      </c>
      <c r="AE883">
        <v>0</v>
      </c>
      <c r="AF883">
        <v>359.55</v>
      </c>
      <c r="AI883" t="s">
        <v>3809</v>
      </c>
      <c r="AJ883">
        <v>60800</v>
      </c>
      <c r="AK883" t="s">
        <v>4094</v>
      </c>
      <c r="AP883">
        <v>0</v>
      </c>
      <c r="AR883" t="s">
        <v>4185</v>
      </c>
      <c r="AS883" t="s">
        <v>4210</v>
      </c>
      <c r="AT883" t="s">
        <v>4219</v>
      </c>
    </row>
    <row r="884" spans="1:46">
      <c r="A884" s="1">
        <f>HYPERLINK("https://lsnyc.legalserver.org/matter/dynamic-profile/view/1900714","19-1900714")</f>
        <v>0</v>
      </c>
      <c r="B884" t="s">
        <v>68</v>
      </c>
      <c r="C884" t="s">
        <v>258</v>
      </c>
      <c r="E884" t="s">
        <v>770</v>
      </c>
      <c r="F884" t="s">
        <v>1278</v>
      </c>
      <c r="G884" t="s">
        <v>1541</v>
      </c>
      <c r="H884">
        <v>28</v>
      </c>
      <c r="I884">
        <v>11213</v>
      </c>
      <c r="J884" t="s">
        <v>2002</v>
      </c>
      <c r="K884" t="s">
        <v>2004</v>
      </c>
      <c r="L884" t="s">
        <v>2005</v>
      </c>
      <c r="N884" t="s">
        <v>2027</v>
      </c>
      <c r="O884" t="s">
        <v>2440</v>
      </c>
      <c r="Q884" t="s">
        <v>2002</v>
      </c>
      <c r="R884" t="s">
        <v>2451</v>
      </c>
      <c r="S884" t="s">
        <v>273</v>
      </c>
      <c r="T884">
        <v>1326</v>
      </c>
      <c r="U884" t="s">
        <v>2496</v>
      </c>
      <c r="W884" t="s">
        <v>3054</v>
      </c>
      <c r="X884" t="s">
        <v>3270</v>
      </c>
      <c r="Y884" t="s">
        <v>3685</v>
      </c>
      <c r="Z884">
        <v>34</v>
      </c>
      <c r="AA884" t="s">
        <v>3783</v>
      </c>
      <c r="AB884" t="s">
        <v>2006</v>
      </c>
      <c r="AC884">
        <v>2</v>
      </c>
      <c r="AD884">
        <v>2</v>
      </c>
      <c r="AE884">
        <v>0</v>
      </c>
      <c r="AF884">
        <v>372.56</v>
      </c>
      <c r="AI884" t="s">
        <v>3809</v>
      </c>
      <c r="AJ884">
        <v>63000</v>
      </c>
      <c r="AK884" t="s">
        <v>4095</v>
      </c>
      <c r="AP884">
        <v>0</v>
      </c>
      <c r="AR884" t="s">
        <v>4185</v>
      </c>
      <c r="AS884" t="s">
        <v>4210</v>
      </c>
      <c r="AT884" t="s">
        <v>4219</v>
      </c>
    </row>
    <row r="885" spans="1:46">
      <c r="A885" s="1">
        <f>HYPERLINK("https://lsnyc.legalserver.org/matter/dynamic-profile/view/1900676","19-1900676")</f>
        <v>0</v>
      </c>
      <c r="B885" t="s">
        <v>68</v>
      </c>
      <c r="C885" t="s">
        <v>226</v>
      </c>
      <c r="E885" t="s">
        <v>375</v>
      </c>
      <c r="F885" t="s">
        <v>1279</v>
      </c>
      <c r="G885" t="s">
        <v>1643</v>
      </c>
      <c r="H885" t="s">
        <v>1963</v>
      </c>
      <c r="I885">
        <v>11213</v>
      </c>
      <c r="J885" t="s">
        <v>2002</v>
      </c>
      <c r="K885" t="s">
        <v>2004</v>
      </c>
      <c r="L885" t="s">
        <v>2005</v>
      </c>
      <c r="M885" t="s">
        <v>2027</v>
      </c>
      <c r="N885" t="s">
        <v>2027</v>
      </c>
      <c r="O885" t="s">
        <v>2440</v>
      </c>
      <c r="Q885" t="s">
        <v>2002</v>
      </c>
      <c r="R885" t="s">
        <v>2451</v>
      </c>
      <c r="S885" t="s">
        <v>273</v>
      </c>
      <c r="T885">
        <v>1205</v>
      </c>
      <c r="U885" t="s">
        <v>2496</v>
      </c>
      <c r="W885" t="s">
        <v>3055</v>
      </c>
      <c r="X885" t="s">
        <v>2006</v>
      </c>
      <c r="Z885">
        <v>34</v>
      </c>
      <c r="AA885" t="s">
        <v>3783</v>
      </c>
      <c r="AB885" t="s">
        <v>2006</v>
      </c>
      <c r="AC885">
        <v>34</v>
      </c>
      <c r="AD885">
        <v>3</v>
      </c>
      <c r="AE885">
        <v>0</v>
      </c>
      <c r="AF885">
        <v>383.7</v>
      </c>
      <c r="AI885" t="s">
        <v>3809</v>
      </c>
      <c r="AJ885">
        <v>81843</v>
      </c>
      <c r="AK885" t="s">
        <v>4096</v>
      </c>
      <c r="AP885">
        <v>0</v>
      </c>
      <c r="AR885" t="s">
        <v>4185</v>
      </c>
      <c r="AS885" t="s">
        <v>4210</v>
      </c>
      <c r="AT885" t="s">
        <v>4219</v>
      </c>
    </row>
    <row r="886" spans="1:46">
      <c r="A886" s="1">
        <f>HYPERLINK("https://lsnyc.legalserver.org/matter/dynamic-profile/view/1900677","19-1900677")</f>
        <v>0</v>
      </c>
      <c r="B886" t="s">
        <v>68</v>
      </c>
      <c r="C886" t="s">
        <v>226</v>
      </c>
      <c r="E886" t="s">
        <v>761</v>
      </c>
      <c r="F886" t="s">
        <v>1269</v>
      </c>
      <c r="G886" t="s">
        <v>1541</v>
      </c>
      <c r="H886">
        <v>7</v>
      </c>
      <c r="I886">
        <v>11213</v>
      </c>
      <c r="J886" t="s">
        <v>2002</v>
      </c>
      <c r="K886" t="s">
        <v>2004</v>
      </c>
      <c r="L886" t="s">
        <v>2005</v>
      </c>
      <c r="N886" t="s">
        <v>2027</v>
      </c>
      <c r="O886" t="s">
        <v>2440</v>
      </c>
      <c r="Q886" t="s">
        <v>2002</v>
      </c>
      <c r="R886" t="s">
        <v>2451</v>
      </c>
      <c r="S886" t="s">
        <v>226</v>
      </c>
      <c r="T886">
        <v>931.36</v>
      </c>
      <c r="U886" t="s">
        <v>2496</v>
      </c>
      <c r="W886" t="s">
        <v>3043</v>
      </c>
      <c r="X886" t="s">
        <v>2006</v>
      </c>
      <c r="Z886">
        <v>31</v>
      </c>
      <c r="AA886" t="s">
        <v>3783</v>
      </c>
      <c r="AB886" t="s">
        <v>2006</v>
      </c>
      <c r="AC886">
        <v>35</v>
      </c>
      <c r="AD886">
        <v>2</v>
      </c>
      <c r="AE886">
        <v>0</v>
      </c>
      <c r="AF886">
        <v>189.24</v>
      </c>
      <c r="AI886" t="s">
        <v>3809</v>
      </c>
      <c r="AJ886">
        <v>32000</v>
      </c>
      <c r="AK886" t="s">
        <v>4081</v>
      </c>
      <c r="AP886">
        <v>0</v>
      </c>
      <c r="AR886" t="s">
        <v>4185</v>
      </c>
      <c r="AS886" t="s">
        <v>4210</v>
      </c>
      <c r="AT886" t="s">
        <v>4219</v>
      </c>
    </row>
    <row r="887" spans="1:46">
      <c r="A887" s="1">
        <f>HYPERLINK("https://lsnyc.legalserver.org/matter/dynamic-profile/view/1870938","18-1870938")</f>
        <v>0</v>
      </c>
      <c r="B887" t="s">
        <v>69</v>
      </c>
      <c r="C887" t="s">
        <v>284</v>
      </c>
      <c r="E887" t="s">
        <v>771</v>
      </c>
      <c r="F887" t="s">
        <v>1280</v>
      </c>
      <c r="G887" t="s">
        <v>1646</v>
      </c>
      <c r="H887" t="s">
        <v>1737</v>
      </c>
      <c r="I887">
        <v>11207</v>
      </c>
      <c r="J887" t="s">
        <v>2002</v>
      </c>
      <c r="K887" t="s">
        <v>2002</v>
      </c>
      <c r="N887" t="s">
        <v>2415</v>
      </c>
      <c r="O887" t="s">
        <v>2437</v>
      </c>
      <c r="Q887" t="s">
        <v>2003</v>
      </c>
      <c r="S887" t="s">
        <v>188</v>
      </c>
      <c r="T887">
        <v>1326</v>
      </c>
      <c r="U887" t="s">
        <v>2497</v>
      </c>
      <c r="W887" t="s">
        <v>3056</v>
      </c>
      <c r="X887" t="s">
        <v>3271</v>
      </c>
      <c r="Y887" t="s">
        <v>3686</v>
      </c>
      <c r="Z887">
        <v>20</v>
      </c>
      <c r="AA887" t="s">
        <v>3783</v>
      </c>
      <c r="AB887" t="s">
        <v>2006</v>
      </c>
      <c r="AC887">
        <v>4</v>
      </c>
      <c r="AD887">
        <v>2</v>
      </c>
      <c r="AE887">
        <v>0</v>
      </c>
      <c r="AF887">
        <v>157.96</v>
      </c>
      <c r="AI887" t="s">
        <v>3809</v>
      </c>
      <c r="AJ887">
        <v>26000</v>
      </c>
      <c r="AP887">
        <v>38.7</v>
      </c>
      <c r="AQ887" t="s">
        <v>309</v>
      </c>
      <c r="AR887" t="s">
        <v>4196</v>
      </c>
      <c r="AS887" t="s">
        <v>4210</v>
      </c>
      <c r="AT887" t="s">
        <v>4219</v>
      </c>
    </row>
    <row r="888" spans="1:46">
      <c r="A888" s="1">
        <f>HYPERLINK("https://lsnyc.legalserver.org/matter/dynamic-profile/view/1872177","18-1872177")</f>
        <v>0</v>
      </c>
      <c r="B888" t="s">
        <v>69</v>
      </c>
      <c r="C888" t="s">
        <v>216</v>
      </c>
      <c r="E888" t="s">
        <v>420</v>
      </c>
      <c r="F888" t="s">
        <v>1144</v>
      </c>
      <c r="G888" t="s">
        <v>1613</v>
      </c>
      <c r="H888" t="s">
        <v>1751</v>
      </c>
      <c r="I888">
        <v>11226</v>
      </c>
      <c r="J888" t="s">
        <v>2002</v>
      </c>
      <c r="K888" t="s">
        <v>2002</v>
      </c>
      <c r="M888" t="s">
        <v>2312</v>
      </c>
      <c r="N888" t="s">
        <v>2415</v>
      </c>
      <c r="O888" t="s">
        <v>2437</v>
      </c>
      <c r="Q888" t="s">
        <v>2003</v>
      </c>
      <c r="S888" t="s">
        <v>216</v>
      </c>
      <c r="T888">
        <v>1850</v>
      </c>
      <c r="U888" t="s">
        <v>2506</v>
      </c>
      <c r="W888" t="s">
        <v>2886</v>
      </c>
      <c r="X888" t="s">
        <v>3252</v>
      </c>
      <c r="Y888" t="s">
        <v>3627</v>
      </c>
      <c r="Z888">
        <v>16</v>
      </c>
      <c r="AA888" t="s">
        <v>3783</v>
      </c>
      <c r="AC888">
        <v>10</v>
      </c>
      <c r="AD888">
        <v>1</v>
      </c>
      <c r="AE888">
        <v>0</v>
      </c>
      <c r="AF888">
        <v>0</v>
      </c>
      <c r="AG888" t="s">
        <v>3803</v>
      </c>
      <c r="AH888" t="s">
        <v>3808</v>
      </c>
      <c r="AI888" t="s">
        <v>3809</v>
      </c>
      <c r="AJ888">
        <v>0</v>
      </c>
      <c r="AP888">
        <v>40.8</v>
      </c>
      <c r="AQ888" t="s">
        <v>318</v>
      </c>
      <c r="AR888" t="s">
        <v>4184</v>
      </c>
      <c r="AS888" t="s">
        <v>4210</v>
      </c>
      <c r="AT888" t="s">
        <v>4220</v>
      </c>
    </row>
    <row r="889" spans="1:46">
      <c r="A889" s="1">
        <f>HYPERLINK("https://lsnyc.legalserver.org/matter/dynamic-profile/view/1873124","18-1873124")</f>
        <v>0</v>
      </c>
      <c r="B889" t="s">
        <v>69</v>
      </c>
      <c r="C889" t="s">
        <v>151</v>
      </c>
      <c r="D889" t="s">
        <v>95</v>
      </c>
      <c r="E889" t="s">
        <v>561</v>
      </c>
      <c r="F889" t="s">
        <v>1281</v>
      </c>
      <c r="G889" t="s">
        <v>1647</v>
      </c>
      <c r="H889">
        <v>3</v>
      </c>
      <c r="I889">
        <v>11233</v>
      </c>
      <c r="J889" t="s">
        <v>2002</v>
      </c>
      <c r="K889" t="s">
        <v>2002</v>
      </c>
      <c r="M889" t="s">
        <v>2313</v>
      </c>
      <c r="N889" t="s">
        <v>2415</v>
      </c>
      <c r="O889" t="s">
        <v>2437</v>
      </c>
      <c r="P889" t="s">
        <v>2446</v>
      </c>
      <c r="S889" t="s">
        <v>151</v>
      </c>
      <c r="T889">
        <v>0</v>
      </c>
      <c r="V889" t="s">
        <v>2523</v>
      </c>
      <c r="W889" t="s">
        <v>3057</v>
      </c>
      <c r="Y889" t="s">
        <v>3687</v>
      </c>
      <c r="Z889">
        <v>3</v>
      </c>
      <c r="AC889">
        <v>0</v>
      </c>
      <c r="AD889">
        <v>2</v>
      </c>
      <c r="AE889">
        <v>2</v>
      </c>
      <c r="AF889">
        <v>0</v>
      </c>
      <c r="AI889" t="s">
        <v>3809</v>
      </c>
      <c r="AJ889">
        <v>0</v>
      </c>
      <c r="AP889">
        <v>5.25</v>
      </c>
      <c r="AQ889" t="s">
        <v>95</v>
      </c>
      <c r="AR889" t="s">
        <v>47</v>
      </c>
      <c r="AS889" t="s">
        <v>4210</v>
      </c>
      <c r="AT889" t="s">
        <v>4219</v>
      </c>
    </row>
    <row r="890" spans="1:46">
      <c r="A890" s="1">
        <f>HYPERLINK("https://lsnyc.legalserver.org/matter/dynamic-profile/view/1873125","18-1873125")</f>
        <v>0</v>
      </c>
      <c r="B890" t="s">
        <v>69</v>
      </c>
      <c r="C890" t="s">
        <v>151</v>
      </c>
      <c r="E890" t="s">
        <v>772</v>
      </c>
      <c r="F890" t="s">
        <v>940</v>
      </c>
      <c r="G890" t="s">
        <v>1648</v>
      </c>
      <c r="H890" t="s">
        <v>1972</v>
      </c>
      <c r="I890">
        <v>11233</v>
      </c>
      <c r="J890" t="s">
        <v>2002</v>
      </c>
      <c r="K890" t="s">
        <v>2002</v>
      </c>
      <c r="M890" t="s">
        <v>2314</v>
      </c>
      <c r="N890" t="s">
        <v>2413</v>
      </c>
      <c r="O890" t="s">
        <v>2437</v>
      </c>
      <c r="Q890" t="s">
        <v>2003</v>
      </c>
      <c r="S890" t="s">
        <v>2490</v>
      </c>
      <c r="T890">
        <v>1029.2</v>
      </c>
      <c r="U890" t="s">
        <v>2499</v>
      </c>
      <c r="W890" t="s">
        <v>3058</v>
      </c>
      <c r="Y890" t="s">
        <v>3688</v>
      </c>
      <c r="Z890">
        <v>151</v>
      </c>
      <c r="AA890" t="s">
        <v>3783</v>
      </c>
      <c r="AB890" t="s">
        <v>2006</v>
      </c>
      <c r="AC890">
        <v>10</v>
      </c>
      <c r="AD890">
        <v>1</v>
      </c>
      <c r="AE890">
        <v>1</v>
      </c>
      <c r="AF890">
        <v>243.01</v>
      </c>
      <c r="AG890" t="s">
        <v>138</v>
      </c>
      <c r="AH890" t="s">
        <v>3806</v>
      </c>
      <c r="AI890" t="s">
        <v>3809</v>
      </c>
      <c r="AJ890">
        <v>40000</v>
      </c>
      <c r="AP890">
        <v>50.5</v>
      </c>
      <c r="AQ890" t="s">
        <v>132</v>
      </c>
      <c r="AR890" t="s">
        <v>4185</v>
      </c>
      <c r="AS890" t="s">
        <v>4210</v>
      </c>
      <c r="AT890" t="s">
        <v>4219</v>
      </c>
    </row>
    <row r="891" spans="1:46">
      <c r="A891" s="1">
        <f>HYPERLINK("https://lsnyc.legalserver.org/matter/dynamic-profile/view/1876323","18-1876323")</f>
        <v>0</v>
      </c>
      <c r="B891" t="s">
        <v>69</v>
      </c>
      <c r="C891" t="s">
        <v>193</v>
      </c>
      <c r="E891" t="s">
        <v>773</v>
      </c>
      <c r="F891" t="s">
        <v>1282</v>
      </c>
      <c r="G891" t="s">
        <v>1649</v>
      </c>
      <c r="H891" t="s">
        <v>1973</v>
      </c>
      <c r="I891">
        <v>11212</v>
      </c>
      <c r="J891" t="s">
        <v>2002</v>
      </c>
      <c r="K891" t="s">
        <v>2004</v>
      </c>
      <c r="L891" t="s">
        <v>2005</v>
      </c>
      <c r="M891" t="s">
        <v>2315</v>
      </c>
      <c r="N891" t="s">
        <v>2415</v>
      </c>
      <c r="O891" t="s">
        <v>2437</v>
      </c>
      <c r="Q891" t="s">
        <v>2003</v>
      </c>
      <c r="R891" t="s">
        <v>2451</v>
      </c>
      <c r="S891" t="s">
        <v>293</v>
      </c>
      <c r="T891">
        <v>1268.75</v>
      </c>
      <c r="W891" t="s">
        <v>3059</v>
      </c>
      <c r="Y891" t="s">
        <v>3689</v>
      </c>
      <c r="Z891">
        <v>0</v>
      </c>
      <c r="AA891" t="s">
        <v>3783</v>
      </c>
      <c r="AC891">
        <v>6</v>
      </c>
      <c r="AD891">
        <v>2</v>
      </c>
      <c r="AE891">
        <v>0</v>
      </c>
      <c r="AF891">
        <v>139.73</v>
      </c>
      <c r="AI891" t="s">
        <v>3809</v>
      </c>
      <c r="AJ891">
        <v>23000</v>
      </c>
      <c r="AP891">
        <v>19.3</v>
      </c>
      <c r="AQ891" t="s">
        <v>147</v>
      </c>
      <c r="AR891" t="s">
        <v>4185</v>
      </c>
      <c r="AS891" t="s">
        <v>4210</v>
      </c>
      <c r="AT891" t="s">
        <v>4219</v>
      </c>
    </row>
    <row r="892" spans="1:46">
      <c r="A892" s="1">
        <f>HYPERLINK("https://lsnyc.legalserver.org/matter/dynamic-profile/view/1875390","18-1875390")</f>
        <v>0</v>
      </c>
      <c r="B892" t="s">
        <v>69</v>
      </c>
      <c r="C892" t="s">
        <v>104</v>
      </c>
      <c r="D892" t="s">
        <v>289</v>
      </c>
      <c r="E892" t="s">
        <v>774</v>
      </c>
      <c r="F892" t="s">
        <v>1283</v>
      </c>
      <c r="G892" t="s">
        <v>1650</v>
      </c>
      <c r="H892">
        <v>1</v>
      </c>
      <c r="I892">
        <v>11208</v>
      </c>
      <c r="J892" t="s">
        <v>2002</v>
      </c>
      <c r="K892" t="s">
        <v>2002</v>
      </c>
      <c r="M892" t="s">
        <v>2316</v>
      </c>
      <c r="N892" t="s">
        <v>2415</v>
      </c>
      <c r="O892" t="s">
        <v>2437</v>
      </c>
      <c r="P892" t="s">
        <v>2445</v>
      </c>
      <c r="S892" t="s">
        <v>73</v>
      </c>
      <c r="T892">
        <v>1600</v>
      </c>
      <c r="U892" t="s">
        <v>2500</v>
      </c>
      <c r="V892" t="s">
        <v>2523</v>
      </c>
      <c r="W892" t="s">
        <v>3060</v>
      </c>
      <c r="X892" t="s">
        <v>3272</v>
      </c>
      <c r="Y892" t="s">
        <v>3690</v>
      </c>
      <c r="Z892">
        <v>2</v>
      </c>
      <c r="AC892">
        <v>4</v>
      </c>
      <c r="AD892">
        <v>2</v>
      </c>
      <c r="AE892">
        <v>2</v>
      </c>
      <c r="AF892">
        <v>113.25</v>
      </c>
      <c r="AI892" t="s">
        <v>3809</v>
      </c>
      <c r="AJ892">
        <v>28426.6</v>
      </c>
      <c r="AP892">
        <v>24.1</v>
      </c>
      <c r="AQ892" t="s">
        <v>289</v>
      </c>
      <c r="AR892" t="s">
        <v>4188</v>
      </c>
      <c r="AS892" t="s">
        <v>4210</v>
      </c>
      <c r="AT892" t="s">
        <v>4219</v>
      </c>
    </row>
    <row r="893" spans="1:46">
      <c r="A893" s="1">
        <f>HYPERLINK("https://lsnyc.legalserver.org/matter/dynamic-profile/view/1878898","18-1878898")</f>
        <v>0</v>
      </c>
      <c r="B893" t="s">
        <v>69</v>
      </c>
      <c r="C893" t="s">
        <v>190</v>
      </c>
      <c r="D893" t="s">
        <v>231</v>
      </c>
      <c r="E893" t="s">
        <v>775</v>
      </c>
      <c r="F893" t="s">
        <v>1284</v>
      </c>
      <c r="G893" t="s">
        <v>1651</v>
      </c>
      <c r="H893" t="s">
        <v>1768</v>
      </c>
      <c r="I893">
        <v>11207</v>
      </c>
      <c r="J893" t="s">
        <v>2002</v>
      </c>
      <c r="K893" t="s">
        <v>2002</v>
      </c>
      <c r="M893" t="s">
        <v>2317</v>
      </c>
      <c r="N893" t="s">
        <v>2413</v>
      </c>
      <c r="O893" t="s">
        <v>2437</v>
      </c>
      <c r="P893" t="s">
        <v>2447</v>
      </c>
      <c r="Q893" t="s">
        <v>2003</v>
      </c>
      <c r="S893" t="s">
        <v>190</v>
      </c>
      <c r="T893">
        <v>1150</v>
      </c>
      <c r="U893" t="s">
        <v>2501</v>
      </c>
      <c r="V893" t="s">
        <v>2515</v>
      </c>
      <c r="W893" t="s">
        <v>3061</v>
      </c>
      <c r="X893" t="s">
        <v>3273</v>
      </c>
      <c r="Y893" t="s">
        <v>3691</v>
      </c>
      <c r="Z893">
        <v>5</v>
      </c>
      <c r="AA893" t="s">
        <v>2156</v>
      </c>
      <c r="AB893" t="s">
        <v>2006</v>
      </c>
      <c r="AC893">
        <v>3</v>
      </c>
      <c r="AD893">
        <v>1</v>
      </c>
      <c r="AE893">
        <v>0</v>
      </c>
      <c r="AF893">
        <v>74.14</v>
      </c>
      <c r="AI893" t="s">
        <v>3809</v>
      </c>
      <c r="AJ893">
        <v>9000</v>
      </c>
      <c r="AK893" t="s">
        <v>3829</v>
      </c>
      <c r="AP893">
        <v>8.300000000000001</v>
      </c>
      <c r="AQ893" t="s">
        <v>231</v>
      </c>
      <c r="AR893" t="s">
        <v>4185</v>
      </c>
      <c r="AS893" t="s">
        <v>4210</v>
      </c>
      <c r="AT893" t="s">
        <v>4219</v>
      </c>
    </row>
    <row r="894" spans="1:46">
      <c r="A894" s="1">
        <f>HYPERLINK("https://lsnyc.legalserver.org/matter/dynamic-profile/view/1878994","18-1878994")</f>
        <v>0</v>
      </c>
      <c r="B894" t="s">
        <v>69</v>
      </c>
      <c r="C894" t="s">
        <v>194</v>
      </c>
      <c r="D894" t="s">
        <v>149</v>
      </c>
      <c r="E894" t="s">
        <v>776</v>
      </c>
      <c r="F894" t="s">
        <v>870</v>
      </c>
      <c r="G894" t="s">
        <v>1652</v>
      </c>
      <c r="H894" t="s">
        <v>1752</v>
      </c>
      <c r="I894">
        <v>11212</v>
      </c>
      <c r="J894" t="s">
        <v>2002</v>
      </c>
      <c r="K894" t="s">
        <v>2002</v>
      </c>
      <c r="M894" t="s">
        <v>2318</v>
      </c>
      <c r="N894" t="s">
        <v>2413</v>
      </c>
      <c r="O894" t="s">
        <v>2437</v>
      </c>
      <c r="P894" t="s">
        <v>2446</v>
      </c>
      <c r="S894" t="s">
        <v>194</v>
      </c>
      <c r="T894">
        <v>2197</v>
      </c>
      <c r="U894" t="s">
        <v>2500</v>
      </c>
      <c r="V894" t="s">
        <v>2519</v>
      </c>
      <c r="W894" t="s">
        <v>3062</v>
      </c>
      <c r="X894" t="s">
        <v>3274</v>
      </c>
      <c r="Y894" t="s">
        <v>3692</v>
      </c>
      <c r="Z894">
        <v>4</v>
      </c>
      <c r="AA894" t="s">
        <v>3784</v>
      </c>
      <c r="AB894" t="s">
        <v>3795</v>
      </c>
      <c r="AC894">
        <v>1</v>
      </c>
      <c r="AD894">
        <v>3</v>
      </c>
      <c r="AE894">
        <v>4</v>
      </c>
      <c r="AF894">
        <v>17.08</v>
      </c>
      <c r="AI894" t="s">
        <v>3809</v>
      </c>
      <c r="AJ894">
        <v>6500</v>
      </c>
      <c r="AK894" t="s">
        <v>3829</v>
      </c>
      <c r="AP894">
        <v>27.15</v>
      </c>
      <c r="AQ894" t="s">
        <v>290</v>
      </c>
      <c r="AR894" t="s">
        <v>4190</v>
      </c>
      <c r="AS894" t="s">
        <v>4210</v>
      </c>
      <c r="AT894" t="s">
        <v>4219</v>
      </c>
    </row>
    <row r="895" spans="1:46">
      <c r="A895" s="1">
        <f>HYPERLINK("https://lsnyc.legalserver.org/matter/dynamic-profile/view/1875764","18-1875764")</f>
        <v>0</v>
      </c>
      <c r="B895" t="s">
        <v>69</v>
      </c>
      <c r="C895" t="s">
        <v>93</v>
      </c>
      <c r="D895" t="s">
        <v>270</v>
      </c>
      <c r="E895" t="s">
        <v>777</v>
      </c>
      <c r="F895" t="s">
        <v>1285</v>
      </c>
      <c r="G895" t="s">
        <v>1653</v>
      </c>
      <c r="H895" t="s">
        <v>1974</v>
      </c>
      <c r="I895">
        <v>11208</v>
      </c>
      <c r="J895" t="s">
        <v>2002</v>
      </c>
      <c r="K895" t="s">
        <v>2002</v>
      </c>
      <c r="M895" t="s">
        <v>2319</v>
      </c>
      <c r="N895" t="s">
        <v>2415</v>
      </c>
      <c r="O895" t="s">
        <v>2437</v>
      </c>
      <c r="P895" t="s">
        <v>2445</v>
      </c>
      <c r="Q895" t="s">
        <v>2003</v>
      </c>
      <c r="S895" t="s">
        <v>93</v>
      </c>
      <c r="T895">
        <v>1165</v>
      </c>
      <c r="U895" t="s">
        <v>2497</v>
      </c>
      <c r="V895" t="s">
        <v>2516</v>
      </c>
      <c r="W895" t="s">
        <v>3063</v>
      </c>
      <c r="X895">
        <v>557185</v>
      </c>
      <c r="Y895" t="s">
        <v>3693</v>
      </c>
      <c r="Z895">
        <v>45</v>
      </c>
      <c r="AA895" t="s">
        <v>3787</v>
      </c>
      <c r="AC895">
        <v>12</v>
      </c>
      <c r="AD895">
        <v>1</v>
      </c>
      <c r="AE895">
        <v>0</v>
      </c>
      <c r="AF895">
        <v>74.14</v>
      </c>
      <c r="AI895" t="s">
        <v>3809</v>
      </c>
      <c r="AJ895">
        <v>9000</v>
      </c>
      <c r="AK895" t="s">
        <v>3829</v>
      </c>
      <c r="AP895">
        <v>24.5</v>
      </c>
      <c r="AQ895" t="s">
        <v>132</v>
      </c>
      <c r="AR895" t="s">
        <v>4185</v>
      </c>
      <c r="AS895" t="s">
        <v>4210</v>
      </c>
      <c r="AT895" t="s">
        <v>4219</v>
      </c>
    </row>
    <row r="896" spans="1:46">
      <c r="A896" s="1">
        <f>HYPERLINK("https://lsnyc.legalserver.org/matter/dynamic-profile/view/1881618","18-1881618")</f>
        <v>0</v>
      </c>
      <c r="B896" t="s">
        <v>69</v>
      </c>
      <c r="C896" t="s">
        <v>94</v>
      </c>
      <c r="D896" t="s">
        <v>263</v>
      </c>
      <c r="E896" t="s">
        <v>646</v>
      </c>
      <c r="F896" t="s">
        <v>1151</v>
      </c>
      <c r="G896" t="s">
        <v>1620</v>
      </c>
      <c r="H896" t="s">
        <v>1751</v>
      </c>
      <c r="I896">
        <v>11212</v>
      </c>
      <c r="J896" t="s">
        <v>2002</v>
      </c>
      <c r="K896" t="s">
        <v>2002</v>
      </c>
      <c r="M896" t="s">
        <v>2320</v>
      </c>
      <c r="N896" t="s">
        <v>2415</v>
      </c>
      <c r="O896" t="s">
        <v>2437</v>
      </c>
      <c r="P896" t="s">
        <v>2445</v>
      </c>
      <c r="Q896" t="s">
        <v>2003</v>
      </c>
      <c r="R896" t="s">
        <v>2454</v>
      </c>
      <c r="S896" t="s">
        <v>94</v>
      </c>
      <c r="T896">
        <v>1650</v>
      </c>
      <c r="U896" t="s">
        <v>2497</v>
      </c>
      <c r="V896" t="s">
        <v>2515</v>
      </c>
      <c r="W896" t="s">
        <v>2895</v>
      </c>
      <c r="X896" t="s">
        <v>3259</v>
      </c>
      <c r="Y896" t="s">
        <v>3636</v>
      </c>
      <c r="Z896">
        <v>49</v>
      </c>
      <c r="AA896" t="s">
        <v>3783</v>
      </c>
      <c r="AB896" t="s">
        <v>3796</v>
      </c>
      <c r="AC896">
        <v>8</v>
      </c>
      <c r="AD896">
        <v>1</v>
      </c>
      <c r="AE896">
        <v>1</v>
      </c>
      <c r="AF896">
        <v>126.37</v>
      </c>
      <c r="AI896" t="s">
        <v>3809</v>
      </c>
      <c r="AJ896">
        <v>20800</v>
      </c>
      <c r="AK896" t="s">
        <v>3830</v>
      </c>
      <c r="AP896">
        <v>48.1</v>
      </c>
      <c r="AQ896" t="s">
        <v>263</v>
      </c>
      <c r="AR896" t="s">
        <v>4185</v>
      </c>
      <c r="AS896" t="s">
        <v>4210</v>
      </c>
      <c r="AT896" t="s">
        <v>4219</v>
      </c>
    </row>
    <row r="897" spans="1:46">
      <c r="A897" s="1">
        <f>HYPERLINK("https://lsnyc.legalserver.org/matter/dynamic-profile/view/1883042","18-1883042")</f>
        <v>0</v>
      </c>
      <c r="B897" t="s">
        <v>69</v>
      </c>
      <c r="C897" t="s">
        <v>285</v>
      </c>
      <c r="D897" t="s">
        <v>99</v>
      </c>
      <c r="E897" t="s">
        <v>778</v>
      </c>
      <c r="F897" t="s">
        <v>895</v>
      </c>
      <c r="G897" t="s">
        <v>1654</v>
      </c>
      <c r="I897">
        <v>11207</v>
      </c>
      <c r="J897" t="s">
        <v>2002</v>
      </c>
      <c r="K897" t="s">
        <v>2003</v>
      </c>
      <c r="L897" t="s">
        <v>2005</v>
      </c>
      <c r="M897" t="s">
        <v>2132</v>
      </c>
      <c r="N897" t="s">
        <v>2435</v>
      </c>
      <c r="O897" t="s">
        <v>2436</v>
      </c>
      <c r="P897" t="s">
        <v>2443</v>
      </c>
      <c r="Q897" t="s">
        <v>2003</v>
      </c>
      <c r="R897" t="s">
        <v>2451</v>
      </c>
      <c r="S897" t="s">
        <v>96</v>
      </c>
      <c r="T897">
        <v>1500</v>
      </c>
      <c r="V897" t="s">
        <v>2515</v>
      </c>
      <c r="W897" t="s">
        <v>3064</v>
      </c>
      <c r="Y897" t="s">
        <v>3694</v>
      </c>
      <c r="Z897">
        <v>2</v>
      </c>
      <c r="AB897" t="s">
        <v>3793</v>
      </c>
      <c r="AC897">
        <v>7</v>
      </c>
      <c r="AD897">
        <v>2</v>
      </c>
      <c r="AE897">
        <v>2</v>
      </c>
      <c r="AF897">
        <v>94.41</v>
      </c>
      <c r="AI897" t="s">
        <v>3810</v>
      </c>
      <c r="AJ897">
        <v>23698</v>
      </c>
      <c r="AP897">
        <v>1</v>
      </c>
      <c r="AQ897" t="s">
        <v>285</v>
      </c>
      <c r="AR897" t="s">
        <v>69</v>
      </c>
      <c r="AS897" t="s">
        <v>4210</v>
      </c>
      <c r="AT897" t="s">
        <v>4219</v>
      </c>
    </row>
    <row r="898" spans="1:46">
      <c r="A898" s="1">
        <f>HYPERLINK("https://lsnyc.legalserver.org/matter/dynamic-profile/view/1882252","18-1882252")</f>
        <v>0</v>
      </c>
      <c r="B898" t="s">
        <v>69</v>
      </c>
      <c r="C898" t="s">
        <v>223</v>
      </c>
      <c r="D898" t="s">
        <v>241</v>
      </c>
      <c r="E898" t="s">
        <v>779</v>
      </c>
      <c r="F898" t="s">
        <v>902</v>
      </c>
      <c r="G898" t="s">
        <v>1518</v>
      </c>
      <c r="H898" t="s">
        <v>1975</v>
      </c>
      <c r="I898">
        <v>11239</v>
      </c>
      <c r="J898" t="s">
        <v>2002</v>
      </c>
      <c r="K898" t="s">
        <v>2002</v>
      </c>
      <c r="M898" t="s">
        <v>2321</v>
      </c>
      <c r="N898" t="s">
        <v>2415</v>
      </c>
      <c r="O898" t="s">
        <v>2437</v>
      </c>
      <c r="P898" t="s">
        <v>2446</v>
      </c>
      <c r="Q898" t="s">
        <v>2003</v>
      </c>
      <c r="R898" t="s">
        <v>2451</v>
      </c>
      <c r="S898" t="s">
        <v>223</v>
      </c>
      <c r="T898">
        <v>1300</v>
      </c>
      <c r="U898" t="s">
        <v>2505</v>
      </c>
      <c r="V898" t="s">
        <v>2515</v>
      </c>
      <c r="W898" t="s">
        <v>3065</v>
      </c>
      <c r="X898" t="s">
        <v>3275</v>
      </c>
      <c r="Y898" t="s">
        <v>3695</v>
      </c>
      <c r="Z898">
        <v>1164</v>
      </c>
      <c r="AA898" t="s">
        <v>3792</v>
      </c>
      <c r="AB898" t="s">
        <v>3800</v>
      </c>
      <c r="AC898">
        <v>27</v>
      </c>
      <c r="AD898">
        <v>1</v>
      </c>
      <c r="AE898">
        <v>0</v>
      </c>
      <c r="AF898">
        <v>163.1</v>
      </c>
      <c r="AI898" t="s">
        <v>3809</v>
      </c>
      <c r="AJ898">
        <v>19800</v>
      </c>
      <c r="AP898">
        <v>22</v>
      </c>
      <c r="AQ898" t="s">
        <v>241</v>
      </c>
      <c r="AR898" t="s">
        <v>4186</v>
      </c>
      <c r="AS898" t="s">
        <v>4210</v>
      </c>
      <c r="AT898" t="s">
        <v>4219</v>
      </c>
    </row>
    <row r="899" spans="1:46">
      <c r="A899" s="1">
        <f>HYPERLINK("https://lsnyc.legalserver.org/matter/dynamic-profile/view/1882692","18-1882692")</f>
        <v>0</v>
      </c>
      <c r="B899" t="s">
        <v>69</v>
      </c>
      <c r="C899" t="s">
        <v>286</v>
      </c>
      <c r="D899" t="s">
        <v>231</v>
      </c>
      <c r="E899" t="s">
        <v>780</v>
      </c>
      <c r="F899" t="s">
        <v>1286</v>
      </c>
      <c r="G899" t="s">
        <v>1655</v>
      </c>
      <c r="H899" t="s">
        <v>1976</v>
      </c>
      <c r="I899">
        <v>11212</v>
      </c>
      <c r="J899" t="s">
        <v>2002</v>
      </c>
      <c r="K899" t="s">
        <v>2002</v>
      </c>
      <c r="O899" t="s">
        <v>2436</v>
      </c>
      <c r="P899" t="s">
        <v>2443</v>
      </c>
      <c r="S899" t="s">
        <v>286</v>
      </c>
      <c r="T899">
        <v>600</v>
      </c>
      <c r="U899" t="s">
        <v>2499</v>
      </c>
      <c r="V899" t="s">
        <v>2515</v>
      </c>
      <c r="W899" t="s">
        <v>3066</v>
      </c>
      <c r="X899" t="s">
        <v>3276</v>
      </c>
      <c r="Y899" t="s">
        <v>3696</v>
      </c>
      <c r="Z899">
        <v>2</v>
      </c>
      <c r="AC899">
        <v>1</v>
      </c>
      <c r="AD899">
        <v>1</v>
      </c>
      <c r="AE899">
        <v>0</v>
      </c>
      <c r="AF899">
        <v>2.57</v>
      </c>
      <c r="AI899" t="s">
        <v>3812</v>
      </c>
      <c r="AJ899">
        <v>312</v>
      </c>
      <c r="AP899">
        <v>2.1</v>
      </c>
      <c r="AQ899" t="s">
        <v>231</v>
      </c>
      <c r="AR899" t="s">
        <v>4184</v>
      </c>
      <c r="AS899" t="s">
        <v>4210</v>
      </c>
      <c r="AT899" t="s">
        <v>4219</v>
      </c>
    </row>
    <row r="900" spans="1:46">
      <c r="A900" s="1">
        <f>HYPERLINK("https://lsnyc.legalserver.org/matter/dynamic-profile/view/1893738","19-1893738")</f>
        <v>0</v>
      </c>
      <c r="B900" t="s">
        <v>69</v>
      </c>
      <c r="C900" t="s">
        <v>142</v>
      </c>
      <c r="D900" t="s">
        <v>149</v>
      </c>
      <c r="E900" t="s">
        <v>511</v>
      </c>
      <c r="F900" t="s">
        <v>1287</v>
      </c>
      <c r="G900" t="s">
        <v>1656</v>
      </c>
      <c r="H900" t="s">
        <v>1740</v>
      </c>
      <c r="I900">
        <v>11207</v>
      </c>
      <c r="J900" t="s">
        <v>2002</v>
      </c>
      <c r="K900" t="s">
        <v>2002</v>
      </c>
      <c r="L900" t="s">
        <v>2005</v>
      </c>
      <c r="M900" t="s">
        <v>2132</v>
      </c>
      <c r="N900" t="s">
        <v>2433</v>
      </c>
      <c r="O900" t="s">
        <v>2436</v>
      </c>
      <c r="P900" t="s">
        <v>2443</v>
      </c>
      <c r="Q900" t="s">
        <v>2003</v>
      </c>
      <c r="R900" t="s">
        <v>2451</v>
      </c>
      <c r="S900" t="s">
        <v>119</v>
      </c>
      <c r="T900">
        <v>0</v>
      </c>
      <c r="U900" t="s">
        <v>2496</v>
      </c>
      <c r="V900" t="s">
        <v>2513</v>
      </c>
      <c r="W900" t="s">
        <v>2561</v>
      </c>
      <c r="Y900" t="s">
        <v>3697</v>
      </c>
      <c r="Z900">
        <v>576</v>
      </c>
      <c r="AC900">
        <v>23</v>
      </c>
      <c r="AD900">
        <v>2</v>
      </c>
      <c r="AE900">
        <v>0</v>
      </c>
      <c r="AF900">
        <v>0</v>
      </c>
      <c r="AI900" t="s">
        <v>3809</v>
      </c>
      <c r="AJ900">
        <v>0</v>
      </c>
      <c r="AP900">
        <v>1</v>
      </c>
      <c r="AQ900" t="s">
        <v>241</v>
      </c>
      <c r="AR900" t="s">
        <v>4185</v>
      </c>
      <c r="AS900" t="s">
        <v>4210</v>
      </c>
      <c r="AT900" t="s">
        <v>4219</v>
      </c>
    </row>
    <row r="901" spans="1:46">
      <c r="A901" s="1">
        <f>HYPERLINK("https://lsnyc.legalserver.org/matter/dynamic-profile/view/1877549","18-1877549")</f>
        <v>0</v>
      </c>
      <c r="B901" t="s">
        <v>69</v>
      </c>
      <c r="C901" t="s">
        <v>195</v>
      </c>
      <c r="D901" t="s">
        <v>95</v>
      </c>
      <c r="E901" t="s">
        <v>781</v>
      </c>
      <c r="F901" t="s">
        <v>957</v>
      </c>
      <c r="G901" t="s">
        <v>1657</v>
      </c>
      <c r="H901" t="s">
        <v>1977</v>
      </c>
      <c r="I901">
        <v>11207</v>
      </c>
      <c r="J901" t="s">
        <v>2002</v>
      </c>
      <c r="K901" t="s">
        <v>2002</v>
      </c>
      <c r="L901" t="s">
        <v>2005</v>
      </c>
      <c r="M901" t="s">
        <v>2027</v>
      </c>
      <c r="N901" t="s">
        <v>2027</v>
      </c>
      <c r="O901" t="s">
        <v>2436</v>
      </c>
      <c r="P901" t="s">
        <v>2448</v>
      </c>
      <c r="Q901" t="s">
        <v>2003</v>
      </c>
      <c r="R901" t="s">
        <v>2451</v>
      </c>
      <c r="S901" t="s">
        <v>124</v>
      </c>
      <c r="T901">
        <v>1425</v>
      </c>
      <c r="V901" t="s">
        <v>2527</v>
      </c>
      <c r="W901" t="s">
        <v>3067</v>
      </c>
      <c r="X901" t="s">
        <v>3277</v>
      </c>
      <c r="Y901" t="s">
        <v>3698</v>
      </c>
      <c r="Z901">
        <v>72</v>
      </c>
      <c r="AA901" t="s">
        <v>3786</v>
      </c>
      <c r="AB901" t="s">
        <v>2006</v>
      </c>
      <c r="AC901">
        <v>4</v>
      </c>
      <c r="AD901">
        <v>1</v>
      </c>
      <c r="AE901">
        <v>0</v>
      </c>
      <c r="AF901">
        <v>65.23999999999999</v>
      </c>
      <c r="AI901" t="s">
        <v>3809</v>
      </c>
      <c r="AJ901">
        <v>7920</v>
      </c>
      <c r="AP901">
        <v>2.6</v>
      </c>
      <c r="AQ901" t="s">
        <v>95</v>
      </c>
      <c r="AR901" t="s">
        <v>4204</v>
      </c>
      <c r="AS901" t="s">
        <v>4210</v>
      </c>
      <c r="AT901" t="s">
        <v>4219</v>
      </c>
    </row>
    <row r="902" spans="1:46">
      <c r="A902" s="1">
        <f>HYPERLINK("https://lsnyc.legalserver.org/matter/dynamic-profile/view/1885571","18-1885571")</f>
        <v>0</v>
      </c>
      <c r="B902" t="s">
        <v>69</v>
      </c>
      <c r="C902" t="s">
        <v>131</v>
      </c>
      <c r="E902" t="s">
        <v>644</v>
      </c>
      <c r="F902" t="s">
        <v>1148</v>
      </c>
      <c r="G902" t="s">
        <v>1617</v>
      </c>
      <c r="H902" t="s">
        <v>1862</v>
      </c>
      <c r="I902">
        <v>11208</v>
      </c>
      <c r="J902" t="s">
        <v>2002</v>
      </c>
      <c r="K902" t="s">
        <v>2002</v>
      </c>
      <c r="M902" t="s">
        <v>2275</v>
      </c>
      <c r="N902" t="s">
        <v>2415</v>
      </c>
      <c r="O902" t="s">
        <v>2437</v>
      </c>
      <c r="S902" t="s">
        <v>131</v>
      </c>
      <c r="T902">
        <v>0</v>
      </c>
      <c r="U902" t="s">
        <v>2501</v>
      </c>
      <c r="W902" t="s">
        <v>2891</v>
      </c>
      <c r="X902" t="s">
        <v>3278</v>
      </c>
      <c r="Y902" t="s">
        <v>3632</v>
      </c>
      <c r="Z902">
        <v>3</v>
      </c>
      <c r="AC902">
        <v>0</v>
      </c>
      <c r="AD902">
        <v>3</v>
      </c>
      <c r="AE902">
        <v>2</v>
      </c>
      <c r="AF902">
        <v>71.53</v>
      </c>
      <c r="AI902" t="s">
        <v>3809</v>
      </c>
      <c r="AJ902">
        <v>21044</v>
      </c>
      <c r="AP902">
        <v>13</v>
      </c>
      <c r="AQ902" t="s">
        <v>106</v>
      </c>
      <c r="AR902" t="s">
        <v>4184</v>
      </c>
      <c r="AS902" t="s">
        <v>4210</v>
      </c>
      <c r="AT902" t="s">
        <v>4219</v>
      </c>
    </row>
    <row r="903" spans="1:46">
      <c r="A903" s="1">
        <f>HYPERLINK("https://lsnyc.legalserver.org/matter/dynamic-profile/view/1885608","18-1885608")</f>
        <v>0</v>
      </c>
      <c r="B903" t="s">
        <v>69</v>
      </c>
      <c r="C903" t="s">
        <v>131</v>
      </c>
      <c r="D903" t="s">
        <v>132</v>
      </c>
      <c r="E903" t="s">
        <v>782</v>
      </c>
      <c r="F903" t="s">
        <v>1288</v>
      </c>
      <c r="G903" t="s">
        <v>1658</v>
      </c>
      <c r="H903" t="s">
        <v>1978</v>
      </c>
      <c r="I903">
        <v>11208</v>
      </c>
      <c r="J903" t="s">
        <v>2002</v>
      </c>
      <c r="K903" t="s">
        <v>2002</v>
      </c>
      <c r="M903" t="s">
        <v>2322</v>
      </c>
      <c r="N903" t="s">
        <v>2415</v>
      </c>
      <c r="O903" t="s">
        <v>2436</v>
      </c>
      <c r="P903" t="s">
        <v>2443</v>
      </c>
      <c r="Q903" t="s">
        <v>2003</v>
      </c>
      <c r="S903" t="s">
        <v>131</v>
      </c>
      <c r="T903">
        <v>725</v>
      </c>
      <c r="U903" t="s">
        <v>2500</v>
      </c>
      <c r="V903" t="s">
        <v>2515</v>
      </c>
      <c r="W903" t="s">
        <v>3068</v>
      </c>
      <c r="Y903" t="s">
        <v>3699</v>
      </c>
      <c r="Z903">
        <v>3</v>
      </c>
      <c r="AA903" t="s">
        <v>3784</v>
      </c>
      <c r="AC903">
        <v>1</v>
      </c>
      <c r="AD903">
        <v>1</v>
      </c>
      <c r="AE903">
        <v>0</v>
      </c>
      <c r="AF903">
        <v>109.23</v>
      </c>
      <c r="AI903" t="s">
        <v>3809</v>
      </c>
      <c r="AJ903">
        <v>13260</v>
      </c>
      <c r="AP903">
        <v>3.1</v>
      </c>
      <c r="AQ903" t="s">
        <v>130</v>
      </c>
      <c r="AR903" t="s">
        <v>4189</v>
      </c>
      <c r="AS903" t="s">
        <v>4210</v>
      </c>
      <c r="AT903" t="s">
        <v>4219</v>
      </c>
    </row>
    <row r="904" spans="1:46">
      <c r="A904" s="1">
        <f>HYPERLINK("https://lsnyc.legalserver.org/matter/dynamic-profile/view/1886385","18-1886385")</f>
        <v>0</v>
      </c>
      <c r="B904" t="s">
        <v>69</v>
      </c>
      <c r="C904" t="s">
        <v>101</v>
      </c>
      <c r="D904" t="s">
        <v>132</v>
      </c>
      <c r="E904" t="s">
        <v>431</v>
      </c>
      <c r="F904" t="s">
        <v>1289</v>
      </c>
      <c r="G904" t="s">
        <v>1659</v>
      </c>
      <c r="H904" t="s">
        <v>1734</v>
      </c>
      <c r="I904">
        <v>11207</v>
      </c>
      <c r="J904" t="s">
        <v>2002</v>
      </c>
      <c r="K904" t="s">
        <v>2002</v>
      </c>
      <c r="M904" t="s">
        <v>2323</v>
      </c>
      <c r="N904" t="s">
        <v>2415</v>
      </c>
      <c r="O904" t="s">
        <v>2439</v>
      </c>
      <c r="P904" t="s">
        <v>2443</v>
      </c>
      <c r="Q904" t="s">
        <v>2003</v>
      </c>
      <c r="S904" t="s">
        <v>135</v>
      </c>
      <c r="T904">
        <v>2685</v>
      </c>
      <c r="U904" t="s">
        <v>2495</v>
      </c>
      <c r="V904" t="s">
        <v>2515</v>
      </c>
      <c r="W904" t="s">
        <v>3069</v>
      </c>
      <c r="Z904">
        <v>8</v>
      </c>
      <c r="AA904" t="s">
        <v>3783</v>
      </c>
      <c r="AB904" t="s">
        <v>2006</v>
      </c>
      <c r="AC904">
        <v>3</v>
      </c>
      <c r="AD904">
        <v>1</v>
      </c>
      <c r="AE904">
        <v>0</v>
      </c>
      <c r="AF904">
        <v>149.92</v>
      </c>
      <c r="AI904" t="s">
        <v>3809</v>
      </c>
      <c r="AJ904">
        <v>18200</v>
      </c>
      <c r="AP904">
        <v>2.4</v>
      </c>
      <c r="AQ904" t="s">
        <v>2491</v>
      </c>
      <c r="AR904" t="s">
        <v>4196</v>
      </c>
      <c r="AS904" t="s">
        <v>4210</v>
      </c>
      <c r="AT904" t="s">
        <v>4219</v>
      </c>
    </row>
    <row r="905" spans="1:46">
      <c r="A905" s="1">
        <f>HYPERLINK("https://lsnyc.legalserver.org/matter/dynamic-profile/view/1877499","18-1877499")</f>
        <v>0</v>
      </c>
      <c r="B905" t="s">
        <v>69</v>
      </c>
      <c r="C905" t="s">
        <v>195</v>
      </c>
      <c r="D905" t="s">
        <v>141</v>
      </c>
      <c r="E905" t="s">
        <v>783</v>
      </c>
      <c r="F905" t="s">
        <v>1290</v>
      </c>
      <c r="G905" t="s">
        <v>1660</v>
      </c>
      <c r="H905">
        <v>2</v>
      </c>
      <c r="I905">
        <v>11207</v>
      </c>
      <c r="J905" t="s">
        <v>2002</v>
      </c>
      <c r="K905" t="s">
        <v>2002</v>
      </c>
      <c r="M905" t="s">
        <v>2324</v>
      </c>
      <c r="N905" t="s">
        <v>2413</v>
      </c>
      <c r="O905" t="s">
        <v>2437</v>
      </c>
      <c r="P905" t="s">
        <v>2446</v>
      </c>
      <c r="Q905" t="s">
        <v>2003</v>
      </c>
      <c r="S905" t="s">
        <v>287</v>
      </c>
      <c r="T905">
        <v>1500</v>
      </c>
      <c r="U905" t="s">
        <v>2500</v>
      </c>
      <c r="V905" t="s">
        <v>2519</v>
      </c>
      <c r="W905" t="s">
        <v>3070</v>
      </c>
      <c r="Y905" t="s">
        <v>3700</v>
      </c>
      <c r="Z905">
        <v>5</v>
      </c>
      <c r="AB905" t="s">
        <v>3793</v>
      </c>
      <c r="AC905">
        <v>12</v>
      </c>
      <c r="AD905">
        <v>1</v>
      </c>
      <c r="AE905">
        <v>1</v>
      </c>
      <c r="AF905">
        <v>121.51</v>
      </c>
      <c r="AI905" t="s">
        <v>3810</v>
      </c>
      <c r="AJ905">
        <v>20000</v>
      </c>
      <c r="AP905">
        <v>16.15</v>
      </c>
      <c r="AQ905" t="s">
        <v>141</v>
      </c>
      <c r="AR905" t="s">
        <v>4190</v>
      </c>
      <c r="AS905" t="s">
        <v>4210</v>
      </c>
      <c r="AT905" t="s">
        <v>4219</v>
      </c>
    </row>
    <row r="906" spans="1:46">
      <c r="A906" s="1">
        <f>HYPERLINK("https://lsnyc.legalserver.org/matter/dynamic-profile/view/1889687","19-1889687")</f>
        <v>0</v>
      </c>
      <c r="B906" t="s">
        <v>69</v>
      </c>
      <c r="C906" t="s">
        <v>287</v>
      </c>
      <c r="E906" t="s">
        <v>784</v>
      </c>
      <c r="F906" t="s">
        <v>1291</v>
      </c>
      <c r="G906" t="s">
        <v>1661</v>
      </c>
      <c r="H906" t="s">
        <v>1979</v>
      </c>
      <c r="I906">
        <v>11233</v>
      </c>
      <c r="J906" t="s">
        <v>2002</v>
      </c>
      <c r="K906" t="s">
        <v>2003</v>
      </c>
      <c r="L906" t="s">
        <v>2005</v>
      </c>
      <c r="M906" t="s">
        <v>2325</v>
      </c>
      <c r="N906" t="s">
        <v>2413</v>
      </c>
      <c r="O906" t="s">
        <v>2437</v>
      </c>
      <c r="Q906" t="s">
        <v>2003</v>
      </c>
      <c r="R906" t="s">
        <v>2451</v>
      </c>
      <c r="S906" t="s">
        <v>282</v>
      </c>
      <c r="T906">
        <v>200</v>
      </c>
      <c r="U906" t="s">
        <v>2499</v>
      </c>
      <c r="W906" t="s">
        <v>3071</v>
      </c>
      <c r="X906" t="s">
        <v>2006</v>
      </c>
      <c r="Y906" t="s">
        <v>3701</v>
      </c>
      <c r="Z906">
        <v>100</v>
      </c>
      <c r="AA906" t="s">
        <v>2156</v>
      </c>
      <c r="AB906" t="s">
        <v>2006</v>
      </c>
      <c r="AC906">
        <v>25</v>
      </c>
      <c r="AD906">
        <v>1</v>
      </c>
      <c r="AE906">
        <v>0</v>
      </c>
      <c r="AF906">
        <v>64.37</v>
      </c>
      <c r="AI906" t="s">
        <v>3817</v>
      </c>
      <c r="AJ906">
        <v>8040</v>
      </c>
      <c r="AP906">
        <v>23.5</v>
      </c>
      <c r="AQ906" t="s">
        <v>309</v>
      </c>
      <c r="AR906" t="s">
        <v>4197</v>
      </c>
      <c r="AS906" t="s">
        <v>4210</v>
      </c>
      <c r="AT906" t="s">
        <v>4219</v>
      </c>
    </row>
    <row r="907" spans="1:46">
      <c r="A907" s="1">
        <f>HYPERLINK("https://lsnyc.legalserver.org/matter/dynamic-profile/view/1879962","18-1879962")</f>
        <v>0</v>
      </c>
      <c r="B907" t="s">
        <v>69</v>
      </c>
      <c r="C907" t="s">
        <v>112</v>
      </c>
      <c r="E907" t="s">
        <v>785</v>
      </c>
      <c r="F907" t="s">
        <v>1292</v>
      </c>
      <c r="G907" t="s">
        <v>1662</v>
      </c>
      <c r="H907" t="s">
        <v>1748</v>
      </c>
      <c r="I907">
        <v>11237</v>
      </c>
      <c r="J907" t="s">
        <v>2002</v>
      </c>
      <c r="K907" t="s">
        <v>2003</v>
      </c>
      <c r="M907" t="s">
        <v>2326</v>
      </c>
      <c r="N907" t="s">
        <v>2413</v>
      </c>
      <c r="O907" t="s">
        <v>2437</v>
      </c>
      <c r="S907" t="s">
        <v>103</v>
      </c>
      <c r="T907">
        <v>973</v>
      </c>
      <c r="U907" t="s">
        <v>2500</v>
      </c>
      <c r="W907" t="s">
        <v>3072</v>
      </c>
      <c r="X907" t="s">
        <v>3279</v>
      </c>
      <c r="Y907" t="s">
        <v>3702</v>
      </c>
      <c r="Z907">
        <v>0</v>
      </c>
      <c r="AB907" t="s">
        <v>3793</v>
      </c>
      <c r="AC907">
        <v>12</v>
      </c>
      <c r="AD907">
        <v>1</v>
      </c>
      <c r="AE907">
        <v>0</v>
      </c>
      <c r="AF907">
        <v>0</v>
      </c>
      <c r="AI907" t="s">
        <v>3809</v>
      </c>
      <c r="AJ907">
        <v>0</v>
      </c>
      <c r="AP907">
        <v>77.90000000000001</v>
      </c>
      <c r="AQ907" t="s">
        <v>318</v>
      </c>
      <c r="AR907" t="s">
        <v>4188</v>
      </c>
      <c r="AS907" t="s">
        <v>4210</v>
      </c>
      <c r="AT907" t="s">
        <v>4219</v>
      </c>
    </row>
    <row r="908" spans="1:46">
      <c r="A908" s="1">
        <f>HYPERLINK("https://lsnyc.legalserver.org/matter/dynamic-profile/view/1880283","18-1880283")</f>
        <v>0</v>
      </c>
      <c r="B908" t="s">
        <v>69</v>
      </c>
      <c r="C908" t="s">
        <v>113</v>
      </c>
      <c r="E908" t="s">
        <v>786</v>
      </c>
      <c r="F908" t="s">
        <v>1293</v>
      </c>
      <c r="G908" t="s">
        <v>1653</v>
      </c>
      <c r="H908" t="s">
        <v>1980</v>
      </c>
      <c r="I908">
        <v>11208</v>
      </c>
      <c r="J908" t="s">
        <v>2002</v>
      </c>
      <c r="K908" t="s">
        <v>2002</v>
      </c>
      <c r="M908" t="s">
        <v>2327</v>
      </c>
      <c r="N908" t="s">
        <v>2415</v>
      </c>
      <c r="O908" t="s">
        <v>2437</v>
      </c>
      <c r="S908" t="s">
        <v>103</v>
      </c>
      <c r="T908">
        <v>1186</v>
      </c>
      <c r="U908" t="s">
        <v>2500</v>
      </c>
      <c r="W908" t="s">
        <v>3073</v>
      </c>
      <c r="X908" t="s">
        <v>3280</v>
      </c>
      <c r="Y908" t="s">
        <v>3703</v>
      </c>
      <c r="Z908">
        <v>0</v>
      </c>
      <c r="AC908">
        <v>11</v>
      </c>
      <c r="AD908">
        <v>1</v>
      </c>
      <c r="AE908">
        <v>1</v>
      </c>
      <c r="AF908">
        <v>15.48</v>
      </c>
      <c r="AI908" t="s">
        <v>3809</v>
      </c>
      <c r="AJ908">
        <v>2548</v>
      </c>
      <c r="AP908">
        <v>62.45</v>
      </c>
      <c r="AQ908" t="s">
        <v>314</v>
      </c>
      <c r="AR908" t="s">
        <v>4190</v>
      </c>
      <c r="AS908" t="s">
        <v>4210</v>
      </c>
      <c r="AT908" t="s">
        <v>4219</v>
      </c>
    </row>
    <row r="909" spans="1:46">
      <c r="A909" s="1">
        <f>HYPERLINK("https://lsnyc.legalserver.org/matter/dynamic-profile/view/1893775","19-1893775")</f>
        <v>0</v>
      </c>
      <c r="B909" t="s">
        <v>69</v>
      </c>
      <c r="C909" t="s">
        <v>142</v>
      </c>
      <c r="D909" t="s">
        <v>331</v>
      </c>
      <c r="E909" t="s">
        <v>695</v>
      </c>
      <c r="F909" t="s">
        <v>1294</v>
      </c>
      <c r="G909" t="s">
        <v>1663</v>
      </c>
      <c r="H909" t="s">
        <v>1981</v>
      </c>
      <c r="I909">
        <v>11207</v>
      </c>
      <c r="J909" t="s">
        <v>2002</v>
      </c>
      <c r="K909" t="s">
        <v>2002</v>
      </c>
      <c r="L909" t="s">
        <v>2005</v>
      </c>
      <c r="M909" t="s">
        <v>2132</v>
      </c>
      <c r="N909" t="s">
        <v>2027</v>
      </c>
      <c r="O909" t="s">
        <v>2436</v>
      </c>
      <c r="P909" t="s">
        <v>2443</v>
      </c>
      <c r="Q909" t="s">
        <v>2003</v>
      </c>
      <c r="R909" t="s">
        <v>2451</v>
      </c>
      <c r="S909" t="s">
        <v>103</v>
      </c>
      <c r="T909">
        <v>285</v>
      </c>
      <c r="V909" t="s">
        <v>2515</v>
      </c>
      <c r="W909" t="s">
        <v>2604</v>
      </c>
      <c r="Y909" t="s">
        <v>3704</v>
      </c>
      <c r="Z909">
        <v>744</v>
      </c>
      <c r="AA909" t="s">
        <v>3783</v>
      </c>
      <c r="AC909">
        <v>20</v>
      </c>
      <c r="AD909">
        <v>2</v>
      </c>
      <c r="AE909">
        <v>1</v>
      </c>
      <c r="AF909">
        <v>16.32</v>
      </c>
      <c r="AI909" t="s">
        <v>3809</v>
      </c>
      <c r="AJ909">
        <v>3480</v>
      </c>
      <c r="AP909">
        <v>1</v>
      </c>
      <c r="AQ909" t="s">
        <v>241</v>
      </c>
      <c r="AR909" t="s">
        <v>4185</v>
      </c>
      <c r="AS909" t="s">
        <v>4210</v>
      </c>
      <c r="AT909" t="s">
        <v>4219</v>
      </c>
    </row>
    <row r="910" spans="1:46">
      <c r="A910" s="1">
        <f>HYPERLINK("https://lsnyc.legalserver.org/matter/dynamic-profile/view/1893044","19-1893044")</f>
        <v>0</v>
      </c>
      <c r="B910" t="s">
        <v>69</v>
      </c>
      <c r="C910" t="s">
        <v>288</v>
      </c>
      <c r="D910" t="s">
        <v>263</v>
      </c>
      <c r="E910" t="s">
        <v>485</v>
      </c>
      <c r="F910" t="s">
        <v>1150</v>
      </c>
      <c r="G910" t="s">
        <v>1619</v>
      </c>
      <c r="H910">
        <v>212</v>
      </c>
      <c r="I910">
        <v>11208</v>
      </c>
      <c r="J910" t="s">
        <v>2002</v>
      </c>
      <c r="K910" t="s">
        <v>2002</v>
      </c>
      <c r="M910" t="s">
        <v>2277</v>
      </c>
      <c r="N910" t="s">
        <v>2415</v>
      </c>
      <c r="O910" t="s">
        <v>2437</v>
      </c>
      <c r="P910" t="s">
        <v>2445</v>
      </c>
      <c r="Q910" t="s">
        <v>2003</v>
      </c>
      <c r="R910" t="s">
        <v>2451</v>
      </c>
      <c r="S910" t="s">
        <v>103</v>
      </c>
      <c r="T910">
        <v>1092</v>
      </c>
      <c r="U910" t="s">
        <v>2501</v>
      </c>
      <c r="V910" t="s">
        <v>2515</v>
      </c>
      <c r="W910" t="s">
        <v>2894</v>
      </c>
      <c r="X910" t="s">
        <v>3258</v>
      </c>
      <c r="Y910" t="s">
        <v>3635</v>
      </c>
      <c r="Z910">
        <v>323</v>
      </c>
      <c r="AA910" t="s">
        <v>3783</v>
      </c>
      <c r="AB910" t="s">
        <v>2006</v>
      </c>
      <c r="AC910">
        <v>3</v>
      </c>
      <c r="AD910">
        <v>1</v>
      </c>
      <c r="AE910">
        <v>1</v>
      </c>
      <c r="AF910">
        <v>169.44</v>
      </c>
      <c r="AI910" t="s">
        <v>3809</v>
      </c>
      <c r="AJ910">
        <v>28652</v>
      </c>
      <c r="AP910">
        <v>20.5</v>
      </c>
      <c r="AQ910" t="s">
        <v>263</v>
      </c>
      <c r="AR910" t="s">
        <v>4185</v>
      </c>
      <c r="AS910" t="s">
        <v>4210</v>
      </c>
      <c r="AT910" t="s">
        <v>4219</v>
      </c>
    </row>
    <row r="911" spans="1:46">
      <c r="A911" s="1">
        <f>HYPERLINK("https://lsnyc.legalserver.org/matter/dynamic-profile/view/1891193","19-1891193")</f>
        <v>0</v>
      </c>
      <c r="B911" t="s">
        <v>69</v>
      </c>
      <c r="C911" t="s">
        <v>179</v>
      </c>
      <c r="D911" t="s">
        <v>263</v>
      </c>
      <c r="E911" t="s">
        <v>787</v>
      </c>
      <c r="F911" t="s">
        <v>1057</v>
      </c>
      <c r="G911" t="s">
        <v>1664</v>
      </c>
      <c r="H911" t="s">
        <v>1982</v>
      </c>
      <c r="I911">
        <v>11239</v>
      </c>
      <c r="J911" t="s">
        <v>2002</v>
      </c>
      <c r="K911" t="s">
        <v>2003</v>
      </c>
      <c r="L911" t="s">
        <v>2005</v>
      </c>
      <c r="M911" t="s">
        <v>2328</v>
      </c>
      <c r="N911" t="s">
        <v>2415</v>
      </c>
      <c r="O911" t="s">
        <v>2437</v>
      </c>
      <c r="P911" t="s">
        <v>2445</v>
      </c>
      <c r="Q911" t="s">
        <v>2003</v>
      </c>
      <c r="R911" t="s">
        <v>2454</v>
      </c>
      <c r="S911" t="s">
        <v>141</v>
      </c>
      <c r="T911">
        <v>1191</v>
      </c>
      <c r="V911" t="s">
        <v>2515</v>
      </c>
      <c r="W911" t="s">
        <v>3074</v>
      </c>
      <c r="Y911" t="s">
        <v>3705</v>
      </c>
      <c r="Z911">
        <v>1168</v>
      </c>
      <c r="AA911" t="s">
        <v>3783</v>
      </c>
      <c r="AB911" t="s">
        <v>2495</v>
      </c>
      <c r="AC911">
        <v>2</v>
      </c>
      <c r="AD911">
        <v>1</v>
      </c>
      <c r="AE911">
        <v>0</v>
      </c>
      <c r="AF911">
        <v>384.31</v>
      </c>
      <c r="AI911" t="s">
        <v>3809</v>
      </c>
      <c r="AJ911">
        <v>48000</v>
      </c>
      <c r="AP911">
        <v>41.15</v>
      </c>
      <c r="AQ911" t="s">
        <v>263</v>
      </c>
      <c r="AR911" t="s">
        <v>4185</v>
      </c>
      <c r="AS911" t="s">
        <v>4210</v>
      </c>
      <c r="AT911" t="s">
        <v>4219</v>
      </c>
    </row>
    <row r="912" spans="1:46">
      <c r="A912" s="1">
        <f>HYPERLINK("https://lsnyc.legalserver.org/matter/dynamic-profile/view/1893152","19-1893152")</f>
        <v>0</v>
      </c>
      <c r="B912" t="s">
        <v>69</v>
      </c>
      <c r="C912" t="s">
        <v>276</v>
      </c>
      <c r="D912" t="s">
        <v>247</v>
      </c>
      <c r="E912" t="s">
        <v>788</v>
      </c>
      <c r="F912" t="s">
        <v>1046</v>
      </c>
      <c r="G912" t="s">
        <v>1665</v>
      </c>
      <c r="H912">
        <v>2</v>
      </c>
      <c r="I912">
        <v>11233</v>
      </c>
      <c r="J912" t="s">
        <v>2002</v>
      </c>
      <c r="K912" t="s">
        <v>2002</v>
      </c>
      <c r="M912" t="s">
        <v>2329</v>
      </c>
      <c r="N912" t="s">
        <v>2415</v>
      </c>
      <c r="O912" t="s">
        <v>2436</v>
      </c>
      <c r="P912" t="s">
        <v>2443</v>
      </c>
      <c r="Q912" t="s">
        <v>2003</v>
      </c>
      <c r="S912" t="s">
        <v>288</v>
      </c>
      <c r="T912">
        <v>2400</v>
      </c>
      <c r="U912" t="s">
        <v>2500</v>
      </c>
      <c r="V912" t="s">
        <v>2515</v>
      </c>
      <c r="W912" t="s">
        <v>3075</v>
      </c>
      <c r="Y912" t="s">
        <v>3706</v>
      </c>
      <c r="Z912">
        <v>3</v>
      </c>
      <c r="AA912" t="s">
        <v>3784</v>
      </c>
      <c r="AB912" t="s">
        <v>2006</v>
      </c>
      <c r="AC912">
        <v>2</v>
      </c>
      <c r="AD912">
        <v>3</v>
      </c>
      <c r="AE912">
        <v>1</v>
      </c>
      <c r="AF912">
        <v>0</v>
      </c>
      <c r="AI912" t="s">
        <v>3809</v>
      </c>
      <c r="AJ912">
        <v>0</v>
      </c>
      <c r="AP912">
        <v>1.5</v>
      </c>
      <c r="AQ912" t="s">
        <v>139</v>
      </c>
      <c r="AR912" t="s">
        <v>49</v>
      </c>
      <c r="AS912" t="s">
        <v>4210</v>
      </c>
      <c r="AT912" t="s">
        <v>4219</v>
      </c>
    </row>
    <row r="913" spans="1:46">
      <c r="A913" s="1">
        <f>HYPERLINK("https://lsnyc.legalserver.org/matter/dynamic-profile/view/1893101","19-1893101")</f>
        <v>0</v>
      </c>
      <c r="B913" t="s">
        <v>69</v>
      </c>
      <c r="C913" t="s">
        <v>288</v>
      </c>
      <c r="D913" t="s">
        <v>331</v>
      </c>
      <c r="E913" t="s">
        <v>789</v>
      </c>
      <c r="F913" t="s">
        <v>1295</v>
      </c>
      <c r="G913" t="s">
        <v>1666</v>
      </c>
      <c r="H913">
        <v>1</v>
      </c>
      <c r="I913">
        <v>11207</v>
      </c>
      <c r="J913" t="s">
        <v>2002</v>
      </c>
      <c r="K913" t="s">
        <v>2004</v>
      </c>
      <c r="M913" t="s">
        <v>2330</v>
      </c>
      <c r="N913" t="s">
        <v>2413</v>
      </c>
      <c r="O913" t="s">
        <v>2436</v>
      </c>
      <c r="P913" t="s">
        <v>2443</v>
      </c>
      <c r="S913" t="s">
        <v>288</v>
      </c>
      <c r="T913">
        <v>1200</v>
      </c>
      <c r="V913" t="s">
        <v>2515</v>
      </c>
      <c r="W913" t="s">
        <v>3076</v>
      </c>
      <c r="Z913">
        <v>2</v>
      </c>
      <c r="AA913" t="s">
        <v>2156</v>
      </c>
      <c r="AC913">
        <v>11</v>
      </c>
      <c r="AD913">
        <v>3</v>
      </c>
      <c r="AE913">
        <v>0</v>
      </c>
      <c r="AF913">
        <v>0</v>
      </c>
      <c r="AI913" t="s">
        <v>3812</v>
      </c>
      <c r="AJ913">
        <v>0</v>
      </c>
      <c r="AP913">
        <v>0.5</v>
      </c>
      <c r="AQ913" t="s">
        <v>288</v>
      </c>
      <c r="AR913" t="s">
        <v>4184</v>
      </c>
      <c r="AS913" t="s">
        <v>4210</v>
      </c>
      <c r="AT913" t="s">
        <v>4219</v>
      </c>
    </row>
    <row r="914" spans="1:46">
      <c r="A914" s="1">
        <f>HYPERLINK("https://lsnyc.legalserver.org/matter/dynamic-profile/view/1893909","19-1893909")</f>
        <v>0</v>
      </c>
      <c r="B914" t="s">
        <v>69</v>
      </c>
      <c r="C914" t="s">
        <v>146</v>
      </c>
      <c r="D914" t="s">
        <v>169</v>
      </c>
      <c r="E914" t="s">
        <v>682</v>
      </c>
      <c r="F914" t="s">
        <v>925</v>
      </c>
      <c r="G914" t="s">
        <v>1667</v>
      </c>
      <c r="H914" t="s">
        <v>1983</v>
      </c>
      <c r="I914">
        <v>11212</v>
      </c>
      <c r="J914" t="s">
        <v>2003</v>
      </c>
      <c r="K914" t="s">
        <v>2002</v>
      </c>
      <c r="M914" t="s">
        <v>2331</v>
      </c>
      <c r="N914" t="s">
        <v>2413</v>
      </c>
      <c r="O914" t="s">
        <v>2436</v>
      </c>
      <c r="P914" t="s">
        <v>2443</v>
      </c>
      <c r="Q914" t="s">
        <v>2003</v>
      </c>
      <c r="S914" t="s">
        <v>142</v>
      </c>
      <c r="T914">
        <v>725</v>
      </c>
      <c r="U914" t="s">
        <v>2500</v>
      </c>
      <c r="V914" t="s">
        <v>2515</v>
      </c>
      <c r="W914" t="s">
        <v>3077</v>
      </c>
      <c r="Y914" t="s">
        <v>3707</v>
      </c>
      <c r="Z914">
        <v>2</v>
      </c>
      <c r="AA914" t="s">
        <v>3784</v>
      </c>
      <c r="AB914" t="s">
        <v>2006</v>
      </c>
      <c r="AC914">
        <v>1</v>
      </c>
      <c r="AD914">
        <v>1</v>
      </c>
      <c r="AE914">
        <v>0</v>
      </c>
      <c r="AF914">
        <v>149.88</v>
      </c>
      <c r="AI914" t="s">
        <v>3809</v>
      </c>
      <c r="AJ914">
        <v>18720</v>
      </c>
      <c r="AP914">
        <v>2.4</v>
      </c>
      <c r="AQ914" t="s">
        <v>106</v>
      </c>
      <c r="AR914" t="s">
        <v>49</v>
      </c>
      <c r="AS914" t="s">
        <v>4210</v>
      </c>
      <c r="AT914" t="s">
        <v>4219</v>
      </c>
    </row>
    <row r="915" spans="1:46">
      <c r="A915" s="1">
        <f>HYPERLINK("https://lsnyc.legalserver.org/matter/dynamic-profile/view/1876002","18-1876002")</f>
        <v>0</v>
      </c>
      <c r="B915" t="s">
        <v>69</v>
      </c>
      <c r="C915" t="s">
        <v>73</v>
      </c>
      <c r="D915" t="s">
        <v>241</v>
      </c>
      <c r="E915" t="s">
        <v>370</v>
      </c>
      <c r="F915" t="s">
        <v>1296</v>
      </c>
      <c r="G915" t="s">
        <v>1668</v>
      </c>
      <c r="H915">
        <v>1</v>
      </c>
      <c r="I915">
        <v>11208</v>
      </c>
      <c r="J915" t="s">
        <v>2002</v>
      </c>
      <c r="K915" t="s">
        <v>2002</v>
      </c>
      <c r="M915" t="s">
        <v>2332</v>
      </c>
      <c r="N915" t="s">
        <v>2413</v>
      </c>
      <c r="O915" t="s">
        <v>2437</v>
      </c>
      <c r="P915" t="s">
        <v>2446</v>
      </c>
      <c r="S915" t="s">
        <v>76</v>
      </c>
      <c r="T915">
        <v>0</v>
      </c>
      <c r="U915" t="s">
        <v>2500</v>
      </c>
      <c r="V915" t="s">
        <v>2519</v>
      </c>
      <c r="W915" t="s">
        <v>3078</v>
      </c>
      <c r="Y915" t="s">
        <v>3708</v>
      </c>
      <c r="Z915">
        <v>2</v>
      </c>
      <c r="AA915" t="s">
        <v>3784</v>
      </c>
      <c r="AB915" t="s">
        <v>2006</v>
      </c>
      <c r="AC915">
        <v>11</v>
      </c>
      <c r="AD915">
        <v>2</v>
      </c>
      <c r="AE915">
        <v>0</v>
      </c>
      <c r="AF915">
        <v>78.98</v>
      </c>
      <c r="AI915" t="s">
        <v>3809</v>
      </c>
      <c r="AJ915">
        <v>13000</v>
      </c>
      <c r="AP915">
        <v>1.6</v>
      </c>
      <c r="AQ915" t="s">
        <v>241</v>
      </c>
      <c r="AR915" t="s">
        <v>4190</v>
      </c>
      <c r="AS915" t="s">
        <v>4210</v>
      </c>
      <c r="AT915" t="s">
        <v>4219</v>
      </c>
    </row>
    <row r="916" spans="1:46">
      <c r="A916" s="1">
        <f>HYPERLINK("https://lsnyc.legalserver.org/matter/dynamic-profile/view/1888891","19-1888891")</f>
        <v>0</v>
      </c>
      <c r="B916" t="s">
        <v>69</v>
      </c>
      <c r="C916" t="s">
        <v>289</v>
      </c>
      <c r="D916" t="s">
        <v>263</v>
      </c>
      <c r="E916" t="s">
        <v>790</v>
      </c>
      <c r="F916" t="s">
        <v>1297</v>
      </c>
      <c r="G916" t="s">
        <v>1669</v>
      </c>
      <c r="H916" t="s">
        <v>1741</v>
      </c>
      <c r="I916">
        <v>11233</v>
      </c>
      <c r="J916" t="s">
        <v>2002</v>
      </c>
      <c r="K916" t="s">
        <v>2003</v>
      </c>
      <c r="L916" t="s">
        <v>2005</v>
      </c>
      <c r="M916" t="s">
        <v>2333</v>
      </c>
      <c r="N916" t="s">
        <v>2415</v>
      </c>
      <c r="O916" t="s">
        <v>2437</v>
      </c>
      <c r="P916" t="s">
        <v>2445</v>
      </c>
      <c r="Q916" t="s">
        <v>2003</v>
      </c>
      <c r="R916" t="s">
        <v>2451</v>
      </c>
      <c r="S916" t="s">
        <v>306</v>
      </c>
      <c r="T916">
        <v>1700</v>
      </c>
      <c r="U916" t="s">
        <v>2497</v>
      </c>
      <c r="V916" t="s">
        <v>2515</v>
      </c>
      <c r="W916" t="s">
        <v>3079</v>
      </c>
      <c r="Y916" t="s">
        <v>3709</v>
      </c>
      <c r="Z916">
        <v>0</v>
      </c>
      <c r="AA916" t="s">
        <v>3783</v>
      </c>
      <c r="AB916" t="s">
        <v>3793</v>
      </c>
      <c r="AC916">
        <v>8</v>
      </c>
      <c r="AD916">
        <v>2</v>
      </c>
      <c r="AE916">
        <v>2</v>
      </c>
      <c r="AF916">
        <v>36.4</v>
      </c>
      <c r="AI916" t="s">
        <v>3809</v>
      </c>
      <c r="AJ916">
        <v>9372</v>
      </c>
      <c r="AP916">
        <v>17.6</v>
      </c>
      <c r="AQ916" t="s">
        <v>263</v>
      </c>
      <c r="AR916" t="s">
        <v>49</v>
      </c>
      <c r="AS916" t="s">
        <v>4210</v>
      </c>
      <c r="AT916" t="s">
        <v>4219</v>
      </c>
    </row>
    <row r="917" spans="1:46">
      <c r="A917" s="1">
        <f>HYPERLINK("https://lsnyc.legalserver.org/matter/dynamic-profile/view/1894712","19-1894712")</f>
        <v>0</v>
      </c>
      <c r="B917" t="s">
        <v>69</v>
      </c>
      <c r="C917" t="s">
        <v>139</v>
      </c>
      <c r="E917" t="s">
        <v>791</v>
      </c>
      <c r="F917" t="s">
        <v>1298</v>
      </c>
      <c r="G917" t="s">
        <v>1670</v>
      </c>
      <c r="H917" t="s">
        <v>1984</v>
      </c>
      <c r="I917">
        <v>11207</v>
      </c>
      <c r="J917" t="s">
        <v>2002</v>
      </c>
      <c r="K917" t="s">
        <v>2004</v>
      </c>
      <c r="L917" t="s">
        <v>2005</v>
      </c>
      <c r="M917" t="s">
        <v>2334</v>
      </c>
      <c r="N917" t="s">
        <v>2413</v>
      </c>
      <c r="O917" t="s">
        <v>2437</v>
      </c>
      <c r="Q917" t="s">
        <v>2003</v>
      </c>
      <c r="R917" t="s">
        <v>2451</v>
      </c>
      <c r="S917" t="s">
        <v>275</v>
      </c>
      <c r="T917">
        <v>600</v>
      </c>
      <c r="U917" t="s">
        <v>2497</v>
      </c>
      <c r="W917" t="s">
        <v>3080</v>
      </c>
      <c r="Y917" t="s">
        <v>3710</v>
      </c>
      <c r="Z917">
        <v>3</v>
      </c>
      <c r="AB917" t="s">
        <v>2006</v>
      </c>
      <c r="AC917">
        <v>3</v>
      </c>
      <c r="AD917">
        <v>1</v>
      </c>
      <c r="AE917">
        <v>0</v>
      </c>
      <c r="AF917">
        <v>144.12</v>
      </c>
      <c r="AI917" t="s">
        <v>3809</v>
      </c>
      <c r="AJ917">
        <v>18000</v>
      </c>
      <c r="AP917">
        <v>22.1</v>
      </c>
      <c r="AQ917" t="s">
        <v>3805</v>
      </c>
      <c r="AR917" t="s">
        <v>4193</v>
      </c>
      <c r="AS917" t="s">
        <v>4210</v>
      </c>
      <c r="AT917" t="s">
        <v>4219</v>
      </c>
    </row>
    <row r="918" spans="1:46">
      <c r="A918" s="1">
        <f>HYPERLINK("https://lsnyc.legalserver.org/matter/dynamic-profile/view/1896837","19-1896837")</f>
        <v>0</v>
      </c>
      <c r="B918" t="s">
        <v>69</v>
      </c>
      <c r="C918" t="s">
        <v>196</v>
      </c>
      <c r="D918" t="s">
        <v>250</v>
      </c>
      <c r="E918" t="s">
        <v>399</v>
      </c>
      <c r="F918" t="s">
        <v>1299</v>
      </c>
      <c r="G918" t="s">
        <v>1572</v>
      </c>
      <c r="H918" t="s">
        <v>1860</v>
      </c>
      <c r="I918">
        <v>11233</v>
      </c>
      <c r="J918" t="s">
        <v>2002</v>
      </c>
      <c r="K918" t="s">
        <v>2003</v>
      </c>
      <c r="L918" t="s">
        <v>2005</v>
      </c>
      <c r="M918" t="s">
        <v>2335</v>
      </c>
      <c r="N918" t="s">
        <v>2415</v>
      </c>
      <c r="O918" t="s">
        <v>2436</v>
      </c>
      <c r="P918" t="s">
        <v>2443</v>
      </c>
      <c r="Q918" t="s">
        <v>2003</v>
      </c>
      <c r="R918" t="s">
        <v>2451</v>
      </c>
      <c r="S918" t="s">
        <v>273</v>
      </c>
      <c r="T918">
        <v>2925</v>
      </c>
      <c r="U918" t="s">
        <v>2500</v>
      </c>
      <c r="V918" t="s">
        <v>2515</v>
      </c>
      <c r="W918" t="s">
        <v>3081</v>
      </c>
      <c r="X918" t="s">
        <v>2006</v>
      </c>
      <c r="Y918" t="s">
        <v>3711</v>
      </c>
      <c r="Z918">
        <v>118</v>
      </c>
      <c r="AA918" t="s">
        <v>3783</v>
      </c>
      <c r="AB918" t="s">
        <v>2006</v>
      </c>
      <c r="AC918">
        <v>1</v>
      </c>
      <c r="AD918">
        <v>1</v>
      </c>
      <c r="AE918">
        <v>0</v>
      </c>
      <c r="AF918">
        <v>175.63</v>
      </c>
      <c r="AI918" t="s">
        <v>3809</v>
      </c>
      <c r="AJ918">
        <v>21936</v>
      </c>
      <c r="AP918">
        <v>2.1</v>
      </c>
      <c r="AQ918" t="s">
        <v>140</v>
      </c>
      <c r="AR918" t="s">
        <v>4185</v>
      </c>
      <c r="AS918" t="s">
        <v>4210</v>
      </c>
      <c r="AT918" t="s">
        <v>4219</v>
      </c>
    </row>
    <row r="919" spans="1:46">
      <c r="A919" s="1">
        <f>HYPERLINK("https://lsnyc.legalserver.org/matter/dynamic-profile/view/1896451","19-1896451")</f>
        <v>0</v>
      </c>
      <c r="B919" t="s">
        <v>69</v>
      </c>
      <c r="C919" t="s">
        <v>102</v>
      </c>
      <c r="E919" t="s">
        <v>402</v>
      </c>
      <c r="F919" t="s">
        <v>912</v>
      </c>
      <c r="G919" t="s">
        <v>1463</v>
      </c>
      <c r="H919">
        <v>3</v>
      </c>
      <c r="I919">
        <v>11208</v>
      </c>
      <c r="J919" t="s">
        <v>2002</v>
      </c>
      <c r="K919" t="s">
        <v>2003</v>
      </c>
      <c r="L919" t="s">
        <v>2005</v>
      </c>
      <c r="M919" t="s">
        <v>2336</v>
      </c>
      <c r="N919" t="s">
        <v>2413</v>
      </c>
      <c r="O919" t="s">
        <v>2437</v>
      </c>
      <c r="Q919" t="s">
        <v>2003</v>
      </c>
      <c r="R919" t="s">
        <v>2451</v>
      </c>
      <c r="S919" t="s">
        <v>170</v>
      </c>
      <c r="T919">
        <v>900</v>
      </c>
      <c r="U919" t="s">
        <v>2505</v>
      </c>
      <c r="W919" t="s">
        <v>2598</v>
      </c>
      <c r="Y919" t="s">
        <v>3370</v>
      </c>
      <c r="Z919">
        <v>3</v>
      </c>
      <c r="AA919" t="s">
        <v>3784</v>
      </c>
      <c r="AB919" t="s">
        <v>2006</v>
      </c>
      <c r="AC919">
        <v>0</v>
      </c>
      <c r="AD919">
        <v>2</v>
      </c>
      <c r="AE919">
        <v>1</v>
      </c>
      <c r="AF919">
        <v>221.28</v>
      </c>
      <c r="AI919" t="s">
        <v>3809</v>
      </c>
      <c r="AJ919">
        <v>47200</v>
      </c>
      <c r="AP919">
        <v>26.3</v>
      </c>
      <c r="AQ919" t="s">
        <v>4180</v>
      </c>
      <c r="AR919" t="s">
        <v>4185</v>
      </c>
      <c r="AS919" t="s">
        <v>4210</v>
      </c>
      <c r="AT919" t="s">
        <v>4219</v>
      </c>
    </row>
    <row r="920" spans="1:46">
      <c r="A920" s="1">
        <f>HYPERLINK("https://lsnyc.legalserver.org/matter/dynamic-profile/view/1897234","19-1897234")</f>
        <v>0</v>
      </c>
      <c r="B920" t="s">
        <v>69</v>
      </c>
      <c r="C920" t="s">
        <v>269</v>
      </c>
      <c r="E920" t="s">
        <v>699</v>
      </c>
      <c r="F920" t="s">
        <v>877</v>
      </c>
      <c r="G920" t="s">
        <v>1587</v>
      </c>
      <c r="H920" t="s">
        <v>1908</v>
      </c>
      <c r="I920">
        <v>11212</v>
      </c>
      <c r="J920" t="s">
        <v>2002</v>
      </c>
      <c r="K920" t="s">
        <v>2002</v>
      </c>
      <c r="L920" t="s">
        <v>2005</v>
      </c>
      <c r="M920" t="s">
        <v>2337</v>
      </c>
      <c r="N920" t="s">
        <v>2413</v>
      </c>
      <c r="O920" t="s">
        <v>2437</v>
      </c>
      <c r="Q920" t="s">
        <v>2003</v>
      </c>
      <c r="R920" t="s">
        <v>2451</v>
      </c>
      <c r="S920" t="s">
        <v>170</v>
      </c>
      <c r="T920">
        <v>1154.67</v>
      </c>
      <c r="U920" t="s">
        <v>2495</v>
      </c>
      <c r="W920" t="s">
        <v>3082</v>
      </c>
      <c r="Y920" t="s">
        <v>3712</v>
      </c>
      <c r="Z920">
        <v>172</v>
      </c>
      <c r="AA920" t="s">
        <v>3783</v>
      </c>
      <c r="AB920" t="s">
        <v>2006</v>
      </c>
      <c r="AC920">
        <v>11</v>
      </c>
      <c r="AD920">
        <v>4</v>
      </c>
      <c r="AE920">
        <v>0</v>
      </c>
      <c r="AF920">
        <v>355.11</v>
      </c>
      <c r="AI920" t="s">
        <v>3809</v>
      </c>
      <c r="AJ920">
        <v>91440</v>
      </c>
      <c r="AP920">
        <v>20.2</v>
      </c>
      <c r="AQ920" t="s">
        <v>329</v>
      </c>
      <c r="AR920" t="s">
        <v>49</v>
      </c>
      <c r="AS920" t="s">
        <v>4210</v>
      </c>
      <c r="AT920" t="s">
        <v>4219</v>
      </c>
    </row>
    <row r="921" spans="1:46">
      <c r="A921" s="1">
        <f>HYPERLINK("https://lsnyc.legalserver.org/matter/dynamic-profile/view/1895639","19-1895639")</f>
        <v>0</v>
      </c>
      <c r="B921" t="s">
        <v>69</v>
      </c>
      <c r="C921" t="s">
        <v>290</v>
      </c>
      <c r="E921" t="s">
        <v>792</v>
      </c>
      <c r="F921" t="s">
        <v>1300</v>
      </c>
      <c r="G921" t="s">
        <v>1671</v>
      </c>
      <c r="H921" t="s">
        <v>1741</v>
      </c>
      <c r="I921">
        <v>11233</v>
      </c>
      <c r="J921" t="s">
        <v>2002</v>
      </c>
      <c r="K921" t="s">
        <v>2003</v>
      </c>
      <c r="L921" t="s">
        <v>2005</v>
      </c>
      <c r="M921" t="s">
        <v>2338</v>
      </c>
      <c r="N921" t="s">
        <v>2415</v>
      </c>
      <c r="O921" t="s">
        <v>2437</v>
      </c>
      <c r="Q921" t="s">
        <v>2003</v>
      </c>
      <c r="R921" t="s">
        <v>2453</v>
      </c>
      <c r="S921" t="s">
        <v>150</v>
      </c>
      <c r="T921">
        <v>1300</v>
      </c>
      <c r="U921" t="s">
        <v>2494</v>
      </c>
      <c r="W921" t="s">
        <v>3083</v>
      </c>
      <c r="Y921" t="s">
        <v>3713</v>
      </c>
      <c r="Z921">
        <v>16</v>
      </c>
      <c r="AA921" t="s">
        <v>3783</v>
      </c>
      <c r="AB921" t="s">
        <v>2006</v>
      </c>
      <c r="AC921">
        <v>0</v>
      </c>
      <c r="AD921">
        <v>1</v>
      </c>
      <c r="AE921">
        <v>0</v>
      </c>
      <c r="AF921">
        <v>291.22</v>
      </c>
      <c r="AI921" t="s">
        <v>3809</v>
      </c>
      <c r="AJ921">
        <v>36374</v>
      </c>
      <c r="AP921">
        <v>20.3</v>
      </c>
      <c r="AQ921" t="s">
        <v>4171</v>
      </c>
      <c r="AR921" t="s">
        <v>49</v>
      </c>
      <c r="AS921" t="s">
        <v>4210</v>
      </c>
      <c r="AT921" t="s">
        <v>4219</v>
      </c>
    </row>
    <row r="922" spans="1:46">
      <c r="A922" s="1">
        <f>HYPERLINK("https://lsnyc.legalserver.org/matter/dynamic-profile/view/1898451","19-1898451")</f>
        <v>0</v>
      </c>
      <c r="B922" t="s">
        <v>69</v>
      </c>
      <c r="C922" t="s">
        <v>252</v>
      </c>
      <c r="D922" t="s">
        <v>256</v>
      </c>
      <c r="E922" t="s">
        <v>793</v>
      </c>
      <c r="F922" t="s">
        <v>1301</v>
      </c>
      <c r="G922" t="s">
        <v>1672</v>
      </c>
      <c r="H922" t="s">
        <v>1768</v>
      </c>
      <c r="I922">
        <v>11208</v>
      </c>
      <c r="J922" t="s">
        <v>2002</v>
      </c>
      <c r="K922" t="s">
        <v>2003</v>
      </c>
      <c r="L922" t="s">
        <v>2005</v>
      </c>
      <c r="M922" t="s">
        <v>2339</v>
      </c>
      <c r="N922" t="s">
        <v>2415</v>
      </c>
      <c r="O922" t="s">
        <v>2437</v>
      </c>
      <c r="P922" t="s">
        <v>2445</v>
      </c>
      <c r="Q922" t="s">
        <v>2003</v>
      </c>
      <c r="R922" t="s">
        <v>2451</v>
      </c>
      <c r="S922" t="s">
        <v>302</v>
      </c>
      <c r="T922">
        <v>867</v>
      </c>
      <c r="U922" t="s">
        <v>2495</v>
      </c>
      <c r="V922" t="s">
        <v>2515</v>
      </c>
      <c r="W922" t="s">
        <v>3084</v>
      </c>
      <c r="Y922" t="s">
        <v>3714</v>
      </c>
      <c r="Z922">
        <v>0</v>
      </c>
      <c r="AA922" t="s">
        <v>3783</v>
      </c>
      <c r="AB922" t="s">
        <v>2006</v>
      </c>
      <c r="AC922">
        <v>23</v>
      </c>
      <c r="AD922">
        <v>1</v>
      </c>
      <c r="AE922">
        <v>0</v>
      </c>
      <c r="AF922">
        <v>200.16</v>
      </c>
      <c r="AI922" t="s">
        <v>3809</v>
      </c>
      <c r="AJ922">
        <v>25000</v>
      </c>
      <c r="AP922">
        <v>4.9</v>
      </c>
      <c r="AQ922" t="s">
        <v>260</v>
      </c>
      <c r="AR922" t="s">
        <v>49</v>
      </c>
      <c r="AS922" t="s">
        <v>4210</v>
      </c>
      <c r="AT922" t="s">
        <v>4219</v>
      </c>
    </row>
    <row r="923" spans="1:46">
      <c r="A923" s="1">
        <f>HYPERLINK("https://lsnyc.legalserver.org/matter/dynamic-profile/view/1896654","19-1896654")</f>
        <v>0</v>
      </c>
      <c r="B923" t="s">
        <v>69</v>
      </c>
      <c r="C923" t="s">
        <v>144</v>
      </c>
      <c r="D923" t="s">
        <v>250</v>
      </c>
      <c r="E923" t="s">
        <v>649</v>
      </c>
      <c r="F923" t="s">
        <v>1154</v>
      </c>
      <c r="G923" t="s">
        <v>1623</v>
      </c>
      <c r="H923" t="s">
        <v>1864</v>
      </c>
      <c r="I923">
        <v>11212</v>
      </c>
      <c r="J923" t="s">
        <v>2002</v>
      </c>
      <c r="K923" t="s">
        <v>2002</v>
      </c>
      <c r="L923" t="s">
        <v>2005</v>
      </c>
      <c r="M923" t="s">
        <v>2280</v>
      </c>
      <c r="N923" t="s">
        <v>2415</v>
      </c>
      <c r="O923" t="s">
        <v>2437</v>
      </c>
      <c r="P923" t="s">
        <v>2446</v>
      </c>
      <c r="Q923" t="s">
        <v>2003</v>
      </c>
      <c r="R923" t="s">
        <v>2456</v>
      </c>
      <c r="S923" t="s">
        <v>250</v>
      </c>
      <c r="T923">
        <v>911</v>
      </c>
      <c r="U923" t="s">
        <v>2500</v>
      </c>
      <c r="V923" t="s">
        <v>2516</v>
      </c>
      <c r="W923" t="s">
        <v>2898</v>
      </c>
      <c r="Y923" t="s">
        <v>3638</v>
      </c>
      <c r="Z923">
        <v>0</v>
      </c>
      <c r="AA923" t="s">
        <v>3783</v>
      </c>
      <c r="AC923">
        <v>9</v>
      </c>
      <c r="AD923">
        <v>1</v>
      </c>
      <c r="AE923">
        <v>2</v>
      </c>
      <c r="AF923">
        <v>23.65</v>
      </c>
      <c r="AI923" t="s">
        <v>3809</v>
      </c>
      <c r="AJ923">
        <v>5044</v>
      </c>
      <c r="AP923">
        <v>28</v>
      </c>
      <c r="AQ923" t="s">
        <v>250</v>
      </c>
      <c r="AR923" t="s">
        <v>4208</v>
      </c>
      <c r="AS923" t="s">
        <v>4210</v>
      </c>
      <c r="AT923" t="s">
        <v>4219</v>
      </c>
    </row>
    <row r="924" spans="1:46">
      <c r="A924" s="1">
        <f>HYPERLINK("https://lsnyc.legalserver.org/matter/dynamic-profile/view/1896637","19-1896637")</f>
        <v>0</v>
      </c>
      <c r="B924" t="s">
        <v>69</v>
      </c>
      <c r="C924" t="s">
        <v>144</v>
      </c>
      <c r="E924" t="s">
        <v>574</v>
      </c>
      <c r="F924" t="s">
        <v>1302</v>
      </c>
      <c r="G924" t="s">
        <v>1395</v>
      </c>
      <c r="H924">
        <v>4</v>
      </c>
      <c r="I924">
        <v>11233</v>
      </c>
      <c r="J924" t="s">
        <v>2002</v>
      </c>
      <c r="K924" t="s">
        <v>2003</v>
      </c>
      <c r="L924" t="s">
        <v>2007</v>
      </c>
      <c r="M924" t="s">
        <v>2340</v>
      </c>
      <c r="N924" t="s">
        <v>2415</v>
      </c>
      <c r="O924" t="s">
        <v>2437</v>
      </c>
      <c r="Q924" t="s">
        <v>2003</v>
      </c>
      <c r="R924" t="s">
        <v>2451</v>
      </c>
      <c r="S924" t="s">
        <v>279</v>
      </c>
      <c r="T924">
        <v>1477</v>
      </c>
      <c r="U924" t="s">
        <v>2497</v>
      </c>
      <c r="W924" t="s">
        <v>3085</v>
      </c>
      <c r="X924" t="s">
        <v>3281</v>
      </c>
      <c r="Y924" t="s">
        <v>3715</v>
      </c>
      <c r="Z924">
        <v>8</v>
      </c>
      <c r="AA924" t="s">
        <v>3783</v>
      </c>
      <c r="AB924" t="s">
        <v>3793</v>
      </c>
      <c r="AC924">
        <v>4</v>
      </c>
      <c r="AD924">
        <v>3</v>
      </c>
      <c r="AE924">
        <v>1</v>
      </c>
      <c r="AF924">
        <v>15.45</v>
      </c>
      <c r="AI924" t="s">
        <v>3809</v>
      </c>
      <c r="AJ924">
        <v>3978</v>
      </c>
      <c r="AP924">
        <v>6.3</v>
      </c>
      <c r="AQ924" t="s">
        <v>329</v>
      </c>
      <c r="AR924" t="s">
        <v>4185</v>
      </c>
      <c r="AS924" t="s">
        <v>4210</v>
      </c>
      <c r="AT924" t="s">
        <v>4219</v>
      </c>
    </row>
    <row r="925" spans="1:46">
      <c r="A925" s="1">
        <f>HYPERLINK("https://lsnyc.legalserver.org/matter/dynamic-profile/view/1900864","19-1900864")</f>
        <v>0</v>
      </c>
      <c r="B925" t="s">
        <v>69</v>
      </c>
      <c r="C925" t="s">
        <v>262</v>
      </c>
      <c r="E925" t="s">
        <v>794</v>
      </c>
      <c r="F925" t="s">
        <v>1303</v>
      </c>
      <c r="G925" t="s">
        <v>1673</v>
      </c>
      <c r="H925" t="s">
        <v>1867</v>
      </c>
      <c r="I925">
        <v>11233</v>
      </c>
      <c r="J925" t="s">
        <v>2002</v>
      </c>
      <c r="K925" t="s">
        <v>2004</v>
      </c>
      <c r="L925" t="s">
        <v>2005</v>
      </c>
      <c r="M925" t="s">
        <v>2341</v>
      </c>
      <c r="N925" t="s">
        <v>2415</v>
      </c>
      <c r="O925" t="s">
        <v>2437</v>
      </c>
      <c r="Q925" t="s">
        <v>2003</v>
      </c>
      <c r="S925" t="s">
        <v>226</v>
      </c>
      <c r="T925">
        <v>904</v>
      </c>
      <c r="U925" t="s">
        <v>2495</v>
      </c>
      <c r="W925" t="s">
        <v>3086</v>
      </c>
      <c r="X925" t="s">
        <v>3282</v>
      </c>
      <c r="Y925" t="s">
        <v>3716</v>
      </c>
      <c r="Z925">
        <v>0</v>
      </c>
      <c r="AA925" t="s">
        <v>3783</v>
      </c>
      <c r="AB925" t="s">
        <v>3796</v>
      </c>
      <c r="AC925">
        <v>10</v>
      </c>
      <c r="AD925">
        <v>1</v>
      </c>
      <c r="AE925">
        <v>2</v>
      </c>
      <c r="AF925">
        <v>23.16</v>
      </c>
      <c r="AI925" t="s">
        <v>3809</v>
      </c>
      <c r="AJ925">
        <v>4940</v>
      </c>
      <c r="AP925">
        <v>13.2</v>
      </c>
      <c r="AQ925" t="s">
        <v>329</v>
      </c>
      <c r="AR925" t="s">
        <v>49</v>
      </c>
      <c r="AS925" t="s">
        <v>4210</v>
      </c>
      <c r="AT925" t="s">
        <v>4219</v>
      </c>
    </row>
    <row r="926" spans="1:46">
      <c r="A926" s="1">
        <f>HYPERLINK("https://lsnyc.legalserver.org/matter/dynamic-profile/view/1900576","19-1900576")</f>
        <v>0</v>
      </c>
      <c r="B926" t="s">
        <v>69</v>
      </c>
      <c r="C926" t="s">
        <v>226</v>
      </c>
      <c r="E926" t="s">
        <v>795</v>
      </c>
      <c r="F926" t="s">
        <v>1304</v>
      </c>
      <c r="G926" t="s">
        <v>1445</v>
      </c>
      <c r="H926" t="s">
        <v>1749</v>
      </c>
      <c r="I926">
        <v>11208</v>
      </c>
      <c r="J926" t="s">
        <v>2002</v>
      </c>
      <c r="K926" t="s">
        <v>2004</v>
      </c>
      <c r="L926" t="s">
        <v>2005</v>
      </c>
      <c r="M926" t="s">
        <v>2342</v>
      </c>
      <c r="N926" t="s">
        <v>2413</v>
      </c>
      <c r="O926" t="s">
        <v>2442</v>
      </c>
      <c r="Q926" t="s">
        <v>2003</v>
      </c>
      <c r="S926" t="s">
        <v>226</v>
      </c>
      <c r="T926">
        <v>1350</v>
      </c>
      <c r="U926" t="s">
        <v>2500</v>
      </c>
      <c r="W926" t="s">
        <v>3087</v>
      </c>
      <c r="X926" t="s">
        <v>3283</v>
      </c>
      <c r="Y926" t="s">
        <v>3717</v>
      </c>
      <c r="Z926">
        <v>4</v>
      </c>
      <c r="AA926" t="s">
        <v>3784</v>
      </c>
      <c r="AB926" t="s">
        <v>2006</v>
      </c>
      <c r="AC926">
        <v>6</v>
      </c>
      <c r="AD926">
        <v>3</v>
      </c>
      <c r="AE926">
        <v>2</v>
      </c>
      <c r="AF926">
        <v>135.62</v>
      </c>
      <c r="AI926" t="s">
        <v>3809</v>
      </c>
      <c r="AJ926">
        <v>40916</v>
      </c>
      <c r="AP926">
        <v>2.6</v>
      </c>
      <c r="AQ926" t="s">
        <v>4167</v>
      </c>
      <c r="AR926" t="s">
        <v>4209</v>
      </c>
      <c r="AS926" t="s">
        <v>4210</v>
      </c>
      <c r="AT926" t="s">
        <v>4219</v>
      </c>
    </row>
    <row r="927" spans="1:46">
      <c r="A927" s="1">
        <f>HYPERLINK("https://lsnyc.legalserver.org/matter/dynamic-profile/view/1862877","18-1862877")</f>
        <v>0</v>
      </c>
      <c r="B927" t="s">
        <v>70</v>
      </c>
      <c r="C927" t="s">
        <v>291</v>
      </c>
      <c r="E927" t="s">
        <v>796</v>
      </c>
      <c r="F927" t="s">
        <v>1305</v>
      </c>
      <c r="G927" t="s">
        <v>1674</v>
      </c>
      <c r="H927" t="s">
        <v>1985</v>
      </c>
      <c r="I927">
        <v>11239</v>
      </c>
      <c r="J927" t="s">
        <v>2002</v>
      </c>
      <c r="K927" t="s">
        <v>2002</v>
      </c>
      <c r="M927" t="s">
        <v>2343</v>
      </c>
      <c r="N927" t="s">
        <v>2415</v>
      </c>
      <c r="O927" t="s">
        <v>2439</v>
      </c>
      <c r="S927" t="s">
        <v>188</v>
      </c>
      <c r="T927">
        <v>792</v>
      </c>
      <c r="U927" t="s">
        <v>2505</v>
      </c>
      <c r="W927" t="s">
        <v>3088</v>
      </c>
      <c r="X927" t="s">
        <v>3284</v>
      </c>
      <c r="Y927" t="s">
        <v>3718</v>
      </c>
      <c r="Z927">
        <v>40</v>
      </c>
      <c r="AA927" t="s">
        <v>3788</v>
      </c>
      <c r="AB927" t="s">
        <v>2006</v>
      </c>
      <c r="AC927">
        <v>10</v>
      </c>
      <c r="AD927">
        <v>1</v>
      </c>
      <c r="AE927">
        <v>0</v>
      </c>
      <c r="AF927">
        <v>35.68</v>
      </c>
      <c r="AI927" t="s">
        <v>3809</v>
      </c>
      <c r="AJ927">
        <v>4332</v>
      </c>
      <c r="AK927" t="s">
        <v>3829</v>
      </c>
      <c r="AP927">
        <v>5.95</v>
      </c>
      <c r="AQ927" t="s">
        <v>141</v>
      </c>
      <c r="AR927" t="s">
        <v>4196</v>
      </c>
      <c r="AS927" t="s">
        <v>4210</v>
      </c>
      <c r="AT927" t="s">
        <v>4219</v>
      </c>
    </row>
    <row r="928" spans="1:46">
      <c r="A928" s="1">
        <f>HYPERLINK("https://lsnyc.legalserver.org/matter/dynamic-profile/view/1871868","18-1871868")</f>
        <v>0</v>
      </c>
      <c r="B928" t="s">
        <v>70</v>
      </c>
      <c r="C928" t="s">
        <v>188</v>
      </c>
      <c r="D928" t="s">
        <v>131</v>
      </c>
      <c r="E928" t="s">
        <v>797</v>
      </c>
      <c r="F928" t="s">
        <v>1306</v>
      </c>
      <c r="G928" t="s">
        <v>1675</v>
      </c>
      <c r="H928" t="s">
        <v>1788</v>
      </c>
      <c r="I928">
        <v>11233</v>
      </c>
      <c r="J928" t="s">
        <v>2002</v>
      </c>
      <c r="K928" t="s">
        <v>2002</v>
      </c>
      <c r="M928" t="s">
        <v>2344</v>
      </c>
      <c r="N928" t="s">
        <v>2413</v>
      </c>
      <c r="O928" t="s">
        <v>2439</v>
      </c>
      <c r="P928" t="s">
        <v>2444</v>
      </c>
      <c r="Q928" t="s">
        <v>2003</v>
      </c>
      <c r="S928" t="s">
        <v>188</v>
      </c>
      <c r="T928">
        <v>900</v>
      </c>
      <c r="U928" t="s">
        <v>2499</v>
      </c>
      <c r="V928" t="s">
        <v>2515</v>
      </c>
      <c r="W928" t="s">
        <v>3089</v>
      </c>
      <c r="X928" t="s">
        <v>3285</v>
      </c>
      <c r="Y928" t="s">
        <v>3719</v>
      </c>
      <c r="Z928">
        <v>2</v>
      </c>
      <c r="AA928" t="s">
        <v>3784</v>
      </c>
      <c r="AB928" t="s">
        <v>2006</v>
      </c>
      <c r="AC928">
        <v>28</v>
      </c>
      <c r="AD928">
        <v>1</v>
      </c>
      <c r="AE928">
        <v>0</v>
      </c>
      <c r="AF928">
        <v>118.62</v>
      </c>
      <c r="AI928" t="s">
        <v>3809</v>
      </c>
      <c r="AJ928">
        <v>14400</v>
      </c>
      <c r="AP928">
        <v>1.25</v>
      </c>
      <c r="AQ928" t="s">
        <v>110</v>
      </c>
      <c r="AR928" t="s">
        <v>4185</v>
      </c>
      <c r="AS928" t="s">
        <v>4210</v>
      </c>
      <c r="AT928" t="s">
        <v>4219</v>
      </c>
    </row>
    <row r="929" spans="1:46">
      <c r="A929" s="1">
        <f>HYPERLINK("https://lsnyc.legalserver.org/matter/dynamic-profile/view/1872412","18-1872412")</f>
        <v>0</v>
      </c>
      <c r="B929" t="s">
        <v>70</v>
      </c>
      <c r="C929" t="s">
        <v>264</v>
      </c>
      <c r="D929" t="s">
        <v>99</v>
      </c>
      <c r="E929" t="s">
        <v>798</v>
      </c>
      <c r="F929" t="s">
        <v>1307</v>
      </c>
      <c r="G929" t="s">
        <v>1676</v>
      </c>
      <c r="H929">
        <v>3</v>
      </c>
      <c r="I929">
        <v>11233</v>
      </c>
      <c r="J929" t="s">
        <v>2002</v>
      </c>
      <c r="K929" t="s">
        <v>2002</v>
      </c>
      <c r="M929" t="s">
        <v>2345</v>
      </c>
      <c r="N929" t="s">
        <v>2415</v>
      </c>
      <c r="O929" t="s">
        <v>2439</v>
      </c>
      <c r="P929" t="s">
        <v>2444</v>
      </c>
      <c r="Q929" t="s">
        <v>2002</v>
      </c>
      <c r="S929" t="s">
        <v>264</v>
      </c>
      <c r="T929">
        <v>1750</v>
      </c>
      <c r="V929" t="s">
        <v>2515</v>
      </c>
      <c r="W929" t="s">
        <v>3090</v>
      </c>
      <c r="X929" t="s">
        <v>3286</v>
      </c>
      <c r="Y929" t="s">
        <v>3720</v>
      </c>
      <c r="Z929">
        <v>6</v>
      </c>
      <c r="AA929" t="s">
        <v>3783</v>
      </c>
      <c r="AB929" t="s">
        <v>2006</v>
      </c>
      <c r="AC929">
        <v>1</v>
      </c>
      <c r="AD929">
        <v>2</v>
      </c>
      <c r="AE929">
        <v>0</v>
      </c>
      <c r="AF929">
        <v>164.03</v>
      </c>
      <c r="AI929" t="s">
        <v>3809</v>
      </c>
      <c r="AJ929">
        <v>27000</v>
      </c>
      <c r="AP929">
        <v>2.5</v>
      </c>
      <c r="AQ929" t="s">
        <v>152</v>
      </c>
      <c r="AR929" t="s">
        <v>4185</v>
      </c>
      <c r="AS929" t="s">
        <v>4210</v>
      </c>
      <c r="AT929" t="s">
        <v>4219</v>
      </c>
    </row>
    <row r="930" spans="1:46">
      <c r="A930" s="1">
        <f>HYPERLINK("https://lsnyc.legalserver.org/matter/dynamic-profile/view/1873364","18-1873364")</f>
        <v>0</v>
      </c>
      <c r="B930" t="s">
        <v>70</v>
      </c>
      <c r="C930" t="s">
        <v>197</v>
      </c>
      <c r="E930" t="s">
        <v>799</v>
      </c>
      <c r="F930" t="s">
        <v>982</v>
      </c>
      <c r="G930" t="s">
        <v>1677</v>
      </c>
      <c r="H930" t="s">
        <v>1986</v>
      </c>
      <c r="I930">
        <v>11208</v>
      </c>
      <c r="J930" t="s">
        <v>2002</v>
      </c>
      <c r="K930" t="s">
        <v>2002</v>
      </c>
      <c r="M930" t="s">
        <v>2346</v>
      </c>
      <c r="N930" t="s">
        <v>2415</v>
      </c>
      <c r="O930" t="s">
        <v>2437</v>
      </c>
      <c r="Q930" t="s">
        <v>2003</v>
      </c>
      <c r="S930" t="s">
        <v>197</v>
      </c>
      <c r="T930">
        <v>1600</v>
      </c>
      <c r="U930" t="s">
        <v>2495</v>
      </c>
      <c r="W930" t="s">
        <v>3091</v>
      </c>
      <c r="Y930" t="s">
        <v>3721</v>
      </c>
      <c r="Z930">
        <v>7</v>
      </c>
      <c r="AA930" t="s">
        <v>3783</v>
      </c>
      <c r="AB930" t="s">
        <v>3793</v>
      </c>
      <c r="AC930">
        <v>15</v>
      </c>
      <c r="AD930">
        <v>2</v>
      </c>
      <c r="AE930">
        <v>1</v>
      </c>
      <c r="AF930">
        <v>235.8</v>
      </c>
      <c r="AG930" t="s">
        <v>224</v>
      </c>
      <c r="AH930" t="s">
        <v>3806</v>
      </c>
      <c r="AI930" t="s">
        <v>3809</v>
      </c>
      <c r="AJ930">
        <v>49000</v>
      </c>
      <c r="AP930">
        <v>60.15</v>
      </c>
      <c r="AQ930" t="s">
        <v>321</v>
      </c>
      <c r="AR930" t="s">
        <v>4204</v>
      </c>
      <c r="AS930" t="s">
        <v>4210</v>
      </c>
      <c r="AT930" t="s">
        <v>4219</v>
      </c>
    </row>
    <row r="931" spans="1:46">
      <c r="A931" s="1">
        <f>HYPERLINK("https://lsnyc.legalserver.org/matter/dynamic-profile/view/1872000","18-1872000")</f>
        <v>0</v>
      </c>
      <c r="B931" t="s">
        <v>70</v>
      </c>
      <c r="C931" t="s">
        <v>174</v>
      </c>
      <c r="D931" t="s">
        <v>99</v>
      </c>
      <c r="E931" t="s">
        <v>800</v>
      </c>
      <c r="F931" t="s">
        <v>1081</v>
      </c>
      <c r="G931" t="s">
        <v>1678</v>
      </c>
      <c r="H931">
        <v>3</v>
      </c>
      <c r="I931">
        <v>11208</v>
      </c>
      <c r="J931" t="s">
        <v>2002</v>
      </c>
      <c r="K931" t="s">
        <v>2002</v>
      </c>
      <c r="N931" t="s">
        <v>2027</v>
      </c>
      <c r="O931" t="s">
        <v>2439</v>
      </c>
      <c r="P931" t="s">
        <v>2444</v>
      </c>
      <c r="S931" t="s">
        <v>308</v>
      </c>
      <c r="T931">
        <v>0</v>
      </c>
      <c r="V931" t="s">
        <v>2515</v>
      </c>
      <c r="W931" t="s">
        <v>3092</v>
      </c>
      <c r="Y931" t="s">
        <v>3722</v>
      </c>
      <c r="Z931">
        <v>0</v>
      </c>
      <c r="AC931">
        <v>0</v>
      </c>
      <c r="AD931">
        <v>2</v>
      </c>
      <c r="AE931">
        <v>0</v>
      </c>
      <c r="AF931">
        <v>55.41</v>
      </c>
      <c r="AI931" t="s">
        <v>3810</v>
      </c>
      <c r="AJ931">
        <v>9120</v>
      </c>
      <c r="AP931">
        <v>3.5</v>
      </c>
      <c r="AQ931" t="s">
        <v>84</v>
      </c>
      <c r="AR931" t="s">
        <v>70</v>
      </c>
      <c r="AS931" t="s">
        <v>4210</v>
      </c>
      <c r="AT931" t="s">
        <v>4219</v>
      </c>
    </row>
    <row r="932" spans="1:46">
      <c r="A932" s="1">
        <f>HYPERLINK("https://lsnyc.legalserver.org/matter/dynamic-profile/view/1873452","18-1873452")</f>
        <v>0</v>
      </c>
      <c r="B932" t="s">
        <v>70</v>
      </c>
      <c r="C932" t="s">
        <v>292</v>
      </c>
      <c r="E932" t="s">
        <v>801</v>
      </c>
      <c r="F932" t="s">
        <v>1308</v>
      </c>
      <c r="G932" t="s">
        <v>1679</v>
      </c>
      <c r="H932" t="s">
        <v>1802</v>
      </c>
      <c r="I932">
        <v>11208</v>
      </c>
      <c r="J932" t="s">
        <v>2002</v>
      </c>
      <c r="K932" t="s">
        <v>2002</v>
      </c>
      <c r="M932" t="s">
        <v>2347</v>
      </c>
      <c r="N932" t="s">
        <v>2415</v>
      </c>
      <c r="O932" t="s">
        <v>2437</v>
      </c>
      <c r="S932" t="s">
        <v>308</v>
      </c>
      <c r="T932">
        <v>1020</v>
      </c>
      <c r="U932" t="s">
        <v>2493</v>
      </c>
      <c r="W932" t="s">
        <v>3093</v>
      </c>
      <c r="X932" t="s">
        <v>3287</v>
      </c>
      <c r="Y932" t="s">
        <v>3723</v>
      </c>
      <c r="Z932">
        <v>20</v>
      </c>
      <c r="AB932" t="s">
        <v>2006</v>
      </c>
      <c r="AC932">
        <v>12</v>
      </c>
      <c r="AD932">
        <v>4</v>
      </c>
      <c r="AE932">
        <v>1</v>
      </c>
      <c r="AF932">
        <v>81.58</v>
      </c>
      <c r="AI932" t="s">
        <v>3809</v>
      </c>
      <c r="AJ932">
        <v>24000</v>
      </c>
      <c r="AP932">
        <v>24.35</v>
      </c>
      <c r="AQ932" t="s">
        <v>288</v>
      </c>
      <c r="AR932" t="s">
        <v>4189</v>
      </c>
      <c r="AS932" t="s">
        <v>4210</v>
      </c>
      <c r="AT932" t="s">
        <v>4219</v>
      </c>
    </row>
    <row r="933" spans="1:46">
      <c r="A933" s="1">
        <f>HYPERLINK("https://lsnyc.legalserver.org/matter/dynamic-profile/view/1874167","18-1874167")</f>
        <v>0</v>
      </c>
      <c r="B933" t="s">
        <v>70</v>
      </c>
      <c r="C933" t="s">
        <v>80</v>
      </c>
      <c r="D933" t="s">
        <v>99</v>
      </c>
      <c r="E933" t="s">
        <v>802</v>
      </c>
      <c r="F933" t="s">
        <v>866</v>
      </c>
      <c r="G933" t="s">
        <v>1680</v>
      </c>
      <c r="H933" t="s">
        <v>1741</v>
      </c>
      <c r="I933">
        <v>11206</v>
      </c>
      <c r="J933" t="s">
        <v>2002</v>
      </c>
      <c r="K933" t="s">
        <v>2002</v>
      </c>
      <c r="M933" t="s">
        <v>2348</v>
      </c>
      <c r="N933" t="s">
        <v>2413</v>
      </c>
      <c r="O933" t="s">
        <v>2437</v>
      </c>
      <c r="P933" t="s">
        <v>2446</v>
      </c>
      <c r="Q933" t="s">
        <v>2003</v>
      </c>
      <c r="S933" t="s">
        <v>80</v>
      </c>
      <c r="T933">
        <v>0</v>
      </c>
      <c r="V933" t="s">
        <v>2516</v>
      </c>
      <c r="W933" t="s">
        <v>3094</v>
      </c>
      <c r="Y933" t="s">
        <v>3724</v>
      </c>
      <c r="Z933">
        <v>0</v>
      </c>
      <c r="AC933">
        <v>0</v>
      </c>
      <c r="AD933">
        <v>1</v>
      </c>
      <c r="AE933">
        <v>4</v>
      </c>
      <c r="AF933">
        <v>48.95</v>
      </c>
      <c r="AI933" t="s">
        <v>3809</v>
      </c>
      <c r="AJ933">
        <v>14400</v>
      </c>
      <c r="AN933" t="s">
        <v>4122</v>
      </c>
      <c r="AO933" t="s">
        <v>4160</v>
      </c>
      <c r="AP933">
        <v>22.75</v>
      </c>
      <c r="AQ933" t="s">
        <v>99</v>
      </c>
      <c r="AR933" t="s">
        <v>70</v>
      </c>
      <c r="AS933" t="s">
        <v>4210</v>
      </c>
      <c r="AT933" t="s">
        <v>4219</v>
      </c>
    </row>
    <row r="934" spans="1:46">
      <c r="A934" s="1">
        <f>HYPERLINK("https://lsnyc.legalserver.org/matter/dynamic-profile/view/1885734","18-1885734")</f>
        <v>0</v>
      </c>
      <c r="B934" t="s">
        <v>70</v>
      </c>
      <c r="C934" t="s">
        <v>99</v>
      </c>
      <c r="D934" t="s">
        <v>99</v>
      </c>
      <c r="E934" t="s">
        <v>802</v>
      </c>
      <c r="F934" t="s">
        <v>866</v>
      </c>
      <c r="G934" t="s">
        <v>1680</v>
      </c>
      <c r="H934" t="s">
        <v>1741</v>
      </c>
      <c r="I934">
        <v>11206</v>
      </c>
      <c r="J934" t="s">
        <v>2002</v>
      </c>
      <c r="K934" t="s">
        <v>2002</v>
      </c>
      <c r="M934" t="s">
        <v>2348</v>
      </c>
      <c r="N934" t="s">
        <v>2413</v>
      </c>
      <c r="O934" t="s">
        <v>2437</v>
      </c>
      <c r="P934" t="s">
        <v>2446</v>
      </c>
      <c r="Q934" t="s">
        <v>2003</v>
      </c>
      <c r="S934" t="s">
        <v>80</v>
      </c>
      <c r="T934">
        <v>0</v>
      </c>
      <c r="V934" t="s">
        <v>2524</v>
      </c>
      <c r="W934" t="s">
        <v>2561</v>
      </c>
      <c r="Y934" t="s">
        <v>3724</v>
      </c>
      <c r="Z934">
        <v>0</v>
      </c>
      <c r="AC934">
        <v>0</v>
      </c>
      <c r="AD934">
        <v>1</v>
      </c>
      <c r="AE934">
        <v>4</v>
      </c>
      <c r="AF934">
        <v>48.95</v>
      </c>
      <c r="AI934" t="s">
        <v>3809</v>
      </c>
      <c r="AJ934">
        <v>14400</v>
      </c>
      <c r="AN934" t="s">
        <v>4122</v>
      </c>
      <c r="AO934" t="s">
        <v>4160</v>
      </c>
      <c r="AP934">
        <v>0.1</v>
      </c>
      <c r="AQ934" t="s">
        <v>99</v>
      </c>
      <c r="AR934" t="s">
        <v>70</v>
      </c>
      <c r="AS934" t="s">
        <v>4214</v>
      </c>
      <c r="AT934" t="s">
        <v>4219</v>
      </c>
    </row>
    <row r="935" spans="1:46">
      <c r="A935" s="1">
        <f>HYPERLINK("https://lsnyc.legalserver.org/matter/dynamic-profile/view/1874174","18-1874174")</f>
        <v>0</v>
      </c>
      <c r="B935" t="s">
        <v>70</v>
      </c>
      <c r="C935" t="s">
        <v>80</v>
      </c>
      <c r="D935" t="s">
        <v>332</v>
      </c>
      <c r="E935" t="s">
        <v>803</v>
      </c>
      <c r="F935" t="s">
        <v>1309</v>
      </c>
      <c r="G935" t="s">
        <v>1681</v>
      </c>
      <c r="H935" t="s">
        <v>1746</v>
      </c>
      <c r="I935">
        <v>11208</v>
      </c>
      <c r="J935" t="s">
        <v>2002</v>
      </c>
      <c r="K935" t="s">
        <v>2002</v>
      </c>
      <c r="L935" t="s">
        <v>2005</v>
      </c>
      <c r="M935" t="s">
        <v>2349</v>
      </c>
      <c r="N935" t="s">
        <v>2415</v>
      </c>
      <c r="O935" t="s">
        <v>2437</v>
      </c>
      <c r="P935" t="s">
        <v>2445</v>
      </c>
      <c r="S935" t="s">
        <v>80</v>
      </c>
      <c r="T935">
        <v>180</v>
      </c>
      <c r="U935" t="s">
        <v>2493</v>
      </c>
      <c r="V935" t="s">
        <v>2519</v>
      </c>
      <c r="W935" t="s">
        <v>3095</v>
      </c>
      <c r="Z935">
        <v>4</v>
      </c>
      <c r="AC935">
        <v>15</v>
      </c>
      <c r="AD935">
        <v>1</v>
      </c>
      <c r="AE935">
        <v>0</v>
      </c>
      <c r="AF935">
        <v>77.09999999999999</v>
      </c>
      <c r="AI935" t="s">
        <v>3809</v>
      </c>
      <c r="AJ935">
        <v>9360</v>
      </c>
      <c r="AP935">
        <v>61.75</v>
      </c>
      <c r="AQ935" t="s">
        <v>78</v>
      </c>
      <c r="AR935" t="s">
        <v>4188</v>
      </c>
      <c r="AS935" t="s">
        <v>4210</v>
      </c>
      <c r="AT935" t="s">
        <v>4219</v>
      </c>
    </row>
    <row r="936" spans="1:46">
      <c r="A936" s="1">
        <f>HYPERLINK("https://lsnyc.legalserver.org/matter/dynamic-profile/view/1874188","18-1874188")</f>
        <v>0</v>
      </c>
      <c r="B936" t="s">
        <v>70</v>
      </c>
      <c r="C936" t="s">
        <v>80</v>
      </c>
      <c r="E936" t="s">
        <v>803</v>
      </c>
      <c r="F936" t="s">
        <v>1309</v>
      </c>
      <c r="G936" t="s">
        <v>1681</v>
      </c>
      <c r="H936" t="s">
        <v>1746</v>
      </c>
      <c r="I936">
        <v>11208</v>
      </c>
      <c r="J936" t="s">
        <v>2002</v>
      </c>
      <c r="K936" t="s">
        <v>2002</v>
      </c>
      <c r="M936" t="s">
        <v>2349</v>
      </c>
      <c r="N936" t="s">
        <v>2415</v>
      </c>
      <c r="O936" t="s">
        <v>2439</v>
      </c>
      <c r="Q936" t="s">
        <v>2003</v>
      </c>
      <c r="S936" t="s">
        <v>80</v>
      </c>
      <c r="T936">
        <v>0</v>
      </c>
      <c r="W936" t="s">
        <v>3095</v>
      </c>
      <c r="Z936">
        <v>0</v>
      </c>
      <c r="AC936">
        <v>0</v>
      </c>
      <c r="AD936">
        <v>1</v>
      </c>
      <c r="AE936">
        <v>0</v>
      </c>
      <c r="AF936">
        <v>77.09999999999999</v>
      </c>
      <c r="AI936" t="s">
        <v>3809</v>
      </c>
      <c r="AJ936">
        <v>9360</v>
      </c>
      <c r="AP936">
        <v>2</v>
      </c>
      <c r="AQ936" t="s">
        <v>192</v>
      </c>
      <c r="AR936" t="s">
        <v>4188</v>
      </c>
      <c r="AS936" t="s">
        <v>4214</v>
      </c>
      <c r="AT936" t="s">
        <v>4219</v>
      </c>
    </row>
    <row r="937" spans="1:46">
      <c r="A937" s="1">
        <f>HYPERLINK("https://lsnyc.legalserver.org/matter/dynamic-profile/view/1874876","18-1874876")</f>
        <v>0</v>
      </c>
      <c r="B937" t="s">
        <v>70</v>
      </c>
      <c r="C937" t="s">
        <v>204</v>
      </c>
      <c r="D937" t="s">
        <v>99</v>
      </c>
      <c r="E937" t="s">
        <v>746</v>
      </c>
      <c r="F937" t="s">
        <v>1310</v>
      </c>
      <c r="G937" t="s">
        <v>1682</v>
      </c>
      <c r="H937" t="s">
        <v>1765</v>
      </c>
      <c r="I937">
        <v>11212</v>
      </c>
      <c r="J937" t="s">
        <v>2002</v>
      </c>
      <c r="K937" t="s">
        <v>2002</v>
      </c>
      <c r="M937" t="s">
        <v>2350</v>
      </c>
      <c r="N937" t="s">
        <v>2413</v>
      </c>
      <c r="O937" t="s">
        <v>2439</v>
      </c>
      <c r="P937" t="s">
        <v>2444</v>
      </c>
      <c r="S937" t="s">
        <v>204</v>
      </c>
      <c r="T937">
        <v>200</v>
      </c>
      <c r="U937" t="s">
        <v>2500</v>
      </c>
      <c r="V937" t="s">
        <v>2515</v>
      </c>
      <c r="W937" t="s">
        <v>3096</v>
      </c>
      <c r="Y937" t="s">
        <v>3725</v>
      </c>
      <c r="Z937">
        <v>4</v>
      </c>
      <c r="AC937">
        <v>5</v>
      </c>
      <c r="AD937">
        <v>1</v>
      </c>
      <c r="AE937">
        <v>0</v>
      </c>
      <c r="AF937">
        <v>19.77</v>
      </c>
      <c r="AI937" t="s">
        <v>3809</v>
      </c>
      <c r="AJ937">
        <v>2400</v>
      </c>
      <c r="AP937">
        <v>3.3</v>
      </c>
      <c r="AQ937" t="s">
        <v>195</v>
      </c>
      <c r="AR937" t="s">
        <v>4188</v>
      </c>
      <c r="AS937" t="s">
        <v>4210</v>
      </c>
      <c r="AT937" t="s">
        <v>4219</v>
      </c>
    </row>
    <row r="938" spans="1:46">
      <c r="A938" s="1">
        <f>HYPERLINK("https://lsnyc.legalserver.org/matter/dynamic-profile/view/1875069","18-1875069")</f>
        <v>0</v>
      </c>
      <c r="B938" t="s">
        <v>70</v>
      </c>
      <c r="C938" t="s">
        <v>293</v>
      </c>
      <c r="E938" t="s">
        <v>804</v>
      </c>
      <c r="F938" t="s">
        <v>1311</v>
      </c>
      <c r="G938" t="s">
        <v>1594</v>
      </c>
      <c r="H938" t="s">
        <v>1814</v>
      </c>
      <c r="I938">
        <v>11233</v>
      </c>
      <c r="J938" t="s">
        <v>2002</v>
      </c>
      <c r="K938" t="s">
        <v>2002</v>
      </c>
      <c r="M938" t="s">
        <v>2351</v>
      </c>
      <c r="N938" t="s">
        <v>2415</v>
      </c>
      <c r="O938" t="s">
        <v>2437</v>
      </c>
      <c r="Q938" t="s">
        <v>2003</v>
      </c>
      <c r="S938" t="s">
        <v>293</v>
      </c>
      <c r="T938">
        <v>925</v>
      </c>
      <c r="U938" t="s">
        <v>2505</v>
      </c>
      <c r="W938" t="s">
        <v>3097</v>
      </c>
      <c r="Y938" t="s">
        <v>3726</v>
      </c>
      <c r="Z938">
        <v>101</v>
      </c>
      <c r="AA938" t="s">
        <v>2156</v>
      </c>
      <c r="AB938" t="s">
        <v>2006</v>
      </c>
      <c r="AC938">
        <v>1</v>
      </c>
      <c r="AD938">
        <v>2</v>
      </c>
      <c r="AE938">
        <v>1</v>
      </c>
      <c r="AF938">
        <v>64.97</v>
      </c>
      <c r="AI938" t="s">
        <v>3810</v>
      </c>
      <c r="AJ938">
        <v>13500</v>
      </c>
      <c r="AP938">
        <v>36</v>
      </c>
      <c r="AQ938" t="s">
        <v>327</v>
      </c>
      <c r="AR938" t="s">
        <v>4185</v>
      </c>
      <c r="AS938" t="s">
        <v>4210</v>
      </c>
      <c r="AT938" t="s">
        <v>4219</v>
      </c>
    </row>
    <row r="939" spans="1:46">
      <c r="A939" s="1">
        <f>HYPERLINK("https://lsnyc.legalserver.org/matter/dynamic-profile/view/1875683","18-1875683")</f>
        <v>0</v>
      </c>
      <c r="B939" t="s">
        <v>70</v>
      </c>
      <c r="C939" t="s">
        <v>87</v>
      </c>
      <c r="D939" t="s">
        <v>124</v>
      </c>
      <c r="E939" t="s">
        <v>805</v>
      </c>
      <c r="F939" t="s">
        <v>1312</v>
      </c>
      <c r="G939" t="s">
        <v>1683</v>
      </c>
      <c r="H939" t="s">
        <v>1791</v>
      </c>
      <c r="I939">
        <v>11233</v>
      </c>
      <c r="J939" t="s">
        <v>2002</v>
      </c>
      <c r="K939" t="s">
        <v>2002</v>
      </c>
      <c r="M939" t="s">
        <v>2352</v>
      </c>
      <c r="N939" t="s">
        <v>2415</v>
      </c>
      <c r="O939" t="s">
        <v>2439</v>
      </c>
      <c r="P939" t="s">
        <v>2444</v>
      </c>
      <c r="Q939" t="s">
        <v>2003</v>
      </c>
      <c r="S939" t="s">
        <v>87</v>
      </c>
      <c r="T939">
        <v>941</v>
      </c>
      <c r="U939" t="s">
        <v>2495</v>
      </c>
      <c r="V939" t="s">
        <v>2515</v>
      </c>
      <c r="W939" t="s">
        <v>3098</v>
      </c>
      <c r="Y939" t="s">
        <v>3727</v>
      </c>
      <c r="Z939">
        <v>8</v>
      </c>
      <c r="AA939" t="s">
        <v>3783</v>
      </c>
      <c r="AB939" t="s">
        <v>3793</v>
      </c>
      <c r="AC939">
        <v>15</v>
      </c>
      <c r="AD939">
        <v>3</v>
      </c>
      <c r="AE939">
        <v>0</v>
      </c>
      <c r="AF939">
        <v>191.97</v>
      </c>
      <c r="AI939" t="s">
        <v>3809</v>
      </c>
      <c r="AJ939">
        <v>39892</v>
      </c>
      <c r="AP939">
        <v>2.5</v>
      </c>
      <c r="AQ939" t="s">
        <v>93</v>
      </c>
      <c r="AR939" t="s">
        <v>4185</v>
      </c>
      <c r="AS939" t="s">
        <v>4210</v>
      </c>
      <c r="AT939" t="s">
        <v>4219</v>
      </c>
    </row>
    <row r="940" spans="1:46">
      <c r="A940" s="1">
        <f>HYPERLINK("https://lsnyc.legalserver.org/matter/dynamic-profile/view/1875825","18-1875825")</f>
        <v>0</v>
      </c>
      <c r="B940" t="s">
        <v>70</v>
      </c>
      <c r="C940" t="s">
        <v>202</v>
      </c>
      <c r="D940" t="s">
        <v>124</v>
      </c>
      <c r="E940" t="s">
        <v>504</v>
      </c>
      <c r="F940" t="s">
        <v>1125</v>
      </c>
      <c r="G940" t="s">
        <v>1500</v>
      </c>
      <c r="H940" t="s">
        <v>1987</v>
      </c>
      <c r="I940">
        <v>11207</v>
      </c>
      <c r="J940" t="s">
        <v>2002</v>
      </c>
      <c r="K940" t="s">
        <v>2002</v>
      </c>
      <c r="M940" t="s">
        <v>2353</v>
      </c>
      <c r="N940" t="s">
        <v>2415</v>
      </c>
      <c r="O940" t="s">
        <v>2439</v>
      </c>
      <c r="P940" t="s">
        <v>2444</v>
      </c>
      <c r="Q940" t="s">
        <v>2003</v>
      </c>
      <c r="S940" t="s">
        <v>202</v>
      </c>
      <c r="T940">
        <v>1514</v>
      </c>
      <c r="V940" t="s">
        <v>2515</v>
      </c>
      <c r="W940" t="s">
        <v>3099</v>
      </c>
      <c r="Y940" t="s">
        <v>3728</v>
      </c>
      <c r="Z940">
        <v>23</v>
      </c>
      <c r="AA940" t="s">
        <v>3783</v>
      </c>
      <c r="AC940">
        <v>4</v>
      </c>
      <c r="AD940">
        <v>2</v>
      </c>
      <c r="AE940">
        <v>2</v>
      </c>
      <c r="AF940">
        <v>28.69</v>
      </c>
      <c r="AI940" t="s">
        <v>3809</v>
      </c>
      <c r="AJ940">
        <v>7200</v>
      </c>
      <c r="AP940">
        <v>1.25</v>
      </c>
      <c r="AQ940" t="s">
        <v>2482</v>
      </c>
      <c r="AR940" t="s">
        <v>4185</v>
      </c>
      <c r="AS940" t="s">
        <v>4210</v>
      </c>
      <c r="AT940" t="s">
        <v>4219</v>
      </c>
    </row>
    <row r="941" spans="1:46">
      <c r="A941" s="1">
        <f>HYPERLINK("https://lsnyc.legalserver.org/matter/dynamic-profile/view/1875971","18-1875971")</f>
        <v>0</v>
      </c>
      <c r="B941" t="s">
        <v>70</v>
      </c>
      <c r="C941" t="s">
        <v>228</v>
      </c>
      <c r="D941" t="s">
        <v>99</v>
      </c>
      <c r="E941" t="s">
        <v>423</v>
      </c>
      <c r="F941" t="s">
        <v>932</v>
      </c>
      <c r="G941" t="s">
        <v>1431</v>
      </c>
      <c r="H941" t="s">
        <v>1741</v>
      </c>
      <c r="I941">
        <v>11239</v>
      </c>
      <c r="J941" t="s">
        <v>2002</v>
      </c>
      <c r="K941" t="s">
        <v>2002</v>
      </c>
      <c r="M941" t="s">
        <v>2354</v>
      </c>
      <c r="N941" t="s">
        <v>2415</v>
      </c>
      <c r="O941" t="s">
        <v>2437</v>
      </c>
      <c r="P941" t="s">
        <v>2446</v>
      </c>
      <c r="S941" t="s">
        <v>228</v>
      </c>
      <c r="T941">
        <v>968</v>
      </c>
      <c r="U941" t="s">
        <v>2495</v>
      </c>
      <c r="V941" t="s">
        <v>2516</v>
      </c>
      <c r="W941" t="s">
        <v>2620</v>
      </c>
      <c r="Y941" t="s">
        <v>3390</v>
      </c>
      <c r="Z941">
        <v>136</v>
      </c>
      <c r="AA941" t="s">
        <v>3787</v>
      </c>
      <c r="AB941" t="s">
        <v>2006</v>
      </c>
      <c r="AC941">
        <v>2</v>
      </c>
      <c r="AD941">
        <v>1</v>
      </c>
      <c r="AE941">
        <v>0</v>
      </c>
      <c r="AF941">
        <v>154.57</v>
      </c>
      <c r="AI941" t="s">
        <v>3810</v>
      </c>
      <c r="AJ941">
        <v>18765.24</v>
      </c>
      <c r="AP941">
        <v>7.25</v>
      </c>
      <c r="AQ941" t="s">
        <v>200</v>
      </c>
      <c r="AR941" t="s">
        <v>4207</v>
      </c>
      <c r="AS941" t="s">
        <v>4210</v>
      </c>
      <c r="AT941" t="s">
        <v>4219</v>
      </c>
    </row>
    <row r="942" spans="1:46">
      <c r="A942" s="1">
        <f>HYPERLINK("https://lsnyc.legalserver.org/matter/dynamic-profile/view/1876365","18-1876365")</f>
        <v>0</v>
      </c>
      <c r="B942" t="s">
        <v>70</v>
      </c>
      <c r="C942" t="s">
        <v>193</v>
      </c>
      <c r="D942" t="s">
        <v>131</v>
      </c>
      <c r="E942" t="s">
        <v>806</v>
      </c>
      <c r="F942" t="s">
        <v>866</v>
      </c>
      <c r="G942" t="s">
        <v>1684</v>
      </c>
      <c r="H942" t="s">
        <v>1741</v>
      </c>
      <c r="I942">
        <v>11233</v>
      </c>
      <c r="J942" t="s">
        <v>2002</v>
      </c>
      <c r="K942" t="s">
        <v>2002</v>
      </c>
      <c r="M942" t="s">
        <v>2355</v>
      </c>
      <c r="N942" t="s">
        <v>2413</v>
      </c>
      <c r="O942" t="s">
        <v>2439</v>
      </c>
      <c r="P942" t="s">
        <v>2444</v>
      </c>
      <c r="Q942" t="s">
        <v>2003</v>
      </c>
      <c r="S942" t="s">
        <v>193</v>
      </c>
      <c r="T942">
        <v>1000</v>
      </c>
      <c r="U942" t="s">
        <v>2497</v>
      </c>
      <c r="V942" t="s">
        <v>2515</v>
      </c>
      <c r="W942" t="s">
        <v>2684</v>
      </c>
      <c r="Y942" t="s">
        <v>3729</v>
      </c>
      <c r="Z942">
        <v>12</v>
      </c>
      <c r="AA942" t="s">
        <v>3783</v>
      </c>
      <c r="AB942" t="s">
        <v>3793</v>
      </c>
      <c r="AC942">
        <v>22</v>
      </c>
      <c r="AD942">
        <v>2</v>
      </c>
      <c r="AE942">
        <v>0</v>
      </c>
      <c r="AF942">
        <v>51.76</v>
      </c>
      <c r="AI942" t="s">
        <v>3809</v>
      </c>
      <c r="AJ942">
        <v>8520</v>
      </c>
      <c r="AP942">
        <v>8.75</v>
      </c>
      <c r="AQ942" t="s">
        <v>4173</v>
      </c>
      <c r="AR942" t="s">
        <v>4185</v>
      </c>
      <c r="AS942" t="s">
        <v>4210</v>
      </c>
      <c r="AT942" t="s">
        <v>4219</v>
      </c>
    </row>
    <row r="943" spans="1:46">
      <c r="A943" s="1">
        <f>HYPERLINK("https://lsnyc.legalserver.org/matter/dynamic-profile/view/1876969","18-1876969")</f>
        <v>0</v>
      </c>
      <c r="B943" t="s">
        <v>70</v>
      </c>
      <c r="C943" t="s">
        <v>175</v>
      </c>
      <c r="D943" t="s">
        <v>131</v>
      </c>
      <c r="E943" t="s">
        <v>807</v>
      </c>
      <c r="F943" t="s">
        <v>1313</v>
      </c>
      <c r="G943" t="s">
        <v>1685</v>
      </c>
      <c r="H943" t="s">
        <v>1966</v>
      </c>
      <c r="I943">
        <v>11233</v>
      </c>
      <c r="J943" t="s">
        <v>2002</v>
      </c>
      <c r="K943" t="s">
        <v>2002</v>
      </c>
      <c r="M943" t="s">
        <v>2356</v>
      </c>
      <c r="N943" t="s">
        <v>2415</v>
      </c>
      <c r="O943" t="s">
        <v>2439</v>
      </c>
      <c r="P943" t="s">
        <v>2444</v>
      </c>
      <c r="S943" t="s">
        <v>175</v>
      </c>
      <c r="T943">
        <v>800</v>
      </c>
      <c r="U943" t="s">
        <v>2497</v>
      </c>
      <c r="V943" t="s">
        <v>2515</v>
      </c>
      <c r="W943" t="s">
        <v>3100</v>
      </c>
      <c r="Y943" t="s">
        <v>3730</v>
      </c>
      <c r="Z943">
        <v>3</v>
      </c>
      <c r="AB943" t="s">
        <v>3794</v>
      </c>
      <c r="AC943">
        <v>5</v>
      </c>
      <c r="AD943">
        <v>1</v>
      </c>
      <c r="AE943">
        <v>0</v>
      </c>
      <c r="AF943">
        <v>0</v>
      </c>
      <c r="AI943" t="s">
        <v>3809</v>
      </c>
      <c r="AJ943">
        <v>0</v>
      </c>
      <c r="AP943">
        <v>5</v>
      </c>
      <c r="AQ943" t="s">
        <v>296</v>
      </c>
      <c r="AR943" t="s">
        <v>4189</v>
      </c>
      <c r="AS943" t="s">
        <v>4210</v>
      </c>
      <c r="AT943" t="s">
        <v>4219</v>
      </c>
    </row>
    <row r="944" spans="1:46">
      <c r="A944" s="1">
        <f>HYPERLINK("https://lsnyc.legalserver.org/matter/dynamic-profile/view/1877823","18-1877823")</f>
        <v>0</v>
      </c>
      <c r="B944" t="s">
        <v>70</v>
      </c>
      <c r="C944" t="s">
        <v>90</v>
      </c>
      <c r="D944" t="s">
        <v>254</v>
      </c>
      <c r="E944" t="s">
        <v>808</v>
      </c>
      <c r="F944" t="s">
        <v>1314</v>
      </c>
      <c r="G944" t="s">
        <v>1686</v>
      </c>
      <c r="H944" t="s">
        <v>1791</v>
      </c>
      <c r="I944">
        <v>11233</v>
      </c>
      <c r="J944" t="s">
        <v>2002</v>
      </c>
      <c r="K944" t="s">
        <v>2002</v>
      </c>
      <c r="L944" t="s">
        <v>2005</v>
      </c>
      <c r="M944" t="s">
        <v>2357</v>
      </c>
      <c r="N944" t="s">
        <v>2415</v>
      </c>
      <c r="O944" t="s">
        <v>2437</v>
      </c>
      <c r="P944" t="s">
        <v>2446</v>
      </c>
      <c r="Q944" t="s">
        <v>2003</v>
      </c>
      <c r="S944" t="s">
        <v>90</v>
      </c>
      <c r="T944">
        <v>736</v>
      </c>
      <c r="U944" t="s">
        <v>2500</v>
      </c>
      <c r="V944" t="s">
        <v>2524</v>
      </c>
      <c r="W944" t="s">
        <v>3101</v>
      </c>
      <c r="X944" t="s">
        <v>3288</v>
      </c>
      <c r="Y944" t="s">
        <v>3731</v>
      </c>
      <c r="Z944">
        <v>0</v>
      </c>
      <c r="AB944" t="s">
        <v>3794</v>
      </c>
      <c r="AC944">
        <v>1</v>
      </c>
      <c r="AD944">
        <v>1</v>
      </c>
      <c r="AE944">
        <v>1</v>
      </c>
      <c r="AF944">
        <v>0</v>
      </c>
      <c r="AI944" t="s">
        <v>3809</v>
      </c>
      <c r="AJ944">
        <v>0</v>
      </c>
      <c r="AN944" t="s">
        <v>4122</v>
      </c>
      <c r="AO944" t="s">
        <v>4161</v>
      </c>
      <c r="AP944">
        <v>0.45</v>
      </c>
      <c r="AQ944" t="s">
        <v>254</v>
      </c>
      <c r="AR944" t="s">
        <v>4188</v>
      </c>
      <c r="AS944" t="s">
        <v>4214</v>
      </c>
      <c r="AT944" t="s">
        <v>4219</v>
      </c>
    </row>
    <row r="945" spans="1:46">
      <c r="A945" s="1">
        <f>HYPERLINK("https://lsnyc.legalserver.org/matter/dynamic-profile/view/1877819","18-1877819")</f>
        <v>0</v>
      </c>
      <c r="B945" t="s">
        <v>70</v>
      </c>
      <c r="C945" t="s">
        <v>90</v>
      </c>
      <c r="D945" t="s">
        <v>254</v>
      </c>
      <c r="E945" t="s">
        <v>808</v>
      </c>
      <c r="F945" t="s">
        <v>1314</v>
      </c>
      <c r="G945" t="s">
        <v>1686</v>
      </c>
      <c r="H945" t="s">
        <v>1791</v>
      </c>
      <c r="I945">
        <v>11233</v>
      </c>
      <c r="J945" t="s">
        <v>2002</v>
      </c>
      <c r="K945" t="s">
        <v>2002</v>
      </c>
      <c r="L945" t="s">
        <v>2005</v>
      </c>
      <c r="M945" t="s">
        <v>2357</v>
      </c>
      <c r="N945" t="s">
        <v>2415</v>
      </c>
      <c r="O945" t="s">
        <v>2437</v>
      </c>
      <c r="P945" t="s">
        <v>2446</v>
      </c>
      <c r="Q945" t="s">
        <v>2003</v>
      </c>
      <c r="S945" t="s">
        <v>294</v>
      </c>
      <c r="T945">
        <v>736</v>
      </c>
      <c r="U945" t="s">
        <v>2500</v>
      </c>
      <c r="V945" t="s">
        <v>2516</v>
      </c>
      <c r="W945" t="s">
        <v>3101</v>
      </c>
      <c r="X945" t="s">
        <v>3288</v>
      </c>
      <c r="Y945" t="s">
        <v>3731</v>
      </c>
      <c r="Z945">
        <v>7</v>
      </c>
      <c r="AB945" t="s">
        <v>3794</v>
      </c>
      <c r="AC945">
        <v>1</v>
      </c>
      <c r="AD945">
        <v>1</v>
      </c>
      <c r="AE945">
        <v>1</v>
      </c>
      <c r="AF945">
        <v>0</v>
      </c>
      <c r="AI945" t="s">
        <v>3809</v>
      </c>
      <c r="AJ945">
        <v>0</v>
      </c>
      <c r="AN945" t="s">
        <v>4122</v>
      </c>
      <c r="AO945" t="s">
        <v>4161</v>
      </c>
      <c r="AP945">
        <v>35.8</v>
      </c>
      <c r="AQ945" t="s">
        <v>254</v>
      </c>
      <c r="AR945" t="s">
        <v>4188</v>
      </c>
      <c r="AS945" t="s">
        <v>4210</v>
      </c>
      <c r="AT945" t="s">
        <v>4219</v>
      </c>
    </row>
    <row r="946" spans="1:46">
      <c r="A946" s="1">
        <f>HYPERLINK("https://lsnyc.legalserver.org/matter/dynamic-profile/view/1877877","18-1877877")</f>
        <v>0</v>
      </c>
      <c r="B946" t="s">
        <v>70</v>
      </c>
      <c r="C946" t="s">
        <v>294</v>
      </c>
      <c r="D946" t="s">
        <v>131</v>
      </c>
      <c r="E946" t="s">
        <v>400</v>
      </c>
      <c r="F946" t="s">
        <v>910</v>
      </c>
      <c r="G946" t="s">
        <v>1408</v>
      </c>
      <c r="H946" t="s">
        <v>1760</v>
      </c>
      <c r="I946">
        <v>11233</v>
      </c>
      <c r="J946" t="s">
        <v>2002</v>
      </c>
      <c r="K946" t="s">
        <v>2002</v>
      </c>
      <c r="M946" t="s">
        <v>2060</v>
      </c>
      <c r="N946" t="s">
        <v>2415</v>
      </c>
      <c r="O946" t="s">
        <v>2439</v>
      </c>
      <c r="P946" t="s">
        <v>2444</v>
      </c>
      <c r="S946" t="s">
        <v>294</v>
      </c>
      <c r="T946">
        <v>607</v>
      </c>
      <c r="U946" t="s">
        <v>2497</v>
      </c>
      <c r="V946" t="s">
        <v>2515</v>
      </c>
      <c r="W946" t="s">
        <v>2596</v>
      </c>
      <c r="X946" t="s">
        <v>3177</v>
      </c>
      <c r="Y946" t="s">
        <v>3368</v>
      </c>
      <c r="Z946">
        <v>0</v>
      </c>
      <c r="AA946" t="s">
        <v>3783</v>
      </c>
      <c r="AB946" t="s">
        <v>2006</v>
      </c>
      <c r="AC946">
        <v>40</v>
      </c>
      <c r="AD946">
        <v>1</v>
      </c>
      <c r="AE946">
        <v>0</v>
      </c>
      <c r="AF946">
        <v>28.67</v>
      </c>
      <c r="AI946" t="s">
        <v>3809</v>
      </c>
      <c r="AJ946">
        <v>3480</v>
      </c>
      <c r="AP946">
        <v>9.5</v>
      </c>
      <c r="AQ946" t="s">
        <v>154</v>
      </c>
      <c r="AR946" t="s">
        <v>4185</v>
      </c>
      <c r="AS946" t="s">
        <v>4210</v>
      </c>
      <c r="AT946" t="s">
        <v>4219</v>
      </c>
    </row>
    <row r="947" spans="1:46">
      <c r="A947" s="1">
        <f>HYPERLINK("https://lsnyc.legalserver.org/matter/dynamic-profile/view/1878288","18-1878288")</f>
        <v>0</v>
      </c>
      <c r="B947" t="s">
        <v>70</v>
      </c>
      <c r="C947" t="s">
        <v>229</v>
      </c>
      <c r="D947" t="s">
        <v>124</v>
      </c>
      <c r="E947" t="s">
        <v>512</v>
      </c>
      <c r="F947" t="s">
        <v>1315</v>
      </c>
      <c r="G947" t="s">
        <v>1502</v>
      </c>
      <c r="H947">
        <v>15</v>
      </c>
      <c r="I947">
        <v>11212</v>
      </c>
      <c r="J947" t="s">
        <v>2002</v>
      </c>
      <c r="K947" t="s">
        <v>2002</v>
      </c>
      <c r="M947" t="s">
        <v>2358</v>
      </c>
      <c r="N947" t="s">
        <v>2415</v>
      </c>
      <c r="O947" t="s">
        <v>2436</v>
      </c>
      <c r="P947" t="s">
        <v>2443</v>
      </c>
      <c r="S947" t="s">
        <v>229</v>
      </c>
      <c r="T947">
        <v>2177</v>
      </c>
      <c r="U947" t="s">
        <v>2495</v>
      </c>
      <c r="V947" t="s">
        <v>2516</v>
      </c>
      <c r="W947" t="s">
        <v>3102</v>
      </c>
      <c r="Y947" t="s">
        <v>3732</v>
      </c>
      <c r="Z947">
        <v>16</v>
      </c>
      <c r="AB947" t="s">
        <v>3793</v>
      </c>
      <c r="AC947">
        <v>1</v>
      </c>
      <c r="AD947">
        <v>3</v>
      </c>
      <c r="AE947">
        <v>0</v>
      </c>
      <c r="AF947">
        <v>120.31</v>
      </c>
      <c r="AI947" t="s">
        <v>3809</v>
      </c>
      <c r="AJ947">
        <v>25000</v>
      </c>
      <c r="AP947">
        <v>4.3</v>
      </c>
      <c r="AQ947" t="s">
        <v>116</v>
      </c>
      <c r="AR947" t="s">
        <v>4189</v>
      </c>
      <c r="AS947" t="s">
        <v>4210</v>
      </c>
      <c r="AT947" t="s">
        <v>4219</v>
      </c>
    </row>
    <row r="948" spans="1:46">
      <c r="A948" s="1">
        <f>HYPERLINK("https://lsnyc.legalserver.org/matter/dynamic-profile/view/1878616","18-1878616")</f>
        <v>0</v>
      </c>
      <c r="B948" t="s">
        <v>70</v>
      </c>
      <c r="C948" t="s">
        <v>192</v>
      </c>
      <c r="D948" t="s">
        <v>131</v>
      </c>
      <c r="E948" t="s">
        <v>809</v>
      </c>
      <c r="F948" t="s">
        <v>1021</v>
      </c>
      <c r="G948" t="s">
        <v>1687</v>
      </c>
      <c r="H948">
        <v>2</v>
      </c>
      <c r="I948">
        <v>11212</v>
      </c>
      <c r="J948" t="s">
        <v>2002</v>
      </c>
      <c r="K948" t="s">
        <v>2002</v>
      </c>
      <c r="M948" t="s">
        <v>2359</v>
      </c>
      <c r="N948" t="s">
        <v>2415</v>
      </c>
      <c r="O948" t="s">
        <v>2439</v>
      </c>
      <c r="P948" t="s">
        <v>2444</v>
      </c>
      <c r="Q948" t="s">
        <v>2003</v>
      </c>
      <c r="S948" t="s">
        <v>192</v>
      </c>
      <c r="T948">
        <v>1956</v>
      </c>
      <c r="U948" t="s">
        <v>2508</v>
      </c>
      <c r="V948" t="s">
        <v>2515</v>
      </c>
      <c r="W948" t="s">
        <v>3103</v>
      </c>
      <c r="X948" t="s">
        <v>3289</v>
      </c>
      <c r="Y948" t="s">
        <v>3733</v>
      </c>
      <c r="Z948">
        <v>3</v>
      </c>
      <c r="AA948" t="s">
        <v>2156</v>
      </c>
      <c r="AB948" t="s">
        <v>3796</v>
      </c>
      <c r="AC948">
        <v>2</v>
      </c>
      <c r="AD948">
        <v>1</v>
      </c>
      <c r="AE948">
        <v>3</v>
      </c>
      <c r="AF948">
        <v>46.37</v>
      </c>
      <c r="AI948" t="s">
        <v>3809</v>
      </c>
      <c r="AJ948">
        <v>11640</v>
      </c>
      <c r="AP948">
        <v>3.5</v>
      </c>
      <c r="AQ948" t="s">
        <v>267</v>
      </c>
      <c r="AR948" t="s">
        <v>4196</v>
      </c>
      <c r="AS948" t="s">
        <v>4210</v>
      </c>
      <c r="AT948" t="s">
        <v>4219</v>
      </c>
    </row>
    <row r="949" spans="1:46">
      <c r="A949" s="1">
        <f>HYPERLINK("https://lsnyc.legalserver.org/matter/dynamic-profile/view/1879377","18-1879377")</f>
        <v>0</v>
      </c>
      <c r="B949" t="s">
        <v>70</v>
      </c>
      <c r="C949" t="s">
        <v>239</v>
      </c>
      <c r="D949" t="s">
        <v>99</v>
      </c>
      <c r="E949" t="s">
        <v>810</v>
      </c>
      <c r="F949" t="s">
        <v>1316</v>
      </c>
      <c r="G949" t="s">
        <v>1688</v>
      </c>
      <c r="H949" t="s">
        <v>1988</v>
      </c>
      <c r="I949">
        <v>11208</v>
      </c>
      <c r="J949" t="s">
        <v>2002</v>
      </c>
      <c r="K949" t="s">
        <v>2002</v>
      </c>
      <c r="M949" t="s">
        <v>2360</v>
      </c>
      <c r="N949" t="s">
        <v>2413</v>
      </c>
      <c r="O949" t="s">
        <v>2439</v>
      </c>
      <c r="P949" t="s">
        <v>2444</v>
      </c>
      <c r="S949" t="s">
        <v>239</v>
      </c>
      <c r="T949">
        <v>750</v>
      </c>
      <c r="U949" t="s">
        <v>2500</v>
      </c>
      <c r="V949" t="s">
        <v>2515</v>
      </c>
      <c r="W949" t="s">
        <v>3104</v>
      </c>
      <c r="Y949" t="s">
        <v>3734</v>
      </c>
      <c r="Z949">
        <v>2</v>
      </c>
      <c r="AB949" t="s">
        <v>3793</v>
      </c>
      <c r="AC949">
        <v>11</v>
      </c>
      <c r="AD949">
        <v>2</v>
      </c>
      <c r="AE949">
        <v>0</v>
      </c>
      <c r="AF949">
        <v>56.87</v>
      </c>
      <c r="AI949" t="s">
        <v>3809</v>
      </c>
      <c r="AJ949">
        <v>9360</v>
      </c>
      <c r="AP949">
        <v>2.5</v>
      </c>
      <c r="AQ949" t="s">
        <v>257</v>
      </c>
      <c r="AR949" t="s">
        <v>4188</v>
      </c>
      <c r="AS949" t="s">
        <v>4210</v>
      </c>
      <c r="AT949" t="s">
        <v>4219</v>
      </c>
    </row>
    <row r="950" spans="1:46">
      <c r="A950" s="1">
        <f>HYPERLINK("https://lsnyc.legalserver.org/matter/dynamic-profile/view/1880278","18-1880278")</f>
        <v>0</v>
      </c>
      <c r="B950" t="s">
        <v>70</v>
      </c>
      <c r="C950" t="s">
        <v>113</v>
      </c>
      <c r="D950" t="s">
        <v>99</v>
      </c>
      <c r="E950" t="s">
        <v>811</v>
      </c>
      <c r="F950" t="s">
        <v>1114</v>
      </c>
      <c r="G950" t="s">
        <v>1689</v>
      </c>
      <c r="H950">
        <v>1</v>
      </c>
      <c r="I950">
        <v>11207</v>
      </c>
      <c r="J950" t="s">
        <v>2002</v>
      </c>
      <c r="K950" t="s">
        <v>2002</v>
      </c>
      <c r="M950" t="s">
        <v>2361</v>
      </c>
      <c r="N950" t="s">
        <v>2413</v>
      </c>
      <c r="O950" t="s">
        <v>2439</v>
      </c>
      <c r="P950" t="s">
        <v>2444</v>
      </c>
      <c r="S950" t="s">
        <v>113</v>
      </c>
      <c r="T950">
        <v>750</v>
      </c>
      <c r="U950" t="s">
        <v>2500</v>
      </c>
      <c r="V950" t="s">
        <v>2515</v>
      </c>
      <c r="W950" t="s">
        <v>3105</v>
      </c>
      <c r="X950" t="s">
        <v>3290</v>
      </c>
      <c r="Y950" t="s">
        <v>3735</v>
      </c>
      <c r="Z950">
        <v>2</v>
      </c>
      <c r="AA950" t="s">
        <v>3784</v>
      </c>
      <c r="AB950" t="s">
        <v>2495</v>
      </c>
      <c r="AC950">
        <v>2</v>
      </c>
      <c r="AD950">
        <v>1</v>
      </c>
      <c r="AE950">
        <v>1</v>
      </c>
      <c r="AF950">
        <v>191.06</v>
      </c>
      <c r="AI950" t="s">
        <v>3809</v>
      </c>
      <c r="AJ950">
        <v>31449</v>
      </c>
      <c r="AP950">
        <v>1.25</v>
      </c>
      <c r="AQ950" t="s">
        <v>154</v>
      </c>
      <c r="AR950" t="s">
        <v>4190</v>
      </c>
      <c r="AS950" t="s">
        <v>4210</v>
      </c>
      <c r="AT950" t="s">
        <v>4219</v>
      </c>
    </row>
    <row r="951" spans="1:46">
      <c r="A951" s="1">
        <f>HYPERLINK("https://lsnyc.legalserver.org/matter/dynamic-profile/view/1880542","18-1880542")</f>
        <v>0</v>
      </c>
      <c r="B951" t="s">
        <v>70</v>
      </c>
      <c r="C951" t="s">
        <v>295</v>
      </c>
      <c r="D951" t="s">
        <v>99</v>
      </c>
      <c r="E951" t="s">
        <v>812</v>
      </c>
      <c r="F951" t="s">
        <v>857</v>
      </c>
      <c r="G951" t="s">
        <v>1690</v>
      </c>
      <c r="H951">
        <v>3</v>
      </c>
      <c r="I951">
        <v>11208</v>
      </c>
      <c r="J951" t="s">
        <v>2002</v>
      </c>
      <c r="K951" t="s">
        <v>2002</v>
      </c>
      <c r="M951" t="s">
        <v>2362</v>
      </c>
      <c r="N951" t="s">
        <v>2413</v>
      </c>
      <c r="O951" t="s">
        <v>2439</v>
      </c>
      <c r="P951" t="s">
        <v>2444</v>
      </c>
      <c r="S951" t="s">
        <v>295</v>
      </c>
      <c r="T951">
        <v>1450</v>
      </c>
      <c r="U951" t="s">
        <v>2500</v>
      </c>
      <c r="V951" t="s">
        <v>2515</v>
      </c>
      <c r="W951" t="s">
        <v>3106</v>
      </c>
      <c r="X951" t="s">
        <v>3291</v>
      </c>
      <c r="Y951" t="s">
        <v>3736</v>
      </c>
      <c r="Z951">
        <v>3</v>
      </c>
      <c r="AB951" t="s">
        <v>2006</v>
      </c>
      <c r="AC951">
        <v>7</v>
      </c>
      <c r="AD951">
        <v>1</v>
      </c>
      <c r="AE951">
        <v>1</v>
      </c>
      <c r="AF951">
        <v>99.81999999999999</v>
      </c>
      <c r="AI951" t="s">
        <v>3809</v>
      </c>
      <c r="AJ951">
        <v>16430.96</v>
      </c>
      <c r="AP951">
        <v>2.15</v>
      </c>
      <c r="AQ951" t="s">
        <v>154</v>
      </c>
      <c r="AR951" t="s">
        <v>4188</v>
      </c>
      <c r="AS951" t="s">
        <v>4210</v>
      </c>
      <c r="AT951" t="s">
        <v>4219</v>
      </c>
    </row>
    <row r="952" spans="1:46">
      <c r="A952" s="1">
        <f>HYPERLINK("https://lsnyc.legalserver.org/matter/dynamic-profile/view/1880685","18-1880685")</f>
        <v>0</v>
      </c>
      <c r="B952" t="s">
        <v>70</v>
      </c>
      <c r="C952" t="s">
        <v>296</v>
      </c>
      <c r="D952" t="s">
        <v>131</v>
      </c>
      <c r="E952" t="s">
        <v>813</v>
      </c>
      <c r="F952" t="s">
        <v>1317</v>
      </c>
      <c r="G952" t="s">
        <v>1691</v>
      </c>
      <c r="H952" t="s">
        <v>1989</v>
      </c>
      <c r="I952">
        <v>11212</v>
      </c>
      <c r="J952" t="s">
        <v>2002</v>
      </c>
      <c r="K952" t="s">
        <v>2002</v>
      </c>
      <c r="M952" t="s">
        <v>2363</v>
      </c>
      <c r="N952" t="s">
        <v>2415</v>
      </c>
      <c r="O952" t="s">
        <v>2439</v>
      </c>
      <c r="P952" t="s">
        <v>2444</v>
      </c>
      <c r="Q952" t="s">
        <v>2003</v>
      </c>
      <c r="R952" t="s">
        <v>2451</v>
      </c>
      <c r="S952" t="s">
        <v>296</v>
      </c>
      <c r="T952">
        <v>900</v>
      </c>
      <c r="V952" t="s">
        <v>2515</v>
      </c>
      <c r="W952" t="s">
        <v>3107</v>
      </c>
      <c r="X952" t="s">
        <v>3160</v>
      </c>
      <c r="Y952" t="s">
        <v>3737</v>
      </c>
      <c r="Z952">
        <v>3</v>
      </c>
      <c r="AA952" t="s">
        <v>2156</v>
      </c>
      <c r="AB952" t="s">
        <v>3795</v>
      </c>
      <c r="AC952">
        <v>4</v>
      </c>
      <c r="AD952">
        <v>3</v>
      </c>
      <c r="AE952">
        <v>0</v>
      </c>
      <c r="AF952">
        <v>52.49</v>
      </c>
      <c r="AI952" t="s">
        <v>3809</v>
      </c>
      <c r="AJ952">
        <v>10908</v>
      </c>
      <c r="AP952">
        <v>2.2</v>
      </c>
      <c r="AQ952" t="s">
        <v>120</v>
      </c>
      <c r="AR952" t="s">
        <v>4187</v>
      </c>
      <c r="AS952" t="s">
        <v>4210</v>
      </c>
      <c r="AT952" t="s">
        <v>4219</v>
      </c>
    </row>
    <row r="953" spans="1:46">
      <c r="A953" s="1">
        <f>HYPERLINK("https://lsnyc.legalserver.org/matter/dynamic-profile/view/1881892","18-1881892")</f>
        <v>0</v>
      </c>
      <c r="B953" t="s">
        <v>70</v>
      </c>
      <c r="C953" t="s">
        <v>297</v>
      </c>
      <c r="E953" t="s">
        <v>645</v>
      </c>
      <c r="F953" t="s">
        <v>1149</v>
      </c>
      <c r="G953" t="s">
        <v>1618</v>
      </c>
      <c r="H953" t="s">
        <v>1760</v>
      </c>
      <c r="I953">
        <v>11208</v>
      </c>
      <c r="J953" t="s">
        <v>2002</v>
      </c>
      <c r="K953" t="s">
        <v>2002</v>
      </c>
      <c r="M953" t="s">
        <v>2364</v>
      </c>
      <c r="N953" t="s">
        <v>2415</v>
      </c>
      <c r="O953" t="s">
        <v>2437</v>
      </c>
      <c r="Q953" t="s">
        <v>2003</v>
      </c>
      <c r="R953" t="s">
        <v>2451</v>
      </c>
      <c r="S953" t="s">
        <v>297</v>
      </c>
      <c r="T953">
        <v>1425</v>
      </c>
      <c r="U953" t="s">
        <v>2497</v>
      </c>
      <c r="W953" t="s">
        <v>2892</v>
      </c>
      <c r="X953" t="s">
        <v>3257</v>
      </c>
      <c r="Y953" t="s">
        <v>3633</v>
      </c>
      <c r="Z953">
        <v>12</v>
      </c>
      <c r="AA953" t="s">
        <v>3783</v>
      </c>
      <c r="AB953" t="s">
        <v>2495</v>
      </c>
      <c r="AC953">
        <v>1</v>
      </c>
      <c r="AD953">
        <v>1</v>
      </c>
      <c r="AE953">
        <v>1</v>
      </c>
      <c r="AF953">
        <v>92.09</v>
      </c>
      <c r="AI953" t="s">
        <v>3810</v>
      </c>
      <c r="AJ953">
        <v>15158</v>
      </c>
      <c r="AP953">
        <v>47.25</v>
      </c>
      <c r="AQ953" t="s">
        <v>329</v>
      </c>
      <c r="AR953" t="s">
        <v>4185</v>
      </c>
      <c r="AS953" t="s">
        <v>4210</v>
      </c>
      <c r="AT953" t="s">
        <v>4219</v>
      </c>
    </row>
    <row r="954" spans="1:46">
      <c r="A954" s="1">
        <f>HYPERLINK("https://lsnyc.legalserver.org/matter/dynamic-profile/view/1882190","18-1882190")</f>
        <v>0</v>
      </c>
      <c r="B954" t="s">
        <v>70</v>
      </c>
      <c r="C954" t="s">
        <v>96</v>
      </c>
      <c r="E954" t="s">
        <v>814</v>
      </c>
      <c r="F954" t="s">
        <v>1318</v>
      </c>
      <c r="G954" t="s">
        <v>1692</v>
      </c>
      <c r="H954" t="s">
        <v>1806</v>
      </c>
      <c r="I954">
        <v>11239</v>
      </c>
      <c r="J954" t="s">
        <v>2002</v>
      </c>
      <c r="K954" t="s">
        <v>2002</v>
      </c>
      <c r="M954" t="s">
        <v>2365</v>
      </c>
      <c r="N954" t="s">
        <v>2415</v>
      </c>
      <c r="O954" t="s">
        <v>2437</v>
      </c>
      <c r="S954" t="s">
        <v>96</v>
      </c>
      <c r="T954">
        <v>689</v>
      </c>
      <c r="U954" t="s">
        <v>2501</v>
      </c>
      <c r="W954" t="s">
        <v>3108</v>
      </c>
      <c r="Y954" t="s">
        <v>3738</v>
      </c>
      <c r="Z954">
        <v>10</v>
      </c>
      <c r="AA954" t="s">
        <v>3783</v>
      </c>
      <c r="AC954">
        <v>3</v>
      </c>
      <c r="AD954">
        <v>1</v>
      </c>
      <c r="AE954">
        <v>0</v>
      </c>
      <c r="AF954">
        <v>119.8</v>
      </c>
      <c r="AI954" t="s">
        <v>3809</v>
      </c>
      <c r="AJ954">
        <v>14544</v>
      </c>
      <c r="AK954" t="s">
        <v>3924</v>
      </c>
      <c r="AP954">
        <v>36.75</v>
      </c>
      <c r="AQ954" t="s">
        <v>102</v>
      </c>
      <c r="AR954" t="s">
        <v>4184</v>
      </c>
      <c r="AS954" t="s">
        <v>4210</v>
      </c>
      <c r="AT954" t="s">
        <v>4219</v>
      </c>
    </row>
    <row r="955" spans="1:46">
      <c r="A955" s="1">
        <f>HYPERLINK("https://lsnyc.legalserver.org/matter/dynamic-profile/view/1883258","18-1883258")</f>
        <v>0</v>
      </c>
      <c r="B955" t="s">
        <v>70</v>
      </c>
      <c r="C955" t="s">
        <v>119</v>
      </c>
      <c r="D955" t="s">
        <v>99</v>
      </c>
      <c r="E955" t="s">
        <v>815</v>
      </c>
      <c r="F955" t="s">
        <v>1319</v>
      </c>
      <c r="G955" t="s">
        <v>1693</v>
      </c>
      <c r="H955" t="s">
        <v>1737</v>
      </c>
      <c r="I955">
        <v>11233</v>
      </c>
      <c r="J955" t="s">
        <v>2002</v>
      </c>
      <c r="K955" t="s">
        <v>2002</v>
      </c>
      <c r="M955" t="s">
        <v>2366</v>
      </c>
      <c r="N955" t="s">
        <v>2415</v>
      </c>
      <c r="O955" t="s">
        <v>2439</v>
      </c>
      <c r="P955" t="s">
        <v>2444</v>
      </c>
      <c r="Q955" t="s">
        <v>2002</v>
      </c>
      <c r="S955" t="s">
        <v>119</v>
      </c>
      <c r="T955">
        <v>67</v>
      </c>
      <c r="U955" t="s">
        <v>2502</v>
      </c>
      <c r="V955" t="s">
        <v>2515</v>
      </c>
      <c r="W955" t="s">
        <v>3109</v>
      </c>
      <c r="X955" t="s">
        <v>3292</v>
      </c>
      <c r="Y955" t="s">
        <v>3739</v>
      </c>
      <c r="Z955">
        <v>120</v>
      </c>
      <c r="AA955" t="s">
        <v>3787</v>
      </c>
      <c r="AB955" t="s">
        <v>3793</v>
      </c>
      <c r="AC955">
        <v>20</v>
      </c>
      <c r="AD955">
        <v>1</v>
      </c>
      <c r="AE955">
        <v>0</v>
      </c>
      <c r="AF955">
        <v>14.83</v>
      </c>
      <c r="AI955" t="s">
        <v>3809</v>
      </c>
      <c r="AJ955">
        <v>1800</v>
      </c>
      <c r="AP955">
        <v>3.5</v>
      </c>
      <c r="AQ955" t="s">
        <v>136</v>
      </c>
      <c r="AR955" t="s">
        <v>4194</v>
      </c>
      <c r="AS955" t="s">
        <v>4210</v>
      </c>
      <c r="AT955" t="s">
        <v>4219</v>
      </c>
    </row>
    <row r="956" spans="1:46">
      <c r="A956" s="1">
        <f>HYPERLINK("https://lsnyc.legalserver.org/matter/dynamic-profile/view/1885400","18-1885400")</f>
        <v>0</v>
      </c>
      <c r="B956" t="s">
        <v>70</v>
      </c>
      <c r="C956" t="s">
        <v>137</v>
      </c>
      <c r="D956" t="s">
        <v>124</v>
      </c>
      <c r="E956" t="s">
        <v>816</v>
      </c>
      <c r="F956" t="s">
        <v>1320</v>
      </c>
      <c r="G956" t="s">
        <v>1694</v>
      </c>
      <c r="H956">
        <v>1</v>
      </c>
      <c r="I956">
        <v>11207</v>
      </c>
      <c r="J956" t="s">
        <v>2002</v>
      </c>
      <c r="K956" t="s">
        <v>2002</v>
      </c>
      <c r="N956" t="s">
        <v>2027</v>
      </c>
      <c r="O956" t="s">
        <v>2439</v>
      </c>
      <c r="P956" t="s">
        <v>2444</v>
      </c>
      <c r="Q956" t="s">
        <v>2003</v>
      </c>
      <c r="S956" t="s">
        <v>137</v>
      </c>
      <c r="T956">
        <v>0</v>
      </c>
      <c r="V956" t="s">
        <v>2515</v>
      </c>
      <c r="W956" t="s">
        <v>3110</v>
      </c>
      <c r="Y956" t="s">
        <v>3740</v>
      </c>
      <c r="Z956">
        <v>0</v>
      </c>
      <c r="AC956">
        <v>0</v>
      </c>
      <c r="AD956">
        <v>1</v>
      </c>
      <c r="AE956">
        <v>2</v>
      </c>
      <c r="AF956">
        <v>44.52</v>
      </c>
      <c r="AJ956">
        <v>9252</v>
      </c>
      <c r="AP956">
        <v>0.75</v>
      </c>
      <c r="AQ956" t="s">
        <v>137</v>
      </c>
      <c r="AR956" t="s">
        <v>70</v>
      </c>
      <c r="AS956" t="s">
        <v>4210</v>
      </c>
      <c r="AT956" t="s">
        <v>4219</v>
      </c>
    </row>
    <row r="957" spans="1:46">
      <c r="A957" s="1">
        <f>HYPERLINK("https://lsnyc.legalserver.org/matter/dynamic-profile/view/1885377","18-1885377")</f>
        <v>0</v>
      </c>
      <c r="B957" t="s">
        <v>70</v>
      </c>
      <c r="C957" t="s">
        <v>131</v>
      </c>
      <c r="D957" t="s">
        <v>131</v>
      </c>
      <c r="E957" t="s">
        <v>620</v>
      </c>
      <c r="F957" t="s">
        <v>1321</v>
      </c>
      <c r="G957" t="s">
        <v>1695</v>
      </c>
      <c r="I957">
        <v>11208</v>
      </c>
      <c r="J957" t="s">
        <v>2002</v>
      </c>
      <c r="K957" t="s">
        <v>2002</v>
      </c>
      <c r="N957" t="s">
        <v>2417</v>
      </c>
      <c r="O957" t="s">
        <v>2439</v>
      </c>
      <c r="P957" t="s">
        <v>2444</v>
      </c>
      <c r="Q957" t="s">
        <v>2003</v>
      </c>
      <c r="S957" t="s">
        <v>137</v>
      </c>
      <c r="T957">
        <v>0</v>
      </c>
      <c r="V957" t="s">
        <v>2515</v>
      </c>
      <c r="W957" t="s">
        <v>3111</v>
      </c>
      <c r="Y957" t="s">
        <v>3741</v>
      </c>
      <c r="Z957">
        <v>0</v>
      </c>
      <c r="AC957">
        <v>0</v>
      </c>
      <c r="AD957">
        <v>2</v>
      </c>
      <c r="AE957">
        <v>0</v>
      </c>
      <c r="AF957">
        <v>137.42</v>
      </c>
      <c r="AI957" t="s">
        <v>3810</v>
      </c>
      <c r="AJ957">
        <v>22620</v>
      </c>
      <c r="AP957">
        <v>0.75</v>
      </c>
      <c r="AQ957" t="s">
        <v>137</v>
      </c>
      <c r="AR957" t="s">
        <v>70</v>
      </c>
      <c r="AS957" t="s">
        <v>4210</v>
      </c>
      <c r="AT957" t="s">
        <v>4219</v>
      </c>
    </row>
    <row r="958" spans="1:46">
      <c r="A958" s="1">
        <f>HYPERLINK("https://lsnyc.legalserver.org/matter/dynamic-profile/view/1885374","18-1885374")</f>
        <v>0</v>
      </c>
      <c r="B958" t="s">
        <v>70</v>
      </c>
      <c r="C958" t="s">
        <v>124</v>
      </c>
      <c r="D958" t="s">
        <v>124</v>
      </c>
      <c r="E958" t="s">
        <v>817</v>
      </c>
      <c r="F958" t="s">
        <v>1322</v>
      </c>
      <c r="G958" t="s">
        <v>1696</v>
      </c>
      <c r="H958">
        <v>2</v>
      </c>
      <c r="I958">
        <v>11208</v>
      </c>
      <c r="J958" t="s">
        <v>2002</v>
      </c>
      <c r="K958" t="s">
        <v>2002</v>
      </c>
      <c r="N958" t="s">
        <v>2413</v>
      </c>
      <c r="O958" t="s">
        <v>2439</v>
      </c>
      <c r="P958" t="s">
        <v>2444</v>
      </c>
      <c r="Q958" t="s">
        <v>2003</v>
      </c>
      <c r="S958" t="s">
        <v>124</v>
      </c>
      <c r="T958">
        <v>0</v>
      </c>
      <c r="V958" t="s">
        <v>2515</v>
      </c>
      <c r="W958" t="s">
        <v>3112</v>
      </c>
      <c r="Y958" t="s">
        <v>3742</v>
      </c>
      <c r="Z958">
        <v>0</v>
      </c>
      <c r="AC958">
        <v>0</v>
      </c>
      <c r="AD958">
        <v>1</v>
      </c>
      <c r="AE958">
        <v>0</v>
      </c>
      <c r="AF958">
        <v>82.54000000000001</v>
      </c>
      <c r="AI958" t="s">
        <v>3810</v>
      </c>
      <c r="AJ958">
        <v>10020</v>
      </c>
      <c r="AP958">
        <v>0.75</v>
      </c>
      <c r="AQ958" t="s">
        <v>137</v>
      </c>
      <c r="AR958" t="s">
        <v>70</v>
      </c>
      <c r="AS958" t="s">
        <v>4210</v>
      </c>
      <c r="AT958" t="s">
        <v>4219</v>
      </c>
    </row>
    <row r="959" spans="1:46">
      <c r="A959" s="1">
        <f>HYPERLINK("https://lsnyc.legalserver.org/matter/dynamic-profile/view/1885719","18-1885719")</f>
        <v>0</v>
      </c>
      <c r="B959" t="s">
        <v>70</v>
      </c>
      <c r="C959" t="s">
        <v>99</v>
      </c>
      <c r="E959" t="s">
        <v>640</v>
      </c>
      <c r="F959" t="s">
        <v>1125</v>
      </c>
      <c r="G959" t="s">
        <v>1697</v>
      </c>
      <c r="H959" t="s">
        <v>1990</v>
      </c>
      <c r="I959">
        <v>11212</v>
      </c>
      <c r="J959" t="s">
        <v>2002</v>
      </c>
      <c r="K959" t="s">
        <v>2002</v>
      </c>
      <c r="M959" t="s">
        <v>2367</v>
      </c>
      <c r="N959" t="s">
        <v>2413</v>
      </c>
      <c r="O959" t="s">
        <v>2439</v>
      </c>
      <c r="Q959" t="s">
        <v>2003</v>
      </c>
      <c r="S959" t="s">
        <v>131</v>
      </c>
      <c r="T959">
        <v>1260</v>
      </c>
      <c r="U959" t="s">
        <v>2500</v>
      </c>
      <c r="W959" t="s">
        <v>3113</v>
      </c>
      <c r="X959" t="s">
        <v>3293</v>
      </c>
      <c r="Y959" t="s">
        <v>3743</v>
      </c>
      <c r="Z959">
        <v>7</v>
      </c>
      <c r="AA959" t="s">
        <v>3784</v>
      </c>
      <c r="AB959" t="s">
        <v>3794</v>
      </c>
      <c r="AC959">
        <v>2</v>
      </c>
      <c r="AD959">
        <v>1</v>
      </c>
      <c r="AE959">
        <v>0</v>
      </c>
      <c r="AF959">
        <v>82.04000000000001</v>
      </c>
      <c r="AI959" t="s">
        <v>3809</v>
      </c>
      <c r="AJ959">
        <v>9960</v>
      </c>
      <c r="AP959">
        <v>15</v>
      </c>
      <c r="AQ959" t="s">
        <v>274</v>
      </c>
      <c r="AR959" t="s">
        <v>49</v>
      </c>
      <c r="AS959" t="s">
        <v>4210</v>
      </c>
      <c r="AT959" t="s">
        <v>4219</v>
      </c>
    </row>
    <row r="960" spans="1:46">
      <c r="A960" s="1">
        <f>HYPERLINK("https://lsnyc.legalserver.org/matter/dynamic-profile/view/1875367","18-1875367")</f>
        <v>0</v>
      </c>
      <c r="B960" t="s">
        <v>70</v>
      </c>
      <c r="C960" t="s">
        <v>104</v>
      </c>
      <c r="D960" t="s">
        <v>99</v>
      </c>
      <c r="E960" t="s">
        <v>818</v>
      </c>
      <c r="F960" t="s">
        <v>1323</v>
      </c>
      <c r="G960" t="s">
        <v>1698</v>
      </c>
      <c r="H960">
        <v>1</v>
      </c>
      <c r="I960">
        <v>11208</v>
      </c>
      <c r="J960" t="s">
        <v>2002</v>
      </c>
      <c r="K960" t="s">
        <v>2002</v>
      </c>
      <c r="M960" t="s">
        <v>2368</v>
      </c>
      <c r="N960" t="s">
        <v>2413</v>
      </c>
      <c r="O960" t="s">
        <v>2439</v>
      </c>
      <c r="P960" t="s">
        <v>2444</v>
      </c>
      <c r="S960" t="s">
        <v>99</v>
      </c>
      <c r="T960">
        <v>1301</v>
      </c>
      <c r="U960" t="s">
        <v>2500</v>
      </c>
      <c r="V960" t="s">
        <v>2515</v>
      </c>
      <c r="W960" t="s">
        <v>3114</v>
      </c>
      <c r="Y960" t="s">
        <v>3744</v>
      </c>
      <c r="Z960">
        <v>3</v>
      </c>
      <c r="AA960" t="s">
        <v>3787</v>
      </c>
      <c r="AB960" t="s">
        <v>3793</v>
      </c>
      <c r="AC960">
        <v>16</v>
      </c>
      <c r="AD960">
        <v>2</v>
      </c>
      <c r="AE960">
        <v>0</v>
      </c>
      <c r="AF960">
        <v>123.21</v>
      </c>
      <c r="AI960" t="s">
        <v>3809</v>
      </c>
      <c r="AJ960">
        <v>20280</v>
      </c>
      <c r="AP960">
        <v>3.95</v>
      </c>
      <c r="AQ960" t="s">
        <v>88</v>
      </c>
      <c r="AR960" t="s">
        <v>4188</v>
      </c>
      <c r="AS960" t="s">
        <v>4210</v>
      </c>
      <c r="AT960" t="s">
        <v>4219</v>
      </c>
    </row>
    <row r="961" spans="1:46">
      <c r="A961" s="1">
        <f>HYPERLINK("https://lsnyc.legalserver.org/matter/dynamic-profile/view/1886661","18-1886661")</f>
        <v>0</v>
      </c>
      <c r="B961" t="s">
        <v>70</v>
      </c>
      <c r="C961" t="s">
        <v>219</v>
      </c>
      <c r="E961" t="s">
        <v>819</v>
      </c>
      <c r="F961" t="s">
        <v>1188</v>
      </c>
      <c r="G961" t="s">
        <v>1699</v>
      </c>
      <c r="H961">
        <v>2</v>
      </c>
      <c r="I961">
        <v>11207</v>
      </c>
      <c r="J961" t="s">
        <v>2002</v>
      </c>
      <c r="K961" t="s">
        <v>2002</v>
      </c>
      <c r="M961" t="s">
        <v>2369</v>
      </c>
      <c r="N961" t="s">
        <v>2415</v>
      </c>
      <c r="O961" t="s">
        <v>2439</v>
      </c>
      <c r="Q961" t="s">
        <v>2003</v>
      </c>
      <c r="S961" t="s">
        <v>74</v>
      </c>
      <c r="T961">
        <v>850</v>
      </c>
      <c r="U961" t="s">
        <v>2501</v>
      </c>
      <c r="W961" t="s">
        <v>3115</v>
      </c>
      <c r="Y961" t="s">
        <v>3745</v>
      </c>
      <c r="Z961">
        <v>8</v>
      </c>
      <c r="AA961" t="s">
        <v>3783</v>
      </c>
      <c r="AB961" t="s">
        <v>2006</v>
      </c>
      <c r="AC961">
        <v>0</v>
      </c>
      <c r="AD961">
        <v>4</v>
      </c>
      <c r="AE961">
        <v>0</v>
      </c>
      <c r="AF961">
        <v>53.04</v>
      </c>
      <c r="AI961" t="s">
        <v>3809</v>
      </c>
      <c r="AJ961">
        <v>13312</v>
      </c>
      <c r="AP961">
        <v>1.5</v>
      </c>
      <c r="AQ961" t="s">
        <v>100</v>
      </c>
      <c r="AR961" t="s">
        <v>49</v>
      </c>
      <c r="AS961" t="s">
        <v>4210</v>
      </c>
      <c r="AT961" t="s">
        <v>4219</v>
      </c>
    </row>
    <row r="962" spans="1:46">
      <c r="A962" s="1">
        <f>HYPERLINK("https://lsnyc.legalserver.org/matter/dynamic-profile/view/1862752","18-1862752")</f>
        <v>0</v>
      </c>
      <c r="B962" t="s">
        <v>70</v>
      </c>
      <c r="C962" t="s">
        <v>97</v>
      </c>
      <c r="D962" t="s">
        <v>332</v>
      </c>
      <c r="E962" t="s">
        <v>820</v>
      </c>
      <c r="F962" t="s">
        <v>1324</v>
      </c>
      <c r="G962" t="s">
        <v>1700</v>
      </c>
      <c r="H962" t="s">
        <v>1991</v>
      </c>
      <c r="I962">
        <v>11207</v>
      </c>
      <c r="J962" t="s">
        <v>2002</v>
      </c>
      <c r="K962" t="s">
        <v>2003</v>
      </c>
      <c r="L962" t="s">
        <v>2005</v>
      </c>
      <c r="M962" t="s">
        <v>2370</v>
      </c>
      <c r="N962" t="s">
        <v>2415</v>
      </c>
      <c r="O962" t="s">
        <v>2439</v>
      </c>
      <c r="P962" t="s">
        <v>2444</v>
      </c>
      <c r="Q962" t="s">
        <v>2003</v>
      </c>
      <c r="R962" t="s">
        <v>2451</v>
      </c>
      <c r="S962" t="s">
        <v>135</v>
      </c>
      <c r="T962">
        <v>864.49</v>
      </c>
      <c r="U962" t="s">
        <v>2499</v>
      </c>
      <c r="V962" t="s">
        <v>2515</v>
      </c>
      <c r="W962" t="s">
        <v>3116</v>
      </c>
      <c r="X962" t="s">
        <v>2058</v>
      </c>
      <c r="Y962" t="s">
        <v>3746</v>
      </c>
      <c r="Z962">
        <v>0</v>
      </c>
      <c r="AA962" t="s">
        <v>3787</v>
      </c>
      <c r="AB962" t="s">
        <v>3800</v>
      </c>
      <c r="AC962">
        <v>1</v>
      </c>
      <c r="AD962">
        <v>1</v>
      </c>
      <c r="AE962">
        <v>0</v>
      </c>
      <c r="AF962">
        <v>85.67</v>
      </c>
      <c r="AI962" t="s">
        <v>3809</v>
      </c>
      <c r="AJ962">
        <v>10400</v>
      </c>
      <c r="AP962">
        <v>2</v>
      </c>
      <c r="AQ962" t="s">
        <v>162</v>
      </c>
      <c r="AR962" t="s">
        <v>4185</v>
      </c>
      <c r="AS962" t="s">
        <v>4210</v>
      </c>
      <c r="AT962" t="s">
        <v>4219</v>
      </c>
    </row>
    <row r="963" spans="1:46">
      <c r="A963" s="1">
        <f>HYPERLINK("https://lsnyc.legalserver.org/matter/dynamic-profile/view/1887095","19-1887095")</f>
        <v>0</v>
      </c>
      <c r="B963" t="s">
        <v>70</v>
      </c>
      <c r="C963" t="s">
        <v>130</v>
      </c>
      <c r="E963" t="s">
        <v>699</v>
      </c>
      <c r="F963" t="s">
        <v>978</v>
      </c>
      <c r="G963" t="s">
        <v>1701</v>
      </c>
      <c r="H963">
        <v>2</v>
      </c>
      <c r="I963">
        <v>11233</v>
      </c>
      <c r="J963" t="s">
        <v>2002</v>
      </c>
      <c r="K963" t="s">
        <v>2002</v>
      </c>
      <c r="M963" t="s">
        <v>2371</v>
      </c>
      <c r="N963" t="s">
        <v>2415</v>
      </c>
      <c r="O963" t="s">
        <v>2437</v>
      </c>
      <c r="Q963" t="s">
        <v>2003</v>
      </c>
      <c r="S963" t="s">
        <v>135</v>
      </c>
      <c r="T963">
        <v>2097</v>
      </c>
      <c r="U963" t="s">
        <v>2501</v>
      </c>
      <c r="W963" t="s">
        <v>3117</v>
      </c>
      <c r="X963" t="s">
        <v>3294</v>
      </c>
      <c r="Y963" t="s">
        <v>3747</v>
      </c>
      <c r="Z963">
        <v>3</v>
      </c>
      <c r="AB963" t="s">
        <v>3796</v>
      </c>
      <c r="AC963">
        <v>2</v>
      </c>
      <c r="AD963">
        <v>2</v>
      </c>
      <c r="AE963">
        <v>5</v>
      </c>
      <c r="AF963">
        <v>107.36</v>
      </c>
      <c r="AI963" t="s">
        <v>3809</v>
      </c>
      <c r="AJ963">
        <v>40860</v>
      </c>
      <c r="AP963">
        <v>47.75</v>
      </c>
      <c r="AQ963" t="s">
        <v>310</v>
      </c>
      <c r="AR963" t="s">
        <v>49</v>
      </c>
      <c r="AS963" t="s">
        <v>4210</v>
      </c>
      <c r="AT963" t="s">
        <v>4219</v>
      </c>
    </row>
    <row r="964" spans="1:46">
      <c r="A964" s="1">
        <f>HYPERLINK("https://lsnyc.legalserver.org/matter/dynamic-profile/view/1886688","18-1886688")</f>
        <v>0</v>
      </c>
      <c r="B964" t="s">
        <v>70</v>
      </c>
      <c r="C964" t="s">
        <v>219</v>
      </c>
      <c r="E964" t="s">
        <v>821</v>
      </c>
      <c r="F964" t="s">
        <v>866</v>
      </c>
      <c r="G964" t="s">
        <v>1702</v>
      </c>
      <c r="H964" t="s">
        <v>1844</v>
      </c>
      <c r="I964">
        <v>11239</v>
      </c>
      <c r="J964" t="s">
        <v>2002</v>
      </c>
      <c r="K964" t="s">
        <v>2003</v>
      </c>
      <c r="L964" t="s">
        <v>2005</v>
      </c>
      <c r="M964" t="s">
        <v>2372</v>
      </c>
      <c r="N964" t="s">
        <v>2415</v>
      </c>
      <c r="O964" t="s">
        <v>2439</v>
      </c>
      <c r="Q964" t="s">
        <v>2003</v>
      </c>
      <c r="S964" t="s">
        <v>2491</v>
      </c>
      <c r="T964">
        <v>1525</v>
      </c>
      <c r="U964" t="s">
        <v>2508</v>
      </c>
      <c r="W964" t="s">
        <v>3118</v>
      </c>
      <c r="Y964" t="s">
        <v>3748</v>
      </c>
      <c r="Z964">
        <v>88</v>
      </c>
      <c r="AA964" t="s">
        <v>3783</v>
      </c>
      <c r="AB964" t="s">
        <v>2006</v>
      </c>
      <c r="AC964">
        <v>4</v>
      </c>
      <c r="AD964">
        <v>1</v>
      </c>
      <c r="AE964">
        <v>0</v>
      </c>
      <c r="AF964">
        <v>187.31</v>
      </c>
      <c r="AI964" t="s">
        <v>3809</v>
      </c>
      <c r="AJ964">
        <v>22740</v>
      </c>
      <c r="AP964">
        <v>2.5</v>
      </c>
      <c r="AQ964" t="s">
        <v>2491</v>
      </c>
      <c r="AR964" t="s">
        <v>4205</v>
      </c>
      <c r="AS964" t="s">
        <v>4210</v>
      </c>
      <c r="AT964" t="s">
        <v>4219</v>
      </c>
    </row>
    <row r="965" spans="1:46">
      <c r="A965" s="1">
        <f>HYPERLINK("https://lsnyc.legalserver.org/matter/dynamic-profile/view/1888474","19-1888474")</f>
        <v>0</v>
      </c>
      <c r="B965" t="s">
        <v>70</v>
      </c>
      <c r="C965" t="s">
        <v>159</v>
      </c>
      <c r="E965" t="s">
        <v>822</v>
      </c>
      <c r="F965" t="s">
        <v>866</v>
      </c>
      <c r="G965" t="s">
        <v>1703</v>
      </c>
      <c r="H965" t="s">
        <v>1778</v>
      </c>
      <c r="I965">
        <v>11233</v>
      </c>
      <c r="J965" t="s">
        <v>2002</v>
      </c>
      <c r="K965" t="s">
        <v>2002</v>
      </c>
      <c r="L965" t="s">
        <v>2005</v>
      </c>
      <c r="M965" t="s">
        <v>2373</v>
      </c>
      <c r="N965" t="s">
        <v>2415</v>
      </c>
      <c r="O965" t="s">
        <v>2437</v>
      </c>
      <c r="Q965" t="s">
        <v>2003</v>
      </c>
      <c r="R965" t="s">
        <v>2451</v>
      </c>
      <c r="S965" t="s">
        <v>233</v>
      </c>
      <c r="T965">
        <v>2000</v>
      </c>
      <c r="U965" t="s">
        <v>2500</v>
      </c>
      <c r="W965" t="s">
        <v>3119</v>
      </c>
      <c r="X965" t="s">
        <v>3295</v>
      </c>
      <c r="Y965" t="s">
        <v>3749</v>
      </c>
      <c r="Z965">
        <v>3</v>
      </c>
      <c r="AA965" t="s">
        <v>3784</v>
      </c>
      <c r="AB965" t="s">
        <v>2495</v>
      </c>
      <c r="AC965">
        <v>1</v>
      </c>
      <c r="AD965">
        <v>2</v>
      </c>
      <c r="AE965">
        <v>2</v>
      </c>
      <c r="AF965">
        <v>11.95</v>
      </c>
      <c r="AI965" t="s">
        <v>3809</v>
      </c>
      <c r="AJ965">
        <v>3000</v>
      </c>
      <c r="AP965">
        <v>28.05</v>
      </c>
      <c r="AQ965" t="s">
        <v>269</v>
      </c>
      <c r="AR965" t="s">
        <v>49</v>
      </c>
      <c r="AS965" t="s">
        <v>4210</v>
      </c>
      <c r="AT965" t="s">
        <v>4219</v>
      </c>
    </row>
    <row r="966" spans="1:46">
      <c r="A966" s="1">
        <f>HYPERLINK("https://lsnyc.legalserver.org/matter/dynamic-profile/view/1888792","19-1888792")</f>
        <v>0</v>
      </c>
      <c r="B966" t="s">
        <v>70</v>
      </c>
      <c r="C966" t="s">
        <v>162</v>
      </c>
      <c r="E966" t="s">
        <v>823</v>
      </c>
      <c r="F966" t="s">
        <v>1325</v>
      </c>
      <c r="G966" t="s">
        <v>1704</v>
      </c>
      <c r="H966">
        <v>1</v>
      </c>
      <c r="I966">
        <v>11233</v>
      </c>
      <c r="J966" t="s">
        <v>2002</v>
      </c>
      <c r="K966" t="s">
        <v>2002</v>
      </c>
      <c r="L966" t="s">
        <v>2005</v>
      </c>
      <c r="M966" t="s">
        <v>2374</v>
      </c>
      <c r="N966" t="s">
        <v>2413</v>
      </c>
      <c r="O966" t="s">
        <v>2439</v>
      </c>
      <c r="Q966" t="s">
        <v>2003</v>
      </c>
      <c r="R966" t="s">
        <v>2455</v>
      </c>
      <c r="S966" t="s">
        <v>162</v>
      </c>
      <c r="T966">
        <v>0</v>
      </c>
      <c r="W966" t="s">
        <v>2561</v>
      </c>
      <c r="X966" t="s">
        <v>3296</v>
      </c>
      <c r="Z966">
        <v>0</v>
      </c>
      <c r="AA966" t="s">
        <v>3784</v>
      </c>
      <c r="AB966" t="s">
        <v>3793</v>
      </c>
      <c r="AC966">
        <v>0</v>
      </c>
      <c r="AD966">
        <v>2</v>
      </c>
      <c r="AE966">
        <v>3</v>
      </c>
      <c r="AF966">
        <v>0</v>
      </c>
      <c r="AI966" t="s">
        <v>3809</v>
      </c>
      <c r="AJ966">
        <v>0</v>
      </c>
      <c r="AP966">
        <v>1.5</v>
      </c>
      <c r="AQ966" t="s">
        <v>287</v>
      </c>
      <c r="AR966" t="s">
        <v>49</v>
      </c>
      <c r="AS966" t="s">
        <v>4210</v>
      </c>
      <c r="AT966" t="s">
        <v>4219</v>
      </c>
    </row>
    <row r="967" spans="1:46">
      <c r="A967" s="1">
        <f>HYPERLINK("https://lsnyc.legalserver.org/matter/dynamic-profile/view/1889189","19-1889189")</f>
        <v>0</v>
      </c>
      <c r="B967" t="s">
        <v>70</v>
      </c>
      <c r="C967" t="s">
        <v>257</v>
      </c>
      <c r="E967" t="s">
        <v>544</v>
      </c>
      <c r="F967" t="s">
        <v>1145</v>
      </c>
      <c r="G967" t="s">
        <v>1705</v>
      </c>
      <c r="H967" t="s">
        <v>1748</v>
      </c>
      <c r="I967">
        <v>11207</v>
      </c>
      <c r="J967" t="s">
        <v>2002</v>
      </c>
      <c r="K967" t="s">
        <v>2002</v>
      </c>
      <c r="M967" t="s">
        <v>2375</v>
      </c>
      <c r="N967" t="s">
        <v>2413</v>
      </c>
      <c r="O967" t="s">
        <v>2437</v>
      </c>
      <c r="Q967" t="s">
        <v>2003</v>
      </c>
      <c r="S967" t="s">
        <v>289</v>
      </c>
      <c r="T967">
        <v>0</v>
      </c>
      <c r="W967" t="s">
        <v>3120</v>
      </c>
      <c r="Z967">
        <v>0</v>
      </c>
      <c r="AC967">
        <v>0</v>
      </c>
      <c r="AD967">
        <v>1</v>
      </c>
      <c r="AE967">
        <v>3</v>
      </c>
      <c r="AF967">
        <v>20.18</v>
      </c>
      <c r="AI967" t="s">
        <v>3809</v>
      </c>
      <c r="AJ967">
        <v>5196</v>
      </c>
      <c r="AP967">
        <v>14.25</v>
      </c>
      <c r="AQ967" t="s">
        <v>210</v>
      </c>
      <c r="AR967" t="s">
        <v>70</v>
      </c>
      <c r="AS967" t="s">
        <v>4210</v>
      </c>
      <c r="AT967" t="s">
        <v>4219</v>
      </c>
    </row>
    <row r="968" spans="1:46">
      <c r="A968" s="1">
        <f>HYPERLINK("https://lsnyc.legalserver.org/matter/dynamic-profile/view/1888975","19-1888975")</f>
        <v>0</v>
      </c>
      <c r="B968" t="s">
        <v>70</v>
      </c>
      <c r="C968" t="s">
        <v>289</v>
      </c>
      <c r="E968" t="s">
        <v>823</v>
      </c>
      <c r="F968" t="s">
        <v>1326</v>
      </c>
      <c r="G968" t="s">
        <v>1706</v>
      </c>
      <c r="H968">
        <v>1</v>
      </c>
      <c r="I968">
        <v>11233</v>
      </c>
      <c r="J968" t="s">
        <v>2002</v>
      </c>
      <c r="K968" t="s">
        <v>2004</v>
      </c>
      <c r="M968" t="s">
        <v>2376</v>
      </c>
      <c r="N968" t="s">
        <v>2413</v>
      </c>
      <c r="O968" t="s">
        <v>2442</v>
      </c>
      <c r="Q968" t="s">
        <v>2003</v>
      </c>
      <c r="S968" t="s">
        <v>289</v>
      </c>
      <c r="T968">
        <v>230</v>
      </c>
      <c r="U968" t="s">
        <v>2505</v>
      </c>
      <c r="W968" t="s">
        <v>3121</v>
      </c>
      <c r="X968" t="s">
        <v>3296</v>
      </c>
      <c r="Y968" t="s">
        <v>3750</v>
      </c>
      <c r="Z968">
        <v>3</v>
      </c>
      <c r="AA968" t="s">
        <v>3787</v>
      </c>
      <c r="AB968" t="s">
        <v>3793</v>
      </c>
      <c r="AC968">
        <v>4</v>
      </c>
      <c r="AD968">
        <v>1</v>
      </c>
      <c r="AE968">
        <v>4</v>
      </c>
      <c r="AF968">
        <v>52.17</v>
      </c>
      <c r="AI968" t="s">
        <v>3809</v>
      </c>
      <c r="AJ968">
        <v>15740</v>
      </c>
      <c r="AP968">
        <v>0</v>
      </c>
      <c r="AR968" t="s">
        <v>4184</v>
      </c>
      <c r="AS968" t="s">
        <v>4210</v>
      </c>
      <c r="AT968" t="s">
        <v>4219</v>
      </c>
    </row>
    <row r="969" spans="1:46">
      <c r="A969" s="1">
        <f>HYPERLINK("https://lsnyc.legalserver.org/matter/dynamic-profile/view/1889612","19-1889612")</f>
        <v>0</v>
      </c>
      <c r="B969" t="s">
        <v>70</v>
      </c>
      <c r="C969" t="s">
        <v>133</v>
      </c>
      <c r="E969" t="s">
        <v>824</v>
      </c>
      <c r="F969" t="s">
        <v>1327</v>
      </c>
      <c r="G969" t="s">
        <v>1707</v>
      </c>
      <c r="H969">
        <v>328</v>
      </c>
      <c r="I969">
        <v>11208</v>
      </c>
      <c r="J969" t="s">
        <v>2002</v>
      </c>
      <c r="K969" t="s">
        <v>2002</v>
      </c>
      <c r="L969" t="s">
        <v>2005</v>
      </c>
      <c r="M969" t="s">
        <v>2377</v>
      </c>
      <c r="N969" t="s">
        <v>2415</v>
      </c>
      <c r="O969" t="s">
        <v>2439</v>
      </c>
      <c r="Q969" t="s">
        <v>2003</v>
      </c>
      <c r="R969" t="s">
        <v>2451</v>
      </c>
      <c r="S969" t="s">
        <v>133</v>
      </c>
      <c r="T969">
        <v>1182</v>
      </c>
      <c r="W969" t="s">
        <v>3122</v>
      </c>
      <c r="X969" t="s">
        <v>3160</v>
      </c>
      <c r="Y969" t="s">
        <v>3751</v>
      </c>
      <c r="Z969">
        <v>266</v>
      </c>
      <c r="AA969" t="s">
        <v>3783</v>
      </c>
      <c r="AC969">
        <v>7</v>
      </c>
      <c r="AD969">
        <v>1</v>
      </c>
      <c r="AE969">
        <v>1</v>
      </c>
      <c r="AF969">
        <v>130.1</v>
      </c>
      <c r="AI969" t="s">
        <v>3809</v>
      </c>
      <c r="AJ969">
        <v>22000</v>
      </c>
      <c r="AP969">
        <v>2.5</v>
      </c>
      <c r="AQ969" t="s">
        <v>4171</v>
      </c>
      <c r="AR969" t="s">
        <v>70</v>
      </c>
      <c r="AS969" t="s">
        <v>4210</v>
      </c>
      <c r="AT969" t="s">
        <v>4219</v>
      </c>
    </row>
    <row r="970" spans="1:46">
      <c r="A970" s="1">
        <f>HYPERLINK("https://lsnyc.legalserver.org/matter/dynamic-profile/view/1885460","18-1885460")</f>
        <v>0</v>
      </c>
      <c r="B970" t="s">
        <v>70</v>
      </c>
      <c r="C970" t="s">
        <v>124</v>
      </c>
      <c r="E970" t="s">
        <v>577</v>
      </c>
      <c r="F970" t="s">
        <v>1328</v>
      </c>
      <c r="G970" t="s">
        <v>1708</v>
      </c>
      <c r="H970" t="s">
        <v>1992</v>
      </c>
      <c r="I970">
        <v>11212</v>
      </c>
      <c r="J970" t="s">
        <v>2002</v>
      </c>
      <c r="K970" t="s">
        <v>2002</v>
      </c>
      <c r="M970" t="s">
        <v>2378</v>
      </c>
      <c r="N970" t="s">
        <v>2415</v>
      </c>
      <c r="O970" t="s">
        <v>2437</v>
      </c>
      <c r="Q970" t="s">
        <v>2003</v>
      </c>
      <c r="S970" t="s">
        <v>287</v>
      </c>
      <c r="T970">
        <v>508</v>
      </c>
      <c r="U970" t="s">
        <v>2500</v>
      </c>
      <c r="W970" t="s">
        <v>3123</v>
      </c>
      <c r="X970" t="s">
        <v>3297</v>
      </c>
      <c r="Y970" t="s">
        <v>3752</v>
      </c>
      <c r="Z970">
        <v>23</v>
      </c>
      <c r="AC970">
        <v>32</v>
      </c>
      <c r="AD970">
        <v>1</v>
      </c>
      <c r="AE970">
        <v>1</v>
      </c>
      <c r="AF970">
        <v>37.69</v>
      </c>
      <c r="AI970" t="s">
        <v>3809</v>
      </c>
      <c r="AJ970">
        <v>6204</v>
      </c>
      <c r="AP970">
        <v>11.25</v>
      </c>
      <c r="AQ970" t="s">
        <v>148</v>
      </c>
      <c r="AR970" t="s">
        <v>4189</v>
      </c>
      <c r="AS970" t="s">
        <v>4210</v>
      </c>
      <c r="AT970" t="s">
        <v>4219</v>
      </c>
    </row>
    <row r="971" spans="1:46">
      <c r="A971" s="1">
        <f>HYPERLINK("https://lsnyc.legalserver.org/matter/dynamic-profile/view/1881696","18-1881696")</f>
        <v>0</v>
      </c>
      <c r="B971" t="s">
        <v>70</v>
      </c>
      <c r="C971" t="s">
        <v>298</v>
      </c>
      <c r="E971" t="s">
        <v>825</v>
      </c>
      <c r="F971" t="s">
        <v>1329</v>
      </c>
      <c r="G971" t="s">
        <v>1709</v>
      </c>
      <c r="H971">
        <v>1</v>
      </c>
      <c r="I971">
        <v>11203</v>
      </c>
      <c r="J971" t="s">
        <v>2002</v>
      </c>
      <c r="K971" t="s">
        <v>2002</v>
      </c>
      <c r="M971" t="s">
        <v>2379</v>
      </c>
      <c r="N971" t="s">
        <v>2415</v>
      </c>
      <c r="O971" t="s">
        <v>2437</v>
      </c>
      <c r="S971" t="s">
        <v>287</v>
      </c>
      <c r="T971">
        <v>1829</v>
      </c>
      <c r="U971" t="s">
        <v>2500</v>
      </c>
      <c r="W971" t="s">
        <v>3124</v>
      </c>
      <c r="Y971" t="s">
        <v>3753</v>
      </c>
      <c r="Z971">
        <v>0</v>
      </c>
      <c r="AB971" t="s">
        <v>3793</v>
      </c>
      <c r="AC971">
        <v>9</v>
      </c>
      <c r="AD971">
        <v>3</v>
      </c>
      <c r="AE971">
        <v>0</v>
      </c>
      <c r="AF971">
        <v>198.05</v>
      </c>
      <c r="AI971" t="s">
        <v>3809</v>
      </c>
      <c r="AJ971">
        <v>41154.28</v>
      </c>
      <c r="AP971">
        <v>10.75</v>
      </c>
      <c r="AQ971" t="s">
        <v>128</v>
      </c>
      <c r="AR971" t="s">
        <v>4188</v>
      </c>
      <c r="AS971" t="s">
        <v>4210</v>
      </c>
      <c r="AT971" t="s">
        <v>4219</v>
      </c>
    </row>
    <row r="972" spans="1:46">
      <c r="A972" s="1">
        <f>HYPERLINK("https://lsnyc.legalserver.org/matter/dynamic-profile/view/1888915","19-1888915")</f>
        <v>0</v>
      </c>
      <c r="B972" t="s">
        <v>70</v>
      </c>
      <c r="C972" t="s">
        <v>289</v>
      </c>
      <c r="E972" t="s">
        <v>408</v>
      </c>
      <c r="F972" t="s">
        <v>940</v>
      </c>
      <c r="G972" t="s">
        <v>1710</v>
      </c>
      <c r="H972">
        <v>14</v>
      </c>
      <c r="I972">
        <v>11212</v>
      </c>
      <c r="J972" t="s">
        <v>2002</v>
      </c>
      <c r="K972" t="s">
        <v>2002</v>
      </c>
      <c r="L972" t="s">
        <v>2005</v>
      </c>
      <c r="M972" t="s">
        <v>2380</v>
      </c>
      <c r="N972" t="s">
        <v>2413</v>
      </c>
      <c r="O972" t="s">
        <v>2437</v>
      </c>
      <c r="Q972" t="s">
        <v>2003</v>
      </c>
      <c r="R972" t="s">
        <v>2451</v>
      </c>
      <c r="S972" t="s">
        <v>178</v>
      </c>
      <c r="T972">
        <v>1078</v>
      </c>
      <c r="U972" t="s">
        <v>2499</v>
      </c>
      <c r="W972" t="s">
        <v>3125</v>
      </c>
      <c r="X972" t="s">
        <v>2006</v>
      </c>
      <c r="Y972" t="s">
        <v>3754</v>
      </c>
      <c r="Z972">
        <v>15</v>
      </c>
      <c r="AA972" t="s">
        <v>3783</v>
      </c>
      <c r="AB972" t="s">
        <v>2006</v>
      </c>
      <c r="AC972">
        <v>8</v>
      </c>
      <c r="AD972">
        <v>2</v>
      </c>
      <c r="AE972">
        <v>3</v>
      </c>
      <c r="AF972">
        <v>308.25</v>
      </c>
      <c r="AI972" t="s">
        <v>3809</v>
      </c>
      <c r="AJ972">
        <v>93000</v>
      </c>
      <c r="AK972" t="s">
        <v>4097</v>
      </c>
      <c r="AP972">
        <v>40.85</v>
      </c>
      <c r="AQ972" t="s">
        <v>326</v>
      </c>
      <c r="AR972" t="s">
        <v>4198</v>
      </c>
      <c r="AS972" t="s">
        <v>4210</v>
      </c>
      <c r="AT972" t="s">
        <v>4219</v>
      </c>
    </row>
    <row r="973" spans="1:46">
      <c r="A973" s="1">
        <f>HYPERLINK("https://lsnyc.legalserver.org/matter/dynamic-profile/view/1890734","19-1890734")</f>
        <v>0</v>
      </c>
      <c r="B973" t="s">
        <v>70</v>
      </c>
      <c r="C973" t="s">
        <v>299</v>
      </c>
      <c r="E973" t="s">
        <v>682</v>
      </c>
      <c r="F973" t="s">
        <v>1330</v>
      </c>
      <c r="G973" t="s">
        <v>1711</v>
      </c>
      <c r="H973">
        <v>3</v>
      </c>
      <c r="I973">
        <v>11233</v>
      </c>
      <c r="J973" t="s">
        <v>2002</v>
      </c>
      <c r="K973" t="s">
        <v>2002</v>
      </c>
      <c r="M973" t="s">
        <v>2381</v>
      </c>
      <c r="N973" t="s">
        <v>2413</v>
      </c>
      <c r="O973" t="s">
        <v>2439</v>
      </c>
      <c r="Q973" t="s">
        <v>2003</v>
      </c>
      <c r="S973" t="s">
        <v>299</v>
      </c>
      <c r="T973">
        <v>0</v>
      </c>
      <c r="U973" t="s">
        <v>2499</v>
      </c>
      <c r="W973" t="s">
        <v>3126</v>
      </c>
      <c r="Z973">
        <v>14</v>
      </c>
      <c r="AA973" t="s">
        <v>2156</v>
      </c>
      <c r="AB973" t="s">
        <v>2006</v>
      </c>
      <c r="AC973">
        <v>6</v>
      </c>
      <c r="AD973">
        <v>3</v>
      </c>
      <c r="AE973">
        <v>1</v>
      </c>
      <c r="AF973">
        <v>291.26</v>
      </c>
      <c r="AI973" t="s">
        <v>3809</v>
      </c>
      <c r="AJ973">
        <v>75000</v>
      </c>
      <c r="AP973">
        <v>1.25</v>
      </c>
      <c r="AQ973" t="s">
        <v>83</v>
      </c>
      <c r="AR973" t="s">
        <v>49</v>
      </c>
      <c r="AS973" t="s">
        <v>4210</v>
      </c>
      <c r="AT973" t="s">
        <v>4219</v>
      </c>
    </row>
    <row r="974" spans="1:46">
      <c r="A974" s="1">
        <f>HYPERLINK("https://lsnyc.legalserver.org/matter/dynamic-profile/view/1887964","19-1887964")</f>
        <v>0</v>
      </c>
      <c r="B974" t="s">
        <v>70</v>
      </c>
      <c r="C974" t="s">
        <v>166</v>
      </c>
      <c r="E974" t="s">
        <v>826</v>
      </c>
      <c r="F974" t="s">
        <v>399</v>
      </c>
      <c r="G974" t="s">
        <v>1712</v>
      </c>
      <c r="H974" t="s">
        <v>1993</v>
      </c>
      <c r="I974">
        <v>11208</v>
      </c>
      <c r="J974" t="s">
        <v>2002</v>
      </c>
      <c r="K974" t="s">
        <v>2003</v>
      </c>
      <c r="L974" t="s">
        <v>2005</v>
      </c>
      <c r="M974" t="s">
        <v>2382</v>
      </c>
      <c r="N974" t="s">
        <v>2415</v>
      </c>
      <c r="O974" t="s">
        <v>2439</v>
      </c>
      <c r="Q974" t="s">
        <v>2003</v>
      </c>
      <c r="R974" t="s">
        <v>2451</v>
      </c>
      <c r="S974" t="s">
        <v>243</v>
      </c>
      <c r="T974">
        <v>1400</v>
      </c>
      <c r="U974" t="s">
        <v>2502</v>
      </c>
      <c r="W974" t="s">
        <v>3127</v>
      </c>
      <c r="Y974" t="s">
        <v>3755</v>
      </c>
      <c r="Z974">
        <v>102</v>
      </c>
      <c r="AA974" t="s">
        <v>3783</v>
      </c>
      <c r="AB974" t="s">
        <v>3793</v>
      </c>
      <c r="AC974">
        <v>1</v>
      </c>
      <c r="AD974">
        <v>1</v>
      </c>
      <c r="AE974">
        <v>0</v>
      </c>
      <c r="AF974">
        <v>291.6</v>
      </c>
      <c r="AI974" t="s">
        <v>3809</v>
      </c>
      <c r="AJ974">
        <v>35400</v>
      </c>
      <c r="AP974">
        <v>5</v>
      </c>
      <c r="AQ974" t="s">
        <v>274</v>
      </c>
      <c r="AR974" t="s">
        <v>4187</v>
      </c>
      <c r="AS974" t="s">
        <v>4210</v>
      </c>
      <c r="AT974" t="s">
        <v>4219</v>
      </c>
    </row>
    <row r="975" spans="1:46">
      <c r="A975" s="1">
        <f>HYPERLINK("https://lsnyc.legalserver.org/matter/dynamic-profile/view/1892034","19-1892034")</f>
        <v>0</v>
      </c>
      <c r="B975" t="s">
        <v>70</v>
      </c>
      <c r="C975" t="s">
        <v>224</v>
      </c>
      <c r="E975" t="s">
        <v>827</v>
      </c>
      <c r="F975" t="s">
        <v>1331</v>
      </c>
      <c r="G975" t="s">
        <v>1713</v>
      </c>
      <c r="H975" t="s">
        <v>1994</v>
      </c>
      <c r="I975">
        <v>11212</v>
      </c>
      <c r="J975" t="s">
        <v>2002</v>
      </c>
      <c r="K975" t="s">
        <v>2002</v>
      </c>
      <c r="M975" t="s">
        <v>2383</v>
      </c>
      <c r="N975" t="s">
        <v>2415</v>
      </c>
      <c r="O975" t="s">
        <v>2439</v>
      </c>
      <c r="Q975" t="s">
        <v>2003</v>
      </c>
      <c r="S975" t="s">
        <v>224</v>
      </c>
      <c r="T975">
        <v>1049.49</v>
      </c>
      <c r="U975" t="s">
        <v>2497</v>
      </c>
      <c r="W975" t="s">
        <v>3128</v>
      </c>
      <c r="Y975" t="s">
        <v>3756</v>
      </c>
      <c r="Z975">
        <v>54</v>
      </c>
      <c r="AA975" t="s">
        <v>3783</v>
      </c>
      <c r="AB975" t="s">
        <v>2006</v>
      </c>
      <c r="AC975">
        <v>15</v>
      </c>
      <c r="AD975">
        <v>1</v>
      </c>
      <c r="AE975">
        <v>0</v>
      </c>
      <c r="AF975">
        <v>200.16</v>
      </c>
      <c r="AI975" t="s">
        <v>3809</v>
      </c>
      <c r="AJ975">
        <v>25000</v>
      </c>
      <c r="AP975">
        <v>1.25</v>
      </c>
      <c r="AQ975" t="s">
        <v>77</v>
      </c>
      <c r="AR975" t="s">
        <v>49</v>
      </c>
      <c r="AS975" t="s">
        <v>4210</v>
      </c>
      <c r="AT975" t="s">
        <v>4219</v>
      </c>
    </row>
    <row r="976" spans="1:46">
      <c r="A976" s="1">
        <f>HYPERLINK("https://lsnyc.legalserver.org/matter/dynamic-profile/view/1887420","19-1887420")</f>
        <v>0</v>
      </c>
      <c r="B976" t="s">
        <v>70</v>
      </c>
      <c r="C976" t="s">
        <v>75</v>
      </c>
      <c r="E976" t="s">
        <v>828</v>
      </c>
      <c r="F976" t="s">
        <v>1332</v>
      </c>
      <c r="G976" t="s">
        <v>1714</v>
      </c>
      <c r="H976" t="s">
        <v>1752</v>
      </c>
      <c r="I976">
        <v>11207</v>
      </c>
      <c r="J976" t="s">
        <v>2002</v>
      </c>
      <c r="K976" t="s">
        <v>2002</v>
      </c>
      <c r="M976" t="s">
        <v>2384</v>
      </c>
      <c r="N976" t="s">
        <v>2415</v>
      </c>
      <c r="O976" t="s">
        <v>2439</v>
      </c>
      <c r="Q976" t="s">
        <v>2003</v>
      </c>
      <c r="R976" t="s">
        <v>2454</v>
      </c>
      <c r="S976" t="s">
        <v>103</v>
      </c>
      <c r="T976">
        <v>2065</v>
      </c>
      <c r="U976" t="s">
        <v>2501</v>
      </c>
      <c r="W976" t="s">
        <v>3129</v>
      </c>
      <c r="X976" t="s">
        <v>3298</v>
      </c>
      <c r="Y976" t="s">
        <v>3757</v>
      </c>
      <c r="Z976">
        <v>6</v>
      </c>
      <c r="AA976" t="s">
        <v>3783</v>
      </c>
      <c r="AB976" t="s">
        <v>3793</v>
      </c>
      <c r="AC976">
        <v>2</v>
      </c>
      <c r="AD976">
        <v>3</v>
      </c>
      <c r="AE976">
        <v>2</v>
      </c>
      <c r="AF976">
        <v>20.97</v>
      </c>
      <c r="AI976" t="s">
        <v>3809</v>
      </c>
      <c r="AJ976">
        <v>6168</v>
      </c>
      <c r="AP976">
        <v>3.25</v>
      </c>
      <c r="AQ976" t="s">
        <v>257</v>
      </c>
      <c r="AR976" t="s">
        <v>4185</v>
      </c>
      <c r="AS976" t="s">
        <v>4210</v>
      </c>
      <c r="AT976" t="s">
        <v>4219</v>
      </c>
    </row>
    <row r="977" spans="1:46">
      <c r="A977" s="1">
        <f>HYPERLINK("https://lsnyc.legalserver.org/matter/dynamic-profile/view/1889089","19-1889089")</f>
        <v>0</v>
      </c>
      <c r="B977" t="s">
        <v>70</v>
      </c>
      <c r="C977" t="s">
        <v>134</v>
      </c>
      <c r="D977" t="s">
        <v>254</v>
      </c>
      <c r="E977" t="s">
        <v>509</v>
      </c>
      <c r="F977" t="s">
        <v>1333</v>
      </c>
      <c r="G977" t="s">
        <v>1715</v>
      </c>
      <c r="I977">
        <v>11233</v>
      </c>
      <c r="J977" t="s">
        <v>2002</v>
      </c>
      <c r="K977" t="s">
        <v>2002</v>
      </c>
      <c r="L977" t="s">
        <v>2005</v>
      </c>
      <c r="M977" t="s">
        <v>2385</v>
      </c>
      <c r="N977" t="s">
        <v>2415</v>
      </c>
      <c r="O977" t="s">
        <v>2439</v>
      </c>
      <c r="P977" t="s">
        <v>2444</v>
      </c>
      <c r="Q977" t="s">
        <v>2003</v>
      </c>
      <c r="R977" t="s">
        <v>2451</v>
      </c>
      <c r="S977" t="s">
        <v>103</v>
      </c>
      <c r="T977">
        <v>2000</v>
      </c>
      <c r="U977" t="s">
        <v>2500</v>
      </c>
      <c r="V977" t="s">
        <v>2515</v>
      </c>
      <c r="W977" t="s">
        <v>3130</v>
      </c>
      <c r="X977" t="s">
        <v>2006</v>
      </c>
      <c r="Y977" t="s">
        <v>3758</v>
      </c>
      <c r="Z977">
        <v>3</v>
      </c>
      <c r="AA977" t="s">
        <v>3784</v>
      </c>
      <c r="AB977" t="s">
        <v>2006</v>
      </c>
      <c r="AC977">
        <v>3</v>
      </c>
      <c r="AD977">
        <v>4</v>
      </c>
      <c r="AE977">
        <v>0</v>
      </c>
      <c r="AF977">
        <v>156.86</v>
      </c>
      <c r="AI977" t="s">
        <v>3809</v>
      </c>
      <c r="AJ977">
        <v>40392</v>
      </c>
      <c r="AP977">
        <v>2.5</v>
      </c>
      <c r="AQ977" t="s">
        <v>83</v>
      </c>
      <c r="AR977" t="s">
        <v>4185</v>
      </c>
      <c r="AS977" t="s">
        <v>4210</v>
      </c>
      <c r="AT977" t="s">
        <v>4219</v>
      </c>
    </row>
    <row r="978" spans="1:46">
      <c r="A978" s="1">
        <f>HYPERLINK("https://lsnyc.legalserver.org/matter/dynamic-profile/view/1891083","19-1891083")</f>
        <v>0</v>
      </c>
      <c r="B978" t="s">
        <v>70</v>
      </c>
      <c r="C978" t="s">
        <v>143</v>
      </c>
      <c r="E978" t="s">
        <v>829</v>
      </c>
      <c r="F978" t="s">
        <v>1250</v>
      </c>
      <c r="G978" t="s">
        <v>1716</v>
      </c>
      <c r="H978" t="s">
        <v>1745</v>
      </c>
      <c r="I978">
        <v>11212</v>
      </c>
      <c r="J978" t="s">
        <v>2002</v>
      </c>
      <c r="K978" t="s">
        <v>2003</v>
      </c>
      <c r="L978" t="s">
        <v>2005</v>
      </c>
      <c r="M978" t="s">
        <v>2386</v>
      </c>
      <c r="N978" t="s">
        <v>2415</v>
      </c>
      <c r="O978" t="s">
        <v>2439</v>
      </c>
      <c r="Q978" t="s">
        <v>2003</v>
      </c>
      <c r="R978" t="s">
        <v>2453</v>
      </c>
      <c r="S978" t="s">
        <v>83</v>
      </c>
      <c r="T978">
        <v>1298</v>
      </c>
      <c r="U978" t="s">
        <v>2495</v>
      </c>
      <c r="W978" t="s">
        <v>3131</v>
      </c>
      <c r="X978" t="s">
        <v>3299</v>
      </c>
      <c r="Y978" t="s">
        <v>3759</v>
      </c>
      <c r="Z978">
        <v>3</v>
      </c>
      <c r="AA978" t="s">
        <v>3784</v>
      </c>
      <c r="AB978" t="s">
        <v>2006</v>
      </c>
      <c r="AC978">
        <v>9</v>
      </c>
      <c r="AD978">
        <v>1</v>
      </c>
      <c r="AE978">
        <v>2</v>
      </c>
      <c r="AF978">
        <v>196.91</v>
      </c>
      <c r="AI978" t="s">
        <v>3809</v>
      </c>
      <c r="AJ978">
        <v>42000</v>
      </c>
      <c r="AP978">
        <v>2.08</v>
      </c>
      <c r="AQ978" t="s">
        <v>244</v>
      </c>
      <c r="AR978" t="s">
        <v>4195</v>
      </c>
      <c r="AS978" t="s">
        <v>4210</v>
      </c>
      <c r="AT978" t="s">
        <v>4219</v>
      </c>
    </row>
    <row r="979" spans="1:46">
      <c r="A979" s="1">
        <f>HYPERLINK("https://lsnyc.legalserver.org/matter/dynamic-profile/view/1893500","19-1893500")</f>
        <v>0</v>
      </c>
      <c r="B979" t="s">
        <v>70</v>
      </c>
      <c r="C979" t="s">
        <v>241</v>
      </c>
      <c r="D979" t="s">
        <v>254</v>
      </c>
      <c r="E979" t="s">
        <v>530</v>
      </c>
      <c r="F979" t="s">
        <v>879</v>
      </c>
      <c r="G979" t="s">
        <v>1497</v>
      </c>
      <c r="H979" t="s">
        <v>1778</v>
      </c>
      <c r="I979">
        <v>11208</v>
      </c>
      <c r="J979" t="s">
        <v>2002</v>
      </c>
      <c r="K979" t="s">
        <v>2003</v>
      </c>
      <c r="L979" t="s">
        <v>2005</v>
      </c>
      <c r="M979" t="s">
        <v>2164</v>
      </c>
      <c r="N979" t="s">
        <v>2413</v>
      </c>
      <c r="O979" t="s">
        <v>2439</v>
      </c>
      <c r="P979" t="s">
        <v>2444</v>
      </c>
      <c r="Q979" t="s">
        <v>2003</v>
      </c>
      <c r="R979" t="s">
        <v>2451</v>
      </c>
      <c r="S979" t="s">
        <v>241</v>
      </c>
      <c r="T979">
        <v>350</v>
      </c>
      <c r="U979" t="s">
        <v>2495</v>
      </c>
      <c r="V979" t="s">
        <v>2515</v>
      </c>
      <c r="W979" t="s">
        <v>2561</v>
      </c>
      <c r="Z979">
        <v>3</v>
      </c>
      <c r="AA979" t="s">
        <v>3784</v>
      </c>
      <c r="AB979" t="s">
        <v>2006</v>
      </c>
      <c r="AC979">
        <v>2</v>
      </c>
      <c r="AD979">
        <v>1</v>
      </c>
      <c r="AE979">
        <v>0</v>
      </c>
      <c r="AF979">
        <v>124.9</v>
      </c>
      <c r="AI979" t="s">
        <v>3809</v>
      </c>
      <c r="AJ979">
        <v>15600</v>
      </c>
      <c r="AP979">
        <v>2.5</v>
      </c>
      <c r="AQ979" t="s">
        <v>105</v>
      </c>
      <c r="AR979" t="s">
        <v>49</v>
      </c>
      <c r="AS979" t="s">
        <v>4210</v>
      </c>
      <c r="AT979" t="s">
        <v>4219</v>
      </c>
    </row>
    <row r="980" spans="1:46">
      <c r="A980" s="1">
        <f>HYPERLINK("https://lsnyc.legalserver.org/matter/dynamic-profile/view/1892387","19-1892387")</f>
        <v>0</v>
      </c>
      <c r="B980" t="s">
        <v>70</v>
      </c>
      <c r="C980" t="s">
        <v>103</v>
      </c>
      <c r="E980" t="s">
        <v>830</v>
      </c>
      <c r="F980" t="s">
        <v>1334</v>
      </c>
      <c r="G980" t="s">
        <v>1717</v>
      </c>
      <c r="H980" t="s">
        <v>1784</v>
      </c>
      <c r="I980">
        <v>11233</v>
      </c>
      <c r="J980" t="s">
        <v>2002</v>
      </c>
      <c r="K980" t="s">
        <v>2003</v>
      </c>
      <c r="L980" t="s">
        <v>2005</v>
      </c>
      <c r="M980" t="s">
        <v>2387</v>
      </c>
      <c r="N980" t="s">
        <v>2415</v>
      </c>
      <c r="O980" t="s">
        <v>2437</v>
      </c>
      <c r="Q980" t="s">
        <v>2003</v>
      </c>
      <c r="S980" t="s">
        <v>244</v>
      </c>
      <c r="T980">
        <v>1250</v>
      </c>
      <c r="W980" t="s">
        <v>3132</v>
      </c>
      <c r="Y980" t="s">
        <v>3760</v>
      </c>
      <c r="Z980">
        <v>8</v>
      </c>
      <c r="AA980" t="s">
        <v>3783</v>
      </c>
      <c r="AB980" t="s">
        <v>3793</v>
      </c>
      <c r="AC980">
        <v>15</v>
      </c>
      <c r="AD980">
        <v>3</v>
      </c>
      <c r="AE980">
        <v>1</v>
      </c>
      <c r="AF980">
        <v>221.36</v>
      </c>
      <c r="AI980" t="s">
        <v>3809</v>
      </c>
      <c r="AJ980">
        <v>57000</v>
      </c>
      <c r="AP980">
        <v>19</v>
      </c>
      <c r="AQ980" t="s">
        <v>4168</v>
      </c>
      <c r="AR980" t="s">
        <v>49</v>
      </c>
      <c r="AS980" t="s">
        <v>4210</v>
      </c>
      <c r="AT980" t="s">
        <v>4219</v>
      </c>
    </row>
    <row r="981" spans="1:46">
      <c r="A981" s="1">
        <f>HYPERLINK("https://lsnyc.legalserver.org/matter/dynamic-profile/view/1894548","19-1894548")</f>
        <v>0</v>
      </c>
      <c r="B981" t="s">
        <v>70</v>
      </c>
      <c r="C981" t="s">
        <v>149</v>
      </c>
      <c r="E981" t="s">
        <v>831</v>
      </c>
      <c r="F981" t="s">
        <v>1335</v>
      </c>
      <c r="G981" t="s">
        <v>1462</v>
      </c>
      <c r="H981" t="s">
        <v>1995</v>
      </c>
      <c r="I981">
        <v>11208</v>
      </c>
      <c r="J981" t="s">
        <v>2002</v>
      </c>
      <c r="K981" t="s">
        <v>2002</v>
      </c>
      <c r="M981" t="s">
        <v>2388</v>
      </c>
      <c r="N981" t="s">
        <v>2415</v>
      </c>
      <c r="O981" t="s">
        <v>2437</v>
      </c>
      <c r="S981" t="s">
        <v>149</v>
      </c>
      <c r="T981">
        <v>1488</v>
      </c>
      <c r="U981" t="s">
        <v>2500</v>
      </c>
      <c r="W981" t="s">
        <v>3133</v>
      </c>
      <c r="X981" t="s">
        <v>3300</v>
      </c>
      <c r="Y981" t="s">
        <v>3761</v>
      </c>
      <c r="Z981">
        <v>18</v>
      </c>
      <c r="AA981" t="s">
        <v>2156</v>
      </c>
      <c r="AC981">
        <v>2</v>
      </c>
      <c r="AD981">
        <v>2</v>
      </c>
      <c r="AE981">
        <v>2</v>
      </c>
      <c r="AF981">
        <v>8.890000000000001</v>
      </c>
      <c r="AI981" t="s">
        <v>3809</v>
      </c>
      <c r="AJ981">
        <v>2288</v>
      </c>
      <c r="AP981">
        <v>33.75</v>
      </c>
      <c r="AQ981" t="s">
        <v>309</v>
      </c>
      <c r="AR981" t="s">
        <v>4184</v>
      </c>
      <c r="AS981" t="s">
        <v>4210</v>
      </c>
      <c r="AT981" t="s">
        <v>4219</v>
      </c>
    </row>
    <row r="982" spans="1:46">
      <c r="A982" s="1">
        <f>HYPERLINK("https://lsnyc.legalserver.org/matter/dynamic-profile/view/1881179","18-1881179")</f>
        <v>0</v>
      </c>
      <c r="B982" t="s">
        <v>70</v>
      </c>
      <c r="C982" t="s">
        <v>300</v>
      </c>
      <c r="E982" t="s">
        <v>667</v>
      </c>
      <c r="F982" t="s">
        <v>1336</v>
      </c>
      <c r="G982" t="s">
        <v>1718</v>
      </c>
      <c r="H982" t="s">
        <v>1996</v>
      </c>
      <c r="I982">
        <v>11208</v>
      </c>
      <c r="J982" t="s">
        <v>2002</v>
      </c>
      <c r="K982" t="s">
        <v>2003</v>
      </c>
      <c r="L982" t="s">
        <v>2005</v>
      </c>
      <c r="M982" t="s">
        <v>2389</v>
      </c>
      <c r="N982" t="s">
        <v>2413</v>
      </c>
      <c r="O982" t="s">
        <v>2437</v>
      </c>
      <c r="Q982" t="s">
        <v>2003</v>
      </c>
      <c r="R982" t="s">
        <v>2451</v>
      </c>
      <c r="S982" t="s">
        <v>139</v>
      </c>
      <c r="T982">
        <v>1700</v>
      </c>
      <c r="U982" t="s">
        <v>2508</v>
      </c>
      <c r="V982" t="s">
        <v>2515</v>
      </c>
      <c r="W982" t="s">
        <v>3134</v>
      </c>
      <c r="X982" t="s">
        <v>3301</v>
      </c>
      <c r="Z982">
        <v>3</v>
      </c>
      <c r="AA982" t="s">
        <v>3784</v>
      </c>
      <c r="AB982" t="s">
        <v>2006</v>
      </c>
      <c r="AC982">
        <v>6</v>
      </c>
      <c r="AD982">
        <v>2</v>
      </c>
      <c r="AE982">
        <v>0</v>
      </c>
      <c r="AF982">
        <v>82.27</v>
      </c>
      <c r="AI982" t="s">
        <v>3809</v>
      </c>
      <c r="AJ982">
        <v>13542</v>
      </c>
      <c r="AP982">
        <v>15.35</v>
      </c>
      <c r="AQ982" t="s">
        <v>108</v>
      </c>
      <c r="AR982" t="s">
        <v>4198</v>
      </c>
      <c r="AS982" t="s">
        <v>4210</v>
      </c>
      <c r="AT982" t="s">
        <v>4219</v>
      </c>
    </row>
    <row r="983" spans="1:46">
      <c r="A983" s="1">
        <f>HYPERLINK("https://lsnyc.legalserver.org/matter/dynamic-profile/view/1897904","19-1897904")</f>
        <v>0</v>
      </c>
      <c r="B983" t="s">
        <v>70</v>
      </c>
      <c r="C983" t="s">
        <v>272</v>
      </c>
      <c r="E983" t="s">
        <v>832</v>
      </c>
      <c r="F983" t="s">
        <v>1086</v>
      </c>
      <c r="G983" t="s">
        <v>1719</v>
      </c>
      <c r="H983">
        <v>254</v>
      </c>
      <c r="I983">
        <v>11208</v>
      </c>
      <c r="J983" t="s">
        <v>2002</v>
      </c>
      <c r="K983" t="s">
        <v>2002</v>
      </c>
      <c r="L983" t="s">
        <v>2005</v>
      </c>
      <c r="M983" t="s">
        <v>2390</v>
      </c>
      <c r="N983" t="s">
        <v>2415</v>
      </c>
      <c r="O983" t="s">
        <v>2437</v>
      </c>
      <c r="Q983" t="s">
        <v>2003</v>
      </c>
      <c r="R983" t="s">
        <v>2451</v>
      </c>
      <c r="S983" t="s">
        <v>105</v>
      </c>
      <c r="T983">
        <v>1561</v>
      </c>
      <c r="U983" t="s">
        <v>2495</v>
      </c>
      <c r="W983" t="s">
        <v>3135</v>
      </c>
      <c r="X983">
        <v>5428120</v>
      </c>
      <c r="Y983" t="s">
        <v>3762</v>
      </c>
      <c r="Z983">
        <v>266</v>
      </c>
      <c r="AA983" t="s">
        <v>3783</v>
      </c>
      <c r="AC983">
        <v>5</v>
      </c>
      <c r="AD983">
        <v>2</v>
      </c>
      <c r="AE983">
        <v>0</v>
      </c>
      <c r="AF983">
        <v>35.77</v>
      </c>
      <c r="AI983" t="s">
        <v>3809</v>
      </c>
      <c r="AJ983">
        <v>6048</v>
      </c>
      <c r="AP983">
        <v>10.75</v>
      </c>
      <c r="AQ983" t="s">
        <v>319</v>
      </c>
      <c r="AR983" t="s">
        <v>49</v>
      </c>
      <c r="AS983" t="s">
        <v>4210</v>
      </c>
      <c r="AT983" t="s">
        <v>4219</v>
      </c>
    </row>
    <row r="984" spans="1:46">
      <c r="A984" s="1">
        <f>HYPERLINK("https://lsnyc.legalserver.org/matter/dynamic-profile/view/1891194","19-1891194")</f>
        <v>0</v>
      </c>
      <c r="B984" t="s">
        <v>70</v>
      </c>
      <c r="C984" t="s">
        <v>245</v>
      </c>
      <c r="E984" t="s">
        <v>833</v>
      </c>
      <c r="F984" t="s">
        <v>1125</v>
      </c>
      <c r="G984" t="s">
        <v>1602</v>
      </c>
      <c r="H984">
        <v>382</v>
      </c>
      <c r="I984">
        <v>11208</v>
      </c>
      <c r="J984" t="s">
        <v>2002</v>
      </c>
      <c r="K984" t="s">
        <v>2003</v>
      </c>
      <c r="L984" t="s">
        <v>2005</v>
      </c>
      <c r="M984" t="s">
        <v>2391</v>
      </c>
      <c r="N984" t="s">
        <v>2415</v>
      </c>
      <c r="O984" t="s">
        <v>2437</v>
      </c>
      <c r="Q984" t="s">
        <v>2003</v>
      </c>
      <c r="R984" t="s">
        <v>2451</v>
      </c>
      <c r="S984" t="s">
        <v>259</v>
      </c>
      <c r="T984">
        <v>913.65</v>
      </c>
      <c r="U984" t="s">
        <v>2496</v>
      </c>
      <c r="W984" t="s">
        <v>3136</v>
      </c>
      <c r="X984" t="s">
        <v>3302</v>
      </c>
      <c r="Y984" t="s">
        <v>3763</v>
      </c>
      <c r="Z984">
        <v>322</v>
      </c>
      <c r="AA984" t="s">
        <v>3783</v>
      </c>
      <c r="AB984" t="s">
        <v>3793</v>
      </c>
      <c r="AC984">
        <v>10</v>
      </c>
      <c r="AD984">
        <v>1</v>
      </c>
      <c r="AE984">
        <v>0</v>
      </c>
      <c r="AF984">
        <v>81.67</v>
      </c>
      <c r="AI984" t="s">
        <v>3809</v>
      </c>
      <c r="AJ984">
        <v>10200</v>
      </c>
      <c r="AP984">
        <v>8.25</v>
      </c>
      <c r="AQ984" t="s">
        <v>170</v>
      </c>
      <c r="AR984" t="s">
        <v>4185</v>
      </c>
      <c r="AS984" t="s">
        <v>4210</v>
      </c>
      <c r="AT984" t="s">
        <v>4219</v>
      </c>
    </row>
    <row r="985" spans="1:46">
      <c r="A985" s="1">
        <f>HYPERLINK("https://lsnyc.legalserver.org/matter/dynamic-profile/view/1895562","19-1895562")</f>
        <v>0</v>
      </c>
      <c r="B985" t="s">
        <v>70</v>
      </c>
      <c r="C985" t="s">
        <v>181</v>
      </c>
      <c r="E985" t="s">
        <v>834</v>
      </c>
      <c r="F985" t="s">
        <v>1337</v>
      </c>
      <c r="G985" t="s">
        <v>1405</v>
      </c>
      <c r="H985" t="s">
        <v>1735</v>
      </c>
      <c r="I985">
        <v>11206</v>
      </c>
      <c r="J985" t="s">
        <v>2002</v>
      </c>
      <c r="K985" t="s">
        <v>2003</v>
      </c>
      <c r="L985" t="s">
        <v>2005</v>
      </c>
      <c r="M985" t="s">
        <v>2392</v>
      </c>
      <c r="N985" t="s">
        <v>2415</v>
      </c>
      <c r="O985" t="s">
        <v>2437</v>
      </c>
      <c r="Q985" t="s">
        <v>2003</v>
      </c>
      <c r="R985" t="s">
        <v>2451</v>
      </c>
      <c r="S985" t="s">
        <v>168</v>
      </c>
      <c r="T985">
        <v>96</v>
      </c>
      <c r="U985" t="s">
        <v>2512</v>
      </c>
      <c r="W985" t="s">
        <v>3137</v>
      </c>
      <c r="Y985" t="s">
        <v>3764</v>
      </c>
      <c r="Z985">
        <v>0</v>
      </c>
      <c r="AA985" t="s">
        <v>3783</v>
      </c>
      <c r="AB985" t="s">
        <v>2495</v>
      </c>
      <c r="AC985">
        <v>40</v>
      </c>
      <c r="AD985">
        <v>1</v>
      </c>
      <c r="AE985">
        <v>0</v>
      </c>
      <c r="AF985">
        <v>48.49</v>
      </c>
      <c r="AI985" t="s">
        <v>3809</v>
      </c>
      <c r="AJ985">
        <v>6056</v>
      </c>
      <c r="AP985">
        <v>14.5</v>
      </c>
      <c r="AQ985" t="s">
        <v>4183</v>
      </c>
      <c r="AR985" t="s">
        <v>49</v>
      </c>
      <c r="AS985" t="s">
        <v>4210</v>
      </c>
      <c r="AT985" t="s">
        <v>4219</v>
      </c>
    </row>
    <row r="986" spans="1:46">
      <c r="A986" s="1">
        <f>HYPERLINK("https://lsnyc.legalserver.org/matter/dynamic-profile/view/1894582","19-1894582")</f>
        <v>0</v>
      </c>
      <c r="B986" t="s">
        <v>70</v>
      </c>
      <c r="C986" t="s">
        <v>245</v>
      </c>
      <c r="E986" t="s">
        <v>835</v>
      </c>
      <c r="F986" t="s">
        <v>1338</v>
      </c>
      <c r="G986" t="s">
        <v>1712</v>
      </c>
      <c r="H986" t="s">
        <v>1997</v>
      </c>
      <c r="I986">
        <v>11208</v>
      </c>
      <c r="J986" t="s">
        <v>2002</v>
      </c>
      <c r="K986" t="s">
        <v>2003</v>
      </c>
      <c r="L986" t="s">
        <v>2005</v>
      </c>
      <c r="M986" t="s">
        <v>2393</v>
      </c>
      <c r="N986" t="s">
        <v>2415</v>
      </c>
      <c r="O986" t="s">
        <v>2437</v>
      </c>
      <c r="Q986" t="s">
        <v>2003</v>
      </c>
      <c r="R986" t="s">
        <v>2451</v>
      </c>
      <c r="S986" t="s">
        <v>306</v>
      </c>
      <c r="T986">
        <v>1174</v>
      </c>
      <c r="U986" t="s">
        <v>2500</v>
      </c>
      <c r="W986" t="s">
        <v>3138</v>
      </c>
      <c r="X986" t="s">
        <v>3303</v>
      </c>
      <c r="Y986" t="s">
        <v>3765</v>
      </c>
      <c r="Z986">
        <v>0</v>
      </c>
      <c r="AA986" t="s">
        <v>3783</v>
      </c>
      <c r="AB986" t="s">
        <v>3799</v>
      </c>
      <c r="AC986">
        <v>4</v>
      </c>
      <c r="AD986">
        <v>1</v>
      </c>
      <c r="AE986">
        <v>0</v>
      </c>
      <c r="AF986">
        <v>87.43000000000001</v>
      </c>
      <c r="AI986" t="s">
        <v>3809</v>
      </c>
      <c r="AJ986">
        <v>10920</v>
      </c>
      <c r="AP986">
        <v>21.75</v>
      </c>
      <c r="AQ986" t="s">
        <v>325</v>
      </c>
      <c r="AR986" t="s">
        <v>4185</v>
      </c>
      <c r="AS986" t="s">
        <v>4210</v>
      </c>
      <c r="AT986" t="s">
        <v>4219</v>
      </c>
    </row>
    <row r="987" spans="1:46">
      <c r="A987" s="1">
        <f>HYPERLINK("https://lsnyc.legalserver.org/matter/dynamic-profile/view/1898006","19-1898006")</f>
        <v>0</v>
      </c>
      <c r="B987" t="s">
        <v>70</v>
      </c>
      <c r="C987" t="s">
        <v>248</v>
      </c>
      <c r="E987" t="s">
        <v>836</v>
      </c>
      <c r="F987" t="s">
        <v>502</v>
      </c>
      <c r="G987" t="s">
        <v>1720</v>
      </c>
      <c r="H987">
        <v>1</v>
      </c>
      <c r="I987">
        <v>11208</v>
      </c>
      <c r="J987" t="s">
        <v>2002</v>
      </c>
      <c r="K987" t="s">
        <v>2002</v>
      </c>
      <c r="M987" t="s">
        <v>2394</v>
      </c>
      <c r="N987" t="s">
        <v>2413</v>
      </c>
      <c r="O987" t="s">
        <v>2437</v>
      </c>
      <c r="S987" t="s">
        <v>248</v>
      </c>
      <c r="T987">
        <v>1200</v>
      </c>
      <c r="U987" t="s">
        <v>2497</v>
      </c>
      <c r="W987" t="s">
        <v>3139</v>
      </c>
      <c r="Y987" t="s">
        <v>3766</v>
      </c>
      <c r="Z987">
        <v>3</v>
      </c>
      <c r="AA987" t="s">
        <v>2156</v>
      </c>
      <c r="AC987">
        <v>1</v>
      </c>
      <c r="AD987">
        <v>1</v>
      </c>
      <c r="AE987">
        <v>2</v>
      </c>
      <c r="AF987">
        <v>19.75</v>
      </c>
      <c r="AI987" t="s">
        <v>3809</v>
      </c>
      <c r="AJ987">
        <v>4212</v>
      </c>
      <c r="AP987">
        <v>1.5</v>
      </c>
      <c r="AQ987" t="s">
        <v>252</v>
      </c>
      <c r="AR987" t="s">
        <v>4184</v>
      </c>
      <c r="AS987" t="s">
        <v>4210</v>
      </c>
      <c r="AT987" t="s">
        <v>4219</v>
      </c>
    </row>
    <row r="988" spans="1:46">
      <c r="A988" s="1">
        <f>HYPERLINK("https://lsnyc.legalserver.org/matter/dynamic-profile/view/1898008","19-1898008")</f>
        <v>0</v>
      </c>
      <c r="B988" t="s">
        <v>70</v>
      </c>
      <c r="C988" t="s">
        <v>248</v>
      </c>
      <c r="E988" t="s">
        <v>650</v>
      </c>
      <c r="F988" t="s">
        <v>1125</v>
      </c>
      <c r="G988" t="s">
        <v>1624</v>
      </c>
      <c r="H988" t="s">
        <v>1749</v>
      </c>
      <c r="I988">
        <v>11207</v>
      </c>
      <c r="J988" t="s">
        <v>2002</v>
      </c>
      <c r="K988" t="s">
        <v>2002</v>
      </c>
      <c r="L988" t="s">
        <v>2007</v>
      </c>
      <c r="M988" t="s">
        <v>2281</v>
      </c>
      <c r="N988" t="s">
        <v>2415</v>
      </c>
      <c r="O988" t="s">
        <v>2437</v>
      </c>
      <c r="S988" t="s">
        <v>248</v>
      </c>
      <c r="T988">
        <v>11762.77</v>
      </c>
      <c r="U988" t="s">
        <v>2500</v>
      </c>
      <c r="W988" t="s">
        <v>2899</v>
      </c>
      <c r="X988" t="s">
        <v>3263</v>
      </c>
      <c r="Y988" t="s">
        <v>3639</v>
      </c>
      <c r="Z988">
        <v>6</v>
      </c>
      <c r="AA988" t="s">
        <v>3783</v>
      </c>
      <c r="AC988">
        <v>11</v>
      </c>
      <c r="AD988">
        <v>1</v>
      </c>
      <c r="AE988">
        <v>2</v>
      </c>
      <c r="AF988">
        <v>60.95</v>
      </c>
      <c r="AI988" t="s">
        <v>3812</v>
      </c>
      <c r="AJ988">
        <v>13000</v>
      </c>
      <c r="AP988">
        <v>22</v>
      </c>
      <c r="AQ988" t="s">
        <v>310</v>
      </c>
      <c r="AR988" t="s">
        <v>4184</v>
      </c>
      <c r="AS988" t="s">
        <v>4210</v>
      </c>
      <c r="AT988" t="s">
        <v>4219</v>
      </c>
    </row>
    <row r="989" spans="1:46">
      <c r="A989" s="1">
        <f>HYPERLINK("https://lsnyc.legalserver.org/matter/dynamic-profile/view/1896785","19-1896785")</f>
        <v>0</v>
      </c>
      <c r="B989" t="s">
        <v>70</v>
      </c>
      <c r="C989" t="s">
        <v>196</v>
      </c>
      <c r="E989" t="s">
        <v>837</v>
      </c>
      <c r="F989" t="s">
        <v>902</v>
      </c>
      <c r="G989" t="s">
        <v>1490</v>
      </c>
      <c r="H989" t="s">
        <v>1764</v>
      </c>
      <c r="I989">
        <v>11212</v>
      </c>
      <c r="J989" t="s">
        <v>2002</v>
      </c>
      <c r="K989" t="s">
        <v>2004</v>
      </c>
      <c r="L989" t="s">
        <v>2005</v>
      </c>
      <c r="M989" t="s">
        <v>2395</v>
      </c>
      <c r="N989" t="s">
        <v>2415</v>
      </c>
      <c r="O989" t="s">
        <v>2437</v>
      </c>
      <c r="Q989" t="s">
        <v>2003</v>
      </c>
      <c r="S989" t="s">
        <v>170</v>
      </c>
      <c r="T989">
        <v>1135.26</v>
      </c>
      <c r="U989" t="s">
        <v>2496</v>
      </c>
      <c r="W989" t="s">
        <v>3140</v>
      </c>
      <c r="Y989" t="s">
        <v>3767</v>
      </c>
      <c r="Z989">
        <v>44</v>
      </c>
      <c r="AA989" t="s">
        <v>2156</v>
      </c>
      <c r="AB989" t="s">
        <v>3799</v>
      </c>
      <c r="AC989">
        <v>2</v>
      </c>
      <c r="AD989">
        <v>1</v>
      </c>
      <c r="AE989">
        <v>0</v>
      </c>
      <c r="AF989">
        <v>99.34</v>
      </c>
      <c r="AI989" t="s">
        <v>3809</v>
      </c>
      <c r="AJ989">
        <v>12408</v>
      </c>
      <c r="AP989">
        <v>10.55</v>
      </c>
      <c r="AQ989" t="s">
        <v>249</v>
      </c>
      <c r="AR989" t="s">
        <v>4196</v>
      </c>
      <c r="AS989" t="s">
        <v>4210</v>
      </c>
      <c r="AT989" t="s">
        <v>4219</v>
      </c>
    </row>
    <row r="990" spans="1:46">
      <c r="A990" s="1">
        <f>HYPERLINK("https://lsnyc.legalserver.org/matter/dynamic-profile/view/1899978","19-1899978")</f>
        <v>0</v>
      </c>
      <c r="B990" t="s">
        <v>70</v>
      </c>
      <c r="C990" t="s">
        <v>249</v>
      </c>
      <c r="E990" t="s">
        <v>790</v>
      </c>
      <c r="F990" t="s">
        <v>1339</v>
      </c>
      <c r="G990" t="s">
        <v>1721</v>
      </c>
      <c r="H990" t="s">
        <v>1744</v>
      </c>
      <c r="I990">
        <v>11233</v>
      </c>
      <c r="J990" t="s">
        <v>2002</v>
      </c>
      <c r="K990" t="s">
        <v>2004</v>
      </c>
      <c r="L990" t="s">
        <v>2005</v>
      </c>
      <c r="M990" t="s">
        <v>2396</v>
      </c>
      <c r="N990" t="s">
        <v>2415</v>
      </c>
      <c r="O990" t="s">
        <v>2437</v>
      </c>
      <c r="Q990" t="s">
        <v>2003</v>
      </c>
      <c r="R990" t="s">
        <v>2456</v>
      </c>
      <c r="S990" t="s">
        <v>249</v>
      </c>
      <c r="T990">
        <v>917</v>
      </c>
      <c r="U990" t="s">
        <v>2495</v>
      </c>
      <c r="W990" t="s">
        <v>3141</v>
      </c>
      <c r="Y990" t="s">
        <v>3768</v>
      </c>
      <c r="Z990">
        <v>36</v>
      </c>
      <c r="AA990" t="s">
        <v>3789</v>
      </c>
      <c r="AB990" t="s">
        <v>3796</v>
      </c>
      <c r="AC990">
        <v>10</v>
      </c>
      <c r="AD990">
        <v>1</v>
      </c>
      <c r="AE990">
        <v>1</v>
      </c>
      <c r="AF990">
        <v>92.25</v>
      </c>
      <c r="AI990" t="s">
        <v>3809</v>
      </c>
      <c r="AJ990">
        <v>15600</v>
      </c>
      <c r="AP990">
        <v>12.35</v>
      </c>
      <c r="AQ990" t="s">
        <v>171</v>
      </c>
      <c r="AR990" t="s">
        <v>4186</v>
      </c>
      <c r="AS990" t="s">
        <v>4210</v>
      </c>
      <c r="AT990" t="s">
        <v>4219</v>
      </c>
    </row>
    <row r="991" spans="1:46">
      <c r="A991" s="1">
        <f>HYPERLINK("https://lsnyc.legalserver.org/matter/dynamic-profile/view/1896190","19-1896190")</f>
        <v>0</v>
      </c>
      <c r="B991" t="s">
        <v>70</v>
      </c>
      <c r="C991" t="s">
        <v>301</v>
      </c>
      <c r="E991" t="s">
        <v>838</v>
      </c>
      <c r="F991" t="s">
        <v>1340</v>
      </c>
      <c r="G991" t="s">
        <v>1722</v>
      </c>
      <c r="H991">
        <v>1</v>
      </c>
      <c r="I991">
        <v>11233</v>
      </c>
      <c r="J991" t="s">
        <v>2002</v>
      </c>
      <c r="K991" t="s">
        <v>2003</v>
      </c>
      <c r="L991" t="s">
        <v>2005</v>
      </c>
      <c r="M991" t="s">
        <v>2397</v>
      </c>
      <c r="N991" t="s">
        <v>2415</v>
      </c>
      <c r="O991" t="s">
        <v>2437</v>
      </c>
      <c r="Q991" t="s">
        <v>2003</v>
      </c>
      <c r="R991" t="s">
        <v>2451</v>
      </c>
      <c r="S991" t="s">
        <v>167</v>
      </c>
      <c r="T991">
        <v>1640</v>
      </c>
      <c r="W991" t="s">
        <v>3142</v>
      </c>
      <c r="Y991" t="s">
        <v>3769</v>
      </c>
      <c r="Z991">
        <v>8</v>
      </c>
      <c r="AA991" t="s">
        <v>3783</v>
      </c>
      <c r="AB991" t="s">
        <v>3793</v>
      </c>
      <c r="AC991">
        <v>11</v>
      </c>
      <c r="AD991">
        <v>1</v>
      </c>
      <c r="AE991">
        <v>1</v>
      </c>
      <c r="AF991">
        <v>57.04</v>
      </c>
      <c r="AI991" t="s">
        <v>3809</v>
      </c>
      <c r="AJ991">
        <v>9646</v>
      </c>
      <c r="AP991">
        <v>7.75</v>
      </c>
      <c r="AQ991" t="s">
        <v>4180</v>
      </c>
      <c r="AR991" t="s">
        <v>49</v>
      </c>
      <c r="AS991" t="s">
        <v>4210</v>
      </c>
      <c r="AT991" t="s">
        <v>4219</v>
      </c>
    </row>
    <row r="992" spans="1:46">
      <c r="A992" s="1">
        <f>HYPERLINK("https://lsnyc.legalserver.org/matter/dynamic-profile/view/1899366","19-1899366")</f>
        <v>0</v>
      </c>
      <c r="B992" t="s">
        <v>70</v>
      </c>
      <c r="C992" t="s">
        <v>302</v>
      </c>
      <c r="E992" t="s">
        <v>839</v>
      </c>
      <c r="F992" t="s">
        <v>1341</v>
      </c>
      <c r="G992" t="s">
        <v>1423</v>
      </c>
      <c r="H992" t="s">
        <v>1780</v>
      </c>
      <c r="I992">
        <v>11233</v>
      </c>
      <c r="J992" t="s">
        <v>2002</v>
      </c>
      <c r="K992" t="s">
        <v>2004</v>
      </c>
      <c r="L992" t="s">
        <v>2005</v>
      </c>
      <c r="M992" t="s">
        <v>2398</v>
      </c>
      <c r="N992" t="s">
        <v>2415</v>
      </c>
      <c r="O992" t="s">
        <v>2439</v>
      </c>
      <c r="Q992" t="s">
        <v>2003</v>
      </c>
      <c r="R992" t="s">
        <v>2451</v>
      </c>
      <c r="S992" t="s">
        <v>167</v>
      </c>
      <c r="T992">
        <v>1000</v>
      </c>
      <c r="U992" t="s">
        <v>2509</v>
      </c>
      <c r="W992" t="s">
        <v>3143</v>
      </c>
      <c r="Y992" t="s">
        <v>3770</v>
      </c>
      <c r="Z992">
        <v>30</v>
      </c>
      <c r="AA992" t="s">
        <v>2156</v>
      </c>
      <c r="AB992" t="s">
        <v>2006</v>
      </c>
      <c r="AC992">
        <v>4</v>
      </c>
      <c r="AD992">
        <v>1</v>
      </c>
      <c r="AE992">
        <v>0</v>
      </c>
      <c r="AF992">
        <v>187.35</v>
      </c>
      <c r="AI992" t="s">
        <v>3809</v>
      </c>
      <c r="AJ992">
        <v>23400</v>
      </c>
      <c r="AP992">
        <v>4.5</v>
      </c>
      <c r="AQ992" t="s">
        <v>4167</v>
      </c>
      <c r="AR992" t="s">
        <v>4205</v>
      </c>
      <c r="AS992" t="s">
        <v>4210</v>
      </c>
      <c r="AT992" t="s">
        <v>4219</v>
      </c>
    </row>
    <row r="993" spans="1:46">
      <c r="A993" s="1">
        <f>HYPERLINK("https://lsnyc.legalserver.org/matter/dynamic-profile/view/1896358","19-1896358")</f>
        <v>0</v>
      </c>
      <c r="B993" t="s">
        <v>70</v>
      </c>
      <c r="C993" t="s">
        <v>102</v>
      </c>
      <c r="E993" t="s">
        <v>648</v>
      </c>
      <c r="F993" t="s">
        <v>1153</v>
      </c>
      <c r="G993" t="s">
        <v>1622</v>
      </c>
      <c r="H993">
        <v>226</v>
      </c>
      <c r="I993">
        <v>11233</v>
      </c>
      <c r="J993" t="s">
        <v>2002</v>
      </c>
      <c r="K993" t="s">
        <v>2003</v>
      </c>
      <c r="L993" t="s">
        <v>2005</v>
      </c>
      <c r="M993" t="s">
        <v>2279</v>
      </c>
      <c r="N993" t="s">
        <v>2415</v>
      </c>
      <c r="O993" t="s">
        <v>2437</v>
      </c>
      <c r="Q993" t="s">
        <v>2003</v>
      </c>
      <c r="R993" t="s">
        <v>2451</v>
      </c>
      <c r="S993" t="s">
        <v>171</v>
      </c>
      <c r="T993">
        <v>1208</v>
      </c>
      <c r="W993" t="s">
        <v>2897</v>
      </c>
      <c r="X993" t="s">
        <v>3261</v>
      </c>
      <c r="Y993" t="s">
        <v>3771</v>
      </c>
      <c r="Z993">
        <v>137</v>
      </c>
      <c r="AA993" t="s">
        <v>3783</v>
      </c>
      <c r="AB993" t="s">
        <v>3796</v>
      </c>
      <c r="AC993">
        <v>1</v>
      </c>
      <c r="AD993">
        <v>1</v>
      </c>
      <c r="AE993">
        <v>1</v>
      </c>
      <c r="AF993">
        <v>14.07</v>
      </c>
      <c r="AI993" t="s">
        <v>3809</v>
      </c>
      <c r="AJ993">
        <v>2379</v>
      </c>
      <c r="AP993">
        <v>3.25</v>
      </c>
      <c r="AQ993" t="s">
        <v>182</v>
      </c>
      <c r="AR993" t="s">
        <v>49</v>
      </c>
      <c r="AS993" t="s">
        <v>4210</v>
      </c>
      <c r="AT993" t="s">
        <v>4219</v>
      </c>
    </row>
    <row r="994" spans="1:46">
      <c r="A994" s="1">
        <f>HYPERLINK("https://lsnyc.legalserver.org/matter/dynamic-profile/view/1898032","19-1898032")</f>
        <v>0</v>
      </c>
      <c r="B994" t="s">
        <v>70</v>
      </c>
      <c r="C994" t="s">
        <v>248</v>
      </c>
      <c r="E994" t="s">
        <v>387</v>
      </c>
      <c r="F994" t="s">
        <v>1342</v>
      </c>
      <c r="G994" t="s">
        <v>1723</v>
      </c>
      <c r="H994" t="s">
        <v>1739</v>
      </c>
      <c r="I994">
        <v>11233</v>
      </c>
      <c r="J994" t="s">
        <v>2002</v>
      </c>
      <c r="K994" t="s">
        <v>2002</v>
      </c>
      <c r="L994" t="s">
        <v>2005</v>
      </c>
      <c r="M994" t="s">
        <v>2399</v>
      </c>
      <c r="N994" t="s">
        <v>2415</v>
      </c>
      <c r="O994" t="s">
        <v>2439</v>
      </c>
      <c r="Q994" t="s">
        <v>2003</v>
      </c>
      <c r="R994" t="s">
        <v>2451</v>
      </c>
      <c r="S994" t="s">
        <v>171</v>
      </c>
      <c r="T994">
        <v>1303</v>
      </c>
      <c r="U994" t="s">
        <v>2497</v>
      </c>
      <c r="W994" t="s">
        <v>3144</v>
      </c>
      <c r="X994" t="s">
        <v>3304</v>
      </c>
      <c r="Y994" t="s">
        <v>3772</v>
      </c>
      <c r="Z994">
        <v>19</v>
      </c>
      <c r="AA994" t="s">
        <v>3783</v>
      </c>
      <c r="AB994" t="s">
        <v>2006</v>
      </c>
      <c r="AC994">
        <v>7</v>
      </c>
      <c r="AD994">
        <v>2</v>
      </c>
      <c r="AE994">
        <v>1</v>
      </c>
      <c r="AF994">
        <v>168.78</v>
      </c>
      <c r="AI994" t="s">
        <v>3809</v>
      </c>
      <c r="AJ994">
        <v>36000</v>
      </c>
      <c r="AP994">
        <v>4.5</v>
      </c>
      <c r="AQ994" t="s">
        <v>108</v>
      </c>
      <c r="AR994" t="s">
        <v>4185</v>
      </c>
      <c r="AS994" t="s">
        <v>4210</v>
      </c>
      <c r="AT994" t="s">
        <v>4219</v>
      </c>
    </row>
    <row r="995" spans="1:46">
      <c r="A995" s="1">
        <f>HYPERLINK("https://lsnyc.legalserver.org/matter/dynamic-profile/view/1900004","19-1900004")</f>
        <v>0</v>
      </c>
      <c r="B995" t="s">
        <v>70</v>
      </c>
      <c r="C995" t="s">
        <v>249</v>
      </c>
      <c r="D995" t="s">
        <v>254</v>
      </c>
      <c r="E995" t="s">
        <v>439</v>
      </c>
      <c r="F995" t="s">
        <v>1343</v>
      </c>
      <c r="G995" t="s">
        <v>1724</v>
      </c>
      <c r="H995" t="s">
        <v>1998</v>
      </c>
      <c r="I995">
        <v>11208</v>
      </c>
      <c r="J995" t="s">
        <v>2002</v>
      </c>
      <c r="K995" t="s">
        <v>2004</v>
      </c>
      <c r="L995" t="s">
        <v>2005</v>
      </c>
      <c r="M995" t="s">
        <v>2400</v>
      </c>
      <c r="N995" t="s">
        <v>2413</v>
      </c>
      <c r="O995" t="s">
        <v>2439</v>
      </c>
      <c r="P995" t="s">
        <v>2444</v>
      </c>
      <c r="Q995" t="s">
        <v>2003</v>
      </c>
      <c r="R995" t="s">
        <v>2455</v>
      </c>
      <c r="S995" t="s">
        <v>2492</v>
      </c>
      <c r="T995">
        <v>1557</v>
      </c>
      <c r="U995" t="s">
        <v>2495</v>
      </c>
      <c r="V995" t="s">
        <v>2515</v>
      </c>
      <c r="W995" t="s">
        <v>3145</v>
      </c>
      <c r="Y995" t="s">
        <v>3773</v>
      </c>
      <c r="Z995">
        <v>19</v>
      </c>
      <c r="AA995" t="s">
        <v>3783</v>
      </c>
      <c r="AB995" t="s">
        <v>3795</v>
      </c>
      <c r="AC995">
        <v>3</v>
      </c>
      <c r="AD995">
        <v>1</v>
      </c>
      <c r="AE995">
        <v>3</v>
      </c>
      <c r="AF995">
        <v>128.39</v>
      </c>
      <c r="AI995" t="s">
        <v>3809</v>
      </c>
      <c r="AJ995">
        <v>33060</v>
      </c>
      <c r="AP995">
        <v>2.25</v>
      </c>
      <c r="AQ995" t="s">
        <v>2492</v>
      </c>
      <c r="AR995" t="s">
        <v>4192</v>
      </c>
      <c r="AS995" t="s">
        <v>4210</v>
      </c>
      <c r="AT995" t="s">
        <v>4219</v>
      </c>
    </row>
    <row r="996" spans="1:46">
      <c r="A996" s="1">
        <f>HYPERLINK("https://lsnyc.legalserver.org/matter/dynamic-profile/view/1900296","19-1900296")</f>
        <v>0</v>
      </c>
      <c r="B996" t="s">
        <v>70</v>
      </c>
      <c r="C996" t="s">
        <v>303</v>
      </c>
      <c r="E996" t="s">
        <v>840</v>
      </c>
      <c r="F996" t="s">
        <v>938</v>
      </c>
      <c r="G996" t="s">
        <v>1432</v>
      </c>
      <c r="H996" t="s">
        <v>1933</v>
      </c>
      <c r="I996">
        <v>11208</v>
      </c>
      <c r="J996" t="s">
        <v>2002</v>
      </c>
      <c r="K996" t="s">
        <v>2004</v>
      </c>
      <c r="L996" t="s">
        <v>2005</v>
      </c>
      <c r="M996" t="s">
        <v>2401</v>
      </c>
      <c r="N996" t="s">
        <v>2415</v>
      </c>
      <c r="O996" t="s">
        <v>2437</v>
      </c>
      <c r="Q996" t="s">
        <v>2003</v>
      </c>
      <c r="S996" t="s">
        <v>2492</v>
      </c>
      <c r="T996">
        <v>744.58</v>
      </c>
      <c r="W996" t="s">
        <v>3146</v>
      </c>
      <c r="Y996" t="s">
        <v>3774</v>
      </c>
      <c r="Z996">
        <v>0</v>
      </c>
      <c r="AA996" t="s">
        <v>3783</v>
      </c>
      <c r="AB996" t="s">
        <v>3793</v>
      </c>
      <c r="AC996">
        <v>42</v>
      </c>
      <c r="AD996">
        <v>1</v>
      </c>
      <c r="AE996">
        <v>0</v>
      </c>
      <c r="AF996">
        <v>268.78</v>
      </c>
      <c r="AI996" t="s">
        <v>3809</v>
      </c>
      <c r="AJ996">
        <v>33570</v>
      </c>
      <c r="AP996">
        <v>11.5</v>
      </c>
      <c r="AQ996" t="s">
        <v>321</v>
      </c>
      <c r="AR996" t="s">
        <v>49</v>
      </c>
      <c r="AS996" t="s">
        <v>4210</v>
      </c>
      <c r="AT996" t="s">
        <v>4219</v>
      </c>
    </row>
    <row r="997" spans="1:46">
      <c r="A997" s="1">
        <f>HYPERLINK("https://lsnyc.legalserver.org/matter/dynamic-profile/view/1902776","19-1902776")</f>
        <v>0</v>
      </c>
      <c r="B997" t="s">
        <v>70</v>
      </c>
      <c r="C997" t="s">
        <v>163</v>
      </c>
      <c r="E997" t="s">
        <v>841</v>
      </c>
      <c r="F997" t="s">
        <v>1344</v>
      </c>
      <c r="G997" t="s">
        <v>1725</v>
      </c>
      <c r="H997" t="s">
        <v>1999</v>
      </c>
      <c r="I997">
        <v>11239</v>
      </c>
      <c r="J997" t="s">
        <v>2002</v>
      </c>
      <c r="K997" t="s">
        <v>2004</v>
      </c>
      <c r="L997" t="s">
        <v>2005</v>
      </c>
      <c r="M997" t="s">
        <v>2402</v>
      </c>
      <c r="N997" t="s">
        <v>2413</v>
      </c>
      <c r="O997" t="s">
        <v>2442</v>
      </c>
      <c r="Q997" t="s">
        <v>2003</v>
      </c>
      <c r="R997" t="s">
        <v>2451</v>
      </c>
      <c r="S997" t="s">
        <v>254</v>
      </c>
      <c r="T997">
        <v>254</v>
      </c>
      <c r="U997" t="s">
        <v>2500</v>
      </c>
      <c r="W997" t="s">
        <v>3147</v>
      </c>
      <c r="X997" t="s">
        <v>2156</v>
      </c>
      <c r="Z997">
        <v>1463</v>
      </c>
      <c r="AA997" t="s">
        <v>3787</v>
      </c>
      <c r="AB997" t="s">
        <v>3800</v>
      </c>
      <c r="AC997">
        <v>0</v>
      </c>
      <c r="AD997">
        <v>3</v>
      </c>
      <c r="AE997">
        <v>0</v>
      </c>
      <c r="AF997">
        <v>43.38</v>
      </c>
      <c r="AI997" t="s">
        <v>3809</v>
      </c>
      <c r="AJ997">
        <v>9252</v>
      </c>
      <c r="AP997">
        <v>2.25</v>
      </c>
      <c r="AQ997" t="s">
        <v>4171</v>
      </c>
      <c r="AR997" t="s">
        <v>4185</v>
      </c>
      <c r="AS997" t="s">
        <v>4210</v>
      </c>
      <c r="AT997" t="s">
        <v>4219</v>
      </c>
    </row>
    <row r="998" spans="1:46">
      <c r="A998" s="1">
        <f>HYPERLINK("https://lsnyc.legalserver.org/matter/dynamic-profile/view/1872251","18-1872251")</f>
        <v>0</v>
      </c>
      <c r="B998" t="s">
        <v>71</v>
      </c>
      <c r="C998" t="s">
        <v>84</v>
      </c>
      <c r="D998" t="s">
        <v>151</v>
      </c>
      <c r="E998" t="s">
        <v>359</v>
      </c>
      <c r="F998" t="s">
        <v>1345</v>
      </c>
      <c r="G998" t="s">
        <v>1726</v>
      </c>
      <c r="H998" t="s">
        <v>1966</v>
      </c>
      <c r="I998">
        <v>11233</v>
      </c>
      <c r="J998" t="s">
        <v>2002</v>
      </c>
      <c r="K998" t="s">
        <v>2002</v>
      </c>
      <c r="M998" t="s">
        <v>2403</v>
      </c>
      <c r="N998" t="s">
        <v>2413</v>
      </c>
      <c r="O998" t="s">
        <v>2439</v>
      </c>
      <c r="P998" t="s">
        <v>2444</v>
      </c>
      <c r="Q998" t="s">
        <v>2003</v>
      </c>
      <c r="S998" t="s">
        <v>308</v>
      </c>
      <c r="T998">
        <v>1300</v>
      </c>
      <c r="U998" t="s">
        <v>2493</v>
      </c>
      <c r="V998" t="s">
        <v>2515</v>
      </c>
      <c r="W998" t="s">
        <v>3148</v>
      </c>
      <c r="X998" t="s">
        <v>3305</v>
      </c>
      <c r="Y998" t="s">
        <v>3775</v>
      </c>
      <c r="Z998">
        <v>2</v>
      </c>
      <c r="AB998" t="s">
        <v>2006</v>
      </c>
      <c r="AC998">
        <v>12</v>
      </c>
      <c r="AD998">
        <v>2</v>
      </c>
      <c r="AE998">
        <v>2</v>
      </c>
      <c r="AF998">
        <v>132.57</v>
      </c>
      <c r="AI998" t="s">
        <v>3810</v>
      </c>
      <c r="AJ998">
        <v>33276</v>
      </c>
      <c r="AK998" t="s">
        <v>3924</v>
      </c>
      <c r="AP998">
        <v>2.5</v>
      </c>
      <c r="AQ998" t="s">
        <v>293</v>
      </c>
      <c r="AR998" t="s">
        <v>4189</v>
      </c>
      <c r="AS998" t="s">
        <v>4210</v>
      </c>
      <c r="AT998" t="s">
        <v>4219</v>
      </c>
    </row>
    <row r="999" spans="1:46">
      <c r="A999" s="1">
        <f>HYPERLINK("https://lsnyc.legalserver.org/matter/dynamic-profile/view/1875189","18-1875189")</f>
        <v>0</v>
      </c>
      <c r="B999" t="s">
        <v>71</v>
      </c>
      <c r="C999" t="s">
        <v>217</v>
      </c>
      <c r="D999" t="s">
        <v>128</v>
      </c>
      <c r="E999" t="s">
        <v>514</v>
      </c>
      <c r="F999" t="s">
        <v>1026</v>
      </c>
      <c r="G999" t="s">
        <v>1486</v>
      </c>
      <c r="H999" t="s">
        <v>1772</v>
      </c>
      <c r="I999">
        <v>11213</v>
      </c>
      <c r="J999" t="s">
        <v>2002</v>
      </c>
      <c r="K999" t="s">
        <v>2002</v>
      </c>
      <c r="N999" t="s">
        <v>2417</v>
      </c>
      <c r="O999" t="s">
        <v>2436</v>
      </c>
      <c r="P999" t="s">
        <v>2443</v>
      </c>
      <c r="Q999" t="s">
        <v>2002</v>
      </c>
      <c r="S999" t="s">
        <v>293</v>
      </c>
      <c r="T999">
        <v>1507.16</v>
      </c>
      <c r="U999" t="s">
        <v>2496</v>
      </c>
      <c r="V999" t="s">
        <v>2523</v>
      </c>
      <c r="W999" t="s">
        <v>3149</v>
      </c>
      <c r="X999" t="s">
        <v>3163</v>
      </c>
      <c r="Y999" t="s">
        <v>3479</v>
      </c>
      <c r="Z999">
        <v>19</v>
      </c>
      <c r="AA999" t="s">
        <v>3783</v>
      </c>
      <c r="AB999" t="s">
        <v>3793</v>
      </c>
      <c r="AC999">
        <v>22</v>
      </c>
      <c r="AD999">
        <v>4</v>
      </c>
      <c r="AE999">
        <v>0</v>
      </c>
      <c r="AF999">
        <v>127.13</v>
      </c>
      <c r="AH999" t="s">
        <v>3807</v>
      </c>
      <c r="AI999" t="s">
        <v>3809</v>
      </c>
      <c r="AJ999">
        <v>31909.8</v>
      </c>
      <c r="AK999" t="s">
        <v>3829</v>
      </c>
      <c r="AP999">
        <v>141.4</v>
      </c>
      <c r="AQ999" t="s">
        <v>128</v>
      </c>
      <c r="AR999" t="s">
        <v>4185</v>
      </c>
      <c r="AS999" t="s">
        <v>4210</v>
      </c>
      <c r="AT999" t="s">
        <v>4219</v>
      </c>
    </row>
    <row r="1000" spans="1:46">
      <c r="A1000" s="1">
        <f>HYPERLINK("https://lsnyc.legalserver.org/matter/dynamic-profile/view/1870091","18-1870091")</f>
        <v>0</v>
      </c>
      <c r="B1000" t="s">
        <v>71</v>
      </c>
      <c r="C1000" t="s">
        <v>304</v>
      </c>
      <c r="D1000" t="s">
        <v>87</v>
      </c>
      <c r="E1000" t="s">
        <v>842</v>
      </c>
      <c r="F1000" t="s">
        <v>1005</v>
      </c>
      <c r="G1000" t="s">
        <v>1727</v>
      </c>
      <c r="H1000" t="s">
        <v>2000</v>
      </c>
      <c r="I1000">
        <v>11207</v>
      </c>
      <c r="J1000" t="s">
        <v>2002</v>
      </c>
      <c r="K1000" t="s">
        <v>2002</v>
      </c>
      <c r="M1000" t="s">
        <v>2404</v>
      </c>
      <c r="N1000" t="s">
        <v>2413</v>
      </c>
      <c r="O1000" t="s">
        <v>2439</v>
      </c>
      <c r="P1000" t="s">
        <v>2444</v>
      </c>
      <c r="S1000" t="s">
        <v>87</v>
      </c>
      <c r="T1000">
        <v>650</v>
      </c>
      <c r="U1000" t="s">
        <v>2493</v>
      </c>
      <c r="V1000" t="s">
        <v>2515</v>
      </c>
      <c r="W1000" t="s">
        <v>3150</v>
      </c>
      <c r="Y1000" t="s">
        <v>3776</v>
      </c>
      <c r="Z1000">
        <v>3</v>
      </c>
      <c r="AC1000">
        <v>8</v>
      </c>
      <c r="AD1000">
        <v>1</v>
      </c>
      <c r="AE1000">
        <v>3</v>
      </c>
      <c r="AF1000">
        <v>41.43</v>
      </c>
      <c r="AI1000" t="s">
        <v>3809</v>
      </c>
      <c r="AJ1000">
        <v>10400</v>
      </c>
      <c r="AK1000" t="s">
        <v>3829</v>
      </c>
      <c r="AP1000">
        <v>4.1</v>
      </c>
      <c r="AQ1000" t="s">
        <v>87</v>
      </c>
      <c r="AR1000" t="s">
        <v>4189</v>
      </c>
      <c r="AS1000" t="s">
        <v>4210</v>
      </c>
      <c r="AT1000" t="s">
        <v>4219</v>
      </c>
    </row>
    <row r="1001" spans="1:46">
      <c r="A1001" s="1">
        <f>HYPERLINK("https://lsnyc.legalserver.org/matter/dynamic-profile/view/1876938","18-1876938")</f>
        <v>0</v>
      </c>
      <c r="B1001" t="s">
        <v>71</v>
      </c>
      <c r="C1001" t="s">
        <v>157</v>
      </c>
      <c r="E1001" t="s">
        <v>770</v>
      </c>
      <c r="F1001" t="s">
        <v>1278</v>
      </c>
      <c r="G1001" t="s">
        <v>1541</v>
      </c>
      <c r="H1001">
        <v>28</v>
      </c>
      <c r="I1001">
        <v>11213</v>
      </c>
      <c r="J1001" t="s">
        <v>2002</v>
      </c>
      <c r="K1001" t="s">
        <v>2002</v>
      </c>
      <c r="L1001" t="s">
        <v>2005</v>
      </c>
      <c r="M1001" t="s">
        <v>2287</v>
      </c>
      <c r="N1001" t="s">
        <v>2414</v>
      </c>
      <c r="O1001" t="s">
        <v>2437</v>
      </c>
      <c r="Q1001" t="s">
        <v>2002</v>
      </c>
      <c r="S1001" t="s">
        <v>157</v>
      </c>
      <c r="T1001">
        <v>1326</v>
      </c>
      <c r="U1001" t="s">
        <v>2496</v>
      </c>
      <c r="W1001" t="s">
        <v>3054</v>
      </c>
      <c r="X1001" t="s">
        <v>3270</v>
      </c>
      <c r="Y1001" t="s">
        <v>3685</v>
      </c>
      <c r="Z1001">
        <v>34</v>
      </c>
      <c r="AA1001" t="s">
        <v>3783</v>
      </c>
      <c r="AB1001" t="s">
        <v>2006</v>
      </c>
      <c r="AC1001">
        <v>2</v>
      </c>
      <c r="AD1001">
        <v>2</v>
      </c>
      <c r="AE1001">
        <v>0</v>
      </c>
      <c r="AF1001">
        <v>395.94</v>
      </c>
      <c r="AI1001" t="s">
        <v>3809</v>
      </c>
      <c r="AJ1001">
        <v>65172</v>
      </c>
      <c r="AP1001">
        <v>32</v>
      </c>
      <c r="AQ1001" t="s">
        <v>244</v>
      </c>
      <c r="AR1001" t="s">
        <v>71</v>
      </c>
      <c r="AS1001" t="s">
        <v>4210</v>
      </c>
      <c r="AT1001" t="s">
        <v>4219</v>
      </c>
    </row>
    <row r="1002" spans="1:46">
      <c r="A1002" s="1">
        <f>HYPERLINK("https://lsnyc.legalserver.org/matter/dynamic-profile/view/1884267","18-1884267")</f>
        <v>0</v>
      </c>
      <c r="B1002" t="s">
        <v>71</v>
      </c>
      <c r="C1002" t="s">
        <v>125</v>
      </c>
      <c r="E1002" t="s">
        <v>843</v>
      </c>
      <c r="F1002" t="s">
        <v>902</v>
      </c>
      <c r="G1002" t="s">
        <v>1728</v>
      </c>
      <c r="H1002" t="s">
        <v>1765</v>
      </c>
      <c r="I1002">
        <v>11208</v>
      </c>
      <c r="J1002" t="s">
        <v>2002</v>
      </c>
      <c r="K1002" t="s">
        <v>2002</v>
      </c>
      <c r="N1002" t="s">
        <v>2422</v>
      </c>
      <c r="O1002" t="s">
        <v>2440</v>
      </c>
      <c r="S1002" t="s">
        <v>176</v>
      </c>
      <c r="T1002">
        <v>0</v>
      </c>
      <c r="W1002" t="s">
        <v>3151</v>
      </c>
      <c r="Y1002" t="s">
        <v>3777</v>
      </c>
      <c r="Z1002">
        <v>0</v>
      </c>
      <c r="AC1002">
        <v>0</v>
      </c>
      <c r="AD1002">
        <v>2</v>
      </c>
      <c r="AE1002">
        <v>1</v>
      </c>
      <c r="AF1002">
        <v>17.32</v>
      </c>
      <c r="AI1002" t="s">
        <v>3809</v>
      </c>
      <c r="AJ1002">
        <v>3600</v>
      </c>
      <c r="AP1002">
        <v>14.7</v>
      </c>
      <c r="AQ1002" t="s">
        <v>2465</v>
      </c>
      <c r="AR1002" t="s">
        <v>71</v>
      </c>
      <c r="AS1002" t="s">
        <v>4214</v>
      </c>
      <c r="AT1002" t="s">
        <v>4219</v>
      </c>
    </row>
    <row r="1003" spans="1:46">
      <c r="A1003" s="1">
        <f>HYPERLINK("https://lsnyc.legalserver.org/matter/dynamic-profile/view/1866406","18-1866406")</f>
        <v>0</v>
      </c>
      <c r="B1003" t="s">
        <v>71</v>
      </c>
      <c r="C1003" t="s">
        <v>305</v>
      </c>
      <c r="D1003" t="s">
        <v>194</v>
      </c>
      <c r="E1003" t="s">
        <v>498</v>
      </c>
      <c r="F1003" t="s">
        <v>1346</v>
      </c>
      <c r="G1003" t="s">
        <v>1729</v>
      </c>
      <c r="H1003">
        <v>1</v>
      </c>
      <c r="I1003">
        <v>11208</v>
      </c>
      <c r="J1003" t="s">
        <v>2002</v>
      </c>
      <c r="K1003" t="s">
        <v>2002</v>
      </c>
      <c r="M1003" t="s">
        <v>2405</v>
      </c>
      <c r="N1003" t="s">
        <v>2413</v>
      </c>
      <c r="O1003" t="s">
        <v>2437</v>
      </c>
      <c r="P1003" t="s">
        <v>2447</v>
      </c>
      <c r="Q1003" t="s">
        <v>2003</v>
      </c>
      <c r="S1003" t="s">
        <v>2463</v>
      </c>
      <c r="T1003">
        <v>1550</v>
      </c>
      <c r="U1003" t="s">
        <v>2510</v>
      </c>
      <c r="V1003" t="s">
        <v>2516</v>
      </c>
      <c r="W1003" t="s">
        <v>3152</v>
      </c>
      <c r="X1003" t="s">
        <v>3306</v>
      </c>
      <c r="Y1003" t="s">
        <v>3778</v>
      </c>
      <c r="Z1003">
        <v>4</v>
      </c>
      <c r="AA1003" t="s">
        <v>3784</v>
      </c>
      <c r="AB1003" t="s">
        <v>3794</v>
      </c>
      <c r="AC1003">
        <v>3</v>
      </c>
      <c r="AD1003">
        <v>1</v>
      </c>
      <c r="AE1003">
        <v>2</v>
      </c>
      <c r="AF1003">
        <v>112.61</v>
      </c>
      <c r="AI1003" t="s">
        <v>3809</v>
      </c>
      <c r="AJ1003">
        <v>23400</v>
      </c>
      <c r="AK1003" t="s">
        <v>3829</v>
      </c>
      <c r="AL1003" t="s">
        <v>4102</v>
      </c>
      <c r="AM1003" t="s">
        <v>4107</v>
      </c>
      <c r="AN1003" t="s">
        <v>4122</v>
      </c>
      <c r="AO1003" t="s">
        <v>4162</v>
      </c>
      <c r="AP1003">
        <v>18</v>
      </c>
      <c r="AQ1003" t="s">
        <v>194</v>
      </c>
      <c r="AR1003" t="s">
        <v>4202</v>
      </c>
      <c r="AS1003" t="s">
        <v>4210</v>
      </c>
      <c r="AT1003" t="s">
        <v>4219</v>
      </c>
    </row>
    <row r="1004" spans="1:46">
      <c r="A1004" s="1">
        <f>HYPERLINK("https://lsnyc.legalserver.org/matter/dynamic-profile/view/1880272","18-1880272")</f>
        <v>0</v>
      </c>
      <c r="B1004" t="s">
        <v>71</v>
      </c>
      <c r="C1004" t="s">
        <v>114</v>
      </c>
      <c r="E1004" t="s">
        <v>761</v>
      </c>
      <c r="F1004" t="s">
        <v>1269</v>
      </c>
      <c r="G1004" t="s">
        <v>1541</v>
      </c>
      <c r="H1004">
        <v>7</v>
      </c>
      <c r="I1004">
        <v>11213</v>
      </c>
      <c r="J1004" t="s">
        <v>2002</v>
      </c>
      <c r="K1004" t="s">
        <v>2002</v>
      </c>
      <c r="M1004" t="s">
        <v>2287</v>
      </c>
      <c r="N1004" t="s">
        <v>2414</v>
      </c>
      <c r="O1004" t="s">
        <v>2437</v>
      </c>
      <c r="Q1004" t="s">
        <v>2002</v>
      </c>
      <c r="R1004" t="s">
        <v>2451</v>
      </c>
      <c r="S1004" t="s">
        <v>2466</v>
      </c>
      <c r="T1004">
        <v>931.36</v>
      </c>
      <c r="U1004" t="s">
        <v>2496</v>
      </c>
      <c r="W1004" t="s">
        <v>3043</v>
      </c>
      <c r="X1004" t="s">
        <v>2006</v>
      </c>
      <c r="Z1004">
        <v>31</v>
      </c>
      <c r="AA1004" t="s">
        <v>3783</v>
      </c>
      <c r="AB1004" t="s">
        <v>2006</v>
      </c>
      <c r="AC1004">
        <v>35</v>
      </c>
      <c r="AD1004">
        <v>2</v>
      </c>
      <c r="AE1004">
        <v>0</v>
      </c>
      <c r="AF1004">
        <v>194.41</v>
      </c>
      <c r="AI1004" t="s">
        <v>3809</v>
      </c>
      <c r="AJ1004">
        <v>32000</v>
      </c>
      <c r="AP1004">
        <v>1.15</v>
      </c>
      <c r="AQ1004" t="s">
        <v>307</v>
      </c>
      <c r="AR1004" t="s">
        <v>4185</v>
      </c>
      <c r="AS1004" t="s">
        <v>4210</v>
      </c>
      <c r="AT1004" t="s">
        <v>4219</v>
      </c>
    </row>
    <row r="1005" spans="1:46">
      <c r="A1005" s="1">
        <f>HYPERLINK("https://lsnyc.legalserver.org/matter/dynamic-profile/view/1880271","18-1880271")</f>
        <v>0</v>
      </c>
      <c r="B1005" t="s">
        <v>71</v>
      </c>
      <c r="C1005" t="s">
        <v>114</v>
      </c>
      <c r="E1005" t="s">
        <v>375</v>
      </c>
      <c r="F1005" t="s">
        <v>1279</v>
      </c>
      <c r="G1005" t="s">
        <v>1643</v>
      </c>
      <c r="H1005" t="s">
        <v>1963</v>
      </c>
      <c r="I1005">
        <v>11213</v>
      </c>
      <c r="J1005" t="s">
        <v>2002</v>
      </c>
      <c r="K1005" t="s">
        <v>2002</v>
      </c>
      <c r="M1005" t="s">
        <v>2287</v>
      </c>
      <c r="N1005" t="s">
        <v>2414</v>
      </c>
      <c r="O1005" t="s">
        <v>2437</v>
      </c>
      <c r="Q1005" t="s">
        <v>2002</v>
      </c>
      <c r="R1005" t="s">
        <v>2451</v>
      </c>
      <c r="S1005" t="s">
        <v>2466</v>
      </c>
      <c r="T1005">
        <v>1205</v>
      </c>
      <c r="U1005" t="s">
        <v>2496</v>
      </c>
      <c r="W1005" t="s">
        <v>3055</v>
      </c>
      <c r="X1005" t="s">
        <v>2006</v>
      </c>
      <c r="Z1005">
        <v>34</v>
      </c>
      <c r="AA1005" t="s">
        <v>3783</v>
      </c>
      <c r="AB1005" t="s">
        <v>2006</v>
      </c>
      <c r="AC1005">
        <v>34</v>
      </c>
      <c r="AD1005">
        <v>3</v>
      </c>
      <c r="AE1005">
        <v>0</v>
      </c>
      <c r="AF1005">
        <v>393.85</v>
      </c>
      <c r="AI1005" t="s">
        <v>3809</v>
      </c>
      <c r="AJ1005">
        <v>81843</v>
      </c>
      <c r="AK1005" t="s">
        <v>4098</v>
      </c>
      <c r="AP1005">
        <v>0.1</v>
      </c>
      <c r="AQ1005" t="s">
        <v>242</v>
      </c>
      <c r="AR1005" t="s">
        <v>4185</v>
      </c>
      <c r="AS1005" t="s">
        <v>4210</v>
      </c>
      <c r="AT1005" t="s">
        <v>4219</v>
      </c>
    </row>
    <row r="1006" spans="1:46">
      <c r="A1006" s="1">
        <f>HYPERLINK("https://lsnyc.legalserver.org/matter/dynamic-profile/view/1886736","18-1886736")</f>
        <v>0</v>
      </c>
      <c r="B1006" t="s">
        <v>71</v>
      </c>
      <c r="C1006" t="s">
        <v>128</v>
      </c>
      <c r="D1006" t="s">
        <v>263</v>
      </c>
      <c r="E1006" t="s">
        <v>790</v>
      </c>
      <c r="F1006" t="s">
        <v>1297</v>
      </c>
      <c r="G1006" t="s">
        <v>1669</v>
      </c>
      <c r="H1006" t="s">
        <v>1741</v>
      </c>
      <c r="I1006">
        <v>11233</v>
      </c>
      <c r="J1006" t="s">
        <v>2002</v>
      </c>
      <c r="K1006" t="s">
        <v>2004</v>
      </c>
      <c r="L1006" t="s">
        <v>2007</v>
      </c>
      <c r="M1006" t="s">
        <v>2406</v>
      </c>
      <c r="N1006" t="s">
        <v>2416</v>
      </c>
      <c r="O1006" t="s">
        <v>2439</v>
      </c>
      <c r="P1006" t="s">
        <v>2444</v>
      </c>
      <c r="Q1006" t="s">
        <v>2003</v>
      </c>
      <c r="R1006" t="s">
        <v>2451</v>
      </c>
      <c r="S1006" t="s">
        <v>2491</v>
      </c>
      <c r="T1006">
        <v>1700</v>
      </c>
      <c r="U1006" t="s">
        <v>2497</v>
      </c>
      <c r="V1006" t="s">
        <v>2526</v>
      </c>
      <c r="W1006" t="s">
        <v>3079</v>
      </c>
      <c r="Y1006" t="s">
        <v>3709</v>
      </c>
      <c r="Z1006">
        <v>8</v>
      </c>
      <c r="AA1006" t="s">
        <v>3783</v>
      </c>
      <c r="AB1006" t="s">
        <v>3793</v>
      </c>
      <c r="AC1006">
        <v>19</v>
      </c>
      <c r="AD1006">
        <v>2</v>
      </c>
      <c r="AE1006">
        <v>2</v>
      </c>
      <c r="AF1006">
        <v>37.34</v>
      </c>
      <c r="AI1006" t="s">
        <v>3809</v>
      </c>
      <c r="AJ1006">
        <v>9372</v>
      </c>
      <c r="AP1006">
        <v>1.75</v>
      </c>
      <c r="AQ1006" t="s">
        <v>75</v>
      </c>
      <c r="AR1006" t="s">
        <v>71</v>
      </c>
      <c r="AS1006" t="s">
        <v>4218</v>
      </c>
      <c r="AT1006" t="s">
        <v>4219</v>
      </c>
    </row>
    <row r="1007" spans="1:46">
      <c r="A1007" s="1">
        <f>HYPERLINK("https://lsnyc.legalserver.org/matter/dynamic-profile/view/1887798","19-1887798")</f>
        <v>0</v>
      </c>
      <c r="B1007" t="s">
        <v>71</v>
      </c>
      <c r="C1007" t="s">
        <v>82</v>
      </c>
      <c r="D1007" t="s">
        <v>263</v>
      </c>
      <c r="E1007" t="s">
        <v>844</v>
      </c>
      <c r="F1007" t="s">
        <v>1347</v>
      </c>
      <c r="G1007" t="s">
        <v>1730</v>
      </c>
      <c r="H1007" t="s">
        <v>1777</v>
      </c>
      <c r="I1007">
        <v>11207</v>
      </c>
      <c r="J1007" t="s">
        <v>2002</v>
      </c>
      <c r="K1007" t="s">
        <v>2002</v>
      </c>
      <c r="L1007" t="s">
        <v>2005</v>
      </c>
      <c r="M1007" t="s">
        <v>2407</v>
      </c>
      <c r="N1007" t="s">
        <v>2413</v>
      </c>
      <c r="O1007" t="s">
        <v>2436</v>
      </c>
      <c r="P1007" t="s">
        <v>2443</v>
      </c>
      <c r="Q1007" t="s">
        <v>2003</v>
      </c>
      <c r="R1007" t="s">
        <v>2451</v>
      </c>
      <c r="S1007" t="s">
        <v>287</v>
      </c>
      <c r="T1007">
        <v>1992</v>
      </c>
      <c r="U1007" t="s">
        <v>2512</v>
      </c>
      <c r="V1007" t="s">
        <v>2514</v>
      </c>
      <c r="W1007" t="s">
        <v>3153</v>
      </c>
      <c r="X1007" t="s">
        <v>3307</v>
      </c>
      <c r="Y1007" t="s">
        <v>3779</v>
      </c>
      <c r="Z1007">
        <v>3</v>
      </c>
      <c r="AA1007" t="s">
        <v>3784</v>
      </c>
      <c r="AB1007" t="s">
        <v>3793</v>
      </c>
      <c r="AC1007">
        <v>4</v>
      </c>
      <c r="AD1007">
        <v>3</v>
      </c>
      <c r="AE1007">
        <v>1</v>
      </c>
      <c r="AF1007">
        <v>139.81</v>
      </c>
      <c r="AI1007" t="s">
        <v>3809</v>
      </c>
      <c r="AJ1007">
        <v>36000</v>
      </c>
      <c r="AP1007">
        <v>3.75</v>
      </c>
      <c r="AQ1007" t="s">
        <v>289</v>
      </c>
      <c r="AR1007" t="s">
        <v>4185</v>
      </c>
      <c r="AS1007" t="s">
        <v>4210</v>
      </c>
      <c r="AT1007" t="s">
        <v>4219</v>
      </c>
    </row>
    <row r="1008" spans="1:46">
      <c r="A1008" s="1">
        <f>HYPERLINK("https://lsnyc.legalserver.org/matter/dynamic-profile/view/1892495","19-1892495")</f>
        <v>0</v>
      </c>
      <c r="B1008" t="s">
        <v>71</v>
      </c>
      <c r="C1008" t="s">
        <v>274</v>
      </c>
      <c r="E1008" t="s">
        <v>845</v>
      </c>
      <c r="F1008" t="s">
        <v>1348</v>
      </c>
      <c r="G1008" t="s">
        <v>1731</v>
      </c>
      <c r="H1008" t="s">
        <v>1758</v>
      </c>
      <c r="I1008">
        <v>11213</v>
      </c>
      <c r="J1008" t="s">
        <v>2002</v>
      </c>
      <c r="K1008" t="s">
        <v>2002</v>
      </c>
      <c r="M1008" t="s">
        <v>2027</v>
      </c>
      <c r="O1008" t="s">
        <v>2439</v>
      </c>
      <c r="Q1008" t="s">
        <v>2003</v>
      </c>
      <c r="S1008" t="s">
        <v>103</v>
      </c>
      <c r="T1008">
        <v>0</v>
      </c>
      <c r="U1008" t="s">
        <v>2495</v>
      </c>
      <c r="W1008" t="s">
        <v>3154</v>
      </c>
      <c r="Z1008">
        <v>6</v>
      </c>
      <c r="AA1008" t="s">
        <v>3783</v>
      </c>
      <c r="AB1008" t="s">
        <v>2006</v>
      </c>
      <c r="AC1008">
        <v>0</v>
      </c>
      <c r="AD1008">
        <v>3</v>
      </c>
      <c r="AE1008">
        <v>0</v>
      </c>
      <c r="AF1008">
        <v>166.9</v>
      </c>
      <c r="AI1008" t="s">
        <v>3809</v>
      </c>
      <c r="AJ1008">
        <v>35600</v>
      </c>
      <c r="AP1008">
        <v>0</v>
      </c>
      <c r="AR1008" t="s">
        <v>49</v>
      </c>
      <c r="AS1008" t="s">
        <v>4210</v>
      </c>
      <c r="AT1008" t="s">
        <v>4219</v>
      </c>
    </row>
    <row r="1009" spans="1:46">
      <c r="A1009" s="1">
        <f>HYPERLINK("https://lsnyc.legalserver.org/matter/dynamic-profile/view/1894029","19-1894029")</f>
        <v>0</v>
      </c>
      <c r="B1009" t="s">
        <v>71</v>
      </c>
      <c r="C1009" t="s">
        <v>142</v>
      </c>
      <c r="E1009" t="s">
        <v>846</v>
      </c>
      <c r="F1009" t="s">
        <v>1349</v>
      </c>
      <c r="G1009" t="s">
        <v>1381</v>
      </c>
      <c r="H1009" t="s">
        <v>2001</v>
      </c>
      <c r="I1009">
        <v>11212</v>
      </c>
      <c r="J1009" t="s">
        <v>2002</v>
      </c>
      <c r="K1009" t="s">
        <v>2002</v>
      </c>
      <c r="O1009" t="s">
        <v>2439</v>
      </c>
      <c r="Q1009" t="s">
        <v>2002</v>
      </c>
      <c r="S1009" t="s">
        <v>142</v>
      </c>
      <c r="T1009">
        <v>1151</v>
      </c>
      <c r="U1009" t="s">
        <v>2496</v>
      </c>
      <c r="W1009" t="s">
        <v>3155</v>
      </c>
      <c r="Y1009" t="s">
        <v>3780</v>
      </c>
      <c r="Z1009">
        <v>73</v>
      </c>
      <c r="AA1009" t="s">
        <v>3783</v>
      </c>
      <c r="AB1009" t="s">
        <v>2006</v>
      </c>
      <c r="AC1009">
        <v>20</v>
      </c>
      <c r="AD1009">
        <v>3</v>
      </c>
      <c r="AE1009">
        <v>1</v>
      </c>
      <c r="AF1009">
        <v>271.84</v>
      </c>
      <c r="AI1009" t="s">
        <v>3809</v>
      </c>
      <c r="AJ1009">
        <v>70000</v>
      </c>
      <c r="AP1009">
        <v>8</v>
      </c>
      <c r="AQ1009" t="s">
        <v>331</v>
      </c>
      <c r="AR1009" t="s">
        <v>71</v>
      </c>
      <c r="AS1009" t="s">
        <v>4210</v>
      </c>
      <c r="AT1009" t="s">
        <v>4219</v>
      </c>
    </row>
    <row r="1010" spans="1:46">
      <c r="A1010" s="1">
        <f>HYPERLINK("https://lsnyc.legalserver.org/matter/dynamic-profile/view/1894378","19-1894378")</f>
        <v>0</v>
      </c>
      <c r="B1010" t="s">
        <v>71</v>
      </c>
      <c r="C1010" t="s">
        <v>165</v>
      </c>
      <c r="E1010" t="s">
        <v>770</v>
      </c>
      <c r="F1010" t="s">
        <v>1278</v>
      </c>
      <c r="G1010" t="s">
        <v>1541</v>
      </c>
      <c r="H1010">
        <v>28</v>
      </c>
      <c r="I1010">
        <v>11213</v>
      </c>
      <c r="J1010" t="s">
        <v>2002</v>
      </c>
      <c r="K1010" t="s">
        <v>2002</v>
      </c>
      <c r="M1010" t="s">
        <v>2408</v>
      </c>
      <c r="N1010" t="s">
        <v>2415</v>
      </c>
      <c r="O1010" t="s">
        <v>2437</v>
      </c>
      <c r="S1010" t="s">
        <v>244</v>
      </c>
      <c r="T1010">
        <v>1326</v>
      </c>
      <c r="U1010" t="s">
        <v>2497</v>
      </c>
      <c r="W1010" t="s">
        <v>3054</v>
      </c>
      <c r="Y1010" t="s">
        <v>3685</v>
      </c>
      <c r="Z1010">
        <v>0</v>
      </c>
      <c r="AA1010" t="s">
        <v>3783</v>
      </c>
      <c r="AB1010" t="s">
        <v>2006</v>
      </c>
      <c r="AC1010">
        <v>2</v>
      </c>
      <c r="AD1010">
        <v>1</v>
      </c>
      <c r="AE1010">
        <v>0</v>
      </c>
      <c r="AF1010">
        <v>5181.52</v>
      </c>
      <c r="AI1010" t="s">
        <v>3809</v>
      </c>
      <c r="AJ1010">
        <v>647172</v>
      </c>
      <c r="AP1010">
        <v>12.45</v>
      </c>
      <c r="AQ1010" t="s">
        <v>163</v>
      </c>
      <c r="AR1010" t="s">
        <v>71</v>
      </c>
      <c r="AS1010" t="s">
        <v>4210</v>
      </c>
      <c r="AT1010" t="s">
        <v>4219</v>
      </c>
    </row>
    <row r="1011" spans="1:46">
      <c r="A1011" s="1">
        <f>HYPERLINK("https://lsnyc.legalserver.org/matter/dynamic-profile/view/1895025","19-1895025")</f>
        <v>0</v>
      </c>
      <c r="B1011" t="s">
        <v>71</v>
      </c>
      <c r="C1011" t="s">
        <v>251</v>
      </c>
      <c r="D1011" t="s">
        <v>263</v>
      </c>
      <c r="E1011" t="s">
        <v>387</v>
      </c>
      <c r="F1011" t="s">
        <v>1350</v>
      </c>
      <c r="G1011" t="s">
        <v>1732</v>
      </c>
      <c r="H1011" t="s">
        <v>1745</v>
      </c>
      <c r="I1011">
        <v>11207</v>
      </c>
      <c r="J1011" t="s">
        <v>2002</v>
      </c>
      <c r="K1011" t="s">
        <v>2002</v>
      </c>
      <c r="M1011" t="s">
        <v>2409</v>
      </c>
      <c r="N1011" t="s">
        <v>2413</v>
      </c>
      <c r="O1011" t="s">
        <v>2437</v>
      </c>
      <c r="P1011" t="s">
        <v>2448</v>
      </c>
      <c r="Q1011" t="s">
        <v>2003</v>
      </c>
      <c r="R1011" t="s">
        <v>2451</v>
      </c>
      <c r="S1011" t="s">
        <v>331</v>
      </c>
      <c r="T1011">
        <v>1200</v>
      </c>
      <c r="U1011" t="s">
        <v>2495</v>
      </c>
      <c r="V1011" t="s">
        <v>2519</v>
      </c>
      <c r="W1011" t="s">
        <v>3156</v>
      </c>
      <c r="X1011" t="s">
        <v>2006</v>
      </c>
      <c r="Z1011">
        <v>2</v>
      </c>
      <c r="AA1011" t="s">
        <v>3784</v>
      </c>
      <c r="AB1011" t="s">
        <v>2006</v>
      </c>
      <c r="AC1011">
        <v>7</v>
      </c>
      <c r="AD1011">
        <v>2</v>
      </c>
      <c r="AE1011">
        <v>2</v>
      </c>
      <c r="AF1011">
        <v>50.49</v>
      </c>
      <c r="AI1011" t="s">
        <v>3809</v>
      </c>
      <c r="AJ1011">
        <v>13000</v>
      </c>
      <c r="AK1011" t="s">
        <v>3838</v>
      </c>
      <c r="AL1011" t="s">
        <v>4103</v>
      </c>
      <c r="AM1011" t="s">
        <v>2495</v>
      </c>
      <c r="AN1011" t="s">
        <v>4123</v>
      </c>
      <c r="AO1011" t="s">
        <v>4163</v>
      </c>
      <c r="AP1011">
        <v>10.65</v>
      </c>
      <c r="AQ1011" t="s">
        <v>246</v>
      </c>
      <c r="AR1011" t="s">
        <v>49</v>
      </c>
      <c r="AS1011" t="s">
        <v>4210</v>
      </c>
      <c r="AT1011" t="s">
        <v>4219</v>
      </c>
    </row>
    <row r="1012" spans="1:46">
      <c r="A1012" s="1">
        <f>HYPERLINK("https://lsnyc.legalserver.org/matter/dynamic-profile/view/1895618","19-1895618")</f>
        <v>0</v>
      </c>
      <c r="B1012" t="s">
        <v>71</v>
      </c>
      <c r="C1012" t="s">
        <v>290</v>
      </c>
      <c r="E1012" t="s">
        <v>411</v>
      </c>
      <c r="F1012" t="s">
        <v>1351</v>
      </c>
      <c r="G1012" t="s">
        <v>1541</v>
      </c>
      <c r="I1012">
        <v>11213</v>
      </c>
      <c r="J1012" t="s">
        <v>2002</v>
      </c>
      <c r="K1012" t="s">
        <v>2002</v>
      </c>
      <c r="M1012" t="s">
        <v>2410</v>
      </c>
      <c r="N1012" t="s">
        <v>2415</v>
      </c>
      <c r="O1012" t="s">
        <v>2437</v>
      </c>
      <c r="Q1012" t="s">
        <v>2003</v>
      </c>
      <c r="S1012" t="s">
        <v>105</v>
      </c>
      <c r="T1012">
        <v>1513.39</v>
      </c>
      <c r="U1012" t="s">
        <v>2494</v>
      </c>
      <c r="W1012" t="s">
        <v>3157</v>
      </c>
      <c r="Z1012">
        <v>31</v>
      </c>
      <c r="AA1012" t="s">
        <v>3783</v>
      </c>
      <c r="AB1012" t="s">
        <v>2006</v>
      </c>
      <c r="AC1012">
        <v>0</v>
      </c>
      <c r="AD1012">
        <v>2</v>
      </c>
      <c r="AE1012">
        <v>0</v>
      </c>
      <c r="AF1012">
        <v>238.79</v>
      </c>
      <c r="AG1012" t="s">
        <v>279</v>
      </c>
      <c r="AH1012" t="s">
        <v>3806</v>
      </c>
      <c r="AI1012" t="s">
        <v>3809</v>
      </c>
      <c r="AJ1012">
        <v>40380</v>
      </c>
      <c r="AP1012">
        <v>19.7</v>
      </c>
      <c r="AQ1012" t="s">
        <v>163</v>
      </c>
      <c r="AR1012" t="s">
        <v>49</v>
      </c>
      <c r="AS1012" t="s">
        <v>4210</v>
      </c>
      <c r="AT1012" t="s">
        <v>4219</v>
      </c>
    </row>
    <row r="1013" spans="1:46">
      <c r="A1013" s="1">
        <f>HYPERLINK("https://lsnyc.legalserver.org/matter/dynamic-profile/view/1895307","19-1895307")</f>
        <v>0</v>
      </c>
      <c r="B1013" t="s">
        <v>71</v>
      </c>
      <c r="C1013" t="s">
        <v>76</v>
      </c>
      <c r="E1013" t="s">
        <v>509</v>
      </c>
      <c r="F1013" t="s">
        <v>1010</v>
      </c>
      <c r="G1013" t="s">
        <v>1486</v>
      </c>
      <c r="H1013" t="s">
        <v>1764</v>
      </c>
      <c r="I1013">
        <v>11213</v>
      </c>
      <c r="J1013" t="s">
        <v>2002</v>
      </c>
      <c r="K1013" t="s">
        <v>2002</v>
      </c>
      <c r="N1013" t="s">
        <v>2416</v>
      </c>
      <c r="O1013" t="s">
        <v>2438</v>
      </c>
      <c r="Q1013" t="s">
        <v>2002</v>
      </c>
      <c r="S1013" t="s">
        <v>76</v>
      </c>
      <c r="T1013">
        <v>951</v>
      </c>
      <c r="U1013" t="s">
        <v>2509</v>
      </c>
      <c r="W1013" t="s">
        <v>2721</v>
      </c>
      <c r="Y1013" t="s">
        <v>3474</v>
      </c>
      <c r="Z1013">
        <v>19</v>
      </c>
      <c r="AA1013" t="s">
        <v>3783</v>
      </c>
      <c r="AB1013" t="s">
        <v>3797</v>
      </c>
      <c r="AC1013">
        <v>16</v>
      </c>
      <c r="AD1013">
        <v>3</v>
      </c>
      <c r="AE1013">
        <v>3</v>
      </c>
      <c r="AF1013">
        <v>52.62</v>
      </c>
      <c r="AI1013" t="s">
        <v>3809</v>
      </c>
      <c r="AJ1013">
        <v>18200</v>
      </c>
      <c r="AP1013">
        <v>0.35</v>
      </c>
      <c r="AQ1013" t="s">
        <v>163</v>
      </c>
      <c r="AR1013" t="s">
        <v>49</v>
      </c>
      <c r="AS1013" t="s">
        <v>4211</v>
      </c>
      <c r="AT1013" t="s">
        <v>4219</v>
      </c>
    </row>
    <row r="1014" spans="1:46">
      <c r="A1014" s="1">
        <f>HYPERLINK("https://lsnyc.legalserver.org/matter/dynamic-profile/view/1895324","19-1895324")</f>
        <v>0</v>
      </c>
      <c r="B1014" t="s">
        <v>71</v>
      </c>
      <c r="C1014" t="s">
        <v>76</v>
      </c>
      <c r="E1014" t="s">
        <v>516</v>
      </c>
      <c r="F1014" t="s">
        <v>1027</v>
      </c>
      <c r="G1014" t="s">
        <v>1486</v>
      </c>
      <c r="H1014" t="s">
        <v>1744</v>
      </c>
      <c r="I1014">
        <v>11213</v>
      </c>
      <c r="J1014" t="s">
        <v>2002</v>
      </c>
      <c r="K1014" t="s">
        <v>2002</v>
      </c>
      <c r="N1014" t="s">
        <v>2416</v>
      </c>
      <c r="O1014" t="s">
        <v>2438</v>
      </c>
      <c r="Q1014" t="s">
        <v>2002</v>
      </c>
      <c r="S1014" t="s">
        <v>76</v>
      </c>
      <c r="T1014">
        <v>1229.5</v>
      </c>
      <c r="U1014" t="s">
        <v>2509</v>
      </c>
      <c r="W1014" t="s">
        <v>2728</v>
      </c>
      <c r="Y1014" t="s">
        <v>3481</v>
      </c>
      <c r="Z1014">
        <v>19</v>
      </c>
      <c r="AA1014" t="s">
        <v>3783</v>
      </c>
      <c r="AB1014" t="s">
        <v>3793</v>
      </c>
      <c r="AC1014">
        <v>25</v>
      </c>
      <c r="AD1014">
        <v>1</v>
      </c>
      <c r="AE1014">
        <v>0</v>
      </c>
      <c r="AF1014">
        <v>57.65</v>
      </c>
      <c r="AI1014" t="s">
        <v>3809</v>
      </c>
      <c r="AJ1014">
        <v>7200</v>
      </c>
      <c r="AP1014">
        <v>0</v>
      </c>
      <c r="AR1014" t="s">
        <v>49</v>
      </c>
      <c r="AS1014" t="s">
        <v>4211</v>
      </c>
      <c r="AT1014" t="s">
        <v>4219</v>
      </c>
    </row>
    <row r="1015" spans="1:46">
      <c r="A1015" s="1">
        <f>HYPERLINK("https://lsnyc.legalserver.org/matter/dynamic-profile/view/1895329","19-1895329")</f>
        <v>0</v>
      </c>
      <c r="B1015" t="s">
        <v>71</v>
      </c>
      <c r="C1015" t="s">
        <v>76</v>
      </c>
      <c r="E1015" t="s">
        <v>343</v>
      </c>
      <c r="F1015" t="s">
        <v>1028</v>
      </c>
      <c r="G1015" t="s">
        <v>1486</v>
      </c>
      <c r="H1015" t="s">
        <v>1808</v>
      </c>
      <c r="I1015">
        <v>11213</v>
      </c>
      <c r="J1015" t="s">
        <v>2002</v>
      </c>
      <c r="K1015" t="s">
        <v>2002</v>
      </c>
      <c r="M1015" t="s">
        <v>2006</v>
      </c>
      <c r="N1015" t="s">
        <v>2416</v>
      </c>
      <c r="O1015" t="s">
        <v>2438</v>
      </c>
      <c r="Q1015" t="s">
        <v>2002</v>
      </c>
      <c r="S1015" t="s">
        <v>76</v>
      </c>
      <c r="T1015">
        <v>1268</v>
      </c>
      <c r="U1015" t="s">
        <v>2509</v>
      </c>
      <c r="W1015" t="s">
        <v>2729</v>
      </c>
      <c r="Y1015" t="s">
        <v>3482</v>
      </c>
      <c r="Z1015">
        <v>19</v>
      </c>
      <c r="AA1015" t="s">
        <v>3783</v>
      </c>
      <c r="AB1015" t="s">
        <v>3799</v>
      </c>
      <c r="AC1015">
        <v>2</v>
      </c>
      <c r="AD1015">
        <v>2</v>
      </c>
      <c r="AE1015">
        <v>0</v>
      </c>
      <c r="AF1015">
        <v>96.97</v>
      </c>
      <c r="AI1015" t="s">
        <v>3809</v>
      </c>
      <c r="AJ1015">
        <v>16398</v>
      </c>
      <c r="AP1015">
        <v>1.75</v>
      </c>
      <c r="AQ1015" t="s">
        <v>172</v>
      </c>
      <c r="AR1015" t="s">
        <v>49</v>
      </c>
      <c r="AS1015" t="s">
        <v>4211</v>
      </c>
      <c r="AT1015" t="s">
        <v>4219</v>
      </c>
    </row>
    <row r="1016" spans="1:46">
      <c r="A1016" s="1">
        <f>HYPERLINK("https://lsnyc.legalserver.org/matter/dynamic-profile/view/1895303","19-1895303")</f>
        <v>0</v>
      </c>
      <c r="B1016" t="s">
        <v>71</v>
      </c>
      <c r="C1016" t="s">
        <v>76</v>
      </c>
      <c r="E1016" t="s">
        <v>514</v>
      </c>
      <c r="F1016" t="s">
        <v>1026</v>
      </c>
      <c r="G1016" t="s">
        <v>1486</v>
      </c>
      <c r="H1016" t="s">
        <v>1772</v>
      </c>
      <c r="I1016">
        <v>11213</v>
      </c>
      <c r="J1016" t="s">
        <v>2002</v>
      </c>
      <c r="K1016" t="s">
        <v>2002</v>
      </c>
      <c r="M1016" t="s">
        <v>2298</v>
      </c>
      <c r="N1016" t="s">
        <v>2416</v>
      </c>
      <c r="O1016" t="s">
        <v>2438</v>
      </c>
      <c r="Q1016" t="s">
        <v>2002</v>
      </c>
      <c r="S1016" t="s">
        <v>76</v>
      </c>
      <c r="T1016">
        <v>1507.16</v>
      </c>
      <c r="U1016" t="s">
        <v>2509</v>
      </c>
      <c r="W1016" t="s">
        <v>2726</v>
      </c>
      <c r="Y1016" t="s">
        <v>3479</v>
      </c>
      <c r="Z1016">
        <v>19</v>
      </c>
      <c r="AA1016" t="s">
        <v>3783</v>
      </c>
      <c r="AB1016" t="s">
        <v>3793</v>
      </c>
      <c r="AC1016">
        <v>22</v>
      </c>
      <c r="AD1016">
        <v>4</v>
      </c>
      <c r="AE1016">
        <v>0</v>
      </c>
      <c r="AF1016">
        <v>186.06</v>
      </c>
      <c r="AI1016" t="s">
        <v>3809</v>
      </c>
      <c r="AJ1016">
        <v>47909.8</v>
      </c>
      <c r="AP1016">
        <v>48.3</v>
      </c>
      <c r="AQ1016" t="s">
        <v>4180</v>
      </c>
      <c r="AR1016" t="s">
        <v>49</v>
      </c>
      <c r="AS1016" t="s">
        <v>4211</v>
      </c>
      <c r="AT1016" t="s">
        <v>4219</v>
      </c>
    </row>
    <row r="1017" spans="1:46">
      <c r="A1017" s="1">
        <f>HYPERLINK("https://lsnyc.legalserver.org/matter/dynamic-profile/view/1895319","19-1895319")</f>
        <v>0</v>
      </c>
      <c r="B1017" t="s">
        <v>71</v>
      </c>
      <c r="C1017" t="s">
        <v>76</v>
      </c>
      <c r="E1017" t="s">
        <v>510</v>
      </c>
      <c r="F1017" t="s">
        <v>1023</v>
      </c>
      <c r="G1017" t="s">
        <v>1486</v>
      </c>
      <c r="H1017" t="s">
        <v>1819</v>
      </c>
      <c r="I1017">
        <v>11213</v>
      </c>
      <c r="J1017" t="s">
        <v>2002</v>
      </c>
      <c r="K1017" t="s">
        <v>2002</v>
      </c>
      <c r="N1017" t="s">
        <v>2416</v>
      </c>
      <c r="O1017" t="s">
        <v>2438</v>
      </c>
      <c r="Q1017" t="s">
        <v>2002</v>
      </c>
      <c r="S1017" t="s">
        <v>76</v>
      </c>
      <c r="T1017">
        <v>693</v>
      </c>
      <c r="U1017" t="s">
        <v>2509</v>
      </c>
      <c r="W1017" t="s">
        <v>2722</v>
      </c>
      <c r="Y1017" t="s">
        <v>3475</v>
      </c>
      <c r="Z1017">
        <v>19</v>
      </c>
      <c r="AA1017" t="s">
        <v>3783</v>
      </c>
      <c r="AB1017" t="s">
        <v>2006</v>
      </c>
      <c r="AC1017">
        <v>20</v>
      </c>
      <c r="AD1017">
        <v>2</v>
      </c>
      <c r="AE1017">
        <v>1</v>
      </c>
      <c r="AF1017">
        <v>234.41</v>
      </c>
      <c r="AI1017" t="s">
        <v>3809</v>
      </c>
      <c r="AJ1017">
        <v>50000</v>
      </c>
      <c r="AP1017">
        <v>1.8</v>
      </c>
      <c r="AQ1017" t="s">
        <v>303</v>
      </c>
      <c r="AR1017" t="s">
        <v>49</v>
      </c>
      <c r="AS1017" t="s">
        <v>4211</v>
      </c>
      <c r="AT1017" t="s">
        <v>4219</v>
      </c>
    </row>
    <row r="1018" spans="1:46">
      <c r="A1018" s="1">
        <f>HYPERLINK("https://lsnyc.legalserver.org/matter/dynamic-profile/view/1896960","19-1896960")</f>
        <v>0</v>
      </c>
      <c r="B1018" t="s">
        <v>71</v>
      </c>
      <c r="C1018" t="s">
        <v>306</v>
      </c>
      <c r="D1018" t="s">
        <v>263</v>
      </c>
      <c r="E1018" t="s">
        <v>847</v>
      </c>
      <c r="F1018" t="s">
        <v>1352</v>
      </c>
      <c r="G1018" t="s">
        <v>1733</v>
      </c>
      <c r="I1018">
        <v>11208</v>
      </c>
      <c r="J1018" t="s">
        <v>2003</v>
      </c>
      <c r="K1018" t="s">
        <v>2003</v>
      </c>
      <c r="M1018" t="s">
        <v>2132</v>
      </c>
      <c r="N1018" t="s">
        <v>2027</v>
      </c>
      <c r="O1018" t="s">
        <v>2439</v>
      </c>
      <c r="P1018" t="s">
        <v>2444</v>
      </c>
      <c r="Q1018" t="s">
        <v>2003</v>
      </c>
      <c r="R1018" t="s">
        <v>2451</v>
      </c>
      <c r="S1018" t="s">
        <v>306</v>
      </c>
      <c r="T1018">
        <v>700</v>
      </c>
      <c r="U1018" t="s">
        <v>2497</v>
      </c>
      <c r="V1018" t="s">
        <v>2515</v>
      </c>
      <c r="W1018" t="s">
        <v>3158</v>
      </c>
      <c r="Y1018" t="s">
        <v>3781</v>
      </c>
      <c r="Z1018">
        <v>4</v>
      </c>
      <c r="AA1018" t="s">
        <v>3784</v>
      </c>
      <c r="AB1018" t="s">
        <v>2006</v>
      </c>
      <c r="AC1018">
        <v>1</v>
      </c>
      <c r="AD1018">
        <v>1</v>
      </c>
      <c r="AE1018">
        <v>0</v>
      </c>
      <c r="AF1018">
        <v>114.43</v>
      </c>
      <c r="AI1018" t="s">
        <v>3809</v>
      </c>
      <c r="AJ1018">
        <v>14292</v>
      </c>
      <c r="AP1018">
        <v>0.6</v>
      </c>
      <c r="AQ1018" t="s">
        <v>306</v>
      </c>
      <c r="AR1018" t="s">
        <v>71</v>
      </c>
      <c r="AS1018" t="s">
        <v>4210</v>
      </c>
      <c r="AT1018" t="s">
        <v>4219</v>
      </c>
    </row>
    <row r="1019" spans="1:46">
      <c r="A1019" s="1">
        <f>HYPERLINK("https://lsnyc.legalserver.org/matter/dynamic-profile/view/1900651","19-1900651")</f>
        <v>0</v>
      </c>
      <c r="B1019" t="s">
        <v>71</v>
      </c>
      <c r="C1019" t="s">
        <v>226</v>
      </c>
      <c r="E1019" t="s">
        <v>509</v>
      </c>
      <c r="F1019" t="s">
        <v>1010</v>
      </c>
      <c r="G1019" t="s">
        <v>1486</v>
      </c>
      <c r="H1019" t="s">
        <v>1764</v>
      </c>
      <c r="I1019">
        <v>11213</v>
      </c>
      <c r="J1019" t="s">
        <v>2002</v>
      </c>
      <c r="K1019" t="s">
        <v>2004</v>
      </c>
      <c r="L1019" t="s">
        <v>2005</v>
      </c>
      <c r="M1019" t="s">
        <v>2411</v>
      </c>
      <c r="N1019" t="s">
        <v>2415</v>
      </c>
      <c r="O1019" t="s">
        <v>2437</v>
      </c>
      <c r="Q1019" t="s">
        <v>2002</v>
      </c>
      <c r="R1019" t="s">
        <v>2451</v>
      </c>
      <c r="S1019" t="s">
        <v>170</v>
      </c>
      <c r="T1019">
        <v>951</v>
      </c>
      <c r="U1019" t="s">
        <v>2509</v>
      </c>
      <c r="W1019" t="s">
        <v>2721</v>
      </c>
      <c r="Y1019" t="s">
        <v>3474</v>
      </c>
      <c r="Z1019">
        <v>19</v>
      </c>
      <c r="AA1019" t="s">
        <v>3783</v>
      </c>
      <c r="AB1019" t="s">
        <v>3797</v>
      </c>
      <c r="AC1019">
        <v>16</v>
      </c>
      <c r="AD1019">
        <v>3</v>
      </c>
      <c r="AE1019">
        <v>3</v>
      </c>
      <c r="AF1019">
        <v>52.62</v>
      </c>
      <c r="AI1019" t="s">
        <v>3809</v>
      </c>
      <c r="AJ1019">
        <v>18200</v>
      </c>
      <c r="AK1019" t="s">
        <v>3884</v>
      </c>
      <c r="AP1019">
        <v>8.5</v>
      </c>
      <c r="AQ1019" t="s">
        <v>309</v>
      </c>
      <c r="AR1019" t="s">
        <v>4185</v>
      </c>
      <c r="AS1019" t="s">
        <v>4210</v>
      </c>
      <c r="AT1019" t="s">
        <v>4219</v>
      </c>
    </row>
    <row r="1020" spans="1:46">
      <c r="A1020" s="1">
        <f>HYPERLINK("https://lsnyc.legalserver.org/matter/dynamic-profile/view/1900959","19-1900959")</f>
        <v>0</v>
      </c>
      <c r="B1020" t="s">
        <v>71</v>
      </c>
      <c r="C1020" t="s">
        <v>278</v>
      </c>
      <c r="E1020" t="s">
        <v>848</v>
      </c>
      <c r="F1020" t="s">
        <v>1046</v>
      </c>
      <c r="G1020" t="s">
        <v>1486</v>
      </c>
      <c r="H1020" t="s">
        <v>1751</v>
      </c>
      <c r="I1020">
        <v>11213</v>
      </c>
      <c r="J1020" t="s">
        <v>2002</v>
      </c>
      <c r="K1020" t="s">
        <v>2004</v>
      </c>
      <c r="L1020" t="s">
        <v>2005</v>
      </c>
      <c r="N1020" t="s">
        <v>2416</v>
      </c>
      <c r="O1020" t="s">
        <v>2438</v>
      </c>
      <c r="Q1020" t="s">
        <v>2002</v>
      </c>
      <c r="S1020" t="s">
        <v>170</v>
      </c>
      <c r="T1020">
        <v>560</v>
      </c>
      <c r="W1020" t="s">
        <v>3159</v>
      </c>
      <c r="Y1020" t="s">
        <v>3782</v>
      </c>
      <c r="Z1020">
        <v>19</v>
      </c>
      <c r="AA1020" t="s">
        <v>3783</v>
      </c>
      <c r="AB1020" t="s">
        <v>2006</v>
      </c>
      <c r="AC1020">
        <v>18</v>
      </c>
      <c r="AD1020">
        <v>2</v>
      </c>
      <c r="AE1020">
        <v>1</v>
      </c>
      <c r="AF1020">
        <v>118.97</v>
      </c>
      <c r="AI1020" t="s">
        <v>3809</v>
      </c>
      <c r="AJ1020">
        <v>25376</v>
      </c>
      <c r="AK1020" t="s">
        <v>4099</v>
      </c>
      <c r="AP1020">
        <v>0</v>
      </c>
      <c r="AR1020" t="s">
        <v>4185</v>
      </c>
      <c r="AS1020" t="s">
        <v>4211</v>
      </c>
      <c r="AT1020" t="s">
        <v>4219</v>
      </c>
    </row>
    <row r="1021" spans="1:46">
      <c r="A1021" s="1">
        <f>HYPERLINK("https://lsnyc.legalserver.org/matter/dynamic-profile/view/1900641","19-1900641")</f>
        <v>0</v>
      </c>
      <c r="B1021" t="s">
        <v>71</v>
      </c>
      <c r="C1021" t="s">
        <v>226</v>
      </c>
      <c r="E1021" t="s">
        <v>514</v>
      </c>
      <c r="F1021" t="s">
        <v>1026</v>
      </c>
      <c r="G1021" t="s">
        <v>1486</v>
      </c>
      <c r="H1021" t="s">
        <v>1772</v>
      </c>
      <c r="I1021">
        <v>11213</v>
      </c>
      <c r="J1021" t="s">
        <v>2002</v>
      </c>
      <c r="K1021" t="s">
        <v>2004</v>
      </c>
      <c r="L1021" t="s">
        <v>2006</v>
      </c>
      <c r="M1021" t="s">
        <v>2411</v>
      </c>
      <c r="N1021" t="s">
        <v>2415</v>
      </c>
      <c r="O1021" t="s">
        <v>2437</v>
      </c>
      <c r="Q1021" t="s">
        <v>2002</v>
      </c>
      <c r="R1021" t="s">
        <v>2451</v>
      </c>
      <c r="S1021" t="s">
        <v>170</v>
      </c>
      <c r="T1021">
        <v>1507.16</v>
      </c>
      <c r="U1021" t="s">
        <v>2509</v>
      </c>
      <c r="W1021" t="s">
        <v>2726</v>
      </c>
      <c r="X1021" t="s">
        <v>3208</v>
      </c>
      <c r="Y1021" t="s">
        <v>3479</v>
      </c>
      <c r="Z1021">
        <v>19</v>
      </c>
      <c r="AA1021" t="s">
        <v>3783</v>
      </c>
      <c r="AB1021" t="s">
        <v>3793</v>
      </c>
      <c r="AC1021">
        <v>22</v>
      </c>
      <c r="AD1021">
        <v>4</v>
      </c>
      <c r="AE1021">
        <v>0</v>
      </c>
      <c r="AF1021">
        <v>186.06</v>
      </c>
      <c r="AI1021" t="s">
        <v>3809</v>
      </c>
      <c r="AJ1021">
        <v>47909.8</v>
      </c>
      <c r="AK1021" t="s">
        <v>4100</v>
      </c>
      <c r="AP1021">
        <v>5.45</v>
      </c>
      <c r="AQ1021" t="s">
        <v>4180</v>
      </c>
      <c r="AR1021" t="s">
        <v>4185</v>
      </c>
      <c r="AS1021" t="s">
        <v>4210</v>
      </c>
      <c r="AT1021" t="s">
        <v>4219</v>
      </c>
    </row>
    <row r="1022" spans="1:46">
      <c r="A1022" s="1">
        <f>HYPERLINK("https://lsnyc.legalserver.org/matter/dynamic-profile/view/1900658","19-1900658")</f>
        <v>0</v>
      </c>
      <c r="B1022" t="s">
        <v>71</v>
      </c>
      <c r="C1022" t="s">
        <v>226</v>
      </c>
      <c r="E1022" t="s">
        <v>510</v>
      </c>
      <c r="F1022" t="s">
        <v>1023</v>
      </c>
      <c r="G1022" t="s">
        <v>1486</v>
      </c>
      <c r="H1022" t="s">
        <v>1819</v>
      </c>
      <c r="I1022">
        <v>11213</v>
      </c>
      <c r="J1022" t="s">
        <v>2002</v>
      </c>
      <c r="K1022" t="s">
        <v>2004</v>
      </c>
      <c r="L1022" t="s">
        <v>2005</v>
      </c>
      <c r="M1022" t="s">
        <v>2411</v>
      </c>
      <c r="N1022" t="s">
        <v>2415</v>
      </c>
      <c r="O1022" t="s">
        <v>2437</v>
      </c>
      <c r="R1022" t="s">
        <v>2451</v>
      </c>
      <c r="S1022" t="s">
        <v>170</v>
      </c>
      <c r="T1022">
        <v>693</v>
      </c>
      <c r="U1022" t="s">
        <v>2509</v>
      </c>
      <c r="W1022" t="s">
        <v>2722</v>
      </c>
      <c r="Y1022" t="s">
        <v>3475</v>
      </c>
      <c r="Z1022">
        <v>19</v>
      </c>
      <c r="AA1022" t="s">
        <v>3783</v>
      </c>
      <c r="AB1022" t="s">
        <v>2006</v>
      </c>
      <c r="AC1022">
        <v>20</v>
      </c>
      <c r="AD1022">
        <v>2</v>
      </c>
      <c r="AE1022">
        <v>1</v>
      </c>
      <c r="AF1022">
        <v>234.41</v>
      </c>
      <c r="AG1022" t="s">
        <v>314</v>
      </c>
      <c r="AH1022" t="s">
        <v>3806</v>
      </c>
      <c r="AI1022" t="s">
        <v>3809</v>
      </c>
      <c r="AJ1022">
        <v>50000</v>
      </c>
      <c r="AK1022" t="s">
        <v>4101</v>
      </c>
      <c r="AP1022">
        <v>8.550000000000001</v>
      </c>
      <c r="AQ1022" t="s">
        <v>4168</v>
      </c>
      <c r="AR1022" t="s">
        <v>4185</v>
      </c>
      <c r="AS1022" t="s">
        <v>4210</v>
      </c>
      <c r="AT1022" t="s">
        <v>4219</v>
      </c>
    </row>
    <row r="1023" spans="1:46">
      <c r="A1023" s="1">
        <f>HYPERLINK("https://lsnyc.legalserver.org/matter/dynamic-profile/view/1899074","19-1899074")</f>
        <v>0</v>
      </c>
      <c r="B1023" t="s">
        <v>71</v>
      </c>
      <c r="C1023" t="s">
        <v>307</v>
      </c>
      <c r="E1023" t="s">
        <v>848</v>
      </c>
      <c r="F1023" t="s">
        <v>1046</v>
      </c>
      <c r="G1023" t="s">
        <v>1486</v>
      </c>
      <c r="H1023" t="s">
        <v>1751</v>
      </c>
      <c r="I1023">
        <v>11213</v>
      </c>
      <c r="J1023" t="s">
        <v>2002</v>
      </c>
      <c r="K1023" t="s">
        <v>2004</v>
      </c>
      <c r="L1023" t="s">
        <v>2005</v>
      </c>
      <c r="M1023" t="s">
        <v>2412</v>
      </c>
      <c r="N1023" t="s">
        <v>2415</v>
      </c>
      <c r="O1023" t="s">
        <v>2437</v>
      </c>
      <c r="Q1023" t="s">
        <v>2003</v>
      </c>
      <c r="S1023" t="s">
        <v>150</v>
      </c>
      <c r="T1023">
        <v>560</v>
      </c>
      <c r="W1023" t="s">
        <v>3159</v>
      </c>
      <c r="Y1023" t="s">
        <v>3782</v>
      </c>
      <c r="Z1023">
        <v>19</v>
      </c>
      <c r="AA1023" t="s">
        <v>3783</v>
      </c>
      <c r="AB1023" t="s">
        <v>2006</v>
      </c>
      <c r="AC1023">
        <v>18</v>
      </c>
      <c r="AD1023">
        <v>2</v>
      </c>
      <c r="AE1023">
        <v>1</v>
      </c>
      <c r="AF1023">
        <v>118.97</v>
      </c>
      <c r="AI1023" t="s">
        <v>3809</v>
      </c>
      <c r="AJ1023">
        <v>25376</v>
      </c>
      <c r="AP1023">
        <v>3.95</v>
      </c>
      <c r="AQ1023" t="s">
        <v>4167</v>
      </c>
      <c r="AR1023" t="s">
        <v>49</v>
      </c>
      <c r="AS1023" t="s">
        <v>4210</v>
      </c>
      <c r="AT1023" t="s">
        <v>4219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298"/>
  <sheetViews>
    <sheetView workbookViewId="0"/>
  </sheetViews>
  <sheetFormatPr defaultRowHeight="15"/>
  <cols>
    <col min="1" max="1" width="20.7109375" style="1" customWidth="1"/>
  </cols>
  <sheetData>
    <row r="1" spans="1:4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spans="1:46">
      <c r="A2" s="1">
        <f>HYPERLINK("https://lsnyc.legalserver.org/matter/dynamic-profile/view/1902656","19-1902656")</f>
        <v>0</v>
      </c>
      <c r="B2" t="s">
        <v>46</v>
      </c>
      <c r="C2" t="s">
        <v>312</v>
      </c>
      <c r="E2" t="s">
        <v>4253</v>
      </c>
      <c r="F2" t="s">
        <v>4403</v>
      </c>
      <c r="G2" t="s">
        <v>4545</v>
      </c>
      <c r="H2" t="s">
        <v>1754</v>
      </c>
      <c r="I2">
        <v>11233</v>
      </c>
      <c r="J2" t="s">
        <v>2002</v>
      </c>
      <c r="K2" t="s">
        <v>2004</v>
      </c>
      <c r="L2" t="s">
        <v>2005</v>
      </c>
      <c r="M2" t="s">
        <v>2006</v>
      </c>
      <c r="N2" t="s">
        <v>2027</v>
      </c>
      <c r="Q2" t="s">
        <v>2003</v>
      </c>
      <c r="R2" t="s">
        <v>2451</v>
      </c>
      <c r="T2">
        <v>333</v>
      </c>
      <c r="U2" t="s">
        <v>2505</v>
      </c>
      <c r="W2" t="s">
        <v>4886</v>
      </c>
      <c r="X2" t="s">
        <v>3163</v>
      </c>
      <c r="Y2" t="s">
        <v>5146</v>
      </c>
      <c r="Z2">
        <v>6</v>
      </c>
      <c r="AA2" t="s">
        <v>3784</v>
      </c>
      <c r="AB2" t="s">
        <v>3793</v>
      </c>
      <c r="AC2">
        <v>10</v>
      </c>
      <c r="AD2">
        <v>1</v>
      </c>
      <c r="AE2">
        <v>0</v>
      </c>
      <c r="AF2">
        <v>0</v>
      </c>
      <c r="AI2" t="s">
        <v>3809</v>
      </c>
      <c r="AJ2">
        <v>0</v>
      </c>
      <c r="AP2">
        <v>5</v>
      </c>
      <c r="AQ2" t="s">
        <v>327</v>
      </c>
      <c r="AR2" t="s">
        <v>4185</v>
      </c>
      <c r="AS2" t="s">
        <v>4210</v>
      </c>
      <c r="AT2" t="s">
        <v>4219</v>
      </c>
    </row>
    <row r="3" spans="1:46">
      <c r="A3" s="1">
        <f>HYPERLINK("https://lsnyc.legalserver.org/matter/dynamic-profile/view/1894931","19-1894931")</f>
        <v>0</v>
      </c>
      <c r="B3" t="s">
        <v>46</v>
      </c>
      <c r="C3" t="s">
        <v>247</v>
      </c>
      <c r="E3" t="s">
        <v>4254</v>
      </c>
      <c r="F3" t="s">
        <v>4404</v>
      </c>
      <c r="G3" t="s">
        <v>4546</v>
      </c>
      <c r="H3" t="s">
        <v>4737</v>
      </c>
      <c r="I3">
        <v>11233</v>
      </c>
      <c r="J3" t="s">
        <v>2003</v>
      </c>
      <c r="K3" t="s">
        <v>2003</v>
      </c>
      <c r="M3" t="s">
        <v>4786</v>
      </c>
      <c r="N3" t="s">
        <v>2413</v>
      </c>
      <c r="O3" t="s">
        <v>2442</v>
      </c>
      <c r="Q3" t="s">
        <v>2003</v>
      </c>
      <c r="R3" t="s">
        <v>2454</v>
      </c>
      <c r="T3">
        <v>700</v>
      </c>
      <c r="U3" t="s">
        <v>2501</v>
      </c>
      <c r="W3" t="s">
        <v>4887</v>
      </c>
      <c r="X3" t="s">
        <v>3208</v>
      </c>
      <c r="Z3">
        <v>3</v>
      </c>
      <c r="AA3" t="s">
        <v>2156</v>
      </c>
      <c r="AB3" t="s">
        <v>2006</v>
      </c>
      <c r="AC3">
        <v>17</v>
      </c>
      <c r="AD3">
        <v>2</v>
      </c>
      <c r="AE3">
        <v>0</v>
      </c>
      <c r="AF3">
        <v>55.21</v>
      </c>
      <c r="AI3" t="s">
        <v>3809</v>
      </c>
      <c r="AJ3">
        <v>9336</v>
      </c>
      <c r="AP3">
        <v>0</v>
      </c>
      <c r="AR3" t="s">
        <v>4185</v>
      </c>
      <c r="AS3" t="s">
        <v>4210</v>
      </c>
      <c r="AT3" t="s">
        <v>4219</v>
      </c>
    </row>
    <row r="4" spans="1:46">
      <c r="A4" s="1">
        <f>HYPERLINK("https://lsnyc.legalserver.org/matter/dynamic-profile/view/1895591","19-1895591")</f>
        <v>0</v>
      </c>
      <c r="B4" t="s">
        <v>46</v>
      </c>
      <c r="C4" t="s">
        <v>290</v>
      </c>
      <c r="E4" t="s">
        <v>658</v>
      </c>
      <c r="F4" t="s">
        <v>4405</v>
      </c>
      <c r="G4" t="s">
        <v>4547</v>
      </c>
      <c r="H4" t="s">
        <v>1828</v>
      </c>
      <c r="I4">
        <v>11207</v>
      </c>
      <c r="J4" t="s">
        <v>2003</v>
      </c>
      <c r="K4" t="s">
        <v>2003</v>
      </c>
      <c r="M4" t="s">
        <v>4787</v>
      </c>
      <c r="N4" t="s">
        <v>2413</v>
      </c>
      <c r="O4" t="s">
        <v>2442</v>
      </c>
      <c r="R4" t="s">
        <v>2451</v>
      </c>
      <c r="T4">
        <v>1000</v>
      </c>
      <c r="W4" t="s">
        <v>4888</v>
      </c>
      <c r="Y4" t="s">
        <v>5147</v>
      </c>
      <c r="Z4">
        <v>2</v>
      </c>
      <c r="AA4" t="s">
        <v>2156</v>
      </c>
      <c r="AB4" t="s">
        <v>2006</v>
      </c>
      <c r="AC4">
        <v>4</v>
      </c>
      <c r="AD4">
        <v>1</v>
      </c>
      <c r="AE4">
        <v>0</v>
      </c>
      <c r="AF4">
        <v>145.72</v>
      </c>
      <c r="AI4" t="s">
        <v>3809</v>
      </c>
      <c r="AJ4">
        <v>18200</v>
      </c>
      <c r="AP4">
        <v>1</v>
      </c>
      <c r="AQ4" t="s">
        <v>290</v>
      </c>
      <c r="AR4" t="s">
        <v>4192</v>
      </c>
      <c r="AS4" t="s">
        <v>4210</v>
      </c>
      <c r="AT4" t="s">
        <v>4219</v>
      </c>
    </row>
    <row r="5" spans="1:46">
      <c r="A5" s="1">
        <f>HYPERLINK("https://lsnyc.legalserver.org/matter/dynamic-profile/view/1862128","18-1862128")</f>
        <v>0</v>
      </c>
      <c r="B5" t="s">
        <v>46</v>
      </c>
      <c r="C5" t="s">
        <v>4222</v>
      </c>
      <c r="D5" t="s">
        <v>263</v>
      </c>
      <c r="E5" t="s">
        <v>4255</v>
      </c>
      <c r="F5" t="s">
        <v>4406</v>
      </c>
      <c r="G5" t="s">
        <v>4548</v>
      </c>
      <c r="H5" t="s">
        <v>1791</v>
      </c>
      <c r="I5">
        <v>11233</v>
      </c>
      <c r="J5" t="s">
        <v>2003</v>
      </c>
      <c r="K5" t="s">
        <v>2003</v>
      </c>
      <c r="M5" t="s">
        <v>4788</v>
      </c>
      <c r="N5" t="s">
        <v>2413</v>
      </c>
      <c r="O5" t="s">
        <v>2437</v>
      </c>
      <c r="P5" t="s">
        <v>2446</v>
      </c>
      <c r="Q5" t="s">
        <v>2003</v>
      </c>
      <c r="R5" t="s">
        <v>2451</v>
      </c>
      <c r="T5">
        <v>1645</v>
      </c>
      <c r="U5" t="s">
        <v>2502</v>
      </c>
      <c r="V5" t="s">
        <v>2519</v>
      </c>
      <c r="W5" t="s">
        <v>4889</v>
      </c>
      <c r="Y5" t="s">
        <v>5148</v>
      </c>
      <c r="Z5">
        <v>25</v>
      </c>
      <c r="AA5" t="s">
        <v>3783</v>
      </c>
      <c r="AB5" t="s">
        <v>3793</v>
      </c>
      <c r="AC5">
        <v>4</v>
      </c>
      <c r="AD5">
        <v>1</v>
      </c>
      <c r="AE5">
        <v>1</v>
      </c>
      <c r="AF5">
        <v>211.25</v>
      </c>
      <c r="AI5" t="s">
        <v>3809</v>
      </c>
      <c r="AJ5">
        <v>34772</v>
      </c>
      <c r="AP5">
        <v>21.25</v>
      </c>
      <c r="AQ5" t="s">
        <v>143</v>
      </c>
      <c r="AR5" t="s">
        <v>4193</v>
      </c>
      <c r="AS5" t="s">
        <v>4210</v>
      </c>
      <c r="AT5" t="s">
        <v>4219</v>
      </c>
    </row>
    <row r="6" spans="1:46">
      <c r="A6" s="1">
        <f>HYPERLINK("https://lsnyc.legalserver.org/matter/dynamic-profile/view/1852796","17-1852796")</f>
        <v>0</v>
      </c>
      <c r="B6" t="s">
        <v>47</v>
      </c>
      <c r="C6" t="s">
        <v>4178</v>
      </c>
      <c r="D6" t="s">
        <v>113</v>
      </c>
      <c r="E6" t="s">
        <v>4256</v>
      </c>
      <c r="F6" t="s">
        <v>4407</v>
      </c>
      <c r="G6" t="s">
        <v>4549</v>
      </c>
      <c r="H6" t="s">
        <v>1772</v>
      </c>
      <c r="I6">
        <v>11208</v>
      </c>
      <c r="J6" t="s">
        <v>2002</v>
      </c>
      <c r="K6" t="s">
        <v>2002</v>
      </c>
      <c r="O6" t="s">
        <v>2439</v>
      </c>
      <c r="P6" t="s">
        <v>2444</v>
      </c>
      <c r="T6">
        <v>0</v>
      </c>
      <c r="V6" t="s">
        <v>4882</v>
      </c>
      <c r="W6" t="s">
        <v>4890</v>
      </c>
      <c r="Y6" t="s">
        <v>5149</v>
      </c>
      <c r="Z6">
        <v>0</v>
      </c>
      <c r="AC6">
        <v>0</v>
      </c>
      <c r="AD6">
        <v>2</v>
      </c>
      <c r="AE6">
        <v>0</v>
      </c>
      <c r="AF6">
        <v>0</v>
      </c>
      <c r="AI6" t="s">
        <v>3809</v>
      </c>
      <c r="AJ6">
        <v>0</v>
      </c>
      <c r="AP6">
        <v>0.3</v>
      </c>
      <c r="AQ6" t="s">
        <v>4178</v>
      </c>
      <c r="AR6" t="s">
        <v>4186</v>
      </c>
      <c r="AS6" t="s">
        <v>4214</v>
      </c>
      <c r="AT6" t="s">
        <v>4219</v>
      </c>
    </row>
    <row r="7" spans="1:46">
      <c r="A7" s="1">
        <f>HYPERLINK("https://lsnyc.legalserver.org/matter/dynamic-profile/view/1892934","19-1892934")</f>
        <v>0</v>
      </c>
      <c r="B7" t="s">
        <v>49</v>
      </c>
      <c r="C7" t="s">
        <v>83</v>
      </c>
      <c r="D7" t="s">
        <v>276</v>
      </c>
      <c r="E7" t="s">
        <v>4257</v>
      </c>
      <c r="F7" t="s">
        <v>942</v>
      </c>
      <c r="G7" t="s">
        <v>1444</v>
      </c>
      <c r="H7" t="s">
        <v>4738</v>
      </c>
      <c r="I7">
        <v>11208</v>
      </c>
      <c r="J7" t="s">
        <v>2004</v>
      </c>
      <c r="K7" t="s">
        <v>2004</v>
      </c>
      <c r="N7" t="s">
        <v>2415</v>
      </c>
      <c r="O7" t="s">
        <v>2439</v>
      </c>
      <c r="P7" t="s">
        <v>2444</v>
      </c>
      <c r="T7">
        <v>0</v>
      </c>
      <c r="V7" t="s">
        <v>2515</v>
      </c>
      <c r="W7" t="s">
        <v>4891</v>
      </c>
      <c r="Y7" t="s">
        <v>5150</v>
      </c>
      <c r="Z7">
        <v>0</v>
      </c>
      <c r="AC7">
        <v>15</v>
      </c>
      <c r="AD7">
        <v>1</v>
      </c>
      <c r="AE7">
        <v>1</v>
      </c>
      <c r="AF7">
        <v>0</v>
      </c>
      <c r="AI7" t="s">
        <v>3809</v>
      </c>
      <c r="AJ7">
        <v>0</v>
      </c>
      <c r="AP7">
        <v>1</v>
      </c>
      <c r="AQ7" t="s">
        <v>83</v>
      </c>
      <c r="AR7" t="s">
        <v>4192</v>
      </c>
      <c r="AS7" t="s">
        <v>4210</v>
      </c>
      <c r="AT7" t="s">
        <v>4219</v>
      </c>
    </row>
    <row r="8" spans="1:46">
      <c r="A8" s="1">
        <f>HYPERLINK("https://lsnyc.legalserver.org/matter/dynamic-profile/view/1888236","19-1888236")</f>
        <v>0</v>
      </c>
      <c r="B8" t="s">
        <v>49</v>
      </c>
      <c r="C8" t="s">
        <v>2489</v>
      </c>
      <c r="D8" t="s">
        <v>2489</v>
      </c>
      <c r="E8" t="s">
        <v>4258</v>
      </c>
      <c r="F8" t="s">
        <v>4408</v>
      </c>
      <c r="G8" t="s">
        <v>4550</v>
      </c>
      <c r="H8" t="s">
        <v>1752</v>
      </c>
      <c r="I8">
        <v>11208</v>
      </c>
      <c r="J8" t="s">
        <v>2003</v>
      </c>
      <c r="K8" t="s">
        <v>2003</v>
      </c>
      <c r="M8" t="s">
        <v>4789</v>
      </c>
      <c r="P8" t="s">
        <v>2444</v>
      </c>
      <c r="T8">
        <v>900</v>
      </c>
      <c r="U8" t="s">
        <v>2508</v>
      </c>
      <c r="V8" t="s">
        <v>2515</v>
      </c>
      <c r="W8" t="s">
        <v>4892</v>
      </c>
      <c r="Y8" t="s">
        <v>5151</v>
      </c>
      <c r="Z8">
        <v>3</v>
      </c>
      <c r="AC8">
        <v>9</v>
      </c>
      <c r="AD8">
        <v>1</v>
      </c>
      <c r="AE8">
        <v>0</v>
      </c>
      <c r="AF8">
        <v>0</v>
      </c>
      <c r="AI8" t="s">
        <v>3810</v>
      </c>
      <c r="AJ8">
        <v>0</v>
      </c>
      <c r="AP8">
        <v>1</v>
      </c>
      <c r="AQ8" t="s">
        <v>2489</v>
      </c>
      <c r="AR8" t="s">
        <v>4205</v>
      </c>
      <c r="AS8" t="s">
        <v>4210</v>
      </c>
      <c r="AT8" t="s">
        <v>4219</v>
      </c>
    </row>
    <row r="9" spans="1:46">
      <c r="A9" s="1">
        <f>HYPERLINK("https://lsnyc.legalserver.org/matter/dynamic-profile/view/1881581","18-1881581")</f>
        <v>0</v>
      </c>
      <c r="B9" t="s">
        <v>49</v>
      </c>
      <c r="C9" t="s">
        <v>94</v>
      </c>
      <c r="D9" t="s">
        <v>103</v>
      </c>
      <c r="E9" t="s">
        <v>410</v>
      </c>
      <c r="F9" t="s">
        <v>865</v>
      </c>
      <c r="G9" t="s">
        <v>4551</v>
      </c>
      <c r="H9" t="s">
        <v>1748</v>
      </c>
      <c r="I9">
        <v>11212</v>
      </c>
      <c r="J9" t="s">
        <v>2004</v>
      </c>
      <c r="K9" t="s">
        <v>2004</v>
      </c>
      <c r="N9" t="s">
        <v>2027</v>
      </c>
      <c r="O9" t="s">
        <v>2439</v>
      </c>
      <c r="P9" t="s">
        <v>2444</v>
      </c>
      <c r="Q9" t="s">
        <v>2003</v>
      </c>
      <c r="T9">
        <v>1700</v>
      </c>
      <c r="U9" t="s">
        <v>2508</v>
      </c>
      <c r="V9" t="s">
        <v>2515</v>
      </c>
      <c r="W9" t="s">
        <v>4893</v>
      </c>
      <c r="Y9" t="s">
        <v>5152</v>
      </c>
      <c r="Z9">
        <v>4</v>
      </c>
      <c r="AA9" t="s">
        <v>2156</v>
      </c>
      <c r="AB9" t="s">
        <v>3795</v>
      </c>
      <c r="AC9">
        <v>2</v>
      </c>
      <c r="AD9">
        <v>1</v>
      </c>
      <c r="AE9">
        <v>4</v>
      </c>
      <c r="AF9">
        <v>20.64</v>
      </c>
      <c r="AI9" t="s">
        <v>3810</v>
      </c>
      <c r="AJ9">
        <v>6072</v>
      </c>
      <c r="AP9">
        <v>0.75</v>
      </c>
      <c r="AQ9" t="s">
        <v>94</v>
      </c>
      <c r="AR9" t="s">
        <v>4195</v>
      </c>
      <c r="AS9" t="s">
        <v>4210</v>
      </c>
      <c r="AT9" t="s">
        <v>4219</v>
      </c>
    </row>
    <row r="10" spans="1:46">
      <c r="A10" s="1">
        <f>HYPERLINK("https://lsnyc.legalserver.org/matter/dynamic-profile/view/1898434","19-1898434")</f>
        <v>0</v>
      </c>
      <c r="B10" t="s">
        <v>49</v>
      </c>
      <c r="C10" t="s">
        <v>252</v>
      </c>
      <c r="D10" t="s">
        <v>4169</v>
      </c>
      <c r="E10" t="s">
        <v>699</v>
      </c>
      <c r="F10" t="s">
        <v>4409</v>
      </c>
      <c r="G10" t="s">
        <v>4552</v>
      </c>
      <c r="H10" t="s">
        <v>4739</v>
      </c>
      <c r="I10">
        <v>11212</v>
      </c>
      <c r="J10" t="s">
        <v>2004</v>
      </c>
      <c r="K10" t="s">
        <v>2004</v>
      </c>
      <c r="N10" t="s">
        <v>2027</v>
      </c>
      <c r="O10" t="s">
        <v>2439</v>
      </c>
      <c r="P10" t="s">
        <v>2444</v>
      </c>
      <c r="T10">
        <v>1098</v>
      </c>
      <c r="V10" t="s">
        <v>2515</v>
      </c>
      <c r="W10" t="s">
        <v>4894</v>
      </c>
      <c r="Y10" t="s">
        <v>5153</v>
      </c>
      <c r="Z10">
        <v>8</v>
      </c>
      <c r="AA10" t="s">
        <v>3783</v>
      </c>
      <c r="AB10" t="s">
        <v>3795</v>
      </c>
      <c r="AC10">
        <v>14</v>
      </c>
      <c r="AD10">
        <v>1</v>
      </c>
      <c r="AE10">
        <v>2</v>
      </c>
      <c r="AF10">
        <v>27.06</v>
      </c>
      <c r="AI10" t="s">
        <v>3809</v>
      </c>
      <c r="AJ10">
        <v>5772</v>
      </c>
      <c r="AP10">
        <v>1</v>
      </c>
      <c r="AQ10" t="s">
        <v>252</v>
      </c>
      <c r="AR10" t="s">
        <v>4192</v>
      </c>
      <c r="AS10" t="s">
        <v>4210</v>
      </c>
      <c r="AT10" t="s">
        <v>4219</v>
      </c>
    </row>
    <row r="11" spans="1:46">
      <c r="A11" s="1">
        <f>HYPERLINK("https://lsnyc.legalserver.org/matter/dynamic-profile/view/1902675","19-1902675")</f>
        <v>0</v>
      </c>
      <c r="B11" t="s">
        <v>49</v>
      </c>
      <c r="C11" t="s">
        <v>312</v>
      </c>
      <c r="D11" t="s">
        <v>4165</v>
      </c>
      <c r="E11" t="s">
        <v>517</v>
      </c>
      <c r="F11" t="s">
        <v>4410</v>
      </c>
      <c r="G11" t="s">
        <v>4553</v>
      </c>
      <c r="H11">
        <v>2</v>
      </c>
      <c r="I11">
        <v>11208</v>
      </c>
      <c r="J11" t="s">
        <v>2004</v>
      </c>
      <c r="K11" t="s">
        <v>2004</v>
      </c>
      <c r="M11" t="s">
        <v>2132</v>
      </c>
      <c r="N11" t="s">
        <v>2027</v>
      </c>
      <c r="O11" t="s">
        <v>2439</v>
      </c>
      <c r="P11" t="s">
        <v>2444</v>
      </c>
      <c r="Q11" t="s">
        <v>2003</v>
      </c>
      <c r="T11">
        <v>900</v>
      </c>
      <c r="U11" t="s">
        <v>2495</v>
      </c>
      <c r="V11" t="s">
        <v>2515</v>
      </c>
      <c r="W11" t="s">
        <v>4895</v>
      </c>
      <c r="Y11" t="s">
        <v>5154</v>
      </c>
      <c r="Z11">
        <v>0</v>
      </c>
      <c r="AA11" t="s">
        <v>3784</v>
      </c>
      <c r="AB11" t="s">
        <v>2006</v>
      </c>
      <c r="AC11">
        <v>3</v>
      </c>
      <c r="AD11">
        <v>1</v>
      </c>
      <c r="AE11">
        <v>2</v>
      </c>
      <c r="AF11">
        <v>33.76</v>
      </c>
      <c r="AI11" t="s">
        <v>3809</v>
      </c>
      <c r="AJ11">
        <v>7200</v>
      </c>
      <c r="AP11">
        <v>1</v>
      </c>
      <c r="AQ11" t="s">
        <v>312</v>
      </c>
      <c r="AR11" t="s">
        <v>4192</v>
      </c>
      <c r="AS11" t="s">
        <v>4210</v>
      </c>
      <c r="AT11" t="s">
        <v>4219</v>
      </c>
    </row>
    <row r="12" spans="1:46">
      <c r="A12" s="1">
        <f>HYPERLINK("https://lsnyc.legalserver.org/matter/dynamic-profile/view/1885733","18-1885733")</f>
        <v>0</v>
      </c>
      <c r="B12" t="s">
        <v>49</v>
      </c>
      <c r="C12" t="s">
        <v>99</v>
      </c>
      <c r="D12" t="s">
        <v>128</v>
      </c>
      <c r="E12" t="s">
        <v>620</v>
      </c>
      <c r="F12" t="s">
        <v>4411</v>
      </c>
      <c r="G12" t="s">
        <v>4554</v>
      </c>
      <c r="H12">
        <v>2</v>
      </c>
      <c r="I12">
        <v>11208</v>
      </c>
      <c r="J12" t="s">
        <v>2003</v>
      </c>
      <c r="K12" t="s">
        <v>2003</v>
      </c>
      <c r="M12" t="s">
        <v>4790</v>
      </c>
      <c r="N12" t="s">
        <v>2413</v>
      </c>
      <c r="P12" t="s">
        <v>2444</v>
      </c>
      <c r="Q12" t="s">
        <v>2003</v>
      </c>
      <c r="T12">
        <v>710</v>
      </c>
      <c r="U12" t="s">
        <v>2512</v>
      </c>
      <c r="V12" t="s">
        <v>2515</v>
      </c>
      <c r="W12" t="s">
        <v>4896</v>
      </c>
      <c r="Y12" t="s">
        <v>5155</v>
      </c>
      <c r="Z12">
        <v>2</v>
      </c>
      <c r="AA12" t="s">
        <v>2156</v>
      </c>
      <c r="AB12" t="s">
        <v>2006</v>
      </c>
      <c r="AC12">
        <v>25</v>
      </c>
      <c r="AD12">
        <v>1</v>
      </c>
      <c r="AE12">
        <v>0</v>
      </c>
      <c r="AF12">
        <v>59.31</v>
      </c>
      <c r="AI12" t="s">
        <v>3809</v>
      </c>
      <c r="AJ12">
        <v>7200</v>
      </c>
      <c r="AP12">
        <v>0.5</v>
      </c>
      <c r="AQ12" t="s">
        <v>99</v>
      </c>
      <c r="AR12" t="s">
        <v>4187</v>
      </c>
      <c r="AS12" t="s">
        <v>4210</v>
      </c>
      <c r="AT12" t="s">
        <v>4219</v>
      </c>
    </row>
    <row r="13" spans="1:46">
      <c r="A13" s="1">
        <f>HYPERLINK("https://lsnyc.legalserver.org/matter/dynamic-profile/view/1897047","19-1897047")</f>
        <v>0</v>
      </c>
      <c r="B13" t="s">
        <v>49</v>
      </c>
      <c r="C13" t="s">
        <v>106</v>
      </c>
      <c r="D13" t="s">
        <v>106</v>
      </c>
      <c r="E13" t="s">
        <v>836</v>
      </c>
      <c r="F13" t="s">
        <v>502</v>
      </c>
      <c r="G13" t="s">
        <v>1720</v>
      </c>
      <c r="H13">
        <v>1</v>
      </c>
      <c r="I13">
        <v>11208</v>
      </c>
      <c r="J13" t="s">
        <v>2004</v>
      </c>
      <c r="K13" t="s">
        <v>2004</v>
      </c>
      <c r="N13" t="s">
        <v>2413</v>
      </c>
      <c r="O13" t="s">
        <v>2439</v>
      </c>
      <c r="P13" t="s">
        <v>2444</v>
      </c>
      <c r="T13">
        <v>1600</v>
      </c>
      <c r="V13" t="s">
        <v>2517</v>
      </c>
      <c r="W13" t="s">
        <v>3139</v>
      </c>
      <c r="Y13" t="s">
        <v>3766</v>
      </c>
      <c r="Z13">
        <v>0</v>
      </c>
      <c r="AB13" t="s">
        <v>2006</v>
      </c>
      <c r="AC13">
        <v>1</v>
      </c>
      <c r="AD13">
        <v>1</v>
      </c>
      <c r="AE13">
        <v>2</v>
      </c>
      <c r="AF13">
        <v>60.95</v>
      </c>
      <c r="AI13" t="s">
        <v>3809</v>
      </c>
      <c r="AJ13">
        <v>13000</v>
      </c>
      <c r="AP13">
        <v>1</v>
      </c>
      <c r="AQ13" t="s">
        <v>106</v>
      </c>
      <c r="AR13" t="s">
        <v>4192</v>
      </c>
      <c r="AS13" t="s">
        <v>4210</v>
      </c>
      <c r="AT13" t="s">
        <v>4219</v>
      </c>
    </row>
    <row r="14" spans="1:46">
      <c r="A14" s="1">
        <f>HYPERLINK("https://lsnyc.legalserver.org/matter/dynamic-profile/view/1900318","19-1900318")</f>
        <v>0</v>
      </c>
      <c r="B14" t="s">
        <v>49</v>
      </c>
      <c r="C14" t="s">
        <v>303</v>
      </c>
      <c r="D14" t="s">
        <v>303</v>
      </c>
      <c r="E14" t="s">
        <v>4259</v>
      </c>
      <c r="F14" t="s">
        <v>4412</v>
      </c>
      <c r="G14" t="s">
        <v>4555</v>
      </c>
      <c r="H14" t="s">
        <v>1996</v>
      </c>
      <c r="I14">
        <v>11207</v>
      </c>
      <c r="J14" t="s">
        <v>2004</v>
      </c>
      <c r="K14" t="s">
        <v>2004</v>
      </c>
      <c r="P14" t="s">
        <v>2444</v>
      </c>
      <c r="T14">
        <v>500</v>
      </c>
      <c r="V14" t="s">
        <v>2515</v>
      </c>
      <c r="W14" t="s">
        <v>4897</v>
      </c>
      <c r="Y14" t="s">
        <v>5156</v>
      </c>
      <c r="Z14">
        <v>3</v>
      </c>
      <c r="AC14">
        <v>23</v>
      </c>
      <c r="AD14">
        <v>1</v>
      </c>
      <c r="AE14">
        <v>0</v>
      </c>
      <c r="AF14">
        <v>62.45</v>
      </c>
      <c r="AI14" t="s">
        <v>3809</v>
      </c>
      <c r="AJ14">
        <v>7800</v>
      </c>
      <c r="AP14">
        <v>1</v>
      </c>
      <c r="AQ14" t="s">
        <v>303</v>
      </c>
      <c r="AR14" t="s">
        <v>4209</v>
      </c>
      <c r="AS14" t="s">
        <v>4212</v>
      </c>
      <c r="AT14" t="s">
        <v>4219</v>
      </c>
    </row>
    <row r="15" spans="1:46">
      <c r="A15" s="1">
        <f>HYPERLINK("https://lsnyc.legalserver.org/matter/dynamic-profile/view/1897895","19-1897895")</f>
        <v>0</v>
      </c>
      <c r="B15" t="s">
        <v>49</v>
      </c>
      <c r="C15" t="s">
        <v>272</v>
      </c>
      <c r="D15" t="s">
        <v>303</v>
      </c>
      <c r="E15" t="s">
        <v>4260</v>
      </c>
      <c r="F15" t="s">
        <v>4413</v>
      </c>
      <c r="G15" t="s">
        <v>4556</v>
      </c>
      <c r="H15" t="s">
        <v>1752</v>
      </c>
      <c r="I15">
        <v>11212</v>
      </c>
      <c r="J15" t="s">
        <v>2004</v>
      </c>
      <c r="K15" t="s">
        <v>2004</v>
      </c>
      <c r="N15" t="s">
        <v>2027</v>
      </c>
      <c r="O15" t="s">
        <v>2439</v>
      </c>
      <c r="P15" t="s">
        <v>2444</v>
      </c>
      <c r="T15">
        <v>204</v>
      </c>
      <c r="V15" t="s">
        <v>2515</v>
      </c>
      <c r="W15" t="s">
        <v>4898</v>
      </c>
      <c r="Y15" t="s">
        <v>5157</v>
      </c>
      <c r="Z15">
        <v>0</v>
      </c>
      <c r="AC15">
        <v>2</v>
      </c>
      <c r="AD15">
        <v>1</v>
      </c>
      <c r="AE15">
        <v>0</v>
      </c>
      <c r="AF15">
        <v>72.06</v>
      </c>
      <c r="AI15" t="s">
        <v>3809</v>
      </c>
      <c r="AJ15">
        <v>9000</v>
      </c>
      <c r="AP15">
        <v>1.2</v>
      </c>
      <c r="AQ15" t="s">
        <v>312</v>
      </c>
      <c r="AR15" t="s">
        <v>4192</v>
      </c>
      <c r="AS15" t="s">
        <v>4210</v>
      </c>
      <c r="AT15" t="s">
        <v>4219</v>
      </c>
    </row>
    <row r="16" spans="1:46">
      <c r="A16" s="1">
        <f>HYPERLINK("https://lsnyc.legalserver.org/matter/dynamic-profile/view/1901579","19-1901579")</f>
        <v>0</v>
      </c>
      <c r="B16" t="s">
        <v>49</v>
      </c>
      <c r="C16" t="s">
        <v>2492</v>
      </c>
      <c r="D16" t="s">
        <v>2492</v>
      </c>
      <c r="E16" t="s">
        <v>4261</v>
      </c>
      <c r="F16" t="s">
        <v>4414</v>
      </c>
      <c r="G16" t="s">
        <v>4557</v>
      </c>
      <c r="H16" t="s">
        <v>1790</v>
      </c>
      <c r="I16">
        <v>11207</v>
      </c>
      <c r="J16" t="s">
        <v>2004</v>
      </c>
      <c r="K16" t="s">
        <v>2004</v>
      </c>
      <c r="O16" t="s">
        <v>2439</v>
      </c>
      <c r="P16" t="s">
        <v>2444</v>
      </c>
      <c r="T16">
        <v>0</v>
      </c>
      <c r="V16" t="s">
        <v>2515</v>
      </c>
      <c r="W16" t="s">
        <v>4899</v>
      </c>
      <c r="Y16" t="s">
        <v>5158</v>
      </c>
      <c r="Z16">
        <v>0</v>
      </c>
      <c r="AC16">
        <v>3</v>
      </c>
      <c r="AD16">
        <v>1</v>
      </c>
      <c r="AE16">
        <v>0</v>
      </c>
      <c r="AF16">
        <v>78.20999999999999</v>
      </c>
      <c r="AI16" t="s">
        <v>3809</v>
      </c>
      <c r="AJ16">
        <v>9768</v>
      </c>
      <c r="AP16">
        <v>0.6</v>
      </c>
      <c r="AQ16" t="s">
        <v>2492</v>
      </c>
      <c r="AR16" t="s">
        <v>4198</v>
      </c>
      <c r="AS16" t="s">
        <v>4210</v>
      </c>
      <c r="AT16" t="s">
        <v>4219</v>
      </c>
    </row>
    <row r="17" spans="1:46">
      <c r="A17" s="1">
        <f>HYPERLINK("https://lsnyc.legalserver.org/matter/dynamic-profile/view/1886257","18-1886257")</f>
        <v>0</v>
      </c>
      <c r="B17" t="s">
        <v>49</v>
      </c>
      <c r="C17" t="s">
        <v>237</v>
      </c>
      <c r="D17" t="s">
        <v>101</v>
      </c>
      <c r="E17" t="s">
        <v>4262</v>
      </c>
      <c r="F17" t="s">
        <v>4415</v>
      </c>
      <c r="G17" t="s">
        <v>4558</v>
      </c>
      <c r="H17" t="s">
        <v>4740</v>
      </c>
      <c r="I17">
        <v>11208</v>
      </c>
      <c r="J17" t="s">
        <v>2004</v>
      </c>
      <c r="K17" t="s">
        <v>2004</v>
      </c>
      <c r="N17" t="s">
        <v>2413</v>
      </c>
      <c r="O17" t="s">
        <v>2439</v>
      </c>
      <c r="P17" t="s">
        <v>2444</v>
      </c>
      <c r="Q17" t="s">
        <v>2003</v>
      </c>
      <c r="T17">
        <v>650</v>
      </c>
      <c r="U17" t="s">
        <v>2508</v>
      </c>
      <c r="V17" t="s">
        <v>2515</v>
      </c>
      <c r="W17" t="s">
        <v>4900</v>
      </c>
      <c r="Z17">
        <v>5</v>
      </c>
      <c r="AA17" t="s">
        <v>2156</v>
      </c>
      <c r="AB17" t="s">
        <v>2006</v>
      </c>
      <c r="AC17">
        <v>1</v>
      </c>
      <c r="AD17">
        <v>1</v>
      </c>
      <c r="AE17">
        <v>0</v>
      </c>
      <c r="AF17">
        <v>83.03</v>
      </c>
      <c r="AI17" t="s">
        <v>3809</v>
      </c>
      <c r="AJ17">
        <v>10080</v>
      </c>
      <c r="AP17">
        <v>0.86</v>
      </c>
      <c r="AQ17" t="s">
        <v>129</v>
      </c>
      <c r="AR17" t="s">
        <v>4195</v>
      </c>
      <c r="AS17" t="s">
        <v>4210</v>
      </c>
      <c r="AT17" t="s">
        <v>4219</v>
      </c>
    </row>
    <row r="18" spans="1:46">
      <c r="A18" s="1">
        <f>HYPERLINK("https://lsnyc.legalserver.org/matter/dynamic-profile/view/1900288","19-1900288")</f>
        <v>0</v>
      </c>
      <c r="B18" t="s">
        <v>49</v>
      </c>
      <c r="C18" t="s">
        <v>303</v>
      </c>
      <c r="E18" t="s">
        <v>4263</v>
      </c>
      <c r="F18" t="s">
        <v>1349</v>
      </c>
      <c r="G18" t="s">
        <v>4559</v>
      </c>
      <c r="H18">
        <v>1</v>
      </c>
      <c r="I18">
        <v>11207</v>
      </c>
      <c r="J18" t="s">
        <v>2004</v>
      </c>
      <c r="K18" t="s">
        <v>2004</v>
      </c>
      <c r="O18" t="s">
        <v>2442</v>
      </c>
      <c r="T18">
        <v>2450</v>
      </c>
      <c r="U18" t="s">
        <v>2502</v>
      </c>
      <c r="W18" t="s">
        <v>4901</v>
      </c>
      <c r="Y18" t="s">
        <v>5159</v>
      </c>
      <c r="Z18">
        <v>3245</v>
      </c>
      <c r="AC18">
        <v>0</v>
      </c>
      <c r="AD18">
        <v>1</v>
      </c>
      <c r="AE18">
        <v>0</v>
      </c>
      <c r="AF18">
        <v>96.08</v>
      </c>
      <c r="AI18" t="s">
        <v>3809</v>
      </c>
      <c r="AJ18">
        <v>12000</v>
      </c>
      <c r="AP18">
        <v>1</v>
      </c>
      <c r="AQ18" t="s">
        <v>303</v>
      </c>
      <c r="AR18" t="s">
        <v>4193</v>
      </c>
      <c r="AS18" t="s">
        <v>4210</v>
      </c>
      <c r="AT18" t="s">
        <v>4219</v>
      </c>
    </row>
    <row r="19" spans="1:46">
      <c r="A19" s="1">
        <f>HYPERLINK("https://lsnyc.legalserver.org/matter/dynamic-profile/view/1886861","19-1886861")</f>
        <v>0</v>
      </c>
      <c r="B19" t="s">
        <v>49</v>
      </c>
      <c r="C19" t="s">
        <v>129</v>
      </c>
      <c r="D19" t="s">
        <v>129</v>
      </c>
      <c r="E19" t="s">
        <v>4264</v>
      </c>
      <c r="F19" t="s">
        <v>1073</v>
      </c>
      <c r="G19" t="s">
        <v>4560</v>
      </c>
      <c r="H19" t="s">
        <v>4741</v>
      </c>
      <c r="I19">
        <v>11212</v>
      </c>
      <c r="J19" t="s">
        <v>2004</v>
      </c>
      <c r="K19" t="s">
        <v>2004</v>
      </c>
      <c r="N19" t="s">
        <v>2415</v>
      </c>
      <c r="O19" t="s">
        <v>2439</v>
      </c>
      <c r="P19" t="s">
        <v>2444</v>
      </c>
      <c r="Q19" t="s">
        <v>2003</v>
      </c>
      <c r="T19">
        <v>817</v>
      </c>
      <c r="V19" t="s">
        <v>2515</v>
      </c>
      <c r="W19" t="s">
        <v>4902</v>
      </c>
      <c r="Y19" t="s">
        <v>5160</v>
      </c>
      <c r="Z19">
        <v>3</v>
      </c>
      <c r="AB19" t="s">
        <v>3793</v>
      </c>
      <c r="AC19">
        <v>9</v>
      </c>
      <c r="AD19">
        <v>2</v>
      </c>
      <c r="AE19">
        <v>1</v>
      </c>
      <c r="AF19">
        <v>97.81999999999999</v>
      </c>
      <c r="AI19" t="s">
        <v>3810</v>
      </c>
      <c r="AJ19">
        <v>20328</v>
      </c>
      <c r="AP19">
        <v>0.5</v>
      </c>
      <c r="AQ19" t="s">
        <v>129</v>
      </c>
      <c r="AR19" t="s">
        <v>4187</v>
      </c>
      <c r="AS19" t="s">
        <v>4210</v>
      </c>
      <c r="AT19" t="s">
        <v>4219</v>
      </c>
    </row>
    <row r="20" spans="1:46">
      <c r="A20" s="1">
        <f>HYPERLINK("https://lsnyc.legalserver.org/matter/dynamic-profile/view/1884836","18-1884836")</f>
        <v>0</v>
      </c>
      <c r="B20" t="s">
        <v>49</v>
      </c>
      <c r="C20" t="s">
        <v>2465</v>
      </c>
      <c r="D20" t="s">
        <v>268</v>
      </c>
      <c r="E20" t="s">
        <v>657</v>
      </c>
      <c r="F20" t="s">
        <v>945</v>
      </c>
      <c r="G20" t="s">
        <v>4561</v>
      </c>
      <c r="H20">
        <v>3</v>
      </c>
      <c r="I20">
        <v>11208</v>
      </c>
      <c r="J20" t="s">
        <v>2004</v>
      </c>
      <c r="K20" t="s">
        <v>2004</v>
      </c>
      <c r="N20" t="s">
        <v>2027</v>
      </c>
      <c r="O20" t="s">
        <v>2439</v>
      </c>
      <c r="P20" t="s">
        <v>2444</v>
      </c>
      <c r="T20">
        <v>1250</v>
      </c>
      <c r="V20" t="s">
        <v>2515</v>
      </c>
      <c r="W20" t="s">
        <v>4903</v>
      </c>
      <c r="Y20" t="s">
        <v>5161</v>
      </c>
      <c r="Z20">
        <v>0</v>
      </c>
      <c r="AA20" t="s">
        <v>2156</v>
      </c>
      <c r="AB20" t="s">
        <v>2006</v>
      </c>
      <c r="AC20">
        <v>0</v>
      </c>
      <c r="AD20">
        <v>1</v>
      </c>
      <c r="AE20">
        <v>1</v>
      </c>
      <c r="AF20">
        <v>102.67</v>
      </c>
      <c r="AI20" t="s">
        <v>3809</v>
      </c>
      <c r="AJ20">
        <v>16900</v>
      </c>
      <c r="AP20">
        <v>1</v>
      </c>
      <c r="AQ20" t="s">
        <v>2465</v>
      </c>
      <c r="AR20" t="s">
        <v>4192</v>
      </c>
      <c r="AS20" t="s">
        <v>4210</v>
      </c>
      <c r="AT20" t="s">
        <v>4219</v>
      </c>
    </row>
    <row r="21" spans="1:46">
      <c r="A21" s="1">
        <f>HYPERLINK("https://lsnyc.legalserver.org/matter/dynamic-profile/view/1903399","19-1903399")</f>
        <v>0</v>
      </c>
      <c r="B21" t="s">
        <v>49</v>
      </c>
      <c r="C21" t="s">
        <v>4167</v>
      </c>
      <c r="D21" t="s">
        <v>4165</v>
      </c>
      <c r="E21" t="s">
        <v>380</v>
      </c>
      <c r="F21" t="s">
        <v>4416</v>
      </c>
      <c r="G21" t="s">
        <v>4562</v>
      </c>
      <c r="I21">
        <v>11208</v>
      </c>
      <c r="J21" t="s">
        <v>2004</v>
      </c>
      <c r="K21" t="s">
        <v>2004</v>
      </c>
      <c r="M21" t="s">
        <v>2027</v>
      </c>
      <c r="N21" t="s">
        <v>2027</v>
      </c>
      <c r="O21" t="s">
        <v>2439</v>
      </c>
      <c r="P21" t="s">
        <v>2444</v>
      </c>
      <c r="Q21" t="s">
        <v>2003</v>
      </c>
      <c r="T21">
        <v>710</v>
      </c>
      <c r="U21" t="s">
        <v>2497</v>
      </c>
      <c r="V21" t="s">
        <v>2515</v>
      </c>
      <c r="W21" t="s">
        <v>4904</v>
      </c>
      <c r="Y21" t="s">
        <v>5162</v>
      </c>
      <c r="Z21">
        <v>2</v>
      </c>
      <c r="AA21" t="s">
        <v>3784</v>
      </c>
      <c r="AB21" t="s">
        <v>2006</v>
      </c>
      <c r="AC21">
        <v>3</v>
      </c>
      <c r="AD21">
        <v>1</v>
      </c>
      <c r="AE21">
        <v>0</v>
      </c>
      <c r="AF21">
        <v>124.9</v>
      </c>
      <c r="AI21" t="s">
        <v>3809</v>
      </c>
      <c r="AJ21">
        <v>15600</v>
      </c>
      <c r="AP21">
        <v>0.5</v>
      </c>
      <c r="AQ21" t="s">
        <v>4167</v>
      </c>
      <c r="AR21" t="s">
        <v>4196</v>
      </c>
      <c r="AS21" t="s">
        <v>4210</v>
      </c>
      <c r="AT21" t="s">
        <v>4219</v>
      </c>
    </row>
    <row r="22" spans="1:46">
      <c r="A22" s="1">
        <f>HYPERLINK("https://lsnyc.legalserver.org/matter/dynamic-profile/view/1886017","18-1886017")</f>
        <v>0</v>
      </c>
      <c r="B22" t="s">
        <v>49</v>
      </c>
      <c r="C22" t="s">
        <v>161</v>
      </c>
      <c r="D22" t="s">
        <v>128</v>
      </c>
      <c r="E22" t="s">
        <v>4265</v>
      </c>
      <c r="F22" t="s">
        <v>1125</v>
      </c>
      <c r="G22" t="s">
        <v>4563</v>
      </c>
      <c r="H22">
        <v>1</v>
      </c>
      <c r="I22">
        <v>11208</v>
      </c>
      <c r="J22" t="s">
        <v>2003</v>
      </c>
      <c r="K22" t="s">
        <v>2003</v>
      </c>
      <c r="N22" t="s">
        <v>2027</v>
      </c>
      <c r="P22" t="s">
        <v>2444</v>
      </c>
      <c r="Q22" t="s">
        <v>2003</v>
      </c>
      <c r="T22">
        <v>1700</v>
      </c>
      <c r="U22" t="s">
        <v>2512</v>
      </c>
      <c r="V22" t="s">
        <v>2515</v>
      </c>
      <c r="W22" t="s">
        <v>4905</v>
      </c>
      <c r="Y22" t="s">
        <v>5163</v>
      </c>
      <c r="Z22">
        <v>3</v>
      </c>
      <c r="AA22" t="s">
        <v>3784</v>
      </c>
      <c r="AB22" t="s">
        <v>2006</v>
      </c>
      <c r="AC22">
        <v>1</v>
      </c>
      <c r="AD22">
        <v>1</v>
      </c>
      <c r="AE22">
        <v>0</v>
      </c>
      <c r="AF22">
        <v>149.92</v>
      </c>
      <c r="AI22" t="s">
        <v>3809</v>
      </c>
      <c r="AJ22">
        <v>18200</v>
      </c>
      <c r="AP22">
        <v>0.5</v>
      </c>
      <c r="AQ22" t="s">
        <v>161</v>
      </c>
      <c r="AR22" t="s">
        <v>4195</v>
      </c>
      <c r="AS22" t="s">
        <v>4210</v>
      </c>
      <c r="AT22" t="s">
        <v>4219</v>
      </c>
    </row>
    <row r="23" spans="1:46">
      <c r="A23" s="1">
        <f>HYPERLINK("https://lsnyc.legalserver.org/matter/dynamic-profile/view/1884529","18-1884529")</f>
        <v>0</v>
      </c>
      <c r="B23" t="s">
        <v>49</v>
      </c>
      <c r="C23" t="s">
        <v>230</v>
      </c>
      <c r="D23" t="s">
        <v>103</v>
      </c>
      <c r="E23" t="s">
        <v>4266</v>
      </c>
      <c r="F23" t="s">
        <v>4417</v>
      </c>
      <c r="G23" t="s">
        <v>4564</v>
      </c>
      <c r="H23" t="s">
        <v>4742</v>
      </c>
      <c r="I23">
        <v>11208</v>
      </c>
      <c r="J23" t="s">
        <v>2004</v>
      </c>
      <c r="K23" t="s">
        <v>2004</v>
      </c>
      <c r="O23" t="s">
        <v>2439</v>
      </c>
      <c r="P23" t="s">
        <v>2443</v>
      </c>
      <c r="T23">
        <v>1155</v>
      </c>
      <c r="V23" t="s">
        <v>2515</v>
      </c>
      <c r="W23" t="s">
        <v>4906</v>
      </c>
      <c r="Y23" t="s">
        <v>5164</v>
      </c>
      <c r="Z23">
        <v>0</v>
      </c>
      <c r="AA23" t="s">
        <v>3787</v>
      </c>
      <c r="AC23">
        <v>0</v>
      </c>
      <c r="AD23">
        <v>1</v>
      </c>
      <c r="AE23">
        <v>0</v>
      </c>
      <c r="AF23">
        <v>152.82</v>
      </c>
      <c r="AI23" t="s">
        <v>3809</v>
      </c>
      <c r="AJ23">
        <v>18552</v>
      </c>
      <c r="AP23">
        <v>0.6</v>
      </c>
      <c r="AQ23" t="s">
        <v>230</v>
      </c>
      <c r="AR23" t="s">
        <v>4198</v>
      </c>
      <c r="AS23" t="s">
        <v>4210</v>
      </c>
      <c r="AT23" t="s">
        <v>4219</v>
      </c>
    </row>
    <row r="24" spans="1:46">
      <c r="A24" s="1">
        <f>HYPERLINK("https://lsnyc.legalserver.org/matter/dynamic-profile/view/1883783","18-1883783")</f>
        <v>0</v>
      </c>
      <c r="B24" t="s">
        <v>49</v>
      </c>
      <c r="C24" t="s">
        <v>236</v>
      </c>
      <c r="D24" t="s">
        <v>268</v>
      </c>
      <c r="E24" t="s">
        <v>484</v>
      </c>
      <c r="F24" t="s">
        <v>4418</v>
      </c>
      <c r="G24" t="s">
        <v>4565</v>
      </c>
      <c r="H24">
        <v>2</v>
      </c>
      <c r="I24">
        <v>11208</v>
      </c>
      <c r="J24" t="s">
        <v>2003</v>
      </c>
      <c r="K24" t="s">
        <v>2003</v>
      </c>
      <c r="M24" t="s">
        <v>4791</v>
      </c>
      <c r="N24" t="s">
        <v>2413</v>
      </c>
      <c r="P24" t="s">
        <v>2444</v>
      </c>
      <c r="T24">
        <v>1200</v>
      </c>
      <c r="U24" t="s">
        <v>2508</v>
      </c>
      <c r="V24" t="s">
        <v>2515</v>
      </c>
      <c r="W24" t="s">
        <v>4907</v>
      </c>
      <c r="Y24" t="s">
        <v>5165</v>
      </c>
      <c r="Z24">
        <v>2</v>
      </c>
      <c r="AA24" t="s">
        <v>3784</v>
      </c>
      <c r="AB24" t="s">
        <v>2006</v>
      </c>
      <c r="AC24">
        <v>3</v>
      </c>
      <c r="AD24">
        <v>2</v>
      </c>
      <c r="AE24">
        <v>2</v>
      </c>
      <c r="AF24">
        <v>160.76</v>
      </c>
      <c r="AI24" t="s">
        <v>3810</v>
      </c>
      <c r="AJ24">
        <v>40352</v>
      </c>
      <c r="AP24">
        <v>1</v>
      </c>
      <c r="AQ24" t="s">
        <v>236</v>
      </c>
      <c r="AR24" t="s">
        <v>4207</v>
      </c>
      <c r="AS24" t="s">
        <v>4210</v>
      </c>
      <c r="AT24" t="s">
        <v>4219</v>
      </c>
    </row>
    <row r="25" spans="1:46">
      <c r="A25" s="1">
        <f>HYPERLINK("https://lsnyc.legalserver.org/matter/dynamic-profile/view/1901634","19-1901634")</f>
        <v>0</v>
      </c>
      <c r="B25" t="s">
        <v>49</v>
      </c>
      <c r="C25" t="s">
        <v>2492</v>
      </c>
      <c r="D25" t="s">
        <v>172</v>
      </c>
      <c r="E25" t="s">
        <v>464</v>
      </c>
      <c r="F25" t="s">
        <v>4419</v>
      </c>
      <c r="G25" t="s">
        <v>4566</v>
      </c>
      <c r="H25" t="s">
        <v>1768</v>
      </c>
      <c r="I25">
        <v>11207</v>
      </c>
      <c r="J25" t="s">
        <v>2004</v>
      </c>
      <c r="K25" t="s">
        <v>2004</v>
      </c>
      <c r="N25" t="s">
        <v>2419</v>
      </c>
      <c r="P25" t="s">
        <v>2444</v>
      </c>
      <c r="T25">
        <v>835</v>
      </c>
      <c r="U25" t="s">
        <v>2508</v>
      </c>
      <c r="V25" t="s">
        <v>2515</v>
      </c>
      <c r="W25" t="s">
        <v>4908</v>
      </c>
      <c r="Y25" t="s">
        <v>5166</v>
      </c>
      <c r="Z25">
        <v>52</v>
      </c>
      <c r="AC25">
        <v>30</v>
      </c>
      <c r="AD25">
        <v>1</v>
      </c>
      <c r="AE25">
        <v>0</v>
      </c>
      <c r="AF25">
        <v>187.35</v>
      </c>
      <c r="AI25" t="s">
        <v>3809</v>
      </c>
      <c r="AJ25">
        <v>23400</v>
      </c>
      <c r="AP25">
        <v>1</v>
      </c>
      <c r="AQ25" t="s">
        <v>2492</v>
      </c>
      <c r="AR25" t="s">
        <v>4205</v>
      </c>
      <c r="AS25" t="s">
        <v>4210</v>
      </c>
      <c r="AT25" t="s">
        <v>4219</v>
      </c>
    </row>
    <row r="26" spans="1:46">
      <c r="A26" s="1">
        <f>HYPERLINK("https://lsnyc.legalserver.org/matter/dynamic-profile/view/1889207","19-1889207")</f>
        <v>0</v>
      </c>
      <c r="B26" t="s">
        <v>49</v>
      </c>
      <c r="C26" t="s">
        <v>257</v>
      </c>
      <c r="D26" t="s">
        <v>243</v>
      </c>
      <c r="E26" t="s">
        <v>4267</v>
      </c>
      <c r="F26" t="s">
        <v>4420</v>
      </c>
      <c r="G26" t="s">
        <v>4567</v>
      </c>
      <c r="H26" t="s">
        <v>1818</v>
      </c>
      <c r="I26">
        <v>11207</v>
      </c>
      <c r="J26" t="s">
        <v>2003</v>
      </c>
      <c r="K26" t="s">
        <v>2003</v>
      </c>
      <c r="M26" t="s">
        <v>2027</v>
      </c>
      <c r="O26" t="s">
        <v>2439</v>
      </c>
      <c r="P26" t="s">
        <v>2444</v>
      </c>
      <c r="Q26" t="s">
        <v>2003</v>
      </c>
      <c r="R26" t="s">
        <v>2451</v>
      </c>
      <c r="T26">
        <v>900</v>
      </c>
      <c r="U26" t="s">
        <v>2508</v>
      </c>
      <c r="V26" t="s">
        <v>2513</v>
      </c>
      <c r="W26" t="s">
        <v>4909</v>
      </c>
      <c r="Y26" t="s">
        <v>5167</v>
      </c>
      <c r="Z26">
        <v>6</v>
      </c>
      <c r="AC26">
        <v>1</v>
      </c>
      <c r="AD26">
        <v>1</v>
      </c>
      <c r="AE26">
        <v>0</v>
      </c>
      <c r="AF26">
        <v>194.56</v>
      </c>
      <c r="AI26" t="s">
        <v>3812</v>
      </c>
      <c r="AJ26">
        <v>24300</v>
      </c>
      <c r="AP26">
        <v>0.5</v>
      </c>
      <c r="AQ26" t="s">
        <v>257</v>
      </c>
      <c r="AR26" t="s">
        <v>4205</v>
      </c>
      <c r="AS26" t="s">
        <v>4210</v>
      </c>
      <c r="AT26" t="s">
        <v>4219</v>
      </c>
    </row>
    <row r="27" spans="1:46">
      <c r="A27" s="1">
        <f>HYPERLINK("https://lsnyc.legalserver.org/matter/dynamic-profile/view/1895505","19-1895505")</f>
        <v>0</v>
      </c>
      <c r="B27" t="s">
        <v>49</v>
      </c>
      <c r="C27" t="s">
        <v>181</v>
      </c>
      <c r="D27" t="s">
        <v>303</v>
      </c>
      <c r="E27" t="s">
        <v>4268</v>
      </c>
      <c r="F27" t="s">
        <v>960</v>
      </c>
      <c r="G27" t="s">
        <v>4568</v>
      </c>
      <c r="H27" t="s">
        <v>1849</v>
      </c>
      <c r="I27">
        <v>11212</v>
      </c>
      <c r="J27" t="s">
        <v>2004</v>
      </c>
      <c r="K27" t="s">
        <v>2003</v>
      </c>
      <c r="O27" t="s">
        <v>2439</v>
      </c>
      <c r="P27" t="s">
        <v>2444</v>
      </c>
      <c r="T27">
        <v>0</v>
      </c>
      <c r="U27" t="s">
        <v>2497</v>
      </c>
      <c r="V27" t="s">
        <v>2515</v>
      </c>
      <c r="W27" t="s">
        <v>4910</v>
      </c>
      <c r="Y27" t="s">
        <v>5168</v>
      </c>
      <c r="Z27">
        <v>4</v>
      </c>
      <c r="AB27" t="s">
        <v>2006</v>
      </c>
      <c r="AC27">
        <v>38</v>
      </c>
      <c r="AD27">
        <v>1</v>
      </c>
      <c r="AE27">
        <v>0</v>
      </c>
      <c r="AF27">
        <v>208.58</v>
      </c>
      <c r="AI27" t="s">
        <v>3809</v>
      </c>
      <c r="AJ27">
        <v>26052</v>
      </c>
      <c r="AP27">
        <v>0.6</v>
      </c>
      <c r="AQ27" t="s">
        <v>181</v>
      </c>
      <c r="AR27" t="s">
        <v>4198</v>
      </c>
      <c r="AS27" t="s">
        <v>4210</v>
      </c>
      <c r="AT27" t="s">
        <v>4219</v>
      </c>
    </row>
    <row r="28" spans="1:46">
      <c r="A28" s="1">
        <f>HYPERLINK("https://lsnyc.legalserver.org/matter/dynamic-profile/view/1885454","18-1885454")</f>
        <v>0</v>
      </c>
      <c r="B28" t="s">
        <v>49</v>
      </c>
      <c r="C28" t="s">
        <v>124</v>
      </c>
      <c r="D28" t="s">
        <v>268</v>
      </c>
      <c r="E28" t="s">
        <v>340</v>
      </c>
      <c r="F28" t="s">
        <v>4421</v>
      </c>
      <c r="G28" t="s">
        <v>4569</v>
      </c>
      <c r="H28">
        <v>1</v>
      </c>
      <c r="I28">
        <v>11208</v>
      </c>
      <c r="J28" t="s">
        <v>2004</v>
      </c>
      <c r="K28" t="s">
        <v>2004</v>
      </c>
      <c r="O28" t="s">
        <v>2439</v>
      </c>
      <c r="P28" t="s">
        <v>2444</v>
      </c>
      <c r="T28">
        <v>1700</v>
      </c>
      <c r="U28" t="s">
        <v>2502</v>
      </c>
      <c r="V28" t="s">
        <v>2515</v>
      </c>
      <c r="W28" t="s">
        <v>4911</v>
      </c>
      <c r="Y28" t="s">
        <v>5169</v>
      </c>
      <c r="Z28">
        <v>3</v>
      </c>
      <c r="AA28" t="s">
        <v>2156</v>
      </c>
      <c r="AC28">
        <v>3</v>
      </c>
      <c r="AD28">
        <v>2</v>
      </c>
      <c r="AE28">
        <v>1</v>
      </c>
      <c r="AF28">
        <v>237.73</v>
      </c>
      <c r="AI28" t="s">
        <v>3810</v>
      </c>
      <c r="AJ28">
        <v>49400</v>
      </c>
      <c r="AP28">
        <v>0.4</v>
      </c>
      <c r="AQ28" t="s">
        <v>124</v>
      </c>
      <c r="AR28" t="s">
        <v>4204</v>
      </c>
      <c r="AS28" t="s">
        <v>4210</v>
      </c>
      <c r="AT28" t="s">
        <v>4219</v>
      </c>
    </row>
    <row r="29" spans="1:46">
      <c r="A29" s="1">
        <f>HYPERLINK("https://lsnyc.legalserver.org/matter/dynamic-profile/view/1895455","19-1895455")</f>
        <v>0</v>
      </c>
      <c r="B29" t="s">
        <v>49</v>
      </c>
      <c r="C29" t="s">
        <v>181</v>
      </c>
      <c r="D29" t="s">
        <v>106</v>
      </c>
      <c r="E29" t="s">
        <v>571</v>
      </c>
      <c r="F29" t="s">
        <v>1082</v>
      </c>
      <c r="G29" t="s">
        <v>4570</v>
      </c>
      <c r="H29" t="s">
        <v>1740</v>
      </c>
      <c r="I29">
        <v>11212</v>
      </c>
      <c r="J29" t="s">
        <v>2004</v>
      </c>
      <c r="K29" t="s">
        <v>2004</v>
      </c>
      <c r="M29" t="s">
        <v>4792</v>
      </c>
      <c r="O29" t="s">
        <v>2439</v>
      </c>
      <c r="P29" t="s">
        <v>2444</v>
      </c>
      <c r="T29">
        <v>1239</v>
      </c>
      <c r="U29" t="s">
        <v>2497</v>
      </c>
      <c r="V29" t="s">
        <v>2515</v>
      </c>
      <c r="W29" t="s">
        <v>2797</v>
      </c>
      <c r="Y29" t="s">
        <v>3545</v>
      </c>
      <c r="Z29">
        <v>12</v>
      </c>
      <c r="AC29">
        <v>19</v>
      </c>
      <c r="AD29">
        <v>1</v>
      </c>
      <c r="AE29">
        <v>0</v>
      </c>
      <c r="AF29">
        <v>248.2</v>
      </c>
      <c r="AI29" t="s">
        <v>3809</v>
      </c>
      <c r="AJ29">
        <v>31000</v>
      </c>
      <c r="AP29">
        <v>1.1</v>
      </c>
      <c r="AQ29" t="s">
        <v>259</v>
      </c>
      <c r="AR29" t="s">
        <v>4193</v>
      </c>
      <c r="AS29" t="s">
        <v>4210</v>
      </c>
      <c r="AT29" t="s">
        <v>4219</v>
      </c>
    </row>
    <row r="30" spans="1:46">
      <c r="A30" s="1">
        <f>HYPERLINK("https://lsnyc.legalserver.org/matter/dynamic-profile/view/1891887","19-1891887")</f>
        <v>0</v>
      </c>
      <c r="B30" t="s">
        <v>49</v>
      </c>
      <c r="C30" t="s">
        <v>224</v>
      </c>
      <c r="D30" t="s">
        <v>288</v>
      </c>
      <c r="E30" t="s">
        <v>570</v>
      </c>
      <c r="F30" t="s">
        <v>4422</v>
      </c>
      <c r="G30" t="s">
        <v>4571</v>
      </c>
      <c r="H30" t="s">
        <v>1774</v>
      </c>
      <c r="I30">
        <v>11207</v>
      </c>
      <c r="J30" t="s">
        <v>2004</v>
      </c>
      <c r="K30" t="s">
        <v>2004</v>
      </c>
      <c r="O30" t="s">
        <v>2439</v>
      </c>
      <c r="P30" t="s">
        <v>2444</v>
      </c>
      <c r="T30">
        <v>1500</v>
      </c>
      <c r="U30" t="s">
        <v>2508</v>
      </c>
      <c r="V30" t="s">
        <v>4883</v>
      </c>
      <c r="W30" t="s">
        <v>4912</v>
      </c>
      <c r="Y30" t="s">
        <v>5170</v>
      </c>
      <c r="Z30">
        <v>2</v>
      </c>
      <c r="AB30" t="s">
        <v>2006</v>
      </c>
      <c r="AC30">
        <v>6</v>
      </c>
      <c r="AD30">
        <v>1</v>
      </c>
      <c r="AE30">
        <v>1</v>
      </c>
      <c r="AF30">
        <v>345.95</v>
      </c>
      <c r="AI30" t="s">
        <v>3810</v>
      </c>
      <c r="AJ30">
        <v>58500</v>
      </c>
      <c r="AP30">
        <v>0.3</v>
      </c>
      <c r="AQ30" t="s">
        <v>224</v>
      </c>
      <c r="AR30" t="s">
        <v>4204</v>
      </c>
      <c r="AS30" t="s">
        <v>4210</v>
      </c>
      <c r="AT30" t="s">
        <v>4219</v>
      </c>
    </row>
    <row r="31" spans="1:46">
      <c r="A31" s="1">
        <f>HYPERLINK("https://lsnyc.legalserver.org/matter/dynamic-profile/view/1886364","18-1886364")</f>
        <v>0</v>
      </c>
      <c r="B31" t="s">
        <v>50</v>
      </c>
      <c r="C31" t="s">
        <v>101</v>
      </c>
      <c r="D31" t="s">
        <v>74</v>
      </c>
      <c r="E31" t="s">
        <v>687</v>
      </c>
      <c r="F31" t="s">
        <v>4423</v>
      </c>
      <c r="G31" t="s">
        <v>4572</v>
      </c>
      <c r="H31" t="s">
        <v>1918</v>
      </c>
      <c r="I31">
        <v>11213</v>
      </c>
      <c r="J31" t="s">
        <v>2003</v>
      </c>
      <c r="K31" t="s">
        <v>2003</v>
      </c>
      <c r="M31" t="s">
        <v>4793</v>
      </c>
      <c r="N31" t="s">
        <v>2415</v>
      </c>
      <c r="O31" t="s">
        <v>2439</v>
      </c>
      <c r="P31" t="s">
        <v>2444</v>
      </c>
      <c r="Q31" t="s">
        <v>2003</v>
      </c>
      <c r="T31">
        <v>975</v>
      </c>
      <c r="U31" t="s">
        <v>2495</v>
      </c>
      <c r="V31" t="s">
        <v>2515</v>
      </c>
      <c r="W31" t="s">
        <v>2561</v>
      </c>
      <c r="Z31">
        <v>130</v>
      </c>
      <c r="AA31" t="s">
        <v>3791</v>
      </c>
      <c r="AB31" t="s">
        <v>3793</v>
      </c>
      <c r="AC31">
        <v>35</v>
      </c>
      <c r="AD31">
        <v>1</v>
      </c>
      <c r="AE31">
        <v>0</v>
      </c>
      <c r="AF31">
        <v>0</v>
      </c>
      <c r="AI31" t="s">
        <v>5353</v>
      </c>
      <c r="AJ31">
        <v>0</v>
      </c>
      <c r="AP31">
        <v>0.4</v>
      </c>
      <c r="AQ31" t="s">
        <v>74</v>
      </c>
      <c r="AR31" t="s">
        <v>49</v>
      </c>
      <c r="AS31" t="s">
        <v>4216</v>
      </c>
      <c r="AT31" t="s">
        <v>4220</v>
      </c>
    </row>
    <row r="32" spans="1:46">
      <c r="A32" s="1">
        <f>HYPERLINK("https://lsnyc.legalserver.org/matter/dynamic-profile/view/1887340","19-1887340")</f>
        <v>0</v>
      </c>
      <c r="B32" t="s">
        <v>50</v>
      </c>
      <c r="C32" t="s">
        <v>100</v>
      </c>
      <c r="D32" t="s">
        <v>138</v>
      </c>
      <c r="E32" t="s">
        <v>806</v>
      </c>
      <c r="F32" t="s">
        <v>4424</v>
      </c>
      <c r="G32" t="s">
        <v>4573</v>
      </c>
      <c r="H32" t="s">
        <v>1865</v>
      </c>
      <c r="I32">
        <v>11213</v>
      </c>
      <c r="J32" t="s">
        <v>2003</v>
      </c>
      <c r="K32" t="s">
        <v>2003</v>
      </c>
      <c r="M32" t="s">
        <v>2132</v>
      </c>
      <c r="O32" t="s">
        <v>2439</v>
      </c>
      <c r="P32" t="s">
        <v>2448</v>
      </c>
      <c r="Q32" t="s">
        <v>2003</v>
      </c>
      <c r="T32">
        <v>0</v>
      </c>
      <c r="U32" t="s">
        <v>2495</v>
      </c>
      <c r="V32" t="s">
        <v>2527</v>
      </c>
      <c r="W32" t="s">
        <v>2561</v>
      </c>
      <c r="Z32">
        <v>0</v>
      </c>
      <c r="AC32">
        <v>0</v>
      </c>
      <c r="AD32">
        <v>1</v>
      </c>
      <c r="AE32">
        <v>0</v>
      </c>
      <c r="AF32">
        <v>0</v>
      </c>
      <c r="AI32" t="s">
        <v>3809</v>
      </c>
      <c r="AJ32">
        <v>0</v>
      </c>
      <c r="AP32">
        <v>0.1</v>
      </c>
      <c r="AQ32" t="s">
        <v>138</v>
      </c>
      <c r="AR32" t="s">
        <v>49</v>
      </c>
      <c r="AS32" t="s">
        <v>4212</v>
      </c>
      <c r="AT32" t="s">
        <v>4219</v>
      </c>
    </row>
    <row r="33" spans="1:46">
      <c r="A33" s="1">
        <f>HYPERLINK("https://lsnyc.legalserver.org/matter/dynamic-profile/view/1887321","19-1887321")</f>
        <v>0</v>
      </c>
      <c r="B33" t="s">
        <v>50</v>
      </c>
      <c r="C33" t="s">
        <v>100</v>
      </c>
      <c r="D33" t="s">
        <v>138</v>
      </c>
      <c r="E33" t="s">
        <v>4269</v>
      </c>
      <c r="F33" t="s">
        <v>4425</v>
      </c>
      <c r="G33" t="s">
        <v>4574</v>
      </c>
      <c r="H33" t="s">
        <v>4743</v>
      </c>
      <c r="I33">
        <v>11213</v>
      </c>
      <c r="J33" t="s">
        <v>2003</v>
      </c>
      <c r="K33" t="s">
        <v>2003</v>
      </c>
      <c r="L33" t="s">
        <v>2006</v>
      </c>
      <c r="M33" t="s">
        <v>4794</v>
      </c>
      <c r="N33" t="s">
        <v>2415</v>
      </c>
      <c r="O33" t="s">
        <v>2436</v>
      </c>
      <c r="P33" t="s">
        <v>2443</v>
      </c>
      <c r="Q33" t="s">
        <v>2003</v>
      </c>
      <c r="T33">
        <v>213</v>
      </c>
      <c r="U33" t="s">
        <v>2495</v>
      </c>
      <c r="V33" t="s">
        <v>2514</v>
      </c>
      <c r="W33" t="s">
        <v>4913</v>
      </c>
      <c r="Y33" t="s">
        <v>5171</v>
      </c>
      <c r="Z33">
        <v>80</v>
      </c>
      <c r="AB33" t="s">
        <v>3793</v>
      </c>
      <c r="AC33">
        <v>0</v>
      </c>
      <c r="AD33">
        <v>2</v>
      </c>
      <c r="AE33">
        <v>0</v>
      </c>
      <c r="AF33">
        <v>54.68</v>
      </c>
      <c r="AI33" t="s">
        <v>3809</v>
      </c>
      <c r="AJ33">
        <v>9000</v>
      </c>
      <c r="AP33">
        <v>0.1</v>
      </c>
      <c r="AQ33" t="s">
        <v>138</v>
      </c>
      <c r="AR33" t="s">
        <v>49</v>
      </c>
      <c r="AS33" t="s">
        <v>4210</v>
      </c>
      <c r="AT33" t="s">
        <v>4219</v>
      </c>
    </row>
    <row r="34" spans="1:46">
      <c r="A34" s="1">
        <f>HYPERLINK("https://lsnyc.legalserver.org/matter/dynamic-profile/view/1874641","18-1874641")</f>
        <v>0</v>
      </c>
      <c r="B34" t="s">
        <v>50</v>
      </c>
      <c r="C34" t="s">
        <v>74</v>
      </c>
      <c r="D34" t="s">
        <v>74</v>
      </c>
      <c r="E34" t="s">
        <v>774</v>
      </c>
      <c r="F34" t="s">
        <v>4426</v>
      </c>
      <c r="G34" t="s">
        <v>1366</v>
      </c>
      <c r="I34">
        <v>11208</v>
      </c>
      <c r="J34" t="s">
        <v>2003</v>
      </c>
      <c r="K34" t="s">
        <v>2003</v>
      </c>
      <c r="L34" t="s">
        <v>2006</v>
      </c>
      <c r="M34" t="s">
        <v>4795</v>
      </c>
      <c r="N34" t="s">
        <v>2413</v>
      </c>
      <c r="O34" t="s">
        <v>2439</v>
      </c>
      <c r="P34" t="s">
        <v>2444</v>
      </c>
      <c r="Q34" t="s">
        <v>2002</v>
      </c>
      <c r="T34">
        <v>0</v>
      </c>
      <c r="U34" t="s">
        <v>2505</v>
      </c>
      <c r="V34" t="s">
        <v>2515</v>
      </c>
      <c r="W34" t="s">
        <v>4914</v>
      </c>
      <c r="Z34">
        <v>7</v>
      </c>
      <c r="AA34" t="s">
        <v>3783</v>
      </c>
      <c r="AC34">
        <v>9</v>
      </c>
      <c r="AD34">
        <v>2</v>
      </c>
      <c r="AE34">
        <v>0</v>
      </c>
      <c r="AF34">
        <v>58.32</v>
      </c>
      <c r="AI34" t="s">
        <v>3809</v>
      </c>
      <c r="AJ34">
        <v>9600</v>
      </c>
      <c r="AK34" t="s">
        <v>5356</v>
      </c>
      <c r="AP34">
        <v>1</v>
      </c>
      <c r="AQ34" t="s">
        <v>152</v>
      </c>
      <c r="AR34" t="s">
        <v>50</v>
      </c>
      <c r="AS34" t="s">
        <v>4210</v>
      </c>
      <c r="AT34" t="s">
        <v>4219</v>
      </c>
    </row>
    <row r="35" spans="1:46">
      <c r="A35" s="1">
        <f>HYPERLINK("https://lsnyc.legalserver.org/matter/dynamic-profile/view/1893189","19-1893189")</f>
        <v>0</v>
      </c>
      <c r="B35" t="s">
        <v>50</v>
      </c>
      <c r="C35" t="s">
        <v>276</v>
      </c>
      <c r="D35" t="s">
        <v>301</v>
      </c>
      <c r="E35" t="s">
        <v>398</v>
      </c>
      <c r="F35" t="s">
        <v>1269</v>
      </c>
      <c r="G35" t="s">
        <v>4575</v>
      </c>
      <c r="H35">
        <v>2</v>
      </c>
      <c r="I35">
        <v>11208</v>
      </c>
      <c r="J35" t="s">
        <v>2003</v>
      </c>
      <c r="K35" t="s">
        <v>2002</v>
      </c>
      <c r="L35" t="s">
        <v>2005</v>
      </c>
      <c r="M35" t="s">
        <v>4796</v>
      </c>
      <c r="N35" t="s">
        <v>2413</v>
      </c>
      <c r="O35" t="s">
        <v>2439</v>
      </c>
      <c r="P35" t="s">
        <v>2444</v>
      </c>
      <c r="Q35" t="s">
        <v>2003</v>
      </c>
      <c r="R35" t="s">
        <v>2451</v>
      </c>
      <c r="T35">
        <v>0</v>
      </c>
      <c r="U35" t="s">
        <v>4881</v>
      </c>
      <c r="V35" t="s">
        <v>2515</v>
      </c>
      <c r="W35" t="s">
        <v>4915</v>
      </c>
      <c r="Y35" t="s">
        <v>5172</v>
      </c>
      <c r="Z35">
        <v>2</v>
      </c>
      <c r="AA35" t="s">
        <v>3784</v>
      </c>
      <c r="AB35" t="s">
        <v>2006</v>
      </c>
      <c r="AC35">
        <v>22</v>
      </c>
      <c r="AD35">
        <v>4</v>
      </c>
      <c r="AE35">
        <v>0</v>
      </c>
      <c r="AF35">
        <v>93.2</v>
      </c>
      <c r="AJ35">
        <v>24000</v>
      </c>
      <c r="AK35" t="s">
        <v>5357</v>
      </c>
      <c r="AP35">
        <v>4.9</v>
      </c>
      <c r="AQ35" t="s">
        <v>301</v>
      </c>
      <c r="AR35" t="s">
        <v>4185</v>
      </c>
      <c r="AS35" t="s">
        <v>4210</v>
      </c>
      <c r="AT35" t="s">
        <v>4219</v>
      </c>
    </row>
    <row r="36" spans="1:46">
      <c r="A36" s="1">
        <f>HYPERLINK("https://lsnyc.legalserver.org/matter/dynamic-profile/view/1903031","19-1903031")</f>
        <v>0</v>
      </c>
      <c r="B36" t="s">
        <v>51</v>
      </c>
      <c r="C36" t="s">
        <v>327</v>
      </c>
      <c r="E36" t="s">
        <v>510</v>
      </c>
      <c r="F36" t="s">
        <v>4427</v>
      </c>
      <c r="G36" t="s">
        <v>1602</v>
      </c>
      <c r="H36">
        <v>318</v>
      </c>
      <c r="I36">
        <v>11208</v>
      </c>
      <c r="J36" t="s">
        <v>2003</v>
      </c>
      <c r="K36" t="s">
        <v>2004</v>
      </c>
      <c r="M36" t="s">
        <v>4797</v>
      </c>
      <c r="N36" t="s">
        <v>2415</v>
      </c>
      <c r="Q36" t="s">
        <v>2003</v>
      </c>
      <c r="T36">
        <v>1348</v>
      </c>
      <c r="U36" t="s">
        <v>2497</v>
      </c>
      <c r="W36" t="s">
        <v>4916</v>
      </c>
      <c r="X36" t="s">
        <v>5111</v>
      </c>
      <c r="Y36" t="s">
        <v>5173</v>
      </c>
      <c r="Z36">
        <v>323</v>
      </c>
      <c r="AA36" t="s">
        <v>3783</v>
      </c>
      <c r="AB36" t="s">
        <v>3796</v>
      </c>
      <c r="AC36">
        <v>0</v>
      </c>
      <c r="AD36">
        <v>1</v>
      </c>
      <c r="AE36">
        <v>0</v>
      </c>
      <c r="AF36">
        <v>0</v>
      </c>
      <c r="AI36" t="s">
        <v>3809</v>
      </c>
      <c r="AJ36">
        <v>0</v>
      </c>
      <c r="AP36">
        <v>1.2</v>
      </c>
      <c r="AQ36" t="s">
        <v>256</v>
      </c>
      <c r="AR36" t="s">
        <v>49</v>
      </c>
      <c r="AS36" t="s">
        <v>4210</v>
      </c>
      <c r="AT36" t="s">
        <v>4219</v>
      </c>
    </row>
    <row r="37" spans="1:46">
      <c r="A37" s="1">
        <f>HYPERLINK("https://lsnyc.legalserver.org/matter/dynamic-profile/view/1894449","19-1894449")</f>
        <v>0</v>
      </c>
      <c r="B37" t="s">
        <v>51</v>
      </c>
      <c r="C37" t="s">
        <v>149</v>
      </c>
      <c r="E37" t="s">
        <v>4270</v>
      </c>
      <c r="F37" t="s">
        <v>1159</v>
      </c>
      <c r="G37" t="s">
        <v>4576</v>
      </c>
      <c r="H37" t="s">
        <v>1760</v>
      </c>
      <c r="I37">
        <v>11233</v>
      </c>
      <c r="J37" t="s">
        <v>2003</v>
      </c>
      <c r="K37" t="s">
        <v>2003</v>
      </c>
      <c r="M37" t="s">
        <v>4798</v>
      </c>
      <c r="N37" t="s">
        <v>2415</v>
      </c>
      <c r="Q37" t="s">
        <v>2003</v>
      </c>
      <c r="R37" t="s">
        <v>2451</v>
      </c>
      <c r="T37">
        <v>1200</v>
      </c>
      <c r="U37" t="s">
        <v>2497</v>
      </c>
      <c r="W37" t="s">
        <v>4917</v>
      </c>
      <c r="X37" t="s">
        <v>5112</v>
      </c>
      <c r="Y37" t="s">
        <v>5174</v>
      </c>
      <c r="Z37">
        <v>6</v>
      </c>
      <c r="AA37" t="s">
        <v>3783</v>
      </c>
      <c r="AB37" t="s">
        <v>2006</v>
      </c>
      <c r="AC37">
        <v>12</v>
      </c>
      <c r="AD37">
        <v>1</v>
      </c>
      <c r="AE37">
        <v>3</v>
      </c>
      <c r="AF37">
        <v>35.93</v>
      </c>
      <c r="AI37" t="s">
        <v>3809</v>
      </c>
      <c r="AJ37">
        <v>9252</v>
      </c>
      <c r="AP37">
        <v>0.3</v>
      </c>
      <c r="AQ37" t="s">
        <v>246</v>
      </c>
      <c r="AR37" t="s">
        <v>4185</v>
      </c>
      <c r="AS37" t="s">
        <v>4210</v>
      </c>
      <c r="AT37" t="s">
        <v>4219</v>
      </c>
    </row>
    <row r="38" spans="1:46">
      <c r="A38" s="1">
        <f>HYPERLINK("https://lsnyc.legalserver.org/matter/dynamic-profile/view/1898776","19-1898776")</f>
        <v>0</v>
      </c>
      <c r="B38" t="s">
        <v>51</v>
      </c>
      <c r="C38" t="s">
        <v>246</v>
      </c>
      <c r="E38" t="s">
        <v>507</v>
      </c>
      <c r="F38" t="s">
        <v>4428</v>
      </c>
      <c r="G38" t="s">
        <v>4577</v>
      </c>
      <c r="H38" t="s">
        <v>1737</v>
      </c>
      <c r="I38">
        <v>11212</v>
      </c>
      <c r="J38" t="s">
        <v>2003</v>
      </c>
      <c r="K38" t="s">
        <v>2003</v>
      </c>
      <c r="M38" t="s">
        <v>4799</v>
      </c>
      <c r="N38" t="s">
        <v>2415</v>
      </c>
      <c r="Q38" t="s">
        <v>2003</v>
      </c>
      <c r="R38" t="s">
        <v>2451</v>
      </c>
      <c r="T38">
        <v>402</v>
      </c>
      <c r="U38" t="s">
        <v>2505</v>
      </c>
      <c r="W38" t="s">
        <v>4918</v>
      </c>
      <c r="X38" t="s">
        <v>5113</v>
      </c>
      <c r="Y38" t="s">
        <v>5175</v>
      </c>
      <c r="Z38">
        <v>24</v>
      </c>
      <c r="AA38" t="s">
        <v>3787</v>
      </c>
      <c r="AB38" t="s">
        <v>3793</v>
      </c>
      <c r="AC38">
        <v>34</v>
      </c>
      <c r="AD38">
        <v>1</v>
      </c>
      <c r="AE38">
        <v>0</v>
      </c>
      <c r="AF38">
        <v>36.61</v>
      </c>
      <c r="AI38" t="s">
        <v>3809</v>
      </c>
      <c r="AJ38">
        <v>4572</v>
      </c>
      <c r="AP38">
        <v>0.2</v>
      </c>
      <c r="AQ38" t="s">
        <v>302</v>
      </c>
      <c r="AR38" t="s">
        <v>4185</v>
      </c>
      <c r="AS38" t="s">
        <v>4210</v>
      </c>
      <c r="AT38" t="s">
        <v>4219</v>
      </c>
    </row>
    <row r="39" spans="1:46">
      <c r="A39" s="1">
        <f>HYPERLINK("https://lsnyc.legalserver.org/matter/dynamic-profile/view/1883645","18-1883645")</f>
        <v>0</v>
      </c>
      <c r="B39" t="s">
        <v>51</v>
      </c>
      <c r="C39" t="s">
        <v>145</v>
      </c>
      <c r="D39" t="s">
        <v>289</v>
      </c>
      <c r="E39" t="s">
        <v>4271</v>
      </c>
      <c r="F39" t="s">
        <v>1122</v>
      </c>
      <c r="G39" t="s">
        <v>4578</v>
      </c>
      <c r="H39" t="s">
        <v>1735</v>
      </c>
      <c r="I39">
        <v>11233</v>
      </c>
      <c r="J39" t="s">
        <v>2003</v>
      </c>
      <c r="K39" t="s">
        <v>2003</v>
      </c>
      <c r="N39" t="s">
        <v>4879</v>
      </c>
      <c r="O39" t="s">
        <v>2439</v>
      </c>
      <c r="P39" t="s">
        <v>2444</v>
      </c>
      <c r="Q39" t="s">
        <v>2003</v>
      </c>
      <c r="R39" t="s">
        <v>2451</v>
      </c>
      <c r="T39">
        <v>1643</v>
      </c>
      <c r="U39" t="s">
        <v>2497</v>
      </c>
      <c r="V39" t="s">
        <v>2515</v>
      </c>
      <c r="W39" t="s">
        <v>4919</v>
      </c>
      <c r="X39" t="s">
        <v>5114</v>
      </c>
      <c r="Y39" t="s">
        <v>5176</v>
      </c>
      <c r="Z39">
        <v>6</v>
      </c>
      <c r="AA39" t="s">
        <v>3783</v>
      </c>
      <c r="AC39">
        <v>8</v>
      </c>
      <c r="AD39">
        <v>1</v>
      </c>
      <c r="AE39">
        <v>4</v>
      </c>
      <c r="AF39">
        <v>60.49</v>
      </c>
      <c r="AI39" t="s">
        <v>3809</v>
      </c>
      <c r="AJ39">
        <v>17796</v>
      </c>
      <c r="AP39">
        <v>1.5</v>
      </c>
      <c r="AQ39" t="s">
        <v>191</v>
      </c>
      <c r="AR39" t="s">
        <v>4185</v>
      </c>
      <c r="AS39" t="s">
        <v>4210</v>
      </c>
      <c r="AT39" t="s">
        <v>4219</v>
      </c>
    </row>
    <row r="40" spans="1:46">
      <c r="A40" s="1">
        <f>HYPERLINK("https://lsnyc.legalserver.org/matter/dynamic-profile/view/1901836","19-1901836")</f>
        <v>0</v>
      </c>
      <c r="B40" t="s">
        <v>51</v>
      </c>
      <c r="C40" t="s">
        <v>172</v>
      </c>
      <c r="E40" t="s">
        <v>779</v>
      </c>
      <c r="F40" t="s">
        <v>902</v>
      </c>
      <c r="G40" t="s">
        <v>1573</v>
      </c>
      <c r="H40" t="s">
        <v>4744</v>
      </c>
      <c r="I40">
        <v>11233</v>
      </c>
      <c r="J40" t="s">
        <v>2003</v>
      </c>
      <c r="K40" t="s">
        <v>2004</v>
      </c>
      <c r="L40" t="s">
        <v>2007</v>
      </c>
      <c r="M40" t="s">
        <v>4800</v>
      </c>
      <c r="N40" t="s">
        <v>2415</v>
      </c>
      <c r="Q40" t="s">
        <v>2003</v>
      </c>
      <c r="R40" t="s">
        <v>2455</v>
      </c>
      <c r="T40">
        <v>0</v>
      </c>
      <c r="U40" t="s">
        <v>2509</v>
      </c>
      <c r="W40" t="s">
        <v>4920</v>
      </c>
      <c r="X40" t="s">
        <v>5115</v>
      </c>
      <c r="Y40" t="s">
        <v>5177</v>
      </c>
      <c r="Z40">
        <v>36</v>
      </c>
      <c r="AA40" t="s">
        <v>3783</v>
      </c>
      <c r="AB40" t="s">
        <v>3793</v>
      </c>
      <c r="AC40">
        <v>15</v>
      </c>
      <c r="AD40">
        <v>2</v>
      </c>
      <c r="AE40">
        <v>0</v>
      </c>
      <c r="AF40">
        <v>64.87</v>
      </c>
      <c r="AI40" t="s">
        <v>3809</v>
      </c>
      <c r="AJ40">
        <v>10970.16</v>
      </c>
      <c r="AP40">
        <v>10.6</v>
      </c>
      <c r="AQ40" t="s">
        <v>325</v>
      </c>
      <c r="AR40" t="s">
        <v>4198</v>
      </c>
      <c r="AS40" t="s">
        <v>4210</v>
      </c>
      <c r="AT40" t="s">
        <v>4219</v>
      </c>
    </row>
    <row r="41" spans="1:46">
      <c r="A41" s="1">
        <f>HYPERLINK("https://lsnyc.legalserver.org/matter/dynamic-profile/view/1902677","19-1902677")</f>
        <v>0</v>
      </c>
      <c r="B41" t="s">
        <v>51</v>
      </c>
      <c r="C41" t="s">
        <v>312</v>
      </c>
      <c r="E41" t="s">
        <v>727</v>
      </c>
      <c r="F41" t="s">
        <v>4429</v>
      </c>
      <c r="G41" t="s">
        <v>4579</v>
      </c>
      <c r="H41" t="s">
        <v>4745</v>
      </c>
      <c r="I41">
        <v>11213</v>
      </c>
      <c r="J41" t="s">
        <v>2003</v>
      </c>
      <c r="K41" t="s">
        <v>2004</v>
      </c>
      <c r="L41" t="s">
        <v>2005</v>
      </c>
      <c r="M41" t="s">
        <v>2006</v>
      </c>
      <c r="Q41" t="s">
        <v>2003</v>
      </c>
      <c r="R41" t="s">
        <v>2451</v>
      </c>
      <c r="T41">
        <v>831</v>
      </c>
      <c r="U41" t="s">
        <v>2500</v>
      </c>
      <c r="W41" t="s">
        <v>4921</v>
      </c>
      <c r="X41" t="s">
        <v>2006</v>
      </c>
      <c r="Y41" t="s">
        <v>5178</v>
      </c>
      <c r="Z41">
        <v>200</v>
      </c>
      <c r="AA41" t="s">
        <v>3783</v>
      </c>
      <c r="AB41" t="s">
        <v>2006</v>
      </c>
      <c r="AC41">
        <v>16</v>
      </c>
      <c r="AD41">
        <v>3</v>
      </c>
      <c r="AE41">
        <v>0</v>
      </c>
      <c r="AF41">
        <v>93.76000000000001</v>
      </c>
      <c r="AI41" t="s">
        <v>3809</v>
      </c>
      <c r="AJ41">
        <v>20000</v>
      </c>
      <c r="AP41">
        <v>0</v>
      </c>
      <c r="AR41" t="s">
        <v>4185</v>
      </c>
      <c r="AS41" t="s">
        <v>4210</v>
      </c>
      <c r="AT41" t="s">
        <v>4219</v>
      </c>
    </row>
    <row r="42" spans="1:46">
      <c r="A42" s="1">
        <f>HYPERLINK("https://lsnyc.legalserver.org/matter/dynamic-profile/view/1891411","19-1891411")</f>
        <v>0</v>
      </c>
      <c r="B42" t="s">
        <v>51</v>
      </c>
      <c r="C42" t="s">
        <v>243</v>
      </c>
      <c r="E42" t="s">
        <v>4272</v>
      </c>
      <c r="F42" t="s">
        <v>1145</v>
      </c>
      <c r="G42" t="s">
        <v>4580</v>
      </c>
      <c r="H42" t="s">
        <v>1966</v>
      </c>
      <c r="I42">
        <v>11233</v>
      </c>
      <c r="J42" t="s">
        <v>2003</v>
      </c>
      <c r="K42" t="s">
        <v>2003</v>
      </c>
      <c r="M42" t="s">
        <v>4801</v>
      </c>
      <c r="N42" t="s">
        <v>2413</v>
      </c>
      <c r="Q42" t="s">
        <v>2450</v>
      </c>
      <c r="R42" t="s">
        <v>2451</v>
      </c>
      <c r="T42">
        <v>1350</v>
      </c>
      <c r="U42" t="s">
        <v>2501</v>
      </c>
      <c r="W42" t="s">
        <v>4922</v>
      </c>
      <c r="X42" t="s">
        <v>5116</v>
      </c>
      <c r="Y42" t="s">
        <v>5179</v>
      </c>
      <c r="Z42">
        <v>7</v>
      </c>
      <c r="AA42" t="s">
        <v>3784</v>
      </c>
      <c r="AB42" t="s">
        <v>2006</v>
      </c>
      <c r="AC42">
        <v>10</v>
      </c>
      <c r="AD42">
        <v>2</v>
      </c>
      <c r="AE42">
        <v>4</v>
      </c>
      <c r="AF42">
        <v>108.99</v>
      </c>
      <c r="AI42" t="s">
        <v>3809</v>
      </c>
      <c r="AJ42">
        <v>37700</v>
      </c>
      <c r="AP42">
        <v>0</v>
      </c>
      <c r="AR42" t="s">
        <v>4185</v>
      </c>
      <c r="AS42" t="s">
        <v>4210</v>
      </c>
      <c r="AT42" t="s">
        <v>4219</v>
      </c>
    </row>
    <row r="43" spans="1:46">
      <c r="A43" s="1">
        <f>HYPERLINK("https://lsnyc.legalserver.org/matter/dynamic-profile/view/1895582","19-1895582")</f>
        <v>0</v>
      </c>
      <c r="B43" t="s">
        <v>51</v>
      </c>
      <c r="C43" t="s">
        <v>290</v>
      </c>
      <c r="E43" t="s">
        <v>4273</v>
      </c>
      <c r="F43" t="s">
        <v>866</v>
      </c>
      <c r="G43" t="s">
        <v>4581</v>
      </c>
      <c r="I43">
        <v>11233</v>
      </c>
      <c r="J43" t="s">
        <v>2003</v>
      </c>
      <c r="K43" t="s">
        <v>2003</v>
      </c>
      <c r="L43" t="s">
        <v>2007</v>
      </c>
      <c r="M43" t="s">
        <v>4802</v>
      </c>
      <c r="N43" t="s">
        <v>2413</v>
      </c>
      <c r="Q43" t="s">
        <v>2003</v>
      </c>
      <c r="R43" t="s">
        <v>2451</v>
      </c>
      <c r="T43">
        <v>750</v>
      </c>
      <c r="U43" t="s">
        <v>2501</v>
      </c>
      <c r="W43" t="s">
        <v>4923</v>
      </c>
      <c r="X43" t="s">
        <v>5117</v>
      </c>
      <c r="Y43" t="s">
        <v>5180</v>
      </c>
      <c r="Z43">
        <v>2</v>
      </c>
      <c r="AA43" t="s">
        <v>3784</v>
      </c>
      <c r="AB43" t="s">
        <v>2006</v>
      </c>
      <c r="AC43">
        <v>2</v>
      </c>
      <c r="AD43">
        <v>1</v>
      </c>
      <c r="AE43">
        <v>0</v>
      </c>
      <c r="AF43">
        <v>124.11</v>
      </c>
      <c r="AI43" t="s">
        <v>3809</v>
      </c>
      <c r="AJ43">
        <v>15501.6</v>
      </c>
      <c r="AP43">
        <v>4.25</v>
      </c>
      <c r="AQ43" t="s">
        <v>319</v>
      </c>
      <c r="AR43" t="s">
        <v>4204</v>
      </c>
      <c r="AS43" t="s">
        <v>4210</v>
      </c>
      <c r="AT43" t="s">
        <v>4219</v>
      </c>
    </row>
    <row r="44" spans="1:46">
      <c r="A44" s="1">
        <f>HYPERLINK("https://lsnyc.legalserver.org/matter/dynamic-profile/view/1898702","19-1898702")</f>
        <v>0</v>
      </c>
      <c r="B44" t="s">
        <v>51</v>
      </c>
      <c r="C44" t="s">
        <v>246</v>
      </c>
      <c r="E44" t="s">
        <v>4274</v>
      </c>
      <c r="F44" t="s">
        <v>895</v>
      </c>
      <c r="G44" t="s">
        <v>4582</v>
      </c>
      <c r="H44">
        <v>1</v>
      </c>
      <c r="I44">
        <v>11207</v>
      </c>
      <c r="J44" t="s">
        <v>2002</v>
      </c>
      <c r="K44" t="s">
        <v>2002</v>
      </c>
      <c r="T44">
        <v>870</v>
      </c>
      <c r="W44" t="s">
        <v>4924</v>
      </c>
      <c r="Z44">
        <v>2</v>
      </c>
      <c r="AA44" t="s">
        <v>3784</v>
      </c>
      <c r="AC44">
        <v>2</v>
      </c>
      <c r="AD44">
        <v>2</v>
      </c>
      <c r="AE44">
        <v>2</v>
      </c>
      <c r="AF44">
        <v>149.44</v>
      </c>
      <c r="AI44" t="s">
        <v>3810</v>
      </c>
      <c r="AJ44">
        <v>38480</v>
      </c>
      <c r="AP44">
        <v>0</v>
      </c>
      <c r="AR44" t="s">
        <v>4185</v>
      </c>
      <c r="AS44" t="s">
        <v>4210</v>
      </c>
      <c r="AT44" t="s">
        <v>4219</v>
      </c>
    </row>
    <row r="45" spans="1:46">
      <c r="A45" s="1">
        <f>HYPERLINK("https://lsnyc.legalserver.org/matter/dynamic-profile/view/1902901","19-1902901")</f>
        <v>0</v>
      </c>
      <c r="B45" t="s">
        <v>51</v>
      </c>
      <c r="C45" t="s">
        <v>323</v>
      </c>
      <c r="E45" t="s">
        <v>464</v>
      </c>
      <c r="F45" t="s">
        <v>4430</v>
      </c>
      <c r="G45" t="s">
        <v>4583</v>
      </c>
      <c r="H45" t="s">
        <v>4746</v>
      </c>
      <c r="I45">
        <v>11208</v>
      </c>
      <c r="J45" t="s">
        <v>2003</v>
      </c>
      <c r="K45" t="s">
        <v>2004</v>
      </c>
      <c r="L45" t="s">
        <v>2006</v>
      </c>
      <c r="M45" t="s">
        <v>4803</v>
      </c>
      <c r="N45" t="s">
        <v>2413</v>
      </c>
      <c r="Q45" t="s">
        <v>2003</v>
      </c>
      <c r="R45" t="s">
        <v>2451</v>
      </c>
      <c r="T45">
        <v>1300</v>
      </c>
      <c r="U45" t="s">
        <v>2502</v>
      </c>
      <c r="W45" t="s">
        <v>4925</v>
      </c>
      <c r="X45" t="s">
        <v>5118</v>
      </c>
      <c r="Y45" t="s">
        <v>5181</v>
      </c>
      <c r="Z45">
        <v>2</v>
      </c>
      <c r="AA45" t="s">
        <v>3784</v>
      </c>
      <c r="AB45" t="s">
        <v>2495</v>
      </c>
      <c r="AC45">
        <v>14</v>
      </c>
      <c r="AD45">
        <v>1</v>
      </c>
      <c r="AE45">
        <v>0</v>
      </c>
      <c r="AF45">
        <v>176.97</v>
      </c>
      <c r="AI45" t="s">
        <v>3809</v>
      </c>
      <c r="AJ45">
        <v>22104</v>
      </c>
      <c r="AP45">
        <v>3</v>
      </c>
      <c r="AQ45" t="s">
        <v>319</v>
      </c>
      <c r="AR45" t="s">
        <v>4193</v>
      </c>
      <c r="AS45" t="s">
        <v>4210</v>
      </c>
      <c r="AT45" t="s">
        <v>4219</v>
      </c>
    </row>
    <row r="46" spans="1:46">
      <c r="A46" s="1">
        <f>HYPERLINK("https://lsnyc.legalserver.org/matter/dynamic-profile/view/1889240","19-1889240")</f>
        <v>0</v>
      </c>
      <c r="B46" t="s">
        <v>51</v>
      </c>
      <c r="C46" t="s">
        <v>257</v>
      </c>
      <c r="E46" t="s">
        <v>375</v>
      </c>
      <c r="F46" t="s">
        <v>4431</v>
      </c>
      <c r="G46" t="s">
        <v>4584</v>
      </c>
      <c r="H46" t="s">
        <v>4747</v>
      </c>
      <c r="I46">
        <v>11233</v>
      </c>
      <c r="J46" t="s">
        <v>2003</v>
      </c>
      <c r="K46" t="s">
        <v>2003</v>
      </c>
      <c r="M46" t="s">
        <v>2027</v>
      </c>
      <c r="N46" t="s">
        <v>2415</v>
      </c>
      <c r="Q46" t="s">
        <v>2003</v>
      </c>
      <c r="R46" t="s">
        <v>2451</v>
      </c>
      <c r="T46">
        <v>956</v>
      </c>
      <c r="U46" t="s">
        <v>2499</v>
      </c>
      <c r="W46" t="s">
        <v>4926</v>
      </c>
      <c r="X46" t="s">
        <v>2006</v>
      </c>
      <c r="Y46" t="s">
        <v>5182</v>
      </c>
      <c r="Z46">
        <v>34</v>
      </c>
      <c r="AA46" t="s">
        <v>3787</v>
      </c>
      <c r="AB46" t="s">
        <v>2006</v>
      </c>
      <c r="AC46">
        <v>5</v>
      </c>
      <c r="AD46">
        <v>1</v>
      </c>
      <c r="AE46">
        <v>0</v>
      </c>
      <c r="AF46">
        <v>208.17</v>
      </c>
      <c r="AI46" t="s">
        <v>3809</v>
      </c>
      <c r="AJ46">
        <v>26000</v>
      </c>
      <c r="AP46">
        <v>0</v>
      </c>
      <c r="AR46" t="s">
        <v>4185</v>
      </c>
      <c r="AS46" t="s">
        <v>4210</v>
      </c>
      <c r="AT46" t="s">
        <v>4219</v>
      </c>
    </row>
    <row r="47" spans="1:46">
      <c r="A47" s="1">
        <f>HYPERLINK("https://lsnyc.legalserver.org/matter/dynamic-profile/view/1902193","19-1902193")</f>
        <v>0</v>
      </c>
      <c r="B47" t="s">
        <v>52</v>
      </c>
      <c r="C47" t="s">
        <v>107</v>
      </c>
      <c r="E47" t="s">
        <v>4275</v>
      </c>
      <c r="F47" t="s">
        <v>1008</v>
      </c>
      <c r="G47" t="s">
        <v>4585</v>
      </c>
      <c r="H47">
        <v>2</v>
      </c>
      <c r="I47">
        <v>11207</v>
      </c>
      <c r="J47" t="s">
        <v>2004</v>
      </c>
      <c r="K47" t="s">
        <v>2004</v>
      </c>
      <c r="M47" t="s">
        <v>4804</v>
      </c>
      <c r="N47" t="s">
        <v>2413</v>
      </c>
      <c r="O47" t="s">
        <v>2442</v>
      </c>
      <c r="Q47" t="s">
        <v>2003</v>
      </c>
      <c r="T47">
        <v>0</v>
      </c>
      <c r="U47" t="s">
        <v>2495</v>
      </c>
      <c r="W47" t="s">
        <v>4927</v>
      </c>
      <c r="Y47" t="s">
        <v>5183</v>
      </c>
      <c r="Z47">
        <v>9</v>
      </c>
      <c r="AA47" t="s">
        <v>3784</v>
      </c>
      <c r="AB47" t="s">
        <v>3794</v>
      </c>
      <c r="AC47">
        <v>3</v>
      </c>
      <c r="AD47">
        <v>1</v>
      </c>
      <c r="AE47">
        <v>0</v>
      </c>
      <c r="AF47">
        <v>75.52</v>
      </c>
      <c r="AI47" t="s">
        <v>3809</v>
      </c>
      <c r="AJ47">
        <v>9432</v>
      </c>
      <c r="AP47">
        <v>6.5</v>
      </c>
      <c r="AQ47" t="s">
        <v>309</v>
      </c>
      <c r="AR47" t="s">
        <v>4204</v>
      </c>
      <c r="AS47" t="s">
        <v>4210</v>
      </c>
      <c r="AT47" t="s">
        <v>4219</v>
      </c>
    </row>
    <row r="48" spans="1:46">
      <c r="A48" s="1">
        <f>HYPERLINK("https://lsnyc.legalserver.org/matter/dynamic-profile/view/1884625","18-1884625")</f>
        <v>0</v>
      </c>
      <c r="B48" t="s">
        <v>52</v>
      </c>
      <c r="C48" t="s">
        <v>136</v>
      </c>
      <c r="D48" t="s">
        <v>128</v>
      </c>
      <c r="E48" t="s">
        <v>4276</v>
      </c>
      <c r="F48" t="s">
        <v>398</v>
      </c>
      <c r="G48" t="s">
        <v>1537</v>
      </c>
      <c r="H48" t="s">
        <v>1773</v>
      </c>
      <c r="I48">
        <v>11213</v>
      </c>
      <c r="J48" t="s">
        <v>2003</v>
      </c>
      <c r="K48" t="s">
        <v>2003</v>
      </c>
      <c r="M48" t="s">
        <v>4805</v>
      </c>
      <c r="N48" t="s">
        <v>2415</v>
      </c>
      <c r="O48" t="s">
        <v>2436</v>
      </c>
      <c r="P48" t="s">
        <v>2443</v>
      </c>
      <c r="Q48" t="s">
        <v>2003</v>
      </c>
      <c r="T48">
        <v>1956</v>
      </c>
      <c r="U48" t="s">
        <v>2497</v>
      </c>
      <c r="V48" t="s">
        <v>2515</v>
      </c>
      <c r="W48" t="s">
        <v>4928</v>
      </c>
      <c r="Y48" t="s">
        <v>5184</v>
      </c>
      <c r="Z48">
        <v>23</v>
      </c>
      <c r="AA48" t="s">
        <v>3783</v>
      </c>
      <c r="AB48" t="s">
        <v>3797</v>
      </c>
      <c r="AC48">
        <v>9</v>
      </c>
      <c r="AD48">
        <v>3</v>
      </c>
      <c r="AE48">
        <v>1</v>
      </c>
      <c r="AF48">
        <v>83.67</v>
      </c>
      <c r="AJ48">
        <v>21000</v>
      </c>
      <c r="AP48">
        <v>4.9</v>
      </c>
      <c r="AQ48" t="s">
        <v>98</v>
      </c>
      <c r="AR48" t="s">
        <v>49</v>
      </c>
      <c r="AS48" t="s">
        <v>4210</v>
      </c>
      <c r="AT48" t="s">
        <v>4219</v>
      </c>
    </row>
    <row r="49" spans="1:46">
      <c r="A49" s="1">
        <f>HYPERLINK("https://lsnyc.legalserver.org/matter/dynamic-profile/view/1882881","18-1882881")</f>
        <v>0</v>
      </c>
      <c r="B49" t="s">
        <v>52</v>
      </c>
      <c r="C49" t="s">
        <v>117</v>
      </c>
      <c r="D49" t="s">
        <v>130</v>
      </c>
      <c r="E49" t="s">
        <v>539</v>
      </c>
      <c r="F49" t="s">
        <v>882</v>
      </c>
      <c r="G49" t="s">
        <v>4586</v>
      </c>
      <c r="H49" t="s">
        <v>1749</v>
      </c>
      <c r="I49">
        <v>11207</v>
      </c>
      <c r="J49" t="s">
        <v>2003</v>
      </c>
      <c r="K49" t="s">
        <v>2003</v>
      </c>
      <c r="M49" t="s">
        <v>4806</v>
      </c>
      <c r="N49" t="s">
        <v>2415</v>
      </c>
      <c r="P49" t="s">
        <v>2444</v>
      </c>
      <c r="Q49" t="s">
        <v>2003</v>
      </c>
      <c r="R49" t="s">
        <v>2451</v>
      </c>
      <c r="T49">
        <v>1956</v>
      </c>
      <c r="U49" t="s">
        <v>2495</v>
      </c>
      <c r="V49" t="s">
        <v>2515</v>
      </c>
      <c r="W49" t="s">
        <v>4929</v>
      </c>
      <c r="X49">
        <v>8323529</v>
      </c>
      <c r="Y49" t="s">
        <v>5185</v>
      </c>
      <c r="Z49">
        <v>4</v>
      </c>
      <c r="AA49" t="s">
        <v>3788</v>
      </c>
      <c r="AC49">
        <v>3</v>
      </c>
      <c r="AD49">
        <v>1</v>
      </c>
      <c r="AE49">
        <v>4</v>
      </c>
      <c r="AF49">
        <v>95.7</v>
      </c>
      <c r="AI49" t="s">
        <v>3809</v>
      </c>
      <c r="AJ49">
        <v>28156</v>
      </c>
      <c r="AP49">
        <v>1.1</v>
      </c>
      <c r="AQ49" t="s">
        <v>191</v>
      </c>
      <c r="AR49" t="s">
        <v>4207</v>
      </c>
      <c r="AS49" t="s">
        <v>4210</v>
      </c>
      <c r="AT49" t="s">
        <v>4219</v>
      </c>
    </row>
    <row r="50" spans="1:46">
      <c r="A50" s="1">
        <f>HYPERLINK("https://lsnyc.legalserver.org/matter/dynamic-profile/view/1903680","19-1903680")</f>
        <v>0</v>
      </c>
      <c r="B50" t="s">
        <v>52</v>
      </c>
      <c r="C50" t="s">
        <v>255</v>
      </c>
      <c r="E50" t="s">
        <v>4277</v>
      </c>
      <c r="F50" t="s">
        <v>4432</v>
      </c>
      <c r="G50" t="s">
        <v>4587</v>
      </c>
      <c r="H50" t="s">
        <v>4748</v>
      </c>
      <c r="I50">
        <v>11208</v>
      </c>
      <c r="J50" t="s">
        <v>2003</v>
      </c>
      <c r="K50" t="s">
        <v>2004</v>
      </c>
      <c r="L50" t="s">
        <v>2006</v>
      </c>
      <c r="M50" t="s">
        <v>4807</v>
      </c>
      <c r="N50" t="s">
        <v>2415</v>
      </c>
      <c r="Q50" t="s">
        <v>2003</v>
      </c>
      <c r="R50" t="s">
        <v>2454</v>
      </c>
      <c r="T50">
        <v>1700</v>
      </c>
      <c r="U50" t="s">
        <v>2500</v>
      </c>
      <c r="W50" t="s">
        <v>4930</v>
      </c>
      <c r="X50" t="s">
        <v>2006</v>
      </c>
      <c r="Z50">
        <v>20</v>
      </c>
      <c r="AA50" t="s">
        <v>3783</v>
      </c>
      <c r="AB50" t="s">
        <v>2006</v>
      </c>
      <c r="AC50">
        <v>2</v>
      </c>
      <c r="AD50">
        <v>2</v>
      </c>
      <c r="AE50">
        <v>1</v>
      </c>
      <c r="AF50">
        <v>266.43</v>
      </c>
      <c r="AI50" t="s">
        <v>3809</v>
      </c>
      <c r="AJ50">
        <v>56830</v>
      </c>
      <c r="AP50">
        <v>1</v>
      </c>
      <c r="AQ50" t="s">
        <v>325</v>
      </c>
      <c r="AR50" t="s">
        <v>4185</v>
      </c>
      <c r="AS50" t="s">
        <v>4210</v>
      </c>
      <c r="AT50" t="s">
        <v>4219</v>
      </c>
    </row>
    <row r="51" spans="1:46">
      <c r="A51" s="1">
        <f>HYPERLINK("https://lsnyc.legalserver.org/matter/dynamic-profile/view/1899916","19-1899916")</f>
        <v>0</v>
      </c>
      <c r="B51" t="s">
        <v>53</v>
      </c>
      <c r="C51" t="s">
        <v>183</v>
      </c>
      <c r="E51" t="s">
        <v>649</v>
      </c>
      <c r="F51" t="s">
        <v>1154</v>
      </c>
      <c r="G51" t="s">
        <v>1623</v>
      </c>
      <c r="H51" t="s">
        <v>1864</v>
      </c>
      <c r="I51">
        <v>11212</v>
      </c>
      <c r="J51" t="s">
        <v>2002</v>
      </c>
      <c r="K51" t="s">
        <v>2004</v>
      </c>
      <c r="L51" t="s">
        <v>2005</v>
      </c>
      <c r="N51" t="s">
        <v>2419</v>
      </c>
      <c r="Q51" t="s">
        <v>2450</v>
      </c>
      <c r="R51" t="s">
        <v>2451</v>
      </c>
      <c r="T51">
        <v>911</v>
      </c>
      <c r="U51" t="s">
        <v>2500</v>
      </c>
      <c r="W51" t="s">
        <v>2898</v>
      </c>
      <c r="Y51" t="s">
        <v>3638</v>
      </c>
      <c r="Z51">
        <v>0</v>
      </c>
      <c r="AA51" t="s">
        <v>3783</v>
      </c>
      <c r="AC51">
        <v>9</v>
      </c>
      <c r="AD51">
        <v>1</v>
      </c>
      <c r="AE51">
        <v>2</v>
      </c>
      <c r="AF51">
        <v>23.65</v>
      </c>
      <c r="AI51" t="s">
        <v>3809</v>
      </c>
      <c r="AJ51">
        <v>5044</v>
      </c>
      <c r="AP51">
        <v>1.1</v>
      </c>
      <c r="AQ51" t="s">
        <v>262</v>
      </c>
      <c r="AR51" t="s">
        <v>4185</v>
      </c>
      <c r="AS51" t="s">
        <v>4210</v>
      </c>
      <c r="AT51" t="s">
        <v>4219</v>
      </c>
    </row>
    <row r="52" spans="1:46">
      <c r="A52" s="1">
        <f>HYPERLINK("https://lsnyc.legalserver.org/matter/dynamic-profile/view/1897435","19-1897435")</f>
        <v>0</v>
      </c>
      <c r="B52" t="s">
        <v>53</v>
      </c>
      <c r="C52" t="s">
        <v>169</v>
      </c>
      <c r="E52" t="s">
        <v>489</v>
      </c>
      <c r="F52" t="s">
        <v>1002</v>
      </c>
      <c r="G52" t="s">
        <v>1474</v>
      </c>
      <c r="H52" t="s">
        <v>1748</v>
      </c>
      <c r="I52">
        <v>11233</v>
      </c>
      <c r="J52" t="s">
        <v>2002</v>
      </c>
      <c r="K52" t="s">
        <v>2002</v>
      </c>
      <c r="M52" t="s">
        <v>2131</v>
      </c>
      <c r="N52" t="s">
        <v>2027</v>
      </c>
      <c r="O52" t="s">
        <v>2436</v>
      </c>
      <c r="Q52" t="s">
        <v>2003</v>
      </c>
      <c r="R52" t="s">
        <v>2451</v>
      </c>
      <c r="T52">
        <v>0</v>
      </c>
      <c r="W52" t="s">
        <v>2697</v>
      </c>
      <c r="Y52" t="s">
        <v>3454</v>
      </c>
      <c r="Z52">
        <v>6</v>
      </c>
      <c r="AA52" t="s">
        <v>3783</v>
      </c>
      <c r="AC52">
        <v>0</v>
      </c>
      <c r="AD52">
        <v>1</v>
      </c>
      <c r="AE52">
        <v>0</v>
      </c>
      <c r="AF52">
        <v>80.06</v>
      </c>
      <c r="AI52" t="s">
        <v>3809</v>
      </c>
      <c r="AJ52">
        <v>10000</v>
      </c>
      <c r="AK52" t="s">
        <v>3869</v>
      </c>
      <c r="AP52">
        <v>0</v>
      </c>
      <c r="AR52" t="s">
        <v>4185</v>
      </c>
      <c r="AS52" t="s">
        <v>4210</v>
      </c>
      <c r="AT52" t="s">
        <v>4219</v>
      </c>
    </row>
    <row r="53" spans="1:46">
      <c r="A53" s="1">
        <f>HYPERLINK("https://lsnyc.legalserver.org/matter/dynamic-profile/view/1901391","19-1901391")</f>
        <v>0</v>
      </c>
      <c r="B53" t="s">
        <v>53</v>
      </c>
      <c r="C53" t="s">
        <v>260</v>
      </c>
      <c r="E53" t="s">
        <v>769</v>
      </c>
      <c r="F53" t="s">
        <v>1277</v>
      </c>
      <c r="G53" t="s">
        <v>1480</v>
      </c>
      <c r="H53" t="s">
        <v>1754</v>
      </c>
      <c r="I53">
        <v>11212</v>
      </c>
      <c r="J53" t="s">
        <v>2002</v>
      </c>
      <c r="K53" t="s">
        <v>2004</v>
      </c>
      <c r="L53" t="s">
        <v>2005</v>
      </c>
      <c r="N53" t="s">
        <v>2415</v>
      </c>
      <c r="O53" t="s">
        <v>2437</v>
      </c>
      <c r="Q53" t="s">
        <v>2003</v>
      </c>
      <c r="R53" t="s">
        <v>2451</v>
      </c>
      <c r="T53">
        <v>0</v>
      </c>
      <c r="U53" t="s">
        <v>2494</v>
      </c>
      <c r="W53" t="s">
        <v>3053</v>
      </c>
      <c r="Y53" t="s">
        <v>3684</v>
      </c>
      <c r="Z53">
        <v>23</v>
      </c>
      <c r="AA53" t="s">
        <v>3783</v>
      </c>
      <c r="AB53" t="s">
        <v>2006</v>
      </c>
      <c r="AC53">
        <v>0</v>
      </c>
      <c r="AD53">
        <v>1</v>
      </c>
      <c r="AE53">
        <v>0</v>
      </c>
      <c r="AF53">
        <v>88.29000000000001</v>
      </c>
      <c r="AI53" t="s">
        <v>3809</v>
      </c>
      <c r="AJ53">
        <v>11028</v>
      </c>
      <c r="AK53" t="s">
        <v>5358</v>
      </c>
      <c r="AP53">
        <v>7</v>
      </c>
      <c r="AQ53" t="s">
        <v>318</v>
      </c>
      <c r="AR53" t="s">
        <v>4185</v>
      </c>
      <c r="AS53" t="s">
        <v>4210</v>
      </c>
      <c r="AT53" t="s">
        <v>4219</v>
      </c>
    </row>
    <row r="54" spans="1:46">
      <c r="A54" s="1">
        <f>HYPERLINK("https://lsnyc.legalserver.org/matter/dynamic-profile/view/1902101","19-1902101")</f>
        <v>0</v>
      </c>
      <c r="B54" t="s">
        <v>53</v>
      </c>
      <c r="C54" t="s">
        <v>158</v>
      </c>
      <c r="E54" t="s">
        <v>4278</v>
      </c>
      <c r="F54" t="s">
        <v>4433</v>
      </c>
      <c r="G54" t="s">
        <v>1466</v>
      </c>
      <c r="H54" t="s">
        <v>1933</v>
      </c>
      <c r="I54">
        <v>11216</v>
      </c>
      <c r="J54" t="s">
        <v>2002</v>
      </c>
      <c r="K54" t="s">
        <v>2004</v>
      </c>
      <c r="L54" t="s">
        <v>2005</v>
      </c>
      <c r="M54" t="s">
        <v>2137</v>
      </c>
      <c r="N54" t="s">
        <v>2420</v>
      </c>
      <c r="O54" t="s">
        <v>2437</v>
      </c>
      <c r="Q54" t="s">
        <v>2002</v>
      </c>
      <c r="R54" t="s">
        <v>2451</v>
      </c>
      <c r="T54">
        <v>0</v>
      </c>
      <c r="U54" t="s">
        <v>2494</v>
      </c>
      <c r="W54" t="s">
        <v>4931</v>
      </c>
      <c r="X54" t="s">
        <v>2006</v>
      </c>
      <c r="Y54" t="s">
        <v>5186</v>
      </c>
      <c r="Z54">
        <v>82</v>
      </c>
      <c r="AA54" t="s">
        <v>3783</v>
      </c>
      <c r="AB54" t="s">
        <v>2006</v>
      </c>
      <c r="AC54">
        <v>0</v>
      </c>
      <c r="AD54">
        <v>1</v>
      </c>
      <c r="AE54">
        <v>0</v>
      </c>
      <c r="AF54">
        <v>426.31</v>
      </c>
      <c r="AI54" t="s">
        <v>3809</v>
      </c>
      <c r="AJ54">
        <v>53246.66</v>
      </c>
      <c r="AK54" t="s">
        <v>5359</v>
      </c>
      <c r="AP54">
        <v>0</v>
      </c>
      <c r="AR54" t="s">
        <v>4185</v>
      </c>
      <c r="AS54" t="s">
        <v>4210</v>
      </c>
      <c r="AT54" t="s">
        <v>4219</v>
      </c>
    </row>
    <row r="55" spans="1:46">
      <c r="A55" s="1">
        <f>HYPERLINK("https://lsnyc.legalserver.org/matter/dynamic-profile/view/1903219","19-1903219")</f>
        <v>0</v>
      </c>
      <c r="B55" t="s">
        <v>53</v>
      </c>
      <c r="C55" t="s">
        <v>108</v>
      </c>
      <c r="E55" t="s">
        <v>4279</v>
      </c>
      <c r="F55" t="s">
        <v>4434</v>
      </c>
      <c r="G55" t="s">
        <v>1466</v>
      </c>
      <c r="H55" t="s">
        <v>1972</v>
      </c>
      <c r="I55">
        <v>11216</v>
      </c>
      <c r="J55" t="s">
        <v>2002</v>
      </c>
      <c r="K55" t="s">
        <v>2004</v>
      </c>
      <c r="L55" t="s">
        <v>2005</v>
      </c>
      <c r="M55" t="s">
        <v>2058</v>
      </c>
      <c r="N55" t="s">
        <v>2420</v>
      </c>
      <c r="O55" t="s">
        <v>2437</v>
      </c>
      <c r="Q55" t="s">
        <v>2003</v>
      </c>
      <c r="R55" t="s">
        <v>2451</v>
      </c>
      <c r="T55">
        <v>2500</v>
      </c>
      <c r="U55" t="s">
        <v>2494</v>
      </c>
      <c r="W55" t="s">
        <v>4932</v>
      </c>
      <c r="X55" t="s">
        <v>2058</v>
      </c>
      <c r="Y55" t="s">
        <v>5187</v>
      </c>
      <c r="Z55">
        <v>82</v>
      </c>
      <c r="AA55" t="s">
        <v>3783</v>
      </c>
      <c r="AB55" t="s">
        <v>2006</v>
      </c>
      <c r="AC55">
        <v>5</v>
      </c>
      <c r="AD55">
        <v>2</v>
      </c>
      <c r="AE55">
        <v>0</v>
      </c>
      <c r="AF55">
        <v>650.5</v>
      </c>
      <c r="AI55" t="s">
        <v>5354</v>
      </c>
      <c r="AJ55">
        <v>110000</v>
      </c>
      <c r="AK55" t="s">
        <v>5360</v>
      </c>
      <c r="AP55">
        <v>0</v>
      </c>
      <c r="AR55" t="s">
        <v>4185</v>
      </c>
      <c r="AS55" t="s">
        <v>4210</v>
      </c>
      <c r="AT55" t="s">
        <v>4219</v>
      </c>
    </row>
    <row r="56" spans="1:46">
      <c r="A56" s="1">
        <f>HYPERLINK("https://lsnyc.legalserver.org/matter/dynamic-profile/view/1903202","19-1903202")</f>
        <v>0</v>
      </c>
      <c r="B56" t="s">
        <v>53</v>
      </c>
      <c r="C56" t="s">
        <v>256</v>
      </c>
      <c r="E56" t="s">
        <v>4279</v>
      </c>
      <c r="F56" t="s">
        <v>4434</v>
      </c>
      <c r="G56" t="s">
        <v>1466</v>
      </c>
      <c r="H56" t="s">
        <v>1972</v>
      </c>
      <c r="I56">
        <v>11216</v>
      </c>
      <c r="J56" t="s">
        <v>2002</v>
      </c>
      <c r="K56" t="s">
        <v>2004</v>
      </c>
      <c r="L56" t="s">
        <v>2005</v>
      </c>
      <c r="M56" t="s">
        <v>2132</v>
      </c>
      <c r="N56" t="s">
        <v>2027</v>
      </c>
      <c r="O56" t="s">
        <v>2436</v>
      </c>
      <c r="Q56" t="s">
        <v>2002</v>
      </c>
      <c r="R56" t="s">
        <v>2451</v>
      </c>
      <c r="T56">
        <v>2500</v>
      </c>
      <c r="U56" t="s">
        <v>2494</v>
      </c>
      <c r="W56" t="s">
        <v>4932</v>
      </c>
      <c r="X56" t="s">
        <v>2006</v>
      </c>
      <c r="Y56" t="s">
        <v>5187</v>
      </c>
      <c r="Z56">
        <v>82</v>
      </c>
      <c r="AA56" t="s">
        <v>3783</v>
      </c>
      <c r="AB56" t="s">
        <v>2006</v>
      </c>
      <c r="AC56">
        <v>5</v>
      </c>
      <c r="AD56">
        <v>2</v>
      </c>
      <c r="AE56">
        <v>0</v>
      </c>
      <c r="AF56">
        <v>650.5</v>
      </c>
      <c r="AI56" t="s">
        <v>5354</v>
      </c>
      <c r="AJ56">
        <v>110000</v>
      </c>
      <c r="AK56" t="s">
        <v>5361</v>
      </c>
      <c r="AP56">
        <v>0</v>
      </c>
      <c r="AR56" t="s">
        <v>4185</v>
      </c>
      <c r="AS56" t="s">
        <v>4210</v>
      </c>
      <c r="AT56" t="s">
        <v>4219</v>
      </c>
    </row>
    <row r="57" spans="1:46">
      <c r="A57" s="1">
        <f>HYPERLINK("https://lsnyc.legalserver.org/matter/dynamic-profile/view/1902106","19-1902106")</f>
        <v>0</v>
      </c>
      <c r="B57" t="s">
        <v>53</v>
      </c>
      <c r="C57" t="s">
        <v>158</v>
      </c>
      <c r="E57" t="s">
        <v>4280</v>
      </c>
      <c r="F57" t="s">
        <v>4435</v>
      </c>
      <c r="G57" t="s">
        <v>1466</v>
      </c>
      <c r="H57" t="s">
        <v>4749</v>
      </c>
      <c r="I57">
        <v>11216</v>
      </c>
      <c r="J57" t="s">
        <v>2002</v>
      </c>
      <c r="K57" t="s">
        <v>2004</v>
      </c>
      <c r="L57" t="s">
        <v>2005</v>
      </c>
      <c r="M57" t="s">
        <v>2137</v>
      </c>
      <c r="N57" t="s">
        <v>2420</v>
      </c>
      <c r="O57" t="s">
        <v>2437</v>
      </c>
      <c r="Q57" t="s">
        <v>2002</v>
      </c>
      <c r="R57" t="s">
        <v>2451</v>
      </c>
      <c r="T57">
        <v>0</v>
      </c>
      <c r="U57" t="s">
        <v>2494</v>
      </c>
      <c r="W57" t="s">
        <v>4933</v>
      </c>
      <c r="X57" t="s">
        <v>2058</v>
      </c>
      <c r="Y57" t="s">
        <v>5188</v>
      </c>
      <c r="Z57">
        <v>82</v>
      </c>
      <c r="AA57" t="s">
        <v>3783</v>
      </c>
      <c r="AB57" t="s">
        <v>2006</v>
      </c>
      <c r="AC57">
        <v>0</v>
      </c>
      <c r="AD57">
        <v>1</v>
      </c>
      <c r="AE57">
        <v>0</v>
      </c>
      <c r="AF57">
        <v>730.1799999999999</v>
      </c>
      <c r="AI57" t="s">
        <v>3814</v>
      </c>
      <c r="AJ57">
        <v>91200</v>
      </c>
      <c r="AK57" t="s">
        <v>5359</v>
      </c>
      <c r="AP57">
        <v>0</v>
      </c>
      <c r="AR57" t="s">
        <v>4185</v>
      </c>
      <c r="AS57" t="s">
        <v>4210</v>
      </c>
      <c r="AT57" t="s">
        <v>4219</v>
      </c>
    </row>
    <row r="58" spans="1:46">
      <c r="A58" s="1">
        <f>HYPERLINK("https://lsnyc.legalserver.org/matter/dynamic-profile/view/1876016","18-1876016")</f>
        <v>0</v>
      </c>
      <c r="B58" t="s">
        <v>54</v>
      </c>
      <c r="C58" t="s">
        <v>73</v>
      </c>
      <c r="E58" t="s">
        <v>511</v>
      </c>
      <c r="F58" t="s">
        <v>877</v>
      </c>
      <c r="G58" t="s">
        <v>1487</v>
      </c>
      <c r="H58" t="s">
        <v>1820</v>
      </c>
      <c r="I58">
        <v>11225</v>
      </c>
      <c r="J58" t="s">
        <v>2002</v>
      </c>
      <c r="K58" t="s">
        <v>2002</v>
      </c>
      <c r="M58" t="s">
        <v>2027</v>
      </c>
      <c r="N58" t="s">
        <v>2027</v>
      </c>
      <c r="O58" t="s">
        <v>2436</v>
      </c>
      <c r="Q58" t="s">
        <v>2003</v>
      </c>
      <c r="T58">
        <v>978.0700000000001</v>
      </c>
      <c r="W58" t="s">
        <v>2723</v>
      </c>
      <c r="Y58" t="s">
        <v>3476</v>
      </c>
      <c r="Z58">
        <v>89</v>
      </c>
      <c r="AA58" t="s">
        <v>3783</v>
      </c>
      <c r="AB58" t="s">
        <v>2006</v>
      </c>
      <c r="AC58">
        <v>28</v>
      </c>
      <c r="AD58">
        <v>1</v>
      </c>
      <c r="AE58">
        <v>0</v>
      </c>
      <c r="AF58">
        <v>0</v>
      </c>
      <c r="AI58" t="s">
        <v>3809</v>
      </c>
      <c r="AJ58">
        <v>0</v>
      </c>
      <c r="AK58" t="s">
        <v>3829</v>
      </c>
      <c r="AP58">
        <v>0</v>
      </c>
      <c r="AR58" t="s">
        <v>4185</v>
      </c>
      <c r="AS58" t="s">
        <v>4210</v>
      </c>
      <c r="AT58" t="s">
        <v>4219</v>
      </c>
    </row>
    <row r="59" spans="1:46">
      <c r="A59" s="1">
        <f>HYPERLINK("https://lsnyc.legalserver.org/matter/dynamic-profile/view/1875921","18-1875921")</f>
        <v>0</v>
      </c>
      <c r="B59" t="s">
        <v>54</v>
      </c>
      <c r="C59" t="s">
        <v>228</v>
      </c>
      <c r="E59" t="s">
        <v>512</v>
      </c>
      <c r="F59" t="s">
        <v>1024</v>
      </c>
      <c r="G59" t="s">
        <v>1487</v>
      </c>
      <c r="H59" t="s">
        <v>1821</v>
      </c>
      <c r="I59">
        <v>11225</v>
      </c>
      <c r="J59" t="s">
        <v>2002</v>
      </c>
      <c r="K59" t="s">
        <v>2002</v>
      </c>
      <c r="M59" t="s">
        <v>2027</v>
      </c>
      <c r="N59" t="s">
        <v>2027</v>
      </c>
      <c r="O59" t="s">
        <v>2436</v>
      </c>
      <c r="Q59" t="s">
        <v>2003</v>
      </c>
      <c r="T59">
        <v>795.52</v>
      </c>
      <c r="U59" t="s">
        <v>2496</v>
      </c>
      <c r="W59" t="s">
        <v>2724</v>
      </c>
      <c r="Y59" t="s">
        <v>3477</v>
      </c>
      <c r="Z59">
        <v>89</v>
      </c>
      <c r="AA59" t="s">
        <v>3783</v>
      </c>
      <c r="AB59" t="s">
        <v>3793</v>
      </c>
      <c r="AC59">
        <v>35</v>
      </c>
      <c r="AD59">
        <v>2</v>
      </c>
      <c r="AE59">
        <v>0</v>
      </c>
      <c r="AF59">
        <v>60.66</v>
      </c>
      <c r="AI59" t="s">
        <v>3809</v>
      </c>
      <c r="AJ59">
        <v>9984</v>
      </c>
      <c r="AK59" t="s">
        <v>3829</v>
      </c>
      <c r="AP59">
        <v>0</v>
      </c>
      <c r="AR59" t="s">
        <v>4185</v>
      </c>
      <c r="AS59" t="s">
        <v>4210</v>
      </c>
      <c r="AT59" t="s">
        <v>4219</v>
      </c>
    </row>
    <row r="60" spans="1:46">
      <c r="A60" s="1">
        <f>HYPERLINK("https://lsnyc.legalserver.org/matter/dynamic-profile/view/1871747","18-1871747")</f>
        <v>0</v>
      </c>
      <c r="B60" t="s">
        <v>54</v>
      </c>
      <c r="C60" t="s">
        <v>187</v>
      </c>
      <c r="E60" t="s">
        <v>739</v>
      </c>
      <c r="F60" t="s">
        <v>4436</v>
      </c>
      <c r="G60" t="s">
        <v>1485</v>
      </c>
      <c r="H60" t="s">
        <v>1764</v>
      </c>
      <c r="I60">
        <v>11206</v>
      </c>
      <c r="J60" t="s">
        <v>2002</v>
      </c>
      <c r="K60" t="s">
        <v>2003</v>
      </c>
      <c r="N60" t="s">
        <v>2417</v>
      </c>
      <c r="O60" t="s">
        <v>2441</v>
      </c>
      <c r="Q60" t="s">
        <v>2002</v>
      </c>
      <c r="T60">
        <v>678</v>
      </c>
      <c r="U60" t="s">
        <v>2495</v>
      </c>
      <c r="W60" t="s">
        <v>4934</v>
      </c>
      <c r="Y60" t="s">
        <v>5189</v>
      </c>
      <c r="Z60">
        <v>25</v>
      </c>
      <c r="AA60" t="s">
        <v>3783</v>
      </c>
      <c r="AC60">
        <v>23</v>
      </c>
      <c r="AD60">
        <v>1</v>
      </c>
      <c r="AE60">
        <v>1</v>
      </c>
      <c r="AF60">
        <v>93.45999999999999</v>
      </c>
      <c r="AI60" t="s">
        <v>3809</v>
      </c>
      <c r="AJ60">
        <v>15384</v>
      </c>
      <c r="AK60" t="s">
        <v>5362</v>
      </c>
      <c r="AP60">
        <v>1</v>
      </c>
      <c r="AQ60" t="s">
        <v>276</v>
      </c>
      <c r="AR60" t="s">
        <v>4199</v>
      </c>
      <c r="AS60" t="s">
        <v>4210</v>
      </c>
      <c r="AT60" t="s">
        <v>4219</v>
      </c>
    </row>
    <row r="61" spans="1:46">
      <c r="A61" s="1">
        <f>HYPERLINK("https://lsnyc.legalserver.org/matter/dynamic-profile/view/1896769","19-1896769")</f>
        <v>0</v>
      </c>
      <c r="B61" t="s">
        <v>54</v>
      </c>
      <c r="C61" t="s">
        <v>196</v>
      </c>
      <c r="E61" t="s">
        <v>447</v>
      </c>
      <c r="F61" t="s">
        <v>958</v>
      </c>
      <c r="G61" t="s">
        <v>1447</v>
      </c>
      <c r="H61" t="s">
        <v>1748</v>
      </c>
      <c r="I61">
        <v>11213</v>
      </c>
      <c r="J61" t="s">
        <v>2002</v>
      </c>
      <c r="K61" t="s">
        <v>2003</v>
      </c>
      <c r="M61" t="s">
        <v>2006</v>
      </c>
      <c r="N61" t="s">
        <v>2424</v>
      </c>
      <c r="O61" t="s">
        <v>2441</v>
      </c>
      <c r="Q61" t="s">
        <v>2002</v>
      </c>
      <c r="T61">
        <v>719</v>
      </c>
      <c r="U61" t="s">
        <v>2496</v>
      </c>
      <c r="W61" t="s">
        <v>2649</v>
      </c>
      <c r="Y61" t="s">
        <v>3416</v>
      </c>
      <c r="Z61">
        <v>6</v>
      </c>
      <c r="AA61" t="s">
        <v>3783</v>
      </c>
      <c r="AB61" t="s">
        <v>2006</v>
      </c>
      <c r="AC61">
        <v>22</v>
      </c>
      <c r="AD61">
        <v>5</v>
      </c>
      <c r="AE61">
        <v>1</v>
      </c>
      <c r="AF61">
        <v>109.86</v>
      </c>
      <c r="AI61" t="s">
        <v>3809</v>
      </c>
      <c r="AJ61">
        <v>38000</v>
      </c>
      <c r="AK61" t="s">
        <v>3887</v>
      </c>
      <c r="AP61">
        <v>0</v>
      </c>
      <c r="AR61" t="s">
        <v>49</v>
      </c>
      <c r="AS61" t="s">
        <v>4210</v>
      </c>
      <c r="AT61" t="s">
        <v>4219</v>
      </c>
    </row>
    <row r="62" spans="1:46">
      <c r="A62" s="1">
        <f>HYPERLINK("https://lsnyc.legalserver.org/matter/dynamic-profile/view/0821978","16-0821978")</f>
        <v>0</v>
      </c>
      <c r="B62" t="s">
        <v>54</v>
      </c>
      <c r="C62" t="s">
        <v>4223</v>
      </c>
      <c r="E62" t="s">
        <v>4281</v>
      </c>
      <c r="F62" t="s">
        <v>4437</v>
      </c>
      <c r="G62" t="s">
        <v>4588</v>
      </c>
      <c r="H62">
        <v>3</v>
      </c>
      <c r="I62">
        <v>11207</v>
      </c>
      <c r="J62" t="s">
        <v>2003</v>
      </c>
      <c r="K62" t="s">
        <v>2004</v>
      </c>
      <c r="N62" t="s">
        <v>2027</v>
      </c>
      <c r="O62" t="s">
        <v>2442</v>
      </c>
      <c r="Q62" t="s">
        <v>2002</v>
      </c>
      <c r="T62">
        <v>1675</v>
      </c>
      <c r="U62" t="s">
        <v>2494</v>
      </c>
      <c r="W62" t="s">
        <v>4935</v>
      </c>
      <c r="Y62" t="s">
        <v>5190</v>
      </c>
      <c r="Z62">
        <v>6</v>
      </c>
      <c r="AA62" t="s">
        <v>3783</v>
      </c>
      <c r="AB62" t="s">
        <v>2006</v>
      </c>
      <c r="AC62">
        <v>1</v>
      </c>
      <c r="AD62">
        <v>5</v>
      </c>
      <c r="AE62">
        <v>0</v>
      </c>
      <c r="AF62">
        <v>258.26</v>
      </c>
      <c r="AI62" t="s">
        <v>3809</v>
      </c>
      <c r="AJ62">
        <v>73450</v>
      </c>
      <c r="AP62">
        <v>0</v>
      </c>
      <c r="AR62" t="s">
        <v>5407</v>
      </c>
      <c r="AS62" t="s">
        <v>4210</v>
      </c>
      <c r="AT62" t="s">
        <v>4219</v>
      </c>
    </row>
    <row r="63" spans="1:46">
      <c r="A63" s="1">
        <f>HYPERLINK("https://lsnyc.legalserver.org/matter/dynamic-profile/view/1887826","19-1887826")</f>
        <v>0</v>
      </c>
      <c r="B63" t="s">
        <v>54</v>
      </c>
      <c r="C63" t="s">
        <v>82</v>
      </c>
      <c r="E63" t="s">
        <v>4282</v>
      </c>
      <c r="F63" t="s">
        <v>4438</v>
      </c>
      <c r="G63" t="s">
        <v>1487</v>
      </c>
      <c r="H63" t="s">
        <v>4750</v>
      </c>
      <c r="I63">
        <v>11225</v>
      </c>
      <c r="J63" t="s">
        <v>2002</v>
      </c>
      <c r="K63" t="s">
        <v>2004</v>
      </c>
      <c r="N63" t="s">
        <v>2424</v>
      </c>
      <c r="O63" t="s">
        <v>2441</v>
      </c>
      <c r="Q63" t="s">
        <v>2002</v>
      </c>
      <c r="T63">
        <v>1740.79</v>
      </c>
      <c r="U63" t="s">
        <v>2494</v>
      </c>
      <c r="W63" t="s">
        <v>4936</v>
      </c>
      <c r="Y63" t="s">
        <v>5191</v>
      </c>
      <c r="Z63">
        <v>89</v>
      </c>
      <c r="AA63" t="s">
        <v>3783</v>
      </c>
      <c r="AB63" t="s">
        <v>2006</v>
      </c>
      <c r="AC63">
        <v>7</v>
      </c>
      <c r="AD63">
        <v>1</v>
      </c>
      <c r="AE63">
        <v>0</v>
      </c>
      <c r="AF63">
        <v>535.42</v>
      </c>
      <c r="AI63" t="s">
        <v>3809</v>
      </c>
      <c r="AJ63">
        <v>65000</v>
      </c>
      <c r="AP63">
        <v>0</v>
      </c>
      <c r="AR63" t="s">
        <v>49</v>
      </c>
      <c r="AS63" t="s">
        <v>4210</v>
      </c>
      <c r="AT63" t="s">
        <v>4219</v>
      </c>
    </row>
    <row r="64" spans="1:46">
      <c r="A64" s="1">
        <f>HYPERLINK("https://lsnyc.legalserver.org/matter/dynamic-profile/view/1873235","18-1873235")</f>
        <v>0</v>
      </c>
      <c r="B64" t="s">
        <v>55</v>
      </c>
      <c r="C64" t="s">
        <v>74</v>
      </c>
      <c r="D64" t="s">
        <v>128</v>
      </c>
      <c r="E64" t="s">
        <v>4283</v>
      </c>
      <c r="F64" t="s">
        <v>940</v>
      </c>
      <c r="G64" t="s">
        <v>4589</v>
      </c>
      <c r="H64" t="s">
        <v>1748</v>
      </c>
      <c r="I64">
        <v>11203</v>
      </c>
      <c r="J64" t="s">
        <v>2003</v>
      </c>
      <c r="K64" t="s">
        <v>2003</v>
      </c>
      <c r="O64" t="s">
        <v>2439</v>
      </c>
      <c r="P64" t="s">
        <v>2444</v>
      </c>
      <c r="T64">
        <v>0</v>
      </c>
      <c r="V64" t="s">
        <v>2515</v>
      </c>
      <c r="W64" t="s">
        <v>4937</v>
      </c>
      <c r="Z64">
        <v>0</v>
      </c>
      <c r="AC64">
        <v>0</v>
      </c>
      <c r="AD64">
        <v>1</v>
      </c>
      <c r="AE64">
        <v>0</v>
      </c>
      <c r="AF64">
        <v>56.11</v>
      </c>
      <c r="AI64" t="s">
        <v>3809</v>
      </c>
      <c r="AJ64">
        <v>6812</v>
      </c>
      <c r="AP64">
        <v>0.5</v>
      </c>
      <c r="AQ64" t="s">
        <v>2476</v>
      </c>
      <c r="AR64" t="s">
        <v>55</v>
      </c>
      <c r="AS64" t="s">
        <v>4210</v>
      </c>
      <c r="AT64" t="s">
        <v>4219</v>
      </c>
    </row>
    <row r="65" spans="1:46">
      <c r="A65" s="1">
        <f>HYPERLINK("https://lsnyc.legalserver.org/matter/dynamic-profile/view/1879079","18-1879079")</f>
        <v>0</v>
      </c>
      <c r="B65" t="s">
        <v>56</v>
      </c>
      <c r="C65" t="s">
        <v>194</v>
      </c>
      <c r="D65" t="s">
        <v>295</v>
      </c>
      <c r="E65" t="s">
        <v>4284</v>
      </c>
      <c r="F65" t="s">
        <v>4439</v>
      </c>
      <c r="G65" t="s">
        <v>4590</v>
      </c>
      <c r="H65" t="s">
        <v>1754</v>
      </c>
      <c r="I65">
        <v>11233</v>
      </c>
      <c r="J65" t="s">
        <v>2003</v>
      </c>
      <c r="K65" t="s">
        <v>2003</v>
      </c>
      <c r="M65" t="s">
        <v>4808</v>
      </c>
      <c r="N65" t="s">
        <v>2415</v>
      </c>
      <c r="O65" t="s">
        <v>2439</v>
      </c>
      <c r="P65" t="s">
        <v>2444</v>
      </c>
      <c r="Q65" t="s">
        <v>2003</v>
      </c>
      <c r="T65">
        <v>1300</v>
      </c>
      <c r="V65" t="s">
        <v>2515</v>
      </c>
      <c r="W65" t="s">
        <v>4938</v>
      </c>
      <c r="X65" t="s">
        <v>5119</v>
      </c>
      <c r="Y65" t="s">
        <v>5192</v>
      </c>
      <c r="Z65">
        <v>6</v>
      </c>
      <c r="AA65" t="s">
        <v>3783</v>
      </c>
      <c r="AB65" t="s">
        <v>2006</v>
      </c>
      <c r="AC65">
        <v>10</v>
      </c>
      <c r="AD65">
        <v>1</v>
      </c>
      <c r="AE65">
        <v>0</v>
      </c>
      <c r="AF65">
        <v>17.79</v>
      </c>
      <c r="AI65" t="s">
        <v>3809</v>
      </c>
      <c r="AJ65">
        <v>2160</v>
      </c>
      <c r="AP65">
        <v>2.2</v>
      </c>
      <c r="AQ65" t="s">
        <v>295</v>
      </c>
      <c r="AR65" t="s">
        <v>4187</v>
      </c>
      <c r="AS65" t="s">
        <v>4210</v>
      </c>
      <c r="AT65" t="s">
        <v>4219</v>
      </c>
    </row>
    <row r="66" spans="1:46">
      <c r="A66" s="1">
        <f>HYPERLINK("https://lsnyc.legalserver.org/matter/dynamic-profile/view/1879481","18-1879481")</f>
        <v>0</v>
      </c>
      <c r="B66" t="s">
        <v>56</v>
      </c>
      <c r="C66" t="s">
        <v>93</v>
      </c>
      <c r="D66" t="s">
        <v>75</v>
      </c>
      <c r="E66" t="s">
        <v>4284</v>
      </c>
      <c r="F66" t="s">
        <v>4439</v>
      </c>
      <c r="G66" t="s">
        <v>4590</v>
      </c>
      <c r="H66" t="s">
        <v>1754</v>
      </c>
      <c r="I66">
        <v>11233</v>
      </c>
      <c r="J66" t="s">
        <v>2003</v>
      </c>
      <c r="K66" t="s">
        <v>2003</v>
      </c>
      <c r="M66" t="s">
        <v>2027</v>
      </c>
      <c r="O66" t="s">
        <v>2439</v>
      </c>
      <c r="P66" t="s">
        <v>2444</v>
      </c>
      <c r="Q66" t="s">
        <v>2003</v>
      </c>
      <c r="T66">
        <v>1300</v>
      </c>
      <c r="U66" t="s">
        <v>2499</v>
      </c>
      <c r="V66" t="s">
        <v>2514</v>
      </c>
      <c r="W66" t="s">
        <v>4938</v>
      </c>
      <c r="X66" t="s">
        <v>4830</v>
      </c>
      <c r="Y66" t="s">
        <v>5192</v>
      </c>
      <c r="Z66">
        <v>6</v>
      </c>
      <c r="AA66" t="s">
        <v>3783</v>
      </c>
      <c r="AB66" t="s">
        <v>2006</v>
      </c>
      <c r="AC66">
        <v>10</v>
      </c>
      <c r="AD66">
        <v>1</v>
      </c>
      <c r="AE66">
        <v>0</v>
      </c>
      <c r="AF66">
        <v>17.79</v>
      </c>
      <c r="AI66" t="s">
        <v>3809</v>
      </c>
      <c r="AJ66">
        <v>2160</v>
      </c>
      <c r="AP66">
        <v>0.1</v>
      </c>
      <c r="AQ66" t="s">
        <v>75</v>
      </c>
      <c r="AR66" t="s">
        <v>4185</v>
      </c>
      <c r="AS66" t="s">
        <v>4210</v>
      </c>
      <c r="AT66" t="s">
        <v>4219</v>
      </c>
    </row>
    <row r="67" spans="1:46">
      <c r="A67" s="1">
        <f>HYPERLINK("https://lsnyc.legalserver.org/matter/dynamic-profile/view/1862790","18-1862790")</f>
        <v>0</v>
      </c>
      <c r="B67" t="s">
        <v>56</v>
      </c>
      <c r="C67" t="s">
        <v>2469</v>
      </c>
      <c r="D67" t="s">
        <v>112</v>
      </c>
      <c r="E67" t="s">
        <v>564</v>
      </c>
      <c r="F67" t="s">
        <v>1077</v>
      </c>
      <c r="G67" t="s">
        <v>1532</v>
      </c>
      <c r="H67" t="s">
        <v>1738</v>
      </c>
      <c r="I67">
        <v>11233</v>
      </c>
      <c r="J67" t="s">
        <v>2003</v>
      </c>
      <c r="K67" t="s">
        <v>2004</v>
      </c>
      <c r="O67" t="s">
        <v>2439</v>
      </c>
      <c r="P67" t="s">
        <v>2444</v>
      </c>
      <c r="T67">
        <v>0</v>
      </c>
      <c r="V67" t="s">
        <v>2515</v>
      </c>
      <c r="W67" t="s">
        <v>2788</v>
      </c>
      <c r="Z67">
        <v>0</v>
      </c>
      <c r="AC67">
        <v>0</v>
      </c>
      <c r="AD67">
        <v>2</v>
      </c>
      <c r="AE67">
        <v>1</v>
      </c>
      <c r="AF67">
        <v>41.58</v>
      </c>
      <c r="AJ67">
        <v>8640</v>
      </c>
      <c r="AP67">
        <v>3.5</v>
      </c>
      <c r="AQ67" t="s">
        <v>111</v>
      </c>
      <c r="AR67" t="s">
        <v>56</v>
      </c>
      <c r="AS67" t="s">
        <v>4212</v>
      </c>
      <c r="AT67" t="s">
        <v>4219</v>
      </c>
    </row>
    <row r="68" spans="1:46">
      <c r="A68" s="1">
        <f>HYPERLINK("https://lsnyc.legalserver.org/matter/dynamic-profile/view/1865771","18-1865771")</f>
        <v>0</v>
      </c>
      <c r="B68" t="s">
        <v>56</v>
      </c>
      <c r="C68" t="s">
        <v>4224</v>
      </c>
      <c r="D68" t="s">
        <v>316</v>
      </c>
      <c r="E68" t="s">
        <v>747</v>
      </c>
      <c r="F68" t="s">
        <v>896</v>
      </c>
      <c r="G68" t="s">
        <v>4591</v>
      </c>
      <c r="H68" t="s">
        <v>1734</v>
      </c>
      <c r="I68">
        <v>11233</v>
      </c>
      <c r="J68" t="s">
        <v>2002</v>
      </c>
      <c r="K68" t="s">
        <v>2003</v>
      </c>
      <c r="M68" t="s">
        <v>4809</v>
      </c>
      <c r="N68" t="s">
        <v>2415</v>
      </c>
      <c r="O68" t="s">
        <v>2439</v>
      </c>
      <c r="P68" t="s">
        <v>2444</v>
      </c>
      <c r="T68">
        <v>1052</v>
      </c>
      <c r="U68" t="s">
        <v>2497</v>
      </c>
      <c r="V68" t="s">
        <v>2520</v>
      </c>
      <c r="W68" t="s">
        <v>4939</v>
      </c>
      <c r="Y68" t="s">
        <v>5193</v>
      </c>
      <c r="Z68">
        <v>97</v>
      </c>
      <c r="AA68" t="s">
        <v>3786</v>
      </c>
      <c r="AB68" t="s">
        <v>2495</v>
      </c>
      <c r="AC68">
        <v>4</v>
      </c>
      <c r="AD68">
        <v>2</v>
      </c>
      <c r="AE68">
        <v>2</v>
      </c>
      <c r="AF68">
        <v>68.91</v>
      </c>
      <c r="AI68" t="s">
        <v>3809</v>
      </c>
      <c r="AJ68">
        <v>17296</v>
      </c>
      <c r="AP68">
        <v>2.3</v>
      </c>
      <c r="AQ68" t="s">
        <v>5399</v>
      </c>
      <c r="AR68" t="s">
        <v>4185</v>
      </c>
      <c r="AS68" t="s">
        <v>4210</v>
      </c>
      <c r="AT68" t="s">
        <v>4219</v>
      </c>
    </row>
    <row r="69" spans="1:46">
      <c r="A69" s="1">
        <f>HYPERLINK("https://lsnyc.legalserver.org/matter/dynamic-profile/view/1871694","18-1871694")</f>
        <v>0</v>
      </c>
      <c r="B69" t="s">
        <v>56</v>
      </c>
      <c r="C69" t="s">
        <v>187</v>
      </c>
      <c r="D69" t="s">
        <v>125</v>
      </c>
      <c r="E69" t="s">
        <v>4285</v>
      </c>
      <c r="F69" t="s">
        <v>4440</v>
      </c>
      <c r="G69" t="s">
        <v>4592</v>
      </c>
      <c r="H69" t="s">
        <v>4751</v>
      </c>
      <c r="I69">
        <v>11212</v>
      </c>
      <c r="J69" t="s">
        <v>2003</v>
      </c>
      <c r="K69" t="s">
        <v>2004</v>
      </c>
      <c r="M69" t="s">
        <v>4810</v>
      </c>
      <c r="N69" t="s">
        <v>2415</v>
      </c>
      <c r="O69" t="s">
        <v>2439</v>
      </c>
      <c r="P69" t="s">
        <v>2444</v>
      </c>
      <c r="Q69" t="s">
        <v>2003</v>
      </c>
      <c r="T69">
        <v>1400</v>
      </c>
      <c r="U69" t="s">
        <v>2497</v>
      </c>
      <c r="V69" t="s">
        <v>2515</v>
      </c>
      <c r="W69" t="s">
        <v>4940</v>
      </c>
      <c r="X69" t="s">
        <v>5120</v>
      </c>
      <c r="Y69" t="s">
        <v>5194</v>
      </c>
      <c r="Z69">
        <v>0</v>
      </c>
      <c r="AA69" t="s">
        <v>3787</v>
      </c>
      <c r="AB69" t="s">
        <v>3793</v>
      </c>
      <c r="AC69">
        <v>25</v>
      </c>
      <c r="AD69">
        <v>1</v>
      </c>
      <c r="AE69">
        <v>0</v>
      </c>
      <c r="AF69">
        <v>80.26000000000001</v>
      </c>
      <c r="AI69" t="s">
        <v>3809</v>
      </c>
      <c r="AJ69">
        <v>9744</v>
      </c>
      <c r="AP69">
        <v>9.1</v>
      </c>
      <c r="AQ69" t="s">
        <v>87</v>
      </c>
      <c r="AR69" t="s">
        <v>4198</v>
      </c>
      <c r="AS69" t="s">
        <v>4210</v>
      </c>
      <c r="AT69" t="s">
        <v>4219</v>
      </c>
    </row>
    <row r="70" spans="1:46">
      <c r="A70" s="1">
        <f>HYPERLINK("https://lsnyc.legalserver.org/matter/dynamic-profile/view/1867170","18-1867170")</f>
        <v>0</v>
      </c>
      <c r="B70" t="s">
        <v>56</v>
      </c>
      <c r="C70" t="s">
        <v>4225</v>
      </c>
      <c r="D70" t="s">
        <v>99</v>
      </c>
      <c r="E70" t="s">
        <v>4286</v>
      </c>
      <c r="F70" t="s">
        <v>4441</v>
      </c>
      <c r="G70" t="s">
        <v>1482</v>
      </c>
      <c r="H70" t="s">
        <v>4752</v>
      </c>
      <c r="I70">
        <v>11233</v>
      </c>
      <c r="J70" t="s">
        <v>2002</v>
      </c>
      <c r="K70" t="s">
        <v>2002</v>
      </c>
      <c r="M70" t="s">
        <v>4811</v>
      </c>
      <c r="N70" t="s">
        <v>2415</v>
      </c>
      <c r="O70" t="s">
        <v>2437</v>
      </c>
      <c r="P70" t="s">
        <v>2446</v>
      </c>
      <c r="Q70" t="s">
        <v>2002</v>
      </c>
      <c r="T70">
        <v>1266.08</v>
      </c>
      <c r="U70" t="s">
        <v>2497</v>
      </c>
      <c r="V70" t="s">
        <v>2516</v>
      </c>
      <c r="W70" t="s">
        <v>4941</v>
      </c>
      <c r="X70" t="s">
        <v>3160</v>
      </c>
      <c r="Y70" t="s">
        <v>5195</v>
      </c>
      <c r="Z70">
        <v>718</v>
      </c>
      <c r="AA70" t="s">
        <v>3783</v>
      </c>
      <c r="AB70" t="s">
        <v>3793</v>
      </c>
      <c r="AC70">
        <v>23</v>
      </c>
      <c r="AD70">
        <v>2</v>
      </c>
      <c r="AE70">
        <v>1</v>
      </c>
      <c r="AF70">
        <v>133.84</v>
      </c>
      <c r="AI70" t="s">
        <v>3809</v>
      </c>
      <c r="AJ70">
        <v>27812</v>
      </c>
      <c r="AN70" t="s">
        <v>4122</v>
      </c>
      <c r="AO70" t="s">
        <v>5398</v>
      </c>
      <c r="AP70">
        <v>25.55</v>
      </c>
      <c r="AQ70" t="s">
        <v>208</v>
      </c>
      <c r="AR70" t="s">
        <v>4185</v>
      </c>
      <c r="AS70" t="s">
        <v>4210</v>
      </c>
      <c r="AT70" t="s">
        <v>4219</v>
      </c>
    </row>
    <row r="71" spans="1:46">
      <c r="A71" s="1">
        <f>HYPERLINK("https://lsnyc.legalserver.org/matter/dynamic-profile/view/1877211","18-1877211")</f>
        <v>0</v>
      </c>
      <c r="B71" t="s">
        <v>56</v>
      </c>
      <c r="C71" t="s">
        <v>81</v>
      </c>
      <c r="D71" t="s">
        <v>128</v>
      </c>
      <c r="E71" t="s">
        <v>4287</v>
      </c>
      <c r="F71" t="s">
        <v>4442</v>
      </c>
      <c r="I71">
        <v>11233</v>
      </c>
      <c r="J71" t="s">
        <v>2003</v>
      </c>
      <c r="K71" t="s">
        <v>2004</v>
      </c>
      <c r="O71" t="s">
        <v>2439</v>
      </c>
      <c r="P71" t="s">
        <v>2444</v>
      </c>
      <c r="Q71" t="s">
        <v>2003</v>
      </c>
      <c r="T71">
        <v>300</v>
      </c>
      <c r="U71" t="s">
        <v>2497</v>
      </c>
      <c r="V71" t="s">
        <v>2515</v>
      </c>
      <c r="W71" t="s">
        <v>4942</v>
      </c>
      <c r="Y71" t="s">
        <v>5196</v>
      </c>
      <c r="Z71">
        <v>0</v>
      </c>
      <c r="AA71" t="s">
        <v>3783</v>
      </c>
      <c r="AC71">
        <v>5</v>
      </c>
      <c r="AD71">
        <v>2</v>
      </c>
      <c r="AE71">
        <v>0</v>
      </c>
      <c r="AF71">
        <v>145.81</v>
      </c>
      <c r="AI71" t="s">
        <v>3809</v>
      </c>
      <c r="AJ71">
        <v>24000</v>
      </c>
      <c r="AP71">
        <v>3.25</v>
      </c>
      <c r="AQ71" t="s">
        <v>4176</v>
      </c>
      <c r="AR71" t="s">
        <v>56</v>
      </c>
      <c r="AS71" t="s">
        <v>4210</v>
      </c>
      <c r="AT71" t="s">
        <v>4219</v>
      </c>
    </row>
    <row r="72" spans="1:46">
      <c r="A72" s="1">
        <f>HYPERLINK("https://lsnyc.legalserver.org/matter/dynamic-profile/view/1873370","18-1873370")</f>
        <v>0</v>
      </c>
      <c r="B72" t="s">
        <v>56</v>
      </c>
      <c r="C72" t="s">
        <v>197</v>
      </c>
      <c r="D72" t="s">
        <v>111</v>
      </c>
      <c r="E72" t="s">
        <v>4277</v>
      </c>
      <c r="F72" t="s">
        <v>965</v>
      </c>
      <c r="G72" t="s">
        <v>1495</v>
      </c>
      <c r="H72" t="s">
        <v>1960</v>
      </c>
      <c r="I72">
        <v>11236</v>
      </c>
      <c r="J72" t="s">
        <v>2003</v>
      </c>
      <c r="K72" t="s">
        <v>2004</v>
      </c>
      <c r="M72" t="s">
        <v>4812</v>
      </c>
      <c r="N72" t="s">
        <v>2413</v>
      </c>
      <c r="P72" t="s">
        <v>2444</v>
      </c>
      <c r="Q72" t="s">
        <v>2003</v>
      </c>
      <c r="T72">
        <v>1132</v>
      </c>
      <c r="U72" t="s">
        <v>2505</v>
      </c>
      <c r="V72" t="s">
        <v>2515</v>
      </c>
      <c r="W72" t="s">
        <v>4943</v>
      </c>
      <c r="X72" t="s">
        <v>2058</v>
      </c>
      <c r="Y72" t="s">
        <v>5197</v>
      </c>
      <c r="Z72">
        <v>113</v>
      </c>
      <c r="AA72" t="s">
        <v>3783</v>
      </c>
      <c r="AB72" t="s">
        <v>2006</v>
      </c>
      <c r="AC72">
        <v>18</v>
      </c>
      <c r="AD72">
        <v>2</v>
      </c>
      <c r="AE72">
        <v>0</v>
      </c>
      <c r="AF72">
        <v>157.96</v>
      </c>
      <c r="AI72" t="s">
        <v>3809</v>
      </c>
      <c r="AJ72">
        <v>26000</v>
      </c>
      <c r="AK72" t="s">
        <v>5363</v>
      </c>
      <c r="AP72">
        <v>3.5</v>
      </c>
      <c r="AQ72" t="s">
        <v>111</v>
      </c>
      <c r="AR72" t="s">
        <v>4185</v>
      </c>
      <c r="AS72" t="s">
        <v>4210</v>
      </c>
      <c r="AT72" t="s">
        <v>4219</v>
      </c>
    </row>
    <row r="73" spans="1:46">
      <c r="A73" s="1">
        <f>HYPERLINK("https://lsnyc.legalserver.org/matter/dynamic-profile/view/1870245","18-1870245")</f>
        <v>0</v>
      </c>
      <c r="B73" t="s">
        <v>56</v>
      </c>
      <c r="C73" t="s">
        <v>4181</v>
      </c>
      <c r="D73" t="s">
        <v>112</v>
      </c>
      <c r="E73" t="s">
        <v>4288</v>
      </c>
      <c r="F73" t="s">
        <v>4443</v>
      </c>
      <c r="G73" t="s">
        <v>4593</v>
      </c>
      <c r="H73" t="s">
        <v>1752</v>
      </c>
      <c r="I73">
        <v>11207</v>
      </c>
      <c r="J73" t="s">
        <v>2003</v>
      </c>
      <c r="K73" t="s">
        <v>2004</v>
      </c>
      <c r="M73" t="s">
        <v>4813</v>
      </c>
      <c r="N73" t="s">
        <v>2415</v>
      </c>
      <c r="O73" t="s">
        <v>2439</v>
      </c>
      <c r="P73" t="s">
        <v>2444</v>
      </c>
      <c r="T73">
        <v>1374</v>
      </c>
      <c r="V73" t="s">
        <v>2515</v>
      </c>
      <c r="W73" t="s">
        <v>4944</v>
      </c>
      <c r="X73" t="s">
        <v>5121</v>
      </c>
      <c r="Y73" t="s">
        <v>5198</v>
      </c>
      <c r="Z73">
        <v>3</v>
      </c>
      <c r="AA73" t="s">
        <v>3784</v>
      </c>
      <c r="AC73">
        <v>13</v>
      </c>
      <c r="AD73">
        <v>1</v>
      </c>
      <c r="AE73">
        <v>1</v>
      </c>
      <c r="AF73">
        <v>236.94</v>
      </c>
      <c r="AI73" t="s">
        <v>3809</v>
      </c>
      <c r="AJ73">
        <v>39000</v>
      </c>
      <c r="AP73">
        <v>2</v>
      </c>
      <c r="AQ73" t="s">
        <v>4235</v>
      </c>
      <c r="AR73" t="s">
        <v>4197</v>
      </c>
      <c r="AS73" t="s">
        <v>4210</v>
      </c>
      <c r="AT73" t="s">
        <v>4219</v>
      </c>
    </row>
    <row r="74" spans="1:46">
      <c r="A74" s="1">
        <f>HYPERLINK("https://lsnyc.legalserver.org/matter/dynamic-profile/view/1895273","19-1895273")</f>
        <v>0</v>
      </c>
      <c r="B74" t="s">
        <v>57</v>
      </c>
      <c r="C74" t="s">
        <v>76</v>
      </c>
      <c r="E74" t="s">
        <v>361</v>
      </c>
      <c r="F74" t="s">
        <v>4444</v>
      </c>
      <c r="G74" t="s">
        <v>1503</v>
      </c>
      <c r="H74" t="s">
        <v>1736</v>
      </c>
      <c r="I74">
        <v>11212</v>
      </c>
      <c r="J74" t="s">
        <v>2003</v>
      </c>
      <c r="K74" t="s">
        <v>2003</v>
      </c>
      <c r="Q74" t="s">
        <v>2002</v>
      </c>
      <c r="T74">
        <v>683</v>
      </c>
      <c r="W74" t="s">
        <v>4945</v>
      </c>
      <c r="Z74">
        <v>0</v>
      </c>
      <c r="AA74" t="s">
        <v>3783</v>
      </c>
      <c r="AB74" t="s">
        <v>2006</v>
      </c>
      <c r="AC74">
        <v>30</v>
      </c>
      <c r="AD74">
        <v>2</v>
      </c>
      <c r="AE74">
        <v>0</v>
      </c>
      <c r="AF74">
        <v>0</v>
      </c>
      <c r="AI74" t="s">
        <v>3809</v>
      </c>
      <c r="AJ74">
        <v>0</v>
      </c>
      <c r="AP74">
        <v>1</v>
      </c>
      <c r="AQ74" t="s">
        <v>140</v>
      </c>
      <c r="AR74" t="s">
        <v>4185</v>
      </c>
      <c r="AS74" t="s">
        <v>4210</v>
      </c>
      <c r="AT74" t="s">
        <v>4219</v>
      </c>
    </row>
    <row r="75" spans="1:46">
      <c r="A75" s="1">
        <f>HYPERLINK("https://lsnyc.legalserver.org/matter/dynamic-profile/view/1875657","18-1875657")</f>
        <v>0</v>
      </c>
      <c r="B75" t="s">
        <v>57</v>
      </c>
      <c r="C75" t="s">
        <v>87</v>
      </c>
      <c r="E75" t="s">
        <v>340</v>
      </c>
      <c r="F75" t="s">
        <v>4445</v>
      </c>
      <c r="G75" t="s">
        <v>4594</v>
      </c>
      <c r="H75" t="s">
        <v>1749</v>
      </c>
      <c r="I75">
        <v>11233</v>
      </c>
      <c r="J75" t="s">
        <v>2004</v>
      </c>
      <c r="K75" t="s">
        <v>2004</v>
      </c>
      <c r="O75" t="s">
        <v>2436</v>
      </c>
      <c r="T75">
        <v>0</v>
      </c>
      <c r="W75" t="s">
        <v>4946</v>
      </c>
      <c r="Y75" t="s">
        <v>5199</v>
      </c>
      <c r="Z75">
        <v>0</v>
      </c>
      <c r="AC75">
        <v>0</v>
      </c>
      <c r="AD75">
        <v>3</v>
      </c>
      <c r="AE75">
        <v>1</v>
      </c>
      <c r="AF75">
        <v>2.39</v>
      </c>
      <c r="AI75" t="s">
        <v>3809</v>
      </c>
      <c r="AJ75">
        <v>600</v>
      </c>
      <c r="AP75">
        <v>0.25</v>
      </c>
      <c r="AQ75" t="s">
        <v>289</v>
      </c>
      <c r="AR75" t="s">
        <v>4199</v>
      </c>
      <c r="AS75" t="s">
        <v>4210</v>
      </c>
      <c r="AT75" t="s">
        <v>4219</v>
      </c>
    </row>
    <row r="76" spans="1:46">
      <c r="A76" s="1">
        <f>HYPERLINK("https://lsnyc.legalserver.org/matter/dynamic-profile/view/0831293","17-0831293")</f>
        <v>0</v>
      </c>
      <c r="B76" t="s">
        <v>57</v>
      </c>
      <c r="C76" t="s">
        <v>4226</v>
      </c>
      <c r="E76" t="s">
        <v>4289</v>
      </c>
      <c r="F76" t="s">
        <v>4446</v>
      </c>
      <c r="G76" t="s">
        <v>4595</v>
      </c>
      <c r="H76">
        <v>14</v>
      </c>
      <c r="I76">
        <v>11219</v>
      </c>
      <c r="J76" t="s">
        <v>2002</v>
      </c>
      <c r="K76" t="s">
        <v>2004</v>
      </c>
      <c r="M76" t="s">
        <v>4814</v>
      </c>
      <c r="N76" t="s">
        <v>2415</v>
      </c>
      <c r="O76" t="s">
        <v>2437</v>
      </c>
      <c r="Q76" t="s">
        <v>2003</v>
      </c>
      <c r="T76">
        <v>1065</v>
      </c>
      <c r="U76" t="s">
        <v>2512</v>
      </c>
      <c r="W76" t="s">
        <v>4947</v>
      </c>
      <c r="Z76">
        <v>0</v>
      </c>
      <c r="AA76" t="s">
        <v>3783</v>
      </c>
      <c r="AB76" t="s">
        <v>2006</v>
      </c>
      <c r="AC76">
        <v>12</v>
      </c>
      <c r="AD76">
        <v>3</v>
      </c>
      <c r="AE76">
        <v>0</v>
      </c>
      <c r="AF76">
        <v>32.32</v>
      </c>
      <c r="AI76" t="s">
        <v>5355</v>
      </c>
      <c r="AJ76">
        <v>6600</v>
      </c>
      <c r="AP76">
        <v>95.45</v>
      </c>
      <c r="AQ76" t="s">
        <v>144</v>
      </c>
      <c r="AR76" t="s">
        <v>5408</v>
      </c>
      <c r="AS76" t="s">
        <v>4210</v>
      </c>
      <c r="AT76" t="s">
        <v>4219</v>
      </c>
    </row>
    <row r="77" spans="1:46">
      <c r="A77" s="1">
        <f>HYPERLINK("https://lsnyc.legalserver.org/matter/dynamic-profile/view/1875253","18-1875253")</f>
        <v>0</v>
      </c>
      <c r="B77" t="s">
        <v>57</v>
      </c>
      <c r="C77" t="s">
        <v>89</v>
      </c>
      <c r="D77" t="s">
        <v>243</v>
      </c>
      <c r="E77" t="s">
        <v>4290</v>
      </c>
      <c r="F77" t="s">
        <v>4447</v>
      </c>
      <c r="G77" t="s">
        <v>1395</v>
      </c>
      <c r="H77">
        <v>2</v>
      </c>
      <c r="I77">
        <v>11233</v>
      </c>
      <c r="J77" t="s">
        <v>2002</v>
      </c>
      <c r="K77" t="s">
        <v>2003</v>
      </c>
      <c r="N77" t="s">
        <v>2415</v>
      </c>
      <c r="O77" t="s">
        <v>2436</v>
      </c>
      <c r="P77" t="s">
        <v>2443</v>
      </c>
      <c r="Q77" t="s">
        <v>2003</v>
      </c>
      <c r="R77" t="s">
        <v>2451</v>
      </c>
      <c r="T77">
        <v>1363</v>
      </c>
      <c r="U77" t="s">
        <v>2497</v>
      </c>
      <c r="V77" t="s">
        <v>2516</v>
      </c>
      <c r="W77" t="s">
        <v>4948</v>
      </c>
      <c r="Y77" t="s">
        <v>5200</v>
      </c>
      <c r="Z77">
        <v>8</v>
      </c>
      <c r="AA77" t="s">
        <v>3783</v>
      </c>
      <c r="AB77" t="s">
        <v>3793</v>
      </c>
      <c r="AC77">
        <v>4</v>
      </c>
      <c r="AD77">
        <v>1</v>
      </c>
      <c r="AE77">
        <v>1</v>
      </c>
      <c r="AF77">
        <v>176.12</v>
      </c>
      <c r="AI77" t="s">
        <v>3809</v>
      </c>
      <c r="AJ77">
        <v>28990</v>
      </c>
      <c r="AK77" t="s">
        <v>5364</v>
      </c>
      <c r="AP77">
        <v>0.9</v>
      </c>
      <c r="AQ77" t="s">
        <v>137</v>
      </c>
      <c r="AR77" t="s">
        <v>57</v>
      </c>
      <c r="AS77" t="s">
        <v>4210</v>
      </c>
      <c r="AT77" t="s">
        <v>4219</v>
      </c>
    </row>
    <row r="78" spans="1:46">
      <c r="A78" s="1">
        <f>HYPERLINK("https://lsnyc.legalserver.org/matter/dynamic-profile/view/0825594","17-0825594")</f>
        <v>0</v>
      </c>
      <c r="B78" t="s">
        <v>58</v>
      </c>
      <c r="C78" t="s">
        <v>4227</v>
      </c>
      <c r="D78" t="s">
        <v>320</v>
      </c>
      <c r="E78" t="s">
        <v>4291</v>
      </c>
      <c r="F78" t="s">
        <v>979</v>
      </c>
      <c r="G78" t="s">
        <v>4596</v>
      </c>
      <c r="H78" t="s">
        <v>1741</v>
      </c>
      <c r="I78">
        <v>11233</v>
      </c>
      <c r="J78" t="s">
        <v>2004</v>
      </c>
      <c r="K78" t="s">
        <v>2004</v>
      </c>
      <c r="M78" t="s">
        <v>4815</v>
      </c>
      <c r="N78" t="s">
        <v>2415</v>
      </c>
      <c r="O78" t="s">
        <v>2439</v>
      </c>
      <c r="P78" t="s">
        <v>2444</v>
      </c>
      <c r="Q78" t="s">
        <v>2003</v>
      </c>
      <c r="T78">
        <v>756</v>
      </c>
      <c r="U78" t="s">
        <v>2502</v>
      </c>
      <c r="V78" t="s">
        <v>2515</v>
      </c>
      <c r="W78" t="s">
        <v>4949</v>
      </c>
      <c r="X78" t="s">
        <v>5122</v>
      </c>
      <c r="Y78" t="s">
        <v>5201</v>
      </c>
      <c r="Z78">
        <v>12</v>
      </c>
      <c r="AB78" t="s">
        <v>3793</v>
      </c>
      <c r="AC78">
        <v>11</v>
      </c>
      <c r="AD78">
        <v>1</v>
      </c>
      <c r="AE78">
        <v>2</v>
      </c>
      <c r="AF78">
        <v>69.40000000000001</v>
      </c>
      <c r="AI78" t="s">
        <v>3809</v>
      </c>
      <c r="AJ78">
        <v>13992</v>
      </c>
      <c r="AP78">
        <v>1.2</v>
      </c>
      <c r="AQ78" t="s">
        <v>4247</v>
      </c>
      <c r="AR78" t="s">
        <v>4205</v>
      </c>
      <c r="AS78" t="s">
        <v>4210</v>
      </c>
      <c r="AT78" t="s">
        <v>4219</v>
      </c>
    </row>
    <row r="79" spans="1:46">
      <c r="A79" s="1">
        <f>HYPERLINK("https://lsnyc.legalserver.org/matter/dynamic-profile/view/1876794","18-1876794")</f>
        <v>0</v>
      </c>
      <c r="B79" t="s">
        <v>60</v>
      </c>
      <c r="C79" t="s">
        <v>110</v>
      </c>
      <c r="E79" t="s">
        <v>556</v>
      </c>
      <c r="F79" t="s">
        <v>1067</v>
      </c>
      <c r="G79" t="s">
        <v>1521</v>
      </c>
      <c r="H79" t="s">
        <v>1749</v>
      </c>
      <c r="I79">
        <v>11207</v>
      </c>
      <c r="J79" t="s">
        <v>2002</v>
      </c>
      <c r="K79" t="s">
        <v>2002</v>
      </c>
      <c r="M79" t="s">
        <v>2181</v>
      </c>
      <c r="N79" t="s">
        <v>2430</v>
      </c>
      <c r="O79" t="s">
        <v>2436</v>
      </c>
      <c r="Q79" t="s">
        <v>2003</v>
      </c>
      <c r="T79">
        <v>1301.25</v>
      </c>
      <c r="U79" t="s">
        <v>2500</v>
      </c>
      <c r="W79" t="s">
        <v>2777</v>
      </c>
      <c r="X79" t="s">
        <v>3224</v>
      </c>
      <c r="Y79" t="s">
        <v>3527</v>
      </c>
      <c r="Z79">
        <v>6</v>
      </c>
      <c r="AA79" t="s">
        <v>3783</v>
      </c>
      <c r="AB79" t="s">
        <v>3798</v>
      </c>
      <c r="AC79">
        <v>10</v>
      </c>
      <c r="AD79">
        <v>2</v>
      </c>
      <c r="AE79">
        <v>0</v>
      </c>
      <c r="AF79">
        <v>54.68</v>
      </c>
      <c r="AI79" t="s">
        <v>3809</v>
      </c>
      <c r="AJ79">
        <v>9000</v>
      </c>
      <c r="AK79" t="s">
        <v>3829</v>
      </c>
      <c r="AP79">
        <v>0</v>
      </c>
      <c r="AR79" t="s">
        <v>4190</v>
      </c>
      <c r="AS79" t="s">
        <v>4214</v>
      </c>
      <c r="AT79" t="s">
        <v>4219</v>
      </c>
    </row>
    <row r="80" spans="1:46">
      <c r="A80" s="1">
        <f>HYPERLINK("https://lsnyc.legalserver.org/matter/dynamic-profile/view/1849071","17-1849071")</f>
        <v>0</v>
      </c>
      <c r="B80" t="s">
        <v>60</v>
      </c>
      <c r="C80" t="s">
        <v>4228</v>
      </c>
      <c r="D80" t="s">
        <v>282</v>
      </c>
      <c r="E80" t="s">
        <v>4292</v>
      </c>
      <c r="F80" t="s">
        <v>921</v>
      </c>
      <c r="G80" t="s">
        <v>4597</v>
      </c>
      <c r="H80" t="s">
        <v>4753</v>
      </c>
      <c r="I80">
        <v>11220</v>
      </c>
      <c r="J80" t="s">
        <v>2002</v>
      </c>
      <c r="K80" t="s">
        <v>2002</v>
      </c>
      <c r="N80" t="s">
        <v>2413</v>
      </c>
      <c r="O80" t="s">
        <v>2437</v>
      </c>
      <c r="P80" t="s">
        <v>2448</v>
      </c>
      <c r="Q80" t="s">
        <v>2003</v>
      </c>
      <c r="T80">
        <v>1224</v>
      </c>
      <c r="U80" t="s">
        <v>2497</v>
      </c>
      <c r="V80" t="s">
        <v>2527</v>
      </c>
      <c r="W80" t="s">
        <v>4950</v>
      </c>
      <c r="X80" t="s">
        <v>2156</v>
      </c>
      <c r="Y80" t="s">
        <v>5202</v>
      </c>
      <c r="Z80">
        <v>17</v>
      </c>
      <c r="AA80" t="s">
        <v>3783</v>
      </c>
      <c r="AB80" t="s">
        <v>2006</v>
      </c>
      <c r="AC80">
        <v>5</v>
      </c>
      <c r="AD80">
        <v>2</v>
      </c>
      <c r="AE80">
        <v>1</v>
      </c>
      <c r="AF80">
        <v>135.22</v>
      </c>
      <c r="AI80" t="s">
        <v>3809</v>
      </c>
      <c r="AJ80">
        <v>27612</v>
      </c>
      <c r="AP80">
        <v>7.1</v>
      </c>
      <c r="AQ80" t="s">
        <v>5400</v>
      </c>
      <c r="AR80" t="s">
        <v>4185</v>
      </c>
      <c r="AS80" t="s">
        <v>4210</v>
      </c>
      <c r="AT80" t="s">
        <v>4219</v>
      </c>
    </row>
    <row r="81" spans="1:46">
      <c r="A81" s="1">
        <f>HYPERLINK("https://lsnyc.legalserver.org/matter/dynamic-profile/view/1832972","17-1832972")</f>
        <v>0</v>
      </c>
      <c r="B81" t="s">
        <v>60</v>
      </c>
      <c r="C81" t="s">
        <v>4229</v>
      </c>
      <c r="E81" t="s">
        <v>467</v>
      </c>
      <c r="F81" t="s">
        <v>4448</v>
      </c>
      <c r="G81" t="s">
        <v>4598</v>
      </c>
      <c r="I81">
        <v>11213</v>
      </c>
      <c r="J81" t="s">
        <v>2002</v>
      </c>
      <c r="K81" t="s">
        <v>2004</v>
      </c>
      <c r="N81" t="s">
        <v>2417</v>
      </c>
      <c r="O81" t="s">
        <v>2436</v>
      </c>
      <c r="Q81" t="s">
        <v>2002</v>
      </c>
      <c r="T81">
        <v>0</v>
      </c>
      <c r="U81" t="s">
        <v>2494</v>
      </c>
      <c r="W81" t="s">
        <v>4951</v>
      </c>
      <c r="Z81">
        <v>74</v>
      </c>
      <c r="AA81" t="s">
        <v>3783</v>
      </c>
      <c r="AC81">
        <v>0</v>
      </c>
      <c r="AD81">
        <v>1</v>
      </c>
      <c r="AE81">
        <v>0</v>
      </c>
      <c r="AF81">
        <v>261.89</v>
      </c>
      <c r="AG81" t="s">
        <v>5352</v>
      </c>
      <c r="AI81" t="s">
        <v>3809</v>
      </c>
      <c r="AJ81">
        <v>31584</v>
      </c>
      <c r="AP81">
        <v>0</v>
      </c>
      <c r="AR81" t="s">
        <v>5409</v>
      </c>
      <c r="AS81" t="s">
        <v>4210</v>
      </c>
      <c r="AT81" t="s">
        <v>4219</v>
      </c>
    </row>
    <row r="82" spans="1:46">
      <c r="A82" s="1">
        <f>HYPERLINK("https://lsnyc.legalserver.org/matter/dynamic-profile/view/1880652","18-1880652")</f>
        <v>0</v>
      </c>
      <c r="B82" t="s">
        <v>61</v>
      </c>
      <c r="C82" t="s">
        <v>295</v>
      </c>
      <c r="E82" t="s">
        <v>4293</v>
      </c>
      <c r="F82" t="s">
        <v>4449</v>
      </c>
      <c r="G82" t="s">
        <v>4599</v>
      </c>
      <c r="H82" t="s">
        <v>4754</v>
      </c>
      <c r="I82">
        <v>11233</v>
      </c>
      <c r="J82" t="s">
        <v>2002</v>
      </c>
      <c r="K82" t="s">
        <v>2002</v>
      </c>
      <c r="M82" t="s">
        <v>4816</v>
      </c>
      <c r="N82" t="s">
        <v>2413</v>
      </c>
      <c r="O82" t="s">
        <v>2437</v>
      </c>
      <c r="Q82" t="s">
        <v>2003</v>
      </c>
      <c r="R82" t="s">
        <v>2455</v>
      </c>
      <c r="T82">
        <v>700</v>
      </c>
      <c r="U82" t="s">
        <v>2501</v>
      </c>
      <c r="W82" t="s">
        <v>4952</v>
      </c>
      <c r="Y82" t="s">
        <v>5203</v>
      </c>
      <c r="Z82">
        <v>27</v>
      </c>
      <c r="AC82">
        <v>10</v>
      </c>
      <c r="AD82">
        <v>1</v>
      </c>
      <c r="AE82">
        <v>0</v>
      </c>
      <c r="AF82">
        <v>66.72</v>
      </c>
      <c r="AI82" t="s">
        <v>3809</v>
      </c>
      <c r="AJ82">
        <v>8100</v>
      </c>
      <c r="AK82" t="s">
        <v>3818</v>
      </c>
      <c r="AP82">
        <v>34.2</v>
      </c>
      <c r="AQ82" t="s">
        <v>310</v>
      </c>
      <c r="AR82" t="s">
        <v>4191</v>
      </c>
      <c r="AS82" t="s">
        <v>4210</v>
      </c>
      <c r="AT82" t="s">
        <v>4219</v>
      </c>
    </row>
    <row r="83" spans="1:46">
      <c r="A83" s="1">
        <f>HYPERLINK("https://lsnyc.legalserver.org/matter/dynamic-profile/view/1877775","18-1877775")</f>
        <v>0</v>
      </c>
      <c r="B83" t="s">
        <v>61</v>
      </c>
      <c r="C83" t="s">
        <v>90</v>
      </c>
      <c r="D83" t="s">
        <v>244</v>
      </c>
      <c r="E83" t="s">
        <v>4294</v>
      </c>
      <c r="F83" t="s">
        <v>1049</v>
      </c>
      <c r="G83" t="s">
        <v>4600</v>
      </c>
      <c r="H83" t="s">
        <v>1741</v>
      </c>
      <c r="I83">
        <v>11213</v>
      </c>
      <c r="J83" t="s">
        <v>2003</v>
      </c>
      <c r="K83" t="s">
        <v>2004</v>
      </c>
      <c r="M83" t="s">
        <v>4817</v>
      </c>
      <c r="N83" t="s">
        <v>2415</v>
      </c>
      <c r="O83" t="s">
        <v>2437</v>
      </c>
      <c r="P83" t="s">
        <v>2445</v>
      </c>
      <c r="Q83" t="s">
        <v>2003</v>
      </c>
      <c r="T83">
        <v>1085</v>
      </c>
      <c r="U83" t="s">
        <v>2501</v>
      </c>
      <c r="V83" t="s">
        <v>2519</v>
      </c>
      <c r="W83" t="s">
        <v>4953</v>
      </c>
      <c r="X83" t="s">
        <v>3208</v>
      </c>
      <c r="Y83" t="s">
        <v>5204</v>
      </c>
      <c r="Z83">
        <v>25</v>
      </c>
      <c r="AA83" t="s">
        <v>3783</v>
      </c>
      <c r="AB83" t="s">
        <v>2006</v>
      </c>
      <c r="AC83">
        <v>31</v>
      </c>
      <c r="AD83">
        <v>2</v>
      </c>
      <c r="AE83">
        <v>0</v>
      </c>
      <c r="AF83">
        <v>159.66</v>
      </c>
      <c r="AI83" t="s">
        <v>3809</v>
      </c>
      <c r="AJ83">
        <v>26280</v>
      </c>
      <c r="AP83">
        <v>24.9</v>
      </c>
      <c r="AQ83" t="s">
        <v>114</v>
      </c>
      <c r="AR83" t="s">
        <v>4185</v>
      </c>
      <c r="AS83" t="s">
        <v>4210</v>
      </c>
      <c r="AT83" t="s">
        <v>4219</v>
      </c>
    </row>
    <row r="84" spans="1:46">
      <c r="A84" s="1">
        <f>HYPERLINK("https://lsnyc.legalserver.org/matter/dynamic-profile/view/1864787","18-1864787")</f>
        <v>0</v>
      </c>
      <c r="B84" t="s">
        <v>61</v>
      </c>
      <c r="C84" t="s">
        <v>4230</v>
      </c>
      <c r="D84" t="s">
        <v>181</v>
      </c>
      <c r="E84" t="s">
        <v>4295</v>
      </c>
      <c r="F84" t="s">
        <v>1209</v>
      </c>
      <c r="G84" t="s">
        <v>4601</v>
      </c>
      <c r="H84" t="s">
        <v>4755</v>
      </c>
      <c r="I84">
        <v>11207</v>
      </c>
      <c r="J84" t="s">
        <v>2003</v>
      </c>
      <c r="K84" t="s">
        <v>2004</v>
      </c>
      <c r="M84" t="s">
        <v>4818</v>
      </c>
      <c r="N84" t="s">
        <v>2415</v>
      </c>
      <c r="O84" t="s">
        <v>2437</v>
      </c>
      <c r="P84" t="s">
        <v>2445</v>
      </c>
      <c r="Q84" t="s">
        <v>2003</v>
      </c>
      <c r="T84">
        <v>2095</v>
      </c>
      <c r="U84" t="s">
        <v>2505</v>
      </c>
      <c r="V84" t="s">
        <v>2519</v>
      </c>
      <c r="W84" t="s">
        <v>4954</v>
      </c>
      <c r="Y84" t="s">
        <v>5205</v>
      </c>
      <c r="Z84">
        <v>2</v>
      </c>
      <c r="AB84" t="s">
        <v>2006</v>
      </c>
      <c r="AC84">
        <v>1</v>
      </c>
      <c r="AD84">
        <v>1</v>
      </c>
      <c r="AE84">
        <v>2</v>
      </c>
      <c r="AF84">
        <v>166.08</v>
      </c>
      <c r="AI84" t="s">
        <v>3809</v>
      </c>
      <c r="AJ84">
        <v>34512</v>
      </c>
      <c r="AP84">
        <v>12.3</v>
      </c>
      <c r="AQ84" t="s">
        <v>4235</v>
      </c>
      <c r="AR84" t="s">
        <v>4185</v>
      </c>
      <c r="AS84" t="s">
        <v>4210</v>
      </c>
      <c r="AT84" t="s">
        <v>4219</v>
      </c>
    </row>
    <row r="85" spans="1:46">
      <c r="A85" s="1">
        <f>HYPERLINK("https://lsnyc.legalserver.org/matter/dynamic-profile/view/1889196","19-1889196")</f>
        <v>0</v>
      </c>
      <c r="B85" t="s">
        <v>61</v>
      </c>
      <c r="C85" t="s">
        <v>257</v>
      </c>
      <c r="D85" t="s">
        <v>105</v>
      </c>
      <c r="E85" t="s">
        <v>600</v>
      </c>
      <c r="F85" t="s">
        <v>4450</v>
      </c>
      <c r="G85" t="s">
        <v>1563</v>
      </c>
      <c r="H85" t="s">
        <v>1758</v>
      </c>
      <c r="I85">
        <v>11207</v>
      </c>
      <c r="J85" t="s">
        <v>2002</v>
      </c>
      <c r="K85" t="s">
        <v>2002</v>
      </c>
      <c r="M85" t="s">
        <v>2224</v>
      </c>
      <c r="O85" t="s">
        <v>2436</v>
      </c>
      <c r="P85" t="s">
        <v>2443</v>
      </c>
      <c r="T85">
        <v>1775</v>
      </c>
      <c r="U85" t="s">
        <v>2508</v>
      </c>
      <c r="V85" t="s">
        <v>2519</v>
      </c>
      <c r="W85" t="s">
        <v>2833</v>
      </c>
      <c r="Y85" t="s">
        <v>5206</v>
      </c>
      <c r="Z85">
        <v>4</v>
      </c>
      <c r="AC85">
        <v>2</v>
      </c>
      <c r="AD85">
        <v>1</v>
      </c>
      <c r="AE85">
        <v>0</v>
      </c>
      <c r="AF85">
        <v>192.15</v>
      </c>
      <c r="AI85" t="s">
        <v>3809</v>
      </c>
      <c r="AJ85">
        <v>24000</v>
      </c>
      <c r="AK85" t="s">
        <v>5365</v>
      </c>
      <c r="AP85">
        <v>1.35</v>
      </c>
      <c r="AQ85" t="s">
        <v>105</v>
      </c>
      <c r="AR85" t="s">
        <v>4205</v>
      </c>
      <c r="AS85" t="s">
        <v>4210</v>
      </c>
      <c r="AT85" t="s">
        <v>4219</v>
      </c>
    </row>
    <row r="86" spans="1:46">
      <c r="A86" s="1">
        <f>HYPERLINK("https://lsnyc.legalserver.org/matter/dynamic-profile/view/0779614","15-0779614")</f>
        <v>0</v>
      </c>
      <c r="B86" t="s">
        <v>4201</v>
      </c>
      <c r="C86" t="s">
        <v>4231</v>
      </c>
      <c r="E86" t="s">
        <v>955</v>
      </c>
      <c r="F86" t="s">
        <v>4451</v>
      </c>
      <c r="G86" t="s">
        <v>4602</v>
      </c>
      <c r="I86">
        <v>11216</v>
      </c>
      <c r="J86" t="s">
        <v>2003</v>
      </c>
      <c r="K86" t="s">
        <v>2004</v>
      </c>
      <c r="M86" t="s">
        <v>4819</v>
      </c>
      <c r="N86" t="s">
        <v>2413</v>
      </c>
      <c r="O86" t="s">
        <v>2437</v>
      </c>
      <c r="T86">
        <v>0</v>
      </c>
      <c r="W86" t="s">
        <v>4955</v>
      </c>
      <c r="Y86" t="s">
        <v>5207</v>
      </c>
      <c r="Z86">
        <v>0</v>
      </c>
      <c r="AA86" t="s">
        <v>3784</v>
      </c>
      <c r="AC86">
        <v>8</v>
      </c>
      <c r="AD86">
        <v>1</v>
      </c>
      <c r="AE86">
        <v>0</v>
      </c>
      <c r="AF86">
        <v>0</v>
      </c>
      <c r="AI86" t="s">
        <v>3809</v>
      </c>
      <c r="AJ86">
        <v>0</v>
      </c>
      <c r="AK86" t="s">
        <v>5366</v>
      </c>
      <c r="AP86">
        <v>28</v>
      </c>
      <c r="AQ86" t="s">
        <v>5401</v>
      </c>
      <c r="AR86" t="s">
        <v>4201</v>
      </c>
      <c r="AS86" t="s">
        <v>4210</v>
      </c>
      <c r="AT86" t="s">
        <v>4219</v>
      </c>
    </row>
    <row r="87" spans="1:46">
      <c r="A87" s="1">
        <f>HYPERLINK("https://lsnyc.legalserver.org/matter/dynamic-profile/view/0779699","15-0779699")</f>
        <v>0</v>
      </c>
      <c r="B87" t="s">
        <v>4201</v>
      </c>
      <c r="C87" t="s">
        <v>4232</v>
      </c>
      <c r="E87" t="s">
        <v>640</v>
      </c>
      <c r="F87" t="s">
        <v>4452</v>
      </c>
      <c r="G87" t="s">
        <v>4603</v>
      </c>
      <c r="H87">
        <v>23</v>
      </c>
      <c r="I87">
        <v>11225</v>
      </c>
      <c r="J87" t="s">
        <v>2002</v>
      </c>
      <c r="K87" t="s">
        <v>2004</v>
      </c>
      <c r="M87" t="s">
        <v>4820</v>
      </c>
      <c r="N87" t="s">
        <v>2413</v>
      </c>
      <c r="O87" t="s">
        <v>2441</v>
      </c>
      <c r="T87">
        <v>683.22</v>
      </c>
      <c r="W87" t="s">
        <v>4956</v>
      </c>
      <c r="Y87" t="s">
        <v>5208</v>
      </c>
      <c r="Z87">
        <v>0</v>
      </c>
      <c r="AA87" t="s">
        <v>3788</v>
      </c>
      <c r="AC87">
        <v>38</v>
      </c>
      <c r="AD87">
        <v>1</v>
      </c>
      <c r="AE87">
        <v>0</v>
      </c>
      <c r="AF87">
        <v>88.36</v>
      </c>
      <c r="AI87" t="s">
        <v>3810</v>
      </c>
      <c r="AJ87">
        <v>10400</v>
      </c>
      <c r="AK87" t="s">
        <v>5367</v>
      </c>
      <c r="AP87">
        <v>46.9</v>
      </c>
      <c r="AQ87" t="s">
        <v>137</v>
      </c>
      <c r="AR87" t="s">
        <v>5410</v>
      </c>
      <c r="AS87" t="s">
        <v>4210</v>
      </c>
      <c r="AT87" t="s">
        <v>4219</v>
      </c>
    </row>
    <row r="88" spans="1:46">
      <c r="A88" s="1">
        <f>HYPERLINK("https://lsnyc.legalserver.org/matter/dynamic-profile/view/0783028","15-0783028")</f>
        <v>0</v>
      </c>
      <c r="B88" t="s">
        <v>4201</v>
      </c>
      <c r="C88" t="s">
        <v>4233</v>
      </c>
      <c r="E88" t="s">
        <v>4296</v>
      </c>
      <c r="F88" t="s">
        <v>4453</v>
      </c>
      <c r="G88" t="s">
        <v>4604</v>
      </c>
      <c r="H88" t="s">
        <v>1969</v>
      </c>
      <c r="I88">
        <v>11215</v>
      </c>
      <c r="J88" t="s">
        <v>2003</v>
      </c>
      <c r="K88" t="s">
        <v>2004</v>
      </c>
      <c r="M88" t="s">
        <v>4821</v>
      </c>
      <c r="N88" t="s">
        <v>2414</v>
      </c>
      <c r="O88" t="s">
        <v>2437</v>
      </c>
      <c r="T88">
        <v>822</v>
      </c>
      <c r="W88" t="s">
        <v>4957</v>
      </c>
      <c r="Z88">
        <v>8</v>
      </c>
      <c r="AA88" t="s">
        <v>3783</v>
      </c>
      <c r="AC88">
        <v>25</v>
      </c>
      <c r="AD88">
        <v>2</v>
      </c>
      <c r="AE88">
        <v>0</v>
      </c>
      <c r="AF88">
        <v>128.06</v>
      </c>
      <c r="AI88" t="s">
        <v>3810</v>
      </c>
      <c r="AJ88">
        <v>20400</v>
      </c>
      <c r="AP88">
        <v>192.85</v>
      </c>
      <c r="AQ88" t="s">
        <v>309</v>
      </c>
      <c r="AR88" t="s">
        <v>4201</v>
      </c>
      <c r="AS88" t="s">
        <v>4210</v>
      </c>
      <c r="AT88" t="s">
        <v>4219</v>
      </c>
    </row>
    <row r="89" spans="1:46">
      <c r="A89" s="1">
        <f>HYPERLINK("https://lsnyc.legalserver.org/matter/dynamic-profile/view/1895390","19-1895390")</f>
        <v>0</v>
      </c>
      <c r="B89" t="s">
        <v>64</v>
      </c>
      <c r="C89" t="s">
        <v>76</v>
      </c>
      <c r="E89" t="s">
        <v>613</v>
      </c>
      <c r="F89" t="s">
        <v>1122</v>
      </c>
      <c r="G89" t="s">
        <v>1579</v>
      </c>
      <c r="H89" t="s">
        <v>1744</v>
      </c>
      <c r="I89">
        <v>11239</v>
      </c>
      <c r="J89" t="s">
        <v>2002</v>
      </c>
      <c r="K89" t="s">
        <v>2002</v>
      </c>
      <c r="M89" t="s">
        <v>4822</v>
      </c>
      <c r="N89" t="s">
        <v>2413</v>
      </c>
      <c r="Q89" t="s">
        <v>2003</v>
      </c>
      <c r="T89">
        <v>3260</v>
      </c>
      <c r="U89" t="s">
        <v>2500</v>
      </c>
      <c r="W89" t="s">
        <v>2852</v>
      </c>
      <c r="Y89" t="s">
        <v>3591</v>
      </c>
      <c r="Z89">
        <v>84</v>
      </c>
      <c r="AB89" t="s">
        <v>2495</v>
      </c>
      <c r="AC89">
        <v>43</v>
      </c>
      <c r="AD89">
        <v>1</v>
      </c>
      <c r="AE89">
        <v>1</v>
      </c>
      <c r="AF89">
        <v>0</v>
      </c>
      <c r="AI89" t="s">
        <v>3809</v>
      </c>
      <c r="AJ89">
        <v>0</v>
      </c>
      <c r="AP89">
        <v>18.2</v>
      </c>
      <c r="AQ89" t="s">
        <v>310</v>
      </c>
      <c r="AR89" t="s">
        <v>4185</v>
      </c>
      <c r="AS89" t="s">
        <v>4210</v>
      </c>
      <c r="AT89" t="s">
        <v>4219</v>
      </c>
    </row>
    <row r="90" spans="1:46">
      <c r="A90" s="1">
        <f>HYPERLINK("https://lsnyc.legalserver.org/matter/dynamic-profile/view/1879371","18-1879371")</f>
        <v>0</v>
      </c>
      <c r="B90" t="s">
        <v>64</v>
      </c>
      <c r="C90" t="s">
        <v>239</v>
      </c>
      <c r="E90" t="s">
        <v>613</v>
      </c>
      <c r="F90" t="s">
        <v>1122</v>
      </c>
      <c r="G90" t="s">
        <v>1579</v>
      </c>
      <c r="H90" t="s">
        <v>1744</v>
      </c>
      <c r="I90">
        <v>11239</v>
      </c>
      <c r="J90" t="s">
        <v>2003</v>
      </c>
      <c r="K90" t="s">
        <v>2003</v>
      </c>
      <c r="M90" t="s">
        <v>2241</v>
      </c>
      <c r="O90" t="s">
        <v>2437</v>
      </c>
      <c r="T90">
        <v>3260</v>
      </c>
      <c r="U90" t="s">
        <v>2500</v>
      </c>
      <c r="W90" t="s">
        <v>2852</v>
      </c>
      <c r="Y90" t="s">
        <v>3591</v>
      </c>
      <c r="Z90">
        <v>84</v>
      </c>
      <c r="AB90" t="s">
        <v>2495</v>
      </c>
      <c r="AC90">
        <v>43</v>
      </c>
      <c r="AD90">
        <v>1</v>
      </c>
      <c r="AE90">
        <v>1</v>
      </c>
      <c r="AF90">
        <v>0</v>
      </c>
      <c r="AI90" t="s">
        <v>3809</v>
      </c>
      <c r="AJ90">
        <v>0</v>
      </c>
      <c r="AP90">
        <v>1.1</v>
      </c>
      <c r="AQ90" t="s">
        <v>137</v>
      </c>
      <c r="AR90" t="s">
        <v>4188</v>
      </c>
      <c r="AS90" t="s">
        <v>4214</v>
      </c>
      <c r="AT90" t="s">
        <v>4219</v>
      </c>
    </row>
    <row r="91" spans="1:46">
      <c r="A91" s="1">
        <f>HYPERLINK("https://lsnyc.legalserver.org/matter/dynamic-profile/view/1884269","18-1884269")</f>
        <v>0</v>
      </c>
      <c r="B91" t="s">
        <v>64</v>
      </c>
      <c r="C91" t="s">
        <v>125</v>
      </c>
      <c r="E91" t="s">
        <v>443</v>
      </c>
      <c r="F91" t="s">
        <v>885</v>
      </c>
      <c r="G91" t="s">
        <v>4605</v>
      </c>
      <c r="H91">
        <v>3</v>
      </c>
      <c r="I91">
        <v>11233</v>
      </c>
      <c r="J91" t="s">
        <v>2003</v>
      </c>
      <c r="K91" t="s">
        <v>2003</v>
      </c>
      <c r="N91" t="s">
        <v>2414</v>
      </c>
      <c r="Q91" t="s">
        <v>2003</v>
      </c>
      <c r="T91">
        <v>700</v>
      </c>
      <c r="U91" t="s">
        <v>2502</v>
      </c>
      <c r="W91" t="s">
        <v>4958</v>
      </c>
      <c r="Y91" t="s">
        <v>5209</v>
      </c>
      <c r="Z91">
        <v>3</v>
      </c>
      <c r="AA91" t="s">
        <v>3784</v>
      </c>
      <c r="AB91" t="s">
        <v>2006</v>
      </c>
      <c r="AC91">
        <v>8</v>
      </c>
      <c r="AD91">
        <v>1</v>
      </c>
      <c r="AE91">
        <v>0</v>
      </c>
      <c r="AF91">
        <v>0</v>
      </c>
      <c r="AI91" t="s">
        <v>3809</v>
      </c>
      <c r="AJ91">
        <v>0</v>
      </c>
      <c r="AP91">
        <v>0</v>
      </c>
      <c r="AR91" t="s">
        <v>49</v>
      </c>
      <c r="AS91" t="s">
        <v>4210</v>
      </c>
      <c r="AT91" t="s">
        <v>4219</v>
      </c>
    </row>
    <row r="92" spans="1:46">
      <c r="A92" s="1">
        <f>HYPERLINK("https://lsnyc.legalserver.org/matter/dynamic-profile/view/1884067","18-1884067")</f>
        <v>0</v>
      </c>
      <c r="B92" t="s">
        <v>64</v>
      </c>
      <c r="C92" t="s">
        <v>2483</v>
      </c>
      <c r="E92" t="s">
        <v>4266</v>
      </c>
      <c r="F92" t="s">
        <v>4454</v>
      </c>
      <c r="G92" t="s">
        <v>4606</v>
      </c>
      <c r="H92" t="s">
        <v>4756</v>
      </c>
      <c r="I92">
        <v>11226</v>
      </c>
      <c r="J92" t="s">
        <v>2004</v>
      </c>
      <c r="K92" t="s">
        <v>2004</v>
      </c>
      <c r="T92">
        <v>1850</v>
      </c>
      <c r="W92" t="s">
        <v>4959</v>
      </c>
      <c r="Y92" t="s">
        <v>5210</v>
      </c>
      <c r="Z92">
        <v>27</v>
      </c>
      <c r="AC92">
        <v>3</v>
      </c>
      <c r="AD92">
        <v>1</v>
      </c>
      <c r="AE92">
        <v>0</v>
      </c>
      <c r="AF92">
        <v>0</v>
      </c>
      <c r="AI92" t="s">
        <v>3809</v>
      </c>
      <c r="AJ92">
        <v>0</v>
      </c>
      <c r="AP92">
        <v>0.5</v>
      </c>
      <c r="AQ92" t="s">
        <v>2483</v>
      </c>
      <c r="AR92" t="s">
        <v>4191</v>
      </c>
      <c r="AS92" t="s">
        <v>4210</v>
      </c>
      <c r="AT92" t="s">
        <v>4219</v>
      </c>
    </row>
    <row r="93" spans="1:46">
      <c r="A93" s="1">
        <f>HYPERLINK("https://lsnyc.legalserver.org/matter/dynamic-profile/view/1875138","18-1875138")</f>
        <v>0</v>
      </c>
      <c r="B93" t="s">
        <v>64</v>
      </c>
      <c r="C93" t="s">
        <v>217</v>
      </c>
      <c r="E93" t="s">
        <v>4297</v>
      </c>
      <c r="F93" t="s">
        <v>4455</v>
      </c>
      <c r="G93" t="s">
        <v>4607</v>
      </c>
      <c r="I93">
        <v>11221</v>
      </c>
      <c r="J93" t="s">
        <v>2004</v>
      </c>
      <c r="K93" t="s">
        <v>2004</v>
      </c>
      <c r="T93">
        <v>0</v>
      </c>
      <c r="W93" t="s">
        <v>4960</v>
      </c>
      <c r="Y93" t="s">
        <v>5211</v>
      </c>
      <c r="Z93">
        <v>6</v>
      </c>
      <c r="AC93">
        <v>8</v>
      </c>
      <c r="AD93">
        <v>1</v>
      </c>
      <c r="AE93">
        <v>0</v>
      </c>
      <c r="AF93">
        <v>0</v>
      </c>
      <c r="AI93" t="s">
        <v>3809</v>
      </c>
      <c r="AJ93">
        <v>0</v>
      </c>
      <c r="AP93">
        <v>1</v>
      </c>
      <c r="AQ93" t="s">
        <v>217</v>
      </c>
      <c r="AR93" t="s">
        <v>4197</v>
      </c>
      <c r="AS93" t="s">
        <v>4210</v>
      </c>
      <c r="AT93" t="s">
        <v>4219</v>
      </c>
    </row>
    <row r="94" spans="1:46">
      <c r="A94" s="1">
        <f>HYPERLINK("https://lsnyc.legalserver.org/matter/dynamic-profile/view/1883756","18-1883756")</f>
        <v>0</v>
      </c>
      <c r="B94" t="s">
        <v>64</v>
      </c>
      <c r="C94" t="s">
        <v>234</v>
      </c>
      <c r="E94" t="s">
        <v>4298</v>
      </c>
      <c r="F94" t="s">
        <v>1092</v>
      </c>
      <c r="G94" t="s">
        <v>4608</v>
      </c>
      <c r="H94" t="s">
        <v>4757</v>
      </c>
      <c r="I94">
        <v>11219</v>
      </c>
      <c r="J94" t="s">
        <v>2004</v>
      </c>
      <c r="K94" t="s">
        <v>2004</v>
      </c>
      <c r="N94" t="s">
        <v>2027</v>
      </c>
      <c r="O94" t="s">
        <v>2439</v>
      </c>
      <c r="Q94" t="s">
        <v>2003</v>
      </c>
      <c r="T94">
        <v>950</v>
      </c>
      <c r="W94" t="s">
        <v>4961</v>
      </c>
      <c r="Y94" t="s">
        <v>5212</v>
      </c>
      <c r="Z94">
        <v>34</v>
      </c>
      <c r="AA94" t="s">
        <v>3783</v>
      </c>
      <c r="AB94" t="s">
        <v>2006</v>
      </c>
      <c r="AC94">
        <v>12</v>
      </c>
      <c r="AD94">
        <v>1</v>
      </c>
      <c r="AE94">
        <v>0</v>
      </c>
      <c r="AF94">
        <v>0</v>
      </c>
      <c r="AI94" t="s">
        <v>3809</v>
      </c>
      <c r="AJ94">
        <v>0</v>
      </c>
      <c r="AP94">
        <v>0.5</v>
      </c>
      <c r="AQ94" t="s">
        <v>234</v>
      </c>
      <c r="AR94" t="s">
        <v>4187</v>
      </c>
      <c r="AS94" t="s">
        <v>4210</v>
      </c>
      <c r="AT94" t="s">
        <v>4219</v>
      </c>
    </row>
    <row r="95" spans="1:46">
      <c r="A95" s="1">
        <f>HYPERLINK("https://lsnyc.legalserver.org/matter/dynamic-profile/view/1872631","18-1872631")</f>
        <v>0</v>
      </c>
      <c r="B95" t="s">
        <v>64</v>
      </c>
      <c r="C95" t="s">
        <v>4234</v>
      </c>
      <c r="E95" t="s">
        <v>654</v>
      </c>
      <c r="F95" t="s">
        <v>4456</v>
      </c>
      <c r="G95" t="s">
        <v>4609</v>
      </c>
      <c r="H95" t="s">
        <v>4758</v>
      </c>
      <c r="I95">
        <v>11213</v>
      </c>
      <c r="J95" t="s">
        <v>2004</v>
      </c>
      <c r="K95" t="s">
        <v>2004</v>
      </c>
      <c r="T95">
        <v>0</v>
      </c>
      <c r="W95" t="s">
        <v>4962</v>
      </c>
      <c r="Y95" t="s">
        <v>5213</v>
      </c>
      <c r="Z95">
        <v>0</v>
      </c>
      <c r="AC95">
        <v>0</v>
      </c>
      <c r="AD95">
        <v>2</v>
      </c>
      <c r="AE95">
        <v>0</v>
      </c>
      <c r="AF95">
        <v>0</v>
      </c>
      <c r="AI95" t="s">
        <v>3809</v>
      </c>
      <c r="AJ95">
        <v>0</v>
      </c>
      <c r="AP95">
        <v>2.3</v>
      </c>
      <c r="AQ95" t="s">
        <v>208</v>
      </c>
      <c r="AR95" t="s">
        <v>4204</v>
      </c>
      <c r="AS95" t="s">
        <v>4210</v>
      </c>
      <c r="AT95" t="s">
        <v>4219</v>
      </c>
    </row>
    <row r="96" spans="1:46">
      <c r="A96" s="1">
        <f>HYPERLINK("https://lsnyc.legalserver.org/matter/dynamic-profile/view/1876849","18-1876849")</f>
        <v>0</v>
      </c>
      <c r="B96" t="s">
        <v>64</v>
      </c>
      <c r="C96" t="s">
        <v>110</v>
      </c>
      <c r="E96" t="s">
        <v>699</v>
      </c>
      <c r="F96" t="s">
        <v>1046</v>
      </c>
      <c r="G96" t="s">
        <v>1386</v>
      </c>
      <c r="H96">
        <v>1</v>
      </c>
      <c r="I96">
        <v>11208</v>
      </c>
      <c r="J96" t="s">
        <v>2003</v>
      </c>
      <c r="K96" t="s">
        <v>2003</v>
      </c>
      <c r="N96" t="s">
        <v>2414</v>
      </c>
      <c r="T96">
        <v>1515</v>
      </c>
      <c r="W96" t="s">
        <v>4963</v>
      </c>
      <c r="Y96" t="s">
        <v>5214</v>
      </c>
      <c r="Z96">
        <v>3</v>
      </c>
      <c r="AA96" t="s">
        <v>2156</v>
      </c>
      <c r="AB96" t="s">
        <v>3795</v>
      </c>
      <c r="AC96">
        <v>0</v>
      </c>
      <c r="AD96">
        <v>2</v>
      </c>
      <c r="AE96">
        <v>2</v>
      </c>
      <c r="AF96">
        <v>11.87</v>
      </c>
      <c r="AI96" t="s">
        <v>3809</v>
      </c>
      <c r="AJ96">
        <v>2979</v>
      </c>
      <c r="AP96">
        <v>1</v>
      </c>
      <c r="AQ96" t="s">
        <v>110</v>
      </c>
      <c r="AR96" t="s">
        <v>4192</v>
      </c>
      <c r="AS96" t="s">
        <v>4210</v>
      </c>
      <c r="AT96" t="s">
        <v>4219</v>
      </c>
    </row>
    <row r="97" spans="1:46">
      <c r="A97" s="1">
        <f>HYPERLINK("https://lsnyc.legalserver.org/matter/dynamic-profile/view/1878803","18-1878803")</f>
        <v>0</v>
      </c>
      <c r="B97" t="s">
        <v>64</v>
      </c>
      <c r="C97" t="s">
        <v>111</v>
      </c>
      <c r="E97" t="s">
        <v>4299</v>
      </c>
      <c r="F97" t="s">
        <v>4457</v>
      </c>
      <c r="G97" t="s">
        <v>4610</v>
      </c>
      <c r="H97" t="s">
        <v>1837</v>
      </c>
      <c r="I97">
        <v>11212</v>
      </c>
      <c r="J97" t="s">
        <v>2003</v>
      </c>
      <c r="K97" t="s">
        <v>2003</v>
      </c>
      <c r="N97" t="s">
        <v>2414</v>
      </c>
      <c r="Q97" t="s">
        <v>2003</v>
      </c>
      <c r="T97">
        <v>625</v>
      </c>
      <c r="W97" t="s">
        <v>4964</v>
      </c>
      <c r="X97" t="s">
        <v>3160</v>
      </c>
      <c r="Z97">
        <v>5</v>
      </c>
      <c r="AA97" t="s">
        <v>2156</v>
      </c>
      <c r="AB97" t="s">
        <v>3796</v>
      </c>
      <c r="AC97">
        <v>0</v>
      </c>
      <c r="AD97">
        <v>1</v>
      </c>
      <c r="AE97">
        <v>1</v>
      </c>
      <c r="AF97">
        <v>14.37</v>
      </c>
      <c r="AI97" t="s">
        <v>3809</v>
      </c>
      <c r="AJ97">
        <v>2366</v>
      </c>
      <c r="AP97">
        <v>0</v>
      </c>
      <c r="AR97" t="s">
        <v>4185</v>
      </c>
      <c r="AS97" t="s">
        <v>4210</v>
      </c>
      <c r="AT97" t="s">
        <v>4219</v>
      </c>
    </row>
    <row r="98" spans="1:46">
      <c r="A98" s="1">
        <f>HYPERLINK("https://lsnyc.legalserver.org/matter/dynamic-profile/view/1889630","19-1889630")</f>
        <v>0</v>
      </c>
      <c r="B98" t="s">
        <v>64</v>
      </c>
      <c r="C98" t="s">
        <v>287</v>
      </c>
      <c r="E98" t="s">
        <v>574</v>
      </c>
      <c r="F98" t="s">
        <v>1302</v>
      </c>
      <c r="G98" t="s">
        <v>1395</v>
      </c>
      <c r="H98">
        <v>4</v>
      </c>
      <c r="I98">
        <v>11233</v>
      </c>
      <c r="J98" t="s">
        <v>2003</v>
      </c>
      <c r="K98" t="s">
        <v>2003</v>
      </c>
      <c r="N98" t="s">
        <v>2414</v>
      </c>
      <c r="O98" t="s">
        <v>2442</v>
      </c>
      <c r="Q98" t="s">
        <v>2003</v>
      </c>
      <c r="T98">
        <v>1477</v>
      </c>
      <c r="U98" t="s">
        <v>2497</v>
      </c>
      <c r="W98" t="s">
        <v>3085</v>
      </c>
      <c r="X98" t="s">
        <v>3281</v>
      </c>
      <c r="Y98" t="s">
        <v>3715</v>
      </c>
      <c r="Z98">
        <v>8</v>
      </c>
      <c r="AA98" t="s">
        <v>3783</v>
      </c>
      <c r="AB98" t="s">
        <v>3793</v>
      </c>
      <c r="AC98">
        <v>2</v>
      </c>
      <c r="AD98">
        <v>3</v>
      </c>
      <c r="AE98">
        <v>1</v>
      </c>
      <c r="AF98">
        <v>15.45</v>
      </c>
      <c r="AI98" t="s">
        <v>3809</v>
      </c>
      <c r="AJ98">
        <v>3978</v>
      </c>
      <c r="AP98">
        <v>0</v>
      </c>
      <c r="AR98" t="s">
        <v>4190</v>
      </c>
      <c r="AS98" t="s">
        <v>4210</v>
      </c>
      <c r="AT98" t="s">
        <v>4219</v>
      </c>
    </row>
    <row r="99" spans="1:46">
      <c r="A99" s="1">
        <f>HYPERLINK("https://lsnyc.legalserver.org/matter/dynamic-profile/view/1878797","18-1878797")</f>
        <v>0</v>
      </c>
      <c r="B99" t="s">
        <v>64</v>
      </c>
      <c r="C99" t="s">
        <v>111</v>
      </c>
      <c r="E99" t="s">
        <v>535</v>
      </c>
      <c r="F99" t="s">
        <v>4458</v>
      </c>
      <c r="G99" t="s">
        <v>1501</v>
      </c>
      <c r="H99">
        <v>1</v>
      </c>
      <c r="I99">
        <v>11208</v>
      </c>
      <c r="J99" t="s">
        <v>2002</v>
      </c>
      <c r="K99" t="s">
        <v>2002</v>
      </c>
      <c r="L99" t="s">
        <v>2005</v>
      </c>
      <c r="N99" t="s">
        <v>2414</v>
      </c>
      <c r="O99" t="s">
        <v>2436</v>
      </c>
      <c r="T99">
        <v>1956</v>
      </c>
      <c r="U99" t="s">
        <v>2497</v>
      </c>
      <c r="W99" t="s">
        <v>2670</v>
      </c>
      <c r="Y99" t="s">
        <v>3500</v>
      </c>
      <c r="Z99">
        <v>2</v>
      </c>
      <c r="AA99" t="s">
        <v>3784</v>
      </c>
      <c r="AB99" t="s">
        <v>3795</v>
      </c>
      <c r="AC99">
        <v>3</v>
      </c>
      <c r="AD99">
        <v>1</v>
      </c>
      <c r="AE99">
        <v>5</v>
      </c>
      <c r="AF99">
        <v>16.36</v>
      </c>
      <c r="AI99" t="s">
        <v>3809</v>
      </c>
      <c r="AJ99">
        <v>5520</v>
      </c>
      <c r="AP99">
        <v>1</v>
      </c>
      <c r="AQ99" t="s">
        <v>116</v>
      </c>
      <c r="AR99" t="s">
        <v>4188</v>
      </c>
      <c r="AS99" t="s">
        <v>4210</v>
      </c>
      <c r="AT99" t="s">
        <v>4219</v>
      </c>
    </row>
    <row r="100" spans="1:46">
      <c r="A100" s="1">
        <f>HYPERLINK("https://lsnyc.legalserver.org/matter/dynamic-profile/view/1890245","19-1890245")</f>
        <v>0</v>
      </c>
      <c r="B100" t="s">
        <v>64</v>
      </c>
      <c r="C100" t="s">
        <v>210</v>
      </c>
      <c r="D100" t="s">
        <v>146</v>
      </c>
      <c r="E100" t="s">
        <v>4300</v>
      </c>
      <c r="F100" t="s">
        <v>4459</v>
      </c>
      <c r="G100" t="s">
        <v>4611</v>
      </c>
      <c r="H100" t="s">
        <v>1764</v>
      </c>
      <c r="I100">
        <v>11233</v>
      </c>
      <c r="J100" t="s">
        <v>2003</v>
      </c>
      <c r="K100" t="s">
        <v>2003</v>
      </c>
      <c r="M100" t="s">
        <v>4823</v>
      </c>
      <c r="N100" t="s">
        <v>2415</v>
      </c>
      <c r="O100" t="s">
        <v>2436</v>
      </c>
      <c r="P100" t="s">
        <v>2443</v>
      </c>
      <c r="Q100" t="s">
        <v>2003</v>
      </c>
      <c r="T100">
        <v>902.95</v>
      </c>
      <c r="U100" t="s">
        <v>2505</v>
      </c>
      <c r="V100" t="s">
        <v>2514</v>
      </c>
      <c r="W100" t="s">
        <v>4965</v>
      </c>
      <c r="Y100" t="s">
        <v>5215</v>
      </c>
      <c r="Z100">
        <v>0</v>
      </c>
      <c r="AA100" t="s">
        <v>3783</v>
      </c>
      <c r="AB100" t="s">
        <v>2006</v>
      </c>
      <c r="AC100">
        <v>0</v>
      </c>
      <c r="AD100">
        <v>1</v>
      </c>
      <c r="AE100">
        <v>2</v>
      </c>
      <c r="AF100">
        <v>18.89</v>
      </c>
      <c r="AI100" t="s">
        <v>3809</v>
      </c>
      <c r="AJ100">
        <v>4030</v>
      </c>
      <c r="AP100">
        <v>0.1</v>
      </c>
      <c r="AQ100" t="s">
        <v>146</v>
      </c>
      <c r="AR100" t="s">
        <v>49</v>
      </c>
      <c r="AS100" t="s">
        <v>4210</v>
      </c>
      <c r="AT100" t="s">
        <v>4219</v>
      </c>
    </row>
    <row r="101" spans="1:46">
      <c r="A101" s="1">
        <f>HYPERLINK("https://lsnyc.legalserver.org/matter/dynamic-profile/view/1870446","18-1870446")</f>
        <v>0</v>
      </c>
      <c r="B101" t="s">
        <v>64</v>
      </c>
      <c r="C101" t="s">
        <v>4235</v>
      </c>
      <c r="E101" t="s">
        <v>4301</v>
      </c>
      <c r="F101" t="s">
        <v>4460</v>
      </c>
      <c r="G101" t="s">
        <v>4612</v>
      </c>
      <c r="H101" t="s">
        <v>4759</v>
      </c>
      <c r="I101">
        <v>11208</v>
      </c>
      <c r="J101" t="s">
        <v>2003</v>
      </c>
      <c r="K101" t="s">
        <v>2004</v>
      </c>
      <c r="Q101" t="s">
        <v>2002</v>
      </c>
      <c r="T101">
        <v>1515</v>
      </c>
      <c r="U101" t="s">
        <v>2495</v>
      </c>
      <c r="W101" t="s">
        <v>4966</v>
      </c>
      <c r="X101">
        <v>8973405</v>
      </c>
      <c r="Y101" t="s">
        <v>5216</v>
      </c>
      <c r="Z101">
        <v>3</v>
      </c>
      <c r="AA101" t="s">
        <v>2156</v>
      </c>
      <c r="AB101" t="s">
        <v>3796</v>
      </c>
      <c r="AC101">
        <v>1</v>
      </c>
      <c r="AD101">
        <v>1</v>
      </c>
      <c r="AE101">
        <v>2</v>
      </c>
      <c r="AF101">
        <v>22.46</v>
      </c>
      <c r="AI101" t="s">
        <v>3809</v>
      </c>
      <c r="AJ101">
        <v>4668</v>
      </c>
      <c r="AP101">
        <v>0.5</v>
      </c>
      <c r="AQ101" t="s">
        <v>4235</v>
      </c>
      <c r="AR101" t="s">
        <v>4191</v>
      </c>
      <c r="AS101" t="s">
        <v>4210</v>
      </c>
      <c r="AT101" t="s">
        <v>4219</v>
      </c>
    </row>
    <row r="102" spans="1:46">
      <c r="A102" s="1">
        <f>HYPERLINK("https://lsnyc.legalserver.org/matter/dynamic-profile/view/1880786","18-1880786")</f>
        <v>0</v>
      </c>
      <c r="B102" t="s">
        <v>64</v>
      </c>
      <c r="C102" t="s">
        <v>296</v>
      </c>
      <c r="E102" t="s">
        <v>537</v>
      </c>
      <c r="F102" t="s">
        <v>1047</v>
      </c>
      <c r="G102" t="s">
        <v>1504</v>
      </c>
      <c r="H102">
        <v>5</v>
      </c>
      <c r="I102">
        <v>11207</v>
      </c>
      <c r="J102" t="s">
        <v>2004</v>
      </c>
      <c r="K102" t="s">
        <v>2004</v>
      </c>
      <c r="N102" t="s">
        <v>2414</v>
      </c>
      <c r="Q102" t="s">
        <v>2003</v>
      </c>
      <c r="T102">
        <v>1000</v>
      </c>
      <c r="U102" t="s">
        <v>2497</v>
      </c>
      <c r="W102" t="s">
        <v>2752</v>
      </c>
      <c r="X102" t="s">
        <v>3220</v>
      </c>
      <c r="Y102" t="s">
        <v>3503</v>
      </c>
      <c r="Z102">
        <v>6</v>
      </c>
      <c r="AA102" t="s">
        <v>3783</v>
      </c>
      <c r="AB102" t="s">
        <v>3795</v>
      </c>
      <c r="AC102">
        <v>11</v>
      </c>
      <c r="AD102">
        <v>1</v>
      </c>
      <c r="AE102">
        <v>3</v>
      </c>
      <c r="AF102">
        <v>28.72</v>
      </c>
      <c r="AI102" t="s">
        <v>3810</v>
      </c>
      <c r="AJ102">
        <v>7209</v>
      </c>
      <c r="AP102">
        <v>0</v>
      </c>
      <c r="AR102" t="s">
        <v>4190</v>
      </c>
      <c r="AS102" t="s">
        <v>4210</v>
      </c>
      <c r="AT102" t="s">
        <v>4219</v>
      </c>
    </row>
    <row r="103" spans="1:46">
      <c r="A103" s="1">
        <f>HYPERLINK("https://lsnyc.legalserver.org/matter/dynamic-profile/view/1902160","19-1902160")</f>
        <v>0</v>
      </c>
      <c r="B103" t="s">
        <v>64</v>
      </c>
      <c r="C103" t="s">
        <v>107</v>
      </c>
      <c r="E103" t="s">
        <v>4302</v>
      </c>
      <c r="F103" t="s">
        <v>1081</v>
      </c>
      <c r="G103" t="s">
        <v>4613</v>
      </c>
      <c r="H103" t="s">
        <v>1820</v>
      </c>
      <c r="I103">
        <v>11212</v>
      </c>
      <c r="J103" t="s">
        <v>2004</v>
      </c>
      <c r="K103" t="s">
        <v>2004</v>
      </c>
      <c r="M103" t="s">
        <v>4824</v>
      </c>
      <c r="N103" t="s">
        <v>2413</v>
      </c>
      <c r="O103" t="s">
        <v>2442</v>
      </c>
      <c r="Q103" t="s">
        <v>2003</v>
      </c>
      <c r="T103">
        <v>0</v>
      </c>
      <c r="U103" t="s">
        <v>2495</v>
      </c>
      <c r="W103" t="s">
        <v>4967</v>
      </c>
      <c r="Y103" t="s">
        <v>5217</v>
      </c>
      <c r="Z103">
        <v>48</v>
      </c>
      <c r="AA103" t="s">
        <v>3783</v>
      </c>
      <c r="AB103" t="s">
        <v>2006</v>
      </c>
      <c r="AC103">
        <v>3</v>
      </c>
      <c r="AD103">
        <v>3</v>
      </c>
      <c r="AE103">
        <v>2</v>
      </c>
      <c r="AF103">
        <v>31.82</v>
      </c>
      <c r="AI103" t="s">
        <v>3809</v>
      </c>
      <c r="AJ103">
        <v>9600</v>
      </c>
      <c r="AP103">
        <v>2.8</v>
      </c>
      <c r="AQ103" t="s">
        <v>326</v>
      </c>
      <c r="AR103" t="s">
        <v>4209</v>
      </c>
      <c r="AS103" t="s">
        <v>4210</v>
      </c>
      <c r="AT103" t="s">
        <v>4219</v>
      </c>
    </row>
    <row r="104" spans="1:46">
      <c r="A104" s="1">
        <f>HYPERLINK("https://lsnyc.legalserver.org/matter/dynamic-profile/view/1875807","18-1875807")</f>
        <v>0</v>
      </c>
      <c r="B104" t="s">
        <v>64</v>
      </c>
      <c r="C104" t="s">
        <v>202</v>
      </c>
      <c r="E104" t="s">
        <v>4303</v>
      </c>
      <c r="F104" t="s">
        <v>1142</v>
      </c>
      <c r="G104" t="s">
        <v>4614</v>
      </c>
      <c r="I104">
        <v>11203</v>
      </c>
      <c r="J104" t="s">
        <v>2004</v>
      </c>
      <c r="K104" t="s">
        <v>2004</v>
      </c>
      <c r="N104" t="s">
        <v>2027</v>
      </c>
      <c r="Q104" t="s">
        <v>2003</v>
      </c>
      <c r="T104">
        <v>400</v>
      </c>
      <c r="W104" t="s">
        <v>4968</v>
      </c>
      <c r="Y104" t="s">
        <v>5218</v>
      </c>
      <c r="Z104">
        <v>2</v>
      </c>
      <c r="AA104" t="s">
        <v>3784</v>
      </c>
      <c r="AB104" t="s">
        <v>2006</v>
      </c>
      <c r="AC104">
        <v>20</v>
      </c>
      <c r="AD104">
        <v>1</v>
      </c>
      <c r="AE104">
        <v>2</v>
      </c>
      <c r="AF104">
        <v>39.08</v>
      </c>
      <c r="AI104" t="s">
        <v>3809</v>
      </c>
      <c r="AJ104">
        <v>8120</v>
      </c>
      <c r="AP104">
        <v>1</v>
      </c>
      <c r="AQ104" t="s">
        <v>202</v>
      </c>
      <c r="AR104" t="s">
        <v>4187</v>
      </c>
      <c r="AS104" t="s">
        <v>4210</v>
      </c>
      <c r="AT104" t="s">
        <v>4219</v>
      </c>
    </row>
    <row r="105" spans="1:46">
      <c r="A105" s="1">
        <f>HYPERLINK("https://lsnyc.legalserver.org/matter/dynamic-profile/view/1883232","18-1883232")</f>
        <v>0</v>
      </c>
      <c r="B105" t="s">
        <v>64</v>
      </c>
      <c r="C105" t="s">
        <v>119</v>
      </c>
      <c r="E105" t="s">
        <v>4304</v>
      </c>
      <c r="F105" t="s">
        <v>4461</v>
      </c>
      <c r="G105" t="s">
        <v>4615</v>
      </c>
      <c r="H105">
        <v>2</v>
      </c>
      <c r="I105">
        <v>11207</v>
      </c>
      <c r="J105" t="s">
        <v>2004</v>
      </c>
      <c r="K105" t="s">
        <v>2004</v>
      </c>
      <c r="T105">
        <v>2020</v>
      </c>
      <c r="W105" t="s">
        <v>4969</v>
      </c>
      <c r="Y105" t="s">
        <v>5219</v>
      </c>
      <c r="Z105">
        <v>2</v>
      </c>
      <c r="AB105" t="s">
        <v>3795</v>
      </c>
      <c r="AC105">
        <v>1</v>
      </c>
      <c r="AD105">
        <v>2</v>
      </c>
      <c r="AE105">
        <v>4</v>
      </c>
      <c r="AF105">
        <v>39.15</v>
      </c>
      <c r="AI105" t="s">
        <v>3809</v>
      </c>
      <c r="AJ105">
        <v>13208</v>
      </c>
      <c r="AP105">
        <v>1</v>
      </c>
      <c r="AQ105" t="s">
        <v>119</v>
      </c>
      <c r="AR105" t="s">
        <v>4197</v>
      </c>
      <c r="AS105" t="s">
        <v>4210</v>
      </c>
      <c r="AT105" t="s">
        <v>4219</v>
      </c>
    </row>
    <row r="106" spans="1:46">
      <c r="A106" s="1">
        <f>HYPERLINK("https://lsnyc.legalserver.org/matter/dynamic-profile/view/1862825","18-1862825")</f>
        <v>0</v>
      </c>
      <c r="B106" t="s">
        <v>64</v>
      </c>
      <c r="C106" t="s">
        <v>291</v>
      </c>
      <c r="E106" t="s">
        <v>4305</v>
      </c>
      <c r="F106" t="s">
        <v>4462</v>
      </c>
      <c r="G106" t="s">
        <v>4616</v>
      </c>
      <c r="H106" t="s">
        <v>4760</v>
      </c>
      <c r="I106">
        <v>11233</v>
      </c>
      <c r="J106" t="s">
        <v>2003</v>
      </c>
      <c r="K106" t="s">
        <v>2004</v>
      </c>
      <c r="M106" t="s">
        <v>4825</v>
      </c>
      <c r="N106" t="s">
        <v>2414</v>
      </c>
      <c r="Q106" t="s">
        <v>2002</v>
      </c>
      <c r="T106">
        <v>1075</v>
      </c>
      <c r="U106" t="s">
        <v>2505</v>
      </c>
      <c r="W106" t="s">
        <v>4970</v>
      </c>
      <c r="X106" t="s">
        <v>5123</v>
      </c>
      <c r="Y106" t="s">
        <v>5220</v>
      </c>
      <c r="Z106">
        <v>6</v>
      </c>
      <c r="AA106" t="s">
        <v>3783</v>
      </c>
      <c r="AB106" t="s">
        <v>3798</v>
      </c>
      <c r="AC106">
        <v>17</v>
      </c>
      <c r="AD106">
        <v>1</v>
      </c>
      <c r="AE106">
        <v>0</v>
      </c>
      <c r="AF106">
        <v>39.62</v>
      </c>
      <c r="AI106" t="s">
        <v>3809</v>
      </c>
      <c r="AJ106">
        <v>4810</v>
      </c>
      <c r="AP106">
        <v>0</v>
      </c>
      <c r="AR106" t="s">
        <v>4185</v>
      </c>
      <c r="AS106" t="s">
        <v>4210</v>
      </c>
      <c r="AT106" t="s">
        <v>4219</v>
      </c>
    </row>
    <row r="107" spans="1:46">
      <c r="A107" s="1">
        <f>HYPERLINK("https://lsnyc.legalserver.org/matter/dynamic-profile/view/1878241","18-1878241")</f>
        <v>0</v>
      </c>
      <c r="B107" t="s">
        <v>64</v>
      </c>
      <c r="C107" t="s">
        <v>229</v>
      </c>
      <c r="E107" t="s">
        <v>4306</v>
      </c>
      <c r="F107" t="s">
        <v>1242</v>
      </c>
      <c r="G107" t="s">
        <v>4617</v>
      </c>
      <c r="H107">
        <v>2</v>
      </c>
      <c r="I107">
        <v>11233</v>
      </c>
      <c r="J107" t="s">
        <v>2003</v>
      </c>
      <c r="K107" t="s">
        <v>2004</v>
      </c>
      <c r="M107" t="s">
        <v>2027</v>
      </c>
      <c r="T107">
        <v>1650</v>
      </c>
      <c r="U107" t="s">
        <v>2497</v>
      </c>
      <c r="W107" t="s">
        <v>4971</v>
      </c>
      <c r="Y107" t="s">
        <v>5221</v>
      </c>
      <c r="Z107">
        <v>4</v>
      </c>
      <c r="AA107" t="s">
        <v>3784</v>
      </c>
      <c r="AB107" t="s">
        <v>2006</v>
      </c>
      <c r="AC107">
        <v>2</v>
      </c>
      <c r="AD107">
        <v>1</v>
      </c>
      <c r="AE107">
        <v>2</v>
      </c>
      <c r="AF107">
        <v>42.27</v>
      </c>
      <c r="AI107" t="s">
        <v>3809</v>
      </c>
      <c r="AJ107">
        <v>8784</v>
      </c>
      <c r="AP107">
        <v>0</v>
      </c>
      <c r="AR107" t="s">
        <v>4185</v>
      </c>
      <c r="AS107" t="s">
        <v>4210</v>
      </c>
      <c r="AT107" t="s">
        <v>4219</v>
      </c>
    </row>
    <row r="108" spans="1:46">
      <c r="A108" s="1">
        <f>HYPERLINK("https://lsnyc.legalserver.org/matter/dynamic-profile/view/1902280","19-1902280")</f>
        <v>0</v>
      </c>
      <c r="B108" t="s">
        <v>64</v>
      </c>
      <c r="C108" t="s">
        <v>254</v>
      </c>
      <c r="E108" t="s">
        <v>4307</v>
      </c>
      <c r="F108" t="s">
        <v>868</v>
      </c>
      <c r="G108" t="s">
        <v>4618</v>
      </c>
      <c r="I108">
        <v>11208</v>
      </c>
      <c r="J108" t="s">
        <v>2004</v>
      </c>
      <c r="K108" t="s">
        <v>2004</v>
      </c>
      <c r="T108">
        <v>2000</v>
      </c>
      <c r="W108" t="s">
        <v>4972</v>
      </c>
      <c r="Y108" t="s">
        <v>5222</v>
      </c>
      <c r="Z108">
        <v>2</v>
      </c>
      <c r="AC108">
        <v>0</v>
      </c>
      <c r="AD108">
        <v>1</v>
      </c>
      <c r="AE108">
        <v>2</v>
      </c>
      <c r="AF108">
        <v>50.16</v>
      </c>
      <c r="AI108" t="s">
        <v>3810</v>
      </c>
      <c r="AJ108">
        <v>10700</v>
      </c>
      <c r="AP108">
        <v>0.6</v>
      </c>
      <c r="AQ108" t="s">
        <v>312</v>
      </c>
      <c r="AR108" t="s">
        <v>4191</v>
      </c>
      <c r="AS108" t="s">
        <v>4210</v>
      </c>
      <c r="AT108" t="s">
        <v>4219</v>
      </c>
    </row>
    <row r="109" spans="1:46">
      <c r="A109" s="1">
        <f>HYPERLINK("https://lsnyc.legalserver.org/matter/dynamic-profile/view/1854759","17-1854759")</f>
        <v>0</v>
      </c>
      <c r="B109" t="s">
        <v>64</v>
      </c>
      <c r="C109" t="s">
        <v>4236</v>
      </c>
      <c r="E109" t="s">
        <v>599</v>
      </c>
      <c r="F109" t="s">
        <v>4463</v>
      </c>
      <c r="G109" t="s">
        <v>4619</v>
      </c>
      <c r="H109" t="s">
        <v>1736</v>
      </c>
      <c r="I109">
        <v>11206</v>
      </c>
      <c r="J109" t="s">
        <v>2003</v>
      </c>
      <c r="K109" t="s">
        <v>2003</v>
      </c>
      <c r="N109" t="s">
        <v>2414</v>
      </c>
      <c r="O109" t="s">
        <v>2439</v>
      </c>
      <c r="Q109" t="s">
        <v>2003</v>
      </c>
      <c r="T109">
        <v>1415.48</v>
      </c>
      <c r="U109" t="s">
        <v>2496</v>
      </c>
      <c r="W109" t="s">
        <v>4973</v>
      </c>
      <c r="X109" t="s">
        <v>5124</v>
      </c>
      <c r="Y109" t="s">
        <v>5223</v>
      </c>
      <c r="Z109">
        <v>14</v>
      </c>
      <c r="AA109" t="s">
        <v>3792</v>
      </c>
      <c r="AC109">
        <v>15</v>
      </c>
      <c r="AD109">
        <v>2</v>
      </c>
      <c r="AE109">
        <v>0</v>
      </c>
      <c r="AF109">
        <v>54.16</v>
      </c>
      <c r="AI109" t="s">
        <v>3809</v>
      </c>
      <c r="AJ109">
        <v>24916</v>
      </c>
      <c r="AP109">
        <v>0.5</v>
      </c>
      <c r="AQ109" t="s">
        <v>5402</v>
      </c>
      <c r="AR109" t="s">
        <v>4199</v>
      </c>
      <c r="AS109" t="s">
        <v>4210</v>
      </c>
      <c r="AT109" t="s">
        <v>4219</v>
      </c>
    </row>
    <row r="110" spans="1:46">
      <c r="A110" s="1">
        <f>HYPERLINK("https://lsnyc.legalserver.org/matter/dynamic-profile/view/1869399","18-1869399")</f>
        <v>0</v>
      </c>
      <c r="B110" t="s">
        <v>64</v>
      </c>
      <c r="C110" t="s">
        <v>265</v>
      </c>
      <c r="E110" t="s">
        <v>806</v>
      </c>
      <c r="F110" t="s">
        <v>866</v>
      </c>
      <c r="G110" t="s">
        <v>1684</v>
      </c>
      <c r="H110" t="s">
        <v>1741</v>
      </c>
      <c r="I110">
        <v>11233</v>
      </c>
      <c r="J110" t="s">
        <v>2004</v>
      </c>
      <c r="K110" t="s">
        <v>2004</v>
      </c>
      <c r="T110">
        <v>0</v>
      </c>
      <c r="U110" t="s">
        <v>2495</v>
      </c>
      <c r="W110" t="s">
        <v>2684</v>
      </c>
      <c r="Y110" t="s">
        <v>3729</v>
      </c>
      <c r="Z110">
        <v>0</v>
      </c>
      <c r="AC110">
        <v>0</v>
      </c>
      <c r="AD110">
        <v>2</v>
      </c>
      <c r="AE110">
        <v>0</v>
      </c>
      <c r="AF110">
        <v>54.68</v>
      </c>
      <c r="AI110" t="s">
        <v>3809</v>
      </c>
      <c r="AJ110">
        <v>9000</v>
      </c>
      <c r="AP110">
        <v>1.8</v>
      </c>
      <c r="AQ110" t="s">
        <v>199</v>
      </c>
      <c r="AR110" t="s">
        <v>4197</v>
      </c>
      <c r="AS110" t="s">
        <v>4210</v>
      </c>
      <c r="AT110" t="s">
        <v>4219</v>
      </c>
    </row>
    <row r="111" spans="1:46">
      <c r="A111" s="1">
        <f>HYPERLINK("https://lsnyc.legalserver.org/matter/dynamic-profile/view/1862717","18-1862717")</f>
        <v>0</v>
      </c>
      <c r="B111" t="s">
        <v>64</v>
      </c>
      <c r="C111" t="s">
        <v>4237</v>
      </c>
      <c r="E111" t="s">
        <v>4308</v>
      </c>
      <c r="F111" t="s">
        <v>4464</v>
      </c>
      <c r="G111" t="s">
        <v>4620</v>
      </c>
      <c r="H111" t="s">
        <v>4761</v>
      </c>
      <c r="I111">
        <v>11209</v>
      </c>
      <c r="J111" t="s">
        <v>2003</v>
      </c>
      <c r="K111" t="s">
        <v>2004</v>
      </c>
      <c r="O111" t="s">
        <v>2442</v>
      </c>
      <c r="T111">
        <v>1150</v>
      </c>
      <c r="U111" t="s">
        <v>2497</v>
      </c>
      <c r="W111" t="s">
        <v>4974</v>
      </c>
      <c r="Y111" t="s">
        <v>5224</v>
      </c>
      <c r="Z111">
        <v>60</v>
      </c>
      <c r="AA111" t="s">
        <v>3783</v>
      </c>
      <c r="AC111">
        <v>24</v>
      </c>
      <c r="AD111">
        <v>1</v>
      </c>
      <c r="AE111">
        <v>0</v>
      </c>
      <c r="AF111">
        <v>55.55</v>
      </c>
      <c r="AI111" t="s">
        <v>3809</v>
      </c>
      <c r="AJ111">
        <v>6744</v>
      </c>
      <c r="AP111">
        <v>6.2</v>
      </c>
      <c r="AQ111" t="s">
        <v>4177</v>
      </c>
      <c r="AR111" t="s">
        <v>4184</v>
      </c>
      <c r="AS111" t="s">
        <v>4210</v>
      </c>
      <c r="AT111" t="s">
        <v>4219</v>
      </c>
    </row>
    <row r="112" spans="1:46">
      <c r="A112" s="1">
        <f>HYPERLINK("https://lsnyc.legalserver.org/matter/dynamic-profile/view/1874864","18-1874864")</f>
        <v>0</v>
      </c>
      <c r="B112" t="s">
        <v>64</v>
      </c>
      <c r="C112" t="s">
        <v>204</v>
      </c>
      <c r="D112" t="s">
        <v>93</v>
      </c>
      <c r="E112" t="s">
        <v>4309</v>
      </c>
      <c r="F112" t="s">
        <v>4465</v>
      </c>
      <c r="G112" t="s">
        <v>4621</v>
      </c>
      <c r="H112" t="s">
        <v>1849</v>
      </c>
      <c r="I112">
        <v>11233</v>
      </c>
      <c r="J112" t="s">
        <v>2003</v>
      </c>
      <c r="K112" t="s">
        <v>2004</v>
      </c>
      <c r="M112" t="s">
        <v>4826</v>
      </c>
      <c r="N112" t="s">
        <v>2413</v>
      </c>
      <c r="P112" t="s">
        <v>2448</v>
      </c>
      <c r="T112">
        <v>1301</v>
      </c>
      <c r="U112" t="s">
        <v>2495</v>
      </c>
      <c r="V112" t="s">
        <v>2527</v>
      </c>
      <c r="W112" t="s">
        <v>4975</v>
      </c>
      <c r="Y112" t="s">
        <v>5225</v>
      </c>
      <c r="Z112">
        <v>6</v>
      </c>
      <c r="AA112" t="s">
        <v>3783</v>
      </c>
      <c r="AB112" t="s">
        <v>3798</v>
      </c>
      <c r="AC112">
        <v>8</v>
      </c>
      <c r="AD112">
        <v>1</v>
      </c>
      <c r="AE112">
        <v>0</v>
      </c>
      <c r="AF112">
        <v>55.75</v>
      </c>
      <c r="AI112" t="s">
        <v>3809</v>
      </c>
      <c r="AJ112">
        <v>6768</v>
      </c>
      <c r="AP112">
        <v>4.5</v>
      </c>
      <c r="AQ112" t="s">
        <v>212</v>
      </c>
      <c r="AR112" t="s">
        <v>4196</v>
      </c>
      <c r="AS112" t="s">
        <v>4210</v>
      </c>
      <c r="AT112" t="s">
        <v>4219</v>
      </c>
    </row>
    <row r="113" spans="1:46">
      <c r="A113" s="1">
        <f>HYPERLINK("https://lsnyc.legalserver.org/matter/dynamic-profile/view/1875525","18-1875525")</f>
        <v>0</v>
      </c>
      <c r="B113" t="s">
        <v>64</v>
      </c>
      <c r="C113" t="s">
        <v>86</v>
      </c>
      <c r="D113" t="s">
        <v>235</v>
      </c>
      <c r="E113" t="s">
        <v>590</v>
      </c>
      <c r="F113" t="s">
        <v>1099</v>
      </c>
      <c r="G113" t="s">
        <v>1550</v>
      </c>
      <c r="H113" t="s">
        <v>1748</v>
      </c>
      <c r="I113">
        <v>11212</v>
      </c>
      <c r="J113" t="s">
        <v>2002</v>
      </c>
      <c r="K113" t="s">
        <v>2004</v>
      </c>
      <c r="M113" t="s">
        <v>2212</v>
      </c>
      <c r="N113" t="s">
        <v>2027</v>
      </c>
      <c r="O113" t="s">
        <v>2439</v>
      </c>
      <c r="P113" t="s">
        <v>2444</v>
      </c>
      <c r="T113">
        <v>1200</v>
      </c>
      <c r="V113" t="s">
        <v>2525</v>
      </c>
      <c r="W113" t="s">
        <v>2820</v>
      </c>
      <c r="Y113" t="s">
        <v>3561</v>
      </c>
      <c r="Z113">
        <v>0</v>
      </c>
      <c r="AC113">
        <v>0</v>
      </c>
      <c r="AD113">
        <v>1</v>
      </c>
      <c r="AE113">
        <v>0</v>
      </c>
      <c r="AF113">
        <v>70.38</v>
      </c>
      <c r="AI113" t="s">
        <v>3809</v>
      </c>
      <c r="AJ113">
        <v>8544</v>
      </c>
      <c r="AK113" t="s">
        <v>5368</v>
      </c>
      <c r="AP113">
        <v>0.4</v>
      </c>
      <c r="AQ113" t="s">
        <v>235</v>
      </c>
      <c r="AR113" t="s">
        <v>4188</v>
      </c>
      <c r="AS113" t="s">
        <v>4214</v>
      </c>
      <c r="AT113" t="s">
        <v>4219</v>
      </c>
    </row>
    <row r="114" spans="1:46">
      <c r="A114" s="1">
        <f>HYPERLINK("https://lsnyc.legalserver.org/matter/dynamic-profile/view/1888260","19-1888260")</f>
        <v>0</v>
      </c>
      <c r="B114" t="s">
        <v>64</v>
      </c>
      <c r="C114" t="s">
        <v>2489</v>
      </c>
      <c r="E114" t="s">
        <v>4310</v>
      </c>
      <c r="F114" t="s">
        <v>4466</v>
      </c>
      <c r="G114" t="s">
        <v>4622</v>
      </c>
      <c r="H114" t="s">
        <v>1746</v>
      </c>
      <c r="I114">
        <v>11208</v>
      </c>
      <c r="J114" t="s">
        <v>2003</v>
      </c>
      <c r="K114" t="s">
        <v>2003</v>
      </c>
      <c r="M114" t="s">
        <v>2027</v>
      </c>
      <c r="N114" t="s">
        <v>2414</v>
      </c>
      <c r="Q114" t="s">
        <v>2450</v>
      </c>
      <c r="R114" t="s">
        <v>2451</v>
      </c>
      <c r="T114">
        <v>1956</v>
      </c>
      <c r="U114" t="s">
        <v>2500</v>
      </c>
      <c r="V114" t="s">
        <v>2513</v>
      </c>
      <c r="W114" t="s">
        <v>4976</v>
      </c>
      <c r="X114">
        <v>30970972</v>
      </c>
      <c r="Y114" t="s">
        <v>5226</v>
      </c>
      <c r="Z114">
        <v>6</v>
      </c>
      <c r="AA114" t="s">
        <v>3783</v>
      </c>
      <c r="AB114" t="s">
        <v>3796</v>
      </c>
      <c r="AC114">
        <v>1</v>
      </c>
      <c r="AD114">
        <v>1</v>
      </c>
      <c r="AE114">
        <v>4</v>
      </c>
      <c r="AF114">
        <v>74.04000000000001</v>
      </c>
      <c r="AI114" t="s">
        <v>3809</v>
      </c>
      <c r="AJ114">
        <v>21782</v>
      </c>
      <c r="AK114" t="s">
        <v>5369</v>
      </c>
      <c r="AP114">
        <v>5</v>
      </c>
      <c r="AQ114" t="s">
        <v>252</v>
      </c>
      <c r="AR114" t="s">
        <v>4185</v>
      </c>
      <c r="AS114" t="s">
        <v>4210</v>
      </c>
      <c r="AT114" t="s">
        <v>4219</v>
      </c>
    </row>
    <row r="115" spans="1:46">
      <c r="A115" s="1">
        <f>HYPERLINK("https://lsnyc.legalserver.org/matter/dynamic-profile/view/1878035","18-1878035")</f>
        <v>0</v>
      </c>
      <c r="B115" t="s">
        <v>64</v>
      </c>
      <c r="C115" t="s">
        <v>235</v>
      </c>
      <c r="E115" t="s">
        <v>615</v>
      </c>
      <c r="F115" t="s">
        <v>1124</v>
      </c>
      <c r="G115" t="s">
        <v>1581</v>
      </c>
      <c r="H115">
        <v>21</v>
      </c>
      <c r="I115">
        <v>11206</v>
      </c>
      <c r="J115" t="s">
        <v>2002</v>
      </c>
      <c r="K115" t="s">
        <v>2002</v>
      </c>
      <c r="M115" t="s">
        <v>2243</v>
      </c>
      <c r="O115" t="s">
        <v>2437</v>
      </c>
      <c r="T115">
        <v>0</v>
      </c>
      <c r="W115" t="s">
        <v>2854</v>
      </c>
      <c r="Y115" t="s">
        <v>3593</v>
      </c>
      <c r="Z115">
        <v>0</v>
      </c>
      <c r="AB115" t="s">
        <v>3793</v>
      </c>
      <c r="AC115">
        <v>15</v>
      </c>
      <c r="AD115">
        <v>1</v>
      </c>
      <c r="AE115">
        <v>0</v>
      </c>
      <c r="AF115">
        <v>76.11</v>
      </c>
      <c r="AI115" t="s">
        <v>3809</v>
      </c>
      <c r="AJ115">
        <v>9240</v>
      </c>
      <c r="AP115">
        <v>0.2</v>
      </c>
      <c r="AQ115" t="s">
        <v>235</v>
      </c>
      <c r="AR115" t="s">
        <v>4188</v>
      </c>
      <c r="AS115" t="s">
        <v>4214</v>
      </c>
      <c r="AT115" t="s">
        <v>4219</v>
      </c>
    </row>
    <row r="116" spans="1:46">
      <c r="A116" s="1">
        <f>HYPERLINK("https://lsnyc.legalserver.org/matter/dynamic-profile/view/1881046","18-1881046")</f>
        <v>0</v>
      </c>
      <c r="B116" t="s">
        <v>64</v>
      </c>
      <c r="C116" t="s">
        <v>240</v>
      </c>
      <c r="E116" t="s">
        <v>4311</v>
      </c>
      <c r="F116" t="s">
        <v>4467</v>
      </c>
      <c r="G116" t="s">
        <v>4623</v>
      </c>
      <c r="H116" t="s">
        <v>1741</v>
      </c>
      <c r="I116">
        <v>11233</v>
      </c>
      <c r="J116" t="s">
        <v>2002</v>
      </c>
      <c r="K116" t="s">
        <v>2004</v>
      </c>
      <c r="N116" t="s">
        <v>2414</v>
      </c>
      <c r="O116" t="s">
        <v>2439</v>
      </c>
      <c r="T116">
        <v>259</v>
      </c>
      <c r="U116" t="s">
        <v>2497</v>
      </c>
      <c r="W116" t="s">
        <v>4977</v>
      </c>
      <c r="Z116">
        <v>6</v>
      </c>
      <c r="AA116" t="s">
        <v>3783</v>
      </c>
      <c r="AB116" t="s">
        <v>2006</v>
      </c>
      <c r="AC116">
        <v>9</v>
      </c>
      <c r="AD116">
        <v>1</v>
      </c>
      <c r="AE116">
        <v>0</v>
      </c>
      <c r="AF116">
        <v>76.61</v>
      </c>
      <c r="AI116" t="s">
        <v>3809</v>
      </c>
      <c r="AJ116">
        <v>9300</v>
      </c>
      <c r="AP116">
        <v>0.9</v>
      </c>
      <c r="AQ116" t="s">
        <v>127</v>
      </c>
      <c r="AR116" t="s">
        <v>4188</v>
      </c>
      <c r="AS116" t="s">
        <v>4210</v>
      </c>
      <c r="AT116" t="s">
        <v>4219</v>
      </c>
    </row>
    <row r="117" spans="1:46">
      <c r="A117" s="1">
        <f>HYPERLINK("https://lsnyc.legalserver.org/matter/dynamic-profile/view/1884048","18-1884048")</f>
        <v>0</v>
      </c>
      <c r="B117" t="s">
        <v>64</v>
      </c>
      <c r="C117" t="s">
        <v>2483</v>
      </c>
      <c r="E117" t="s">
        <v>4312</v>
      </c>
      <c r="F117" t="s">
        <v>4468</v>
      </c>
      <c r="G117" t="s">
        <v>4624</v>
      </c>
      <c r="H117" t="s">
        <v>1741</v>
      </c>
      <c r="I117">
        <v>11209</v>
      </c>
      <c r="J117" t="s">
        <v>2004</v>
      </c>
      <c r="K117" t="s">
        <v>2004</v>
      </c>
      <c r="N117" t="s">
        <v>2027</v>
      </c>
      <c r="T117">
        <v>0</v>
      </c>
      <c r="W117" t="s">
        <v>4978</v>
      </c>
      <c r="Y117" t="s">
        <v>5227</v>
      </c>
      <c r="Z117">
        <v>0</v>
      </c>
      <c r="AA117" t="s">
        <v>2156</v>
      </c>
      <c r="AB117" t="s">
        <v>2006</v>
      </c>
      <c r="AC117">
        <v>25</v>
      </c>
      <c r="AD117">
        <v>1</v>
      </c>
      <c r="AE117">
        <v>0</v>
      </c>
      <c r="AF117">
        <v>79.08</v>
      </c>
      <c r="AI117" t="s">
        <v>3809</v>
      </c>
      <c r="AJ117">
        <v>9600</v>
      </c>
      <c r="AP117">
        <v>1.2</v>
      </c>
      <c r="AQ117" t="s">
        <v>122</v>
      </c>
      <c r="AR117" t="s">
        <v>4192</v>
      </c>
      <c r="AS117" t="s">
        <v>4210</v>
      </c>
      <c r="AT117" t="s">
        <v>4219</v>
      </c>
    </row>
    <row r="118" spans="1:46">
      <c r="A118" s="1">
        <f>HYPERLINK("https://lsnyc.legalserver.org/matter/dynamic-profile/view/1886914","19-1886914")</f>
        <v>0</v>
      </c>
      <c r="B118" t="s">
        <v>64</v>
      </c>
      <c r="C118" t="s">
        <v>135</v>
      </c>
      <c r="D118" t="s">
        <v>257</v>
      </c>
      <c r="E118" t="s">
        <v>4313</v>
      </c>
      <c r="F118" t="s">
        <v>4469</v>
      </c>
      <c r="G118" t="s">
        <v>4625</v>
      </c>
      <c r="H118">
        <v>2</v>
      </c>
      <c r="I118">
        <v>11233</v>
      </c>
      <c r="J118" t="s">
        <v>2003</v>
      </c>
      <c r="K118" t="s">
        <v>2003</v>
      </c>
      <c r="M118" t="s">
        <v>4827</v>
      </c>
      <c r="N118" t="s">
        <v>2414</v>
      </c>
      <c r="P118" t="s">
        <v>2444</v>
      </c>
      <c r="Q118" t="s">
        <v>2450</v>
      </c>
      <c r="R118" t="s">
        <v>2451</v>
      </c>
      <c r="T118">
        <v>1200</v>
      </c>
      <c r="U118" t="s">
        <v>2503</v>
      </c>
      <c r="V118" t="s">
        <v>2515</v>
      </c>
      <c r="W118" t="s">
        <v>4979</v>
      </c>
      <c r="X118">
        <v>1825212</v>
      </c>
      <c r="Y118" t="s">
        <v>5228</v>
      </c>
      <c r="Z118">
        <v>16</v>
      </c>
      <c r="AA118" t="s">
        <v>3783</v>
      </c>
      <c r="AB118" t="s">
        <v>2006</v>
      </c>
      <c r="AC118">
        <v>4</v>
      </c>
      <c r="AD118">
        <v>2</v>
      </c>
      <c r="AE118">
        <v>2</v>
      </c>
      <c r="AF118">
        <v>79.55</v>
      </c>
      <c r="AI118" t="s">
        <v>3809</v>
      </c>
      <c r="AJ118">
        <v>19968</v>
      </c>
      <c r="AP118">
        <v>2</v>
      </c>
      <c r="AQ118" t="s">
        <v>257</v>
      </c>
      <c r="AR118" t="s">
        <v>4185</v>
      </c>
      <c r="AS118" t="s">
        <v>4210</v>
      </c>
      <c r="AT118" t="s">
        <v>4219</v>
      </c>
    </row>
    <row r="119" spans="1:46">
      <c r="A119" s="1">
        <f>HYPERLINK("https://lsnyc.legalserver.org/matter/dynamic-profile/view/1869703","18-1869703")</f>
        <v>0</v>
      </c>
      <c r="B119" t="s">
        <v>64</v>
      </c>
      <c r="C119" t="s">
        <v>4238</v>
      </c>
      <c r="E119" t="s">
        <v>577</v>
      </c>
      <c r="F119" t="s">
        <v>4470</v>
      </c>
      <c r="G119" t="s">
        <v>4626</v>
      </c>
      <c r="H119" t="s">
        <v>1746</v>
      </c>
      <c r="I119">
        <v>11208</v>
      </c>
      <c r="J119" t="s">
        <v>2003</v>
      </c>
      <c r="K119" t="s">
        <v>2004</v>
      </c>
      <c r="M119" t="s">
        <v>2027</v>
      </c>
      <c r="N119" t="s">
        <v>2414</v>
      </c>
      <c r="Q119" t="s">
        <v>2450</v>
      </c>
      <c r="T119">
        <v>763</v>
      </c>
      <c r="U119" t="s">
        <v>2497</v>
      </c>
      <c r="W119" t="s">
        <v>4980</v>
      </c>
      <c r="X119" t="s">
        <v>5125</v>
      </c>
      <c r="Y119" t="s">
        <v>5229</v>
      </c>
      <c r="Z119">
        <v>4</v>
      </c>
      <c r="AA119" t="s">
        <v>3784</v>
      </c>
      <c r="AB119" t="s">
        <v>3793</v>
      </c>
      <c r="AC119">
        <v>0</v>
      </c>
      <c r="AD119">
        <v>1</v>
      </c>
      <c r="AE119">
        <v>1</v>
      </c>
      <c r="AF119">
        <v>81.02</v>
      </c>
      <c r="AI119" t="s">
        <v>3809</v>
      </c>
      <c r="AJ119">
        <v>13336</v>
      </c>
      <c r="AP119">
        <v>1.5</v>
      </c>
      <c r="AQ119" t="s">
        <v>2458</v>
      </c>
      <c r="AR119" t="s">
        <v>4193</v>
      </c>
      <c r="AS119" t="s">
        <v>4210</v>
      </c>
      <c r="AT119" t="s">
        <v>4219</v>
      </c>
    </row>
    <row r="120" spans="1:46">
      <c r="A120" s="1">
        <f>HYPERLINK("https://lsnyc.legalserver.org/matter/dynamic-profile/view/1882018","18-1882018")</f>
        <v>0</v>
      </c>
      <c r="B120" t="s">
        <v>64</v>
      </c>
      <c r="C120" t="s">
        <v>298</v>
      </c>
      <c r="E120" t="s">
        <v>4314</v>
      </c>
      <c r="F120" t="s">
        <v>4471</v>
      </c>
      <c r="G120" t="s">
        <v>1432</v>
      </c>
      <c r="H120" t="s">
        <v>4762</v>
      </c>
      <c r="I120">
        <v>11208</v>
      </c>
      <c r="J120" t="s">
        <v>2003</v>
      </c>
      <c r="K120" t="s">
        <v>2003</v>
      </c>
      <c r="M120" t="s">
        <v>2027</v>
      </c>
      <c r="N120" t="s">
        <v>2414</v>
      </c>
      <c r="Q120" t="s">
        <v>2003</v>
      </c>
      <c r="R120" t="s">
        <v>2451</v>
      </c>
      <c r="T120">
        <v>895</v>
      </c>
      <c r="U120" t="s">
        <v>2496</v>
      </c>
      <c r="W120" t="s">
        <v>4981</v>
      </c>
      <c r="X120" t="s">
        <v>3160</v>
      </c>
      <c r="Y120" t="s">
        <v>5230</v>
      </c>
      <c r="Z120">
        <v>1276</v>
      </c>
      <c r="AA120" t="s">
        <v>2156</v>
      </c>
      <c r="AB120" t="s">
        <v>2006</v>
      </c>
      <c r="AC120">
        <v>3</v>
      </c>
      <c r="AD120">
        <v>1</v>
      </c>
      <c r="AE120">
        <v>0</v>
      </c>
      <c r="AF120">
        <v>81.05</v>
      </c>
      <c r="AI120" t="s">
        <v>3809</v>
      </c>
      <c r="AJ120">
        <v>9840</v>
      </c>
      <c r="AP120">
        <v>0</v>
      </c>
      <c r="AR120" t="s">
        <v>4185</v>
      </c>
      <c r="AS120" t="s">
        <v>4210</v>
      </c>
      <c r="AT120" t="s">
        <v>4219</v>
      </c>
    </row>
    <row r="121" spans="1:46">
      <c r="A121" s="1">
        <f>HYPERLINK("https://lsnyc.legalserver.org/matter/dynamic-profile/view/1903580","19-1903580")</f>
        <v>0</v>
      </c>
      <c r="B121" t="s">
        <v>64</v>
      </c>
      <c r="C121" t="s">
        <v>319</v>
      </c>
      <c r="E121" t="s">
        <v>4315</v>
      </c>
      <c r="F121" t="s">
        <v>4472</v>
      </c>
      <c r="G121" t="s">
        <v>4627</v>
      </c>
      <c r="H121" t="s">
        <v>1962</v>
      </c>
      <c r="I121">
        <v>11233</v>
      </c>
      <c r="J121" t="s">
        <v>2003</v>
      </c>
      <c r="K121" t="s">
        <v>2004</v>
      </c>
      <c r="L121" t="s">
        <v>2006</v>
      </c>
      <c r="M121" t="s">
        <v>2132</v>
      </c>
      <c r="N121" t="s">
        <v>2414</v>
      </c>
      <c r="Q121" t="s">
        <v>2003</v>
      </c>
      <c r="R121" t="s">
        <v>2451</v>
      </c>
      <c r="T121">
        <v>1100.06</v>
      </c>
      <c r="U121" t="s">
        <v>2509</v>
      </c>
      <c r="W121" t="s">
        <v>4982</v>
      </c>
      <c r="X121" t="s">
        <v>2156</v>
      </c>
      <c r="Y121" t="s">
        <v>5231</v>
      </c>
      <c r="Z121">
        <v>43</v>
      </c>
      <c r="AA121" t="s">
        <v>3783</v>
      </c>
      <c r="AB121" t="s">
        <v>2006</v>
      </c>
      <c r="AC121">
        <v>45</v>
      </c>
      <c r="AD121">
        <v>1</v>
      </c>
      <c r="AE121">
        <v>0</v>
      </c>
      <c r="AF121">
        <v>81.67</v>
      </c>
      <c r="AI121" t="s">
        <v>3809</v>
      </c>
      <c r="AJ121">
        <v>10200</v>
      </c>
      <c r="AP121">
        <v>0.1</v>
      </c>
      <c r="AQ121" t="s">
        <v>310</v>
      </c>
      <c r="AR121" t="s">
        <v>4185</v>
      </c>
      <c r="AS121" t="s">
        <v>4210</v>
      </c>
      <c r="AT121" t="s">
        <v>4219</v>
      </c>
    </row>
    <row r="122" spans="1:46">
      <c r="A122" s="1">
        <f>HYPERLINK("https://lsnyc.legalserver.org/matter/dynamic-profile/view/1870583","18-1870583")</f>
        <v>0</v>
      </c>
      <c r="B122" t="s">
        <v>64</v>
      </c>
      <c r="C122" t="s">
        <v>207</v>
      </c>
      <c r="D122" t="s">
        <v>183</v>
      </c>
      <c r="E122" t="s">
        <v>777</v>
      </c>
      <c r="F122" t="s">
        <v>1285</v>
      </c>
      <c r="G122" t="s">
        <v>1653</v>
      </c>
      <c r="H122" t="s">
        <v>1974</v>
      </c>
      <c r="I122">
        <v>11208</v>
      </c>
      <c r="J122" t="s">
        <v>2003</v>
      </c>
      <c r="K122" t="s">
        <v>2003</v>
      </c>
      <c r="P122" t="s">
        <v>2444</v>
      </c>
      <c r="T122">
        <v>1165</v>
      </c>
      <c r="U122" t="s">
        <v>2509</v>
      </c>
      <c r="V122" t="s">
        <v>2515</v>
      </c>
      <c r="W122" t="s">
        <v>3063</v>
      </c>
      <c r="Y122" t="s">
        <v>3693</v>
      </c>
      <c r="Z122">
        <v>45</v>
      </c>
      <c r="AC122">
        <v>12</v>
      </c>
      <c r="AD122">
        <v>1</v>
      </c>
      <c r="AE122">
        <v>0</v>
      </c>
      <c r="AF122">
        <v>82.73</v>
      </c>
      <c r="AI122" t="s">
        <v>3809</v>
      </c>
      <c r="AJ122">
        <v>10044</v>
      </c>
      <c r="AP122">
        <v>2.44</v>
      </c>
      <c r="AQ122" t="s">
        <v>90</v>
      </c>
      <c r="AR122" t="s">
        <v>4191</v>
      </c>
      <c r="AS122" t="s">
        <v>4210</v>
      </c>
      <c r="AT122" t="s">
        <v>4219</v>
      </c>
    </row>
    <row r="123" spans="1:46">
      <c r="A123" s="1">
        <f>HYPERLINK("https://lsnyc.legalserver.org/matter/dynamic-profile/view/1869960","18-1869960")</f>
        <v>0</v>
      </c>
      <c r="B123" t="s">
        <v>64</v>
      </c>
      <c r="C123" t="s">
        <v>4239</v>
      </c>
      <c r="E123" t="s">
        <v>750</v>
      </c>
      <c r="F123" t="s">
        <v>902</v>
      </c>
      <c r="G123" t="s">
        <v>4628</v>
      </c>
      <c r="H123">
        <v>1</v>
      </c>
      <c r="I123">
        <v>11208</v>
      </c>
      <c r="J123" t="s">
        <v>2003</v>
      </c>
      <c r="K123" t="s">
        <v>2004</v>
      </c>
      <c r="N123" t="s">
        <v>2027</v>
      </c>
      <c r="T123">
        <v>1500</v>
      </c>
      <c r="W123" t="s">
        <v>4983</v>
      </c>
      <c r="Y123" t="s">
        <v>5232</v>
      </c>
      <c r="Z123">
        <v>5</v>
      </c>
      <c r="AA123" t="s">
        <v>3784</v>
      </c>
      <c r="AB123" t="s">
        <v>2006</v>
      </c>
      <c r="AC123">
        <v>10</v>
      </c>
      <c r="AD123">
        <v>1</v>
      </c>
      <c r="AE123">
        <v>0</v>
      </c>
      <c r="AF123">
        <v>85.67</v>
      </c>
      <c r="AI123" t="s">
        <v>3809</v>
      </c>
      <c r="AJ123">
        <v>10400</v>
      </c>
      <c r="AP123">
        <v>1.8</v>
      </c>
      <c r="AQ123" t="s">
        <v>4175</v>
      </c>
      <c r="AR123" t="s">
        <v>4192</v>
      </c>
      <c r="AS123" t="s">
        <v>4210</v>
      </c>
      <c r="AT123" t="s">
        <v>4219</v>
      </c>
    </row>
    <row r="124" spans="1:46">
      <c r="A124" s="1">
        <f>HYPERLINK("https://lsnyc.legalserver.org/matter/dynamic-profile/view/1897303","19-1897303")</f>
        <v>0</v>
      </c>
      <c r="B124" t="s">
        <v>64</v>
      </c>
      <c r="C124" t="s">
        <v>275</v>
      </c>
      <c r="E124" t="s">
        <v>4316</v>
      </c>
      <c r="F124" t="s">
        <v>960</v>
      </c>
      <c r="G124" t="s">
        <v>4629</v>
      </c>
      <c r="H124" t="s">
        <v>1754</v>
      </c>
      <c r="I124">
        <v>11207</v>
      </c>
      <c r="J124" t="s">
        <v>2004</v>
      </c>
      <c r="K124" t="s">
        <v>2004</v>
      </c>
      <c r="M124" t="s">
        <v>4828</v>
      </c>
      <c r="N124" t="s">
        <v>2413</v>
      </c>
      <c r="Q124" t="s">
        <v>2003</v>
      </c>
      <c r="T124">
        <v>1445</v>
      </c>
      <c r="U124" t="s">
        <v>2497</v>
      </c>
      <c r="V124" t="s">
        <v>2515</v>
      </c>
      <c r="W124" t="s">
        <v>4984</v>
      </c>
      <c r="Y124" t="s">
        <v>5233</v>
      </c>
      <c r="Z124">
        <v>12</v>
      </c>
      <c r="AA124" t="s">
        <v>3783</v>
      </c>
      <c r="AB124" t="s">
        <v>2006</v>
      </c>
      <c r="AC124">
        <v>12</v>
      </c>
      <c r="AD124">
        <v>1</v>
      </c>
      <c r="AE124">
        <v>4</v>
      </c>
      <c r="AF124">
        <v>86.18000000000001</v>
      </c>
      <c r="AI124" t="s">
        <v>3809</v>
      </c>
      <c r="AJ124">
        <v>26000</v>
      </c>
      <c r="AP124">
        <v>5.6</v>
      </c>
      <c r="AQ124" t="s">
        <v>332</v>
      </c>
      <c r="AR124" t="s">
        <v>4196</v>
      </c>
      <c r="AS124" t="s">
        <v>4210</v>
      </c>
      <c r="AT124" t="s">
        <v>4219</v>
      </c>
    </row>
    <row r="125" spans="1:46">
      <c r="A125" s="1">
        <f>HYPERLINK("https://lsnyc.legalserver.org/matter/dynamic-profile/view/1863476","18-1863476")</f>
        <v>0</v>
      </c>
      <c r="B125" t="s">
        <v>64</v>
      </c>
      <c r="C125" t="s">
        <v>72</v>
      </c>
      <c r="E125" t="s">
        <v>794</v>
      </c>
      <c r="F125" t="s">
        <v>351</v>
      </c>
      <c r="G125" t="s">
        <v>1645</v>
      </c>
      <c r="H125" t="s">
        <v>1739</v>
      </c>
      <c r="I125">
        <v>11213</v>
      </c>
      <c r="J125" t="s">
        <v>2003</v>
      </c>
      <c r="K125" t="s">
        <v>2004</v>
      </c>
      <c r="T125">
        <v>900</v>
      </c>
      <c r="U125" t="s">
        <v>2512</v>
      </c>
      <c r="W125" t="s">
        <v>4985</v>
      </c>
      <c r="Z125">
        <v>23</v>
      </c>
      <c r="AC125">
        <v>10</v>
      </c>
      <c r="AD125">
        <v>1</v>
      </c>
      <c r="AE125">
        <v>0</v>
      </c>
      <c r="AF125">
        <v>98.84999999999999</v>
      </c>
      <c r="AI125" t="s">
        <v>3809</v>
      </c>
      <c r="AJ125">
        <v>12000</v>
      </c>
      <c r="AP125">
        <v>1.6</v>
      </c>
      <c r="AQ125" t="s">
        <v>5403</v>
      </c>
      <c r="AR125" t="s">
        <v>4197</v>
      </c>
      <c r="AS125" t="s">
        <v>4210</v>
      </c>
      <c r="AT125" t="s">
        <v>4219</v>
      </c>
    </row>
    <row r="126" spans="1:46">
      <c r="A126" s="1">
        <f>HYPERLINK("https://lsnyc.legalserver.org/matter/dynamic-profile/view/1889647","19-1889647")</f>
        <v>0</v>
      </c>
      <c r="B126" t="s">
        <v>64</v>
      </c>
      <c r="C126" t="s">
        <v>287</v>
      </c>
      <c r="E126" t="s">
        <v>4317</v>
      </c>
      <c r="F126" t="s">
        <v>993</v>
      </c>
      <c r="G126" t="s">
        <v>4630</v>
      </c>
      <c r="H126" t="s">
        <v>1929</v>
      </c>
      <c r="I126">
        <v>11212</v>
      </c>
      <c r="J126" t="s">
        <v>2002</v>
      </c>
      <c r="K126" t="s">
        <v>2002</v>
      </c>
      <c r="M126" t="s">
        <v>4829</v>
      </c>
      <c r="N126" t="s">
        <v>2414</v>
      </c>
      <c r="O126" t="s">
        <v>2442</v>
      </c>
      <c r="T126">
        <v>1100</v>
      </c>
      <c r="U126" t="s">
        <v>2500</v>
      </c>
      <c r="W126" t="s">
        <v>4986</v>
      </c>
      <c r="Y126" t="s">
        <v>5234</v>
      </c>
      <c r="Z126">
        <v>170</v>
      </c>
      <c r="AB126" t="s">
        <v>3797</v>
      </c>
      <c r="AC126">
        <v>0</v>
      </c>
      <c r="AD126">
        <v>1</v>
      </c>
      <c r="AE126">
        <v>0</v>
      </c>
      <c r="AF126">
        <v>105.68</v>
      </c>
      <c r="AI126" t="s">
        <v>3809</v>
      </c>
      <c r="AJ126">
        <v>13200</v>
      </c>
      <c r="AP126">
        <v>1.8</v>
      </c>
      <c r="AQ126" t="s">
        <v>160</v>
      </c>
      <c r="AR126" t="s">
        <v>4188</v>
      </c>
      <c r="AS126" t="s">
        <v>4210</v>
      </c>
      <c r="AT126" t="s">
        <v>4219</v>
      </c>
    </row>
    <row r="127" spans="1:46">
      <c r="A127" s="1">
        <f>HYPERLINK("https://lsnyc.legalserver.org/matter/dynamic-profile/view/1873916","18-1873916")</f>
        <v>0</v>
      </c>
      <c r="B127" t="s">
        <v>64</v>
      </c>
      <c r="C127" t="s">
        <v>308</v>
      </c>
      <c r="E127" t="s">
        <v>4318</v>
      </c>
      <c r="F127" t="s">
        <v>4473</v>
      </c>
      <c r="G127" t="s">
        <v>4631</v>
      </c>
      <c r="H127" t="s">
        <v>1752</v>
      </c>
      <c r="I127">
        <v>11236</v>
      </c>
      <c r="J127" t="s">
        <v>2004</v>
      </c>
      <c r="K127" t="s">
        <v>2004</v>
      </c>
      <c r="N127" t="s">
        <v>2414</v>
      </c>
      <c r="T127">
        <v>1650</v>
      </c>
      <c r="U127" t="s">
        <v>2495</v>
      </c>
      <c r="W127" t="s">
        <v>4987</v>
      </c>
      <c r="Z127">
        <v>6</v>
      </c>
      <c r="AA127" t="s">
        <v>2156</v>
      </c>
      <c r="AB127" t="s">
        <v>2006</v>
      </c>
      <c r="AC127">
        <v>1</v>
      </c>
      <c r="AD127">
        <v>2</v>
      </c>
      <c r="AE127">
        <v>0</v>
      </c>
      <c r="AF127">
        <v>110.57</v>
      </c>
      <c r="AI127" t="s">
        <v>3809</v>
      </c>
      <c r="AJ127">
        <v>18200</v>
      </c>
      <c r="AP127">
        <v>0.5</v>
      </c>
      <c r="AQ127" t="s">
        <v>308</v>
      </c>
      <c r="AR127" t="s">
        <v>4196</v>
      </c>
      <c r="AS127" t="s">
        <v>4210</v>
      </c>
      <c r="AT127" t="s">
        <v>4219</v>
      </c>
    </row>
    <row r="128" spans="1:46">
      <c r="A128" s="1">
        <f>HYPERLINK("https://lsnyc.legalserver.org/matter/dynamic-profile/view/1881539","18-1881539")</f>
        <v>0</v>
      </c>
      <c r="B128" t="s">
        <v>64</v>
      </c>
      <c r="C128" t="s">
        <v>156</v>
      </c>
      <c r="E128" t="s">
        <v>4319</v>
      </c>
      <c r="F128" t="s">
        <v>4474</v>
      </c>
      <c r="G128" t="s">
        <v>4632</v>
      </c>
      <c r="H128" t="s">
        <v>1752</v>
      </c>
      <c r="I128">
        <v>11233</v>
      </c>
      <c r="J128" t="s">
        <v>2002</v>
      </c>
      <c r="K128" t="s">
        <v>2002</v>
      </c>
      <c r="N128" t="s">
        <v>2414</v>
      </c>
      <c r="O128" t="s">
        <v>2439</v>
      </c>
      <c r="T128">
        <v>1254</v>
      </c>
      <c r="W128" t="s">
        <v>4988</v>
      </c>
      <c r="Y128" t="s">
        <v>5235</v>
      </c>
      <c r="Z128">
        <v>8</v>
      </c>
      <c r="AB128" t="s">
        <v>3798</v>
      </c>
      <c r="AC128">
        <v>7</v>
      </c>
      <c r="AD128">
        <v>1</v>
      </c>
      <c r="AE128">
        <v>1</v>
      </c>
      <c r="AF128">
        <v>112.71</v>
      </c>
      <c r="AI128" t="s">
        <v>3809</v>
      </c>
      <c r="AJ128">
        <v>18552</v>
      </c>
      <c r="AP128">
        <v>2.5</v>
      </c>
      <c r="AQ128" t="s">
        <v>297</v>
      </c>
      <c r="AR128" t="s">
        <v>4189</v>
      </c>
      <c r="AS128" t="s">
        <v>4210</v>
      </c>
      <c r="AT128" t="s">
        <v>4219</v>
      </c>
    </row>
    <row r="129" spans="1:46">
      <c r="A129" s="1">
        <f>HYPERLINK("https://lsnyc.legalserver.org/matter/dynamic-profile/view/1902700","19-1902700")</f>
        <v>0</v>
      </c>
      <c r="B129" t="s">
        <v>64</v>
      </c>
      <c r="C129" t="s">
        <v>312</v>
      </c>
      <c r="E129" t="s">
        <v>4320</v>
      </c>
      <c r="F129" t="s">
        <v>4475</v>
      </c>
      <c r="G129" t="s">
        <v>4633</v>
      </c>
      <c r="H129">
        <v>1</v>
      </c>
      <c r="I129">
        <v>11208</v>
      </c>
      <c r="J129" t="s">
        <v>2003</v>
      </c>
      <c r="K129" t="s">
        <v>2004</v>
      </c>
      <c r="L129" t="s">
        <v>2005</v>
      </c>
      <c r="M129" t="s">
        <v>4830</v>
      </c>
      <c r="N129" t="s">
        <v>2415</v>
      </c>
      <c r="Q129" t="s">
        <v>2003</v>
      </c>
      <c r="R129" t="s">
        <v>2454</v>
      </c>
      <c r="T129">
        <v>1500</v>
      </c>
      <c r="U129" t="s">
        <v>2496</v>
      </c>
      <c r="W129" t="s">
        <v>4989</v>
      </c>
      <c r="X129" t="s">
        <v>5126</v>
      </c>
      <c r="Y129" t="s">
        <v>5236</v>
      </c>
      <c r="Z129">
        <v>2</v>
      </c>
      <c r="AA129" t="s">
        <v>3784</v>
      </c>
      <c r="AB129" t="s">
        <v>2006</v>
      </c>
      <c r="AC129">
        <v>1</v>
      </c>
      <c r="AD129">
        <v>2</v>
      </c>
      <c r="AE129">
        <v>2</v>
      </c>
      <c r="AF129">
        <v>117.53</v>
      </c>
      <c r="AI129" t="s">
        <v>3809</v>
      </c>
      <c r="AJ129">
        <v>30264</v>
      </c>
      <c r="AP129">
        <v>1.4</v>
      </c>
      <c r="AQ129" t="s">
        <v>323</v>
      </c>
      <c r="AR129" t="s">
        <v>4185</v>
      </c>
      <c r="AS129" t="s">
        <v>4210</v>
      </c>
      <c r="AT129" t="s">
        <v>4219</v>
      </c>
    </row>
    <row r="130" spans="1:46">
      <c r="A130" s="1">
        <f>HYPERLINK("https://lsnyc.legalserver.org/matter/dynamic-profile/view/1883332","18-1883332")</f>
        <v>0</v>
      </c>
      <c r="B130" t="s">
        <v>64</v>
      </c>
      <c r="C130" t="s">
        <v>119</v>
      </c>
      <c r="E130" t="s">
        <v>701</v>
      </c>
      <c r="F130" t="s">
        <v>4476</v>
      </c>
      <c r="G130" t="s">
        <v>4634</v>
      </c>
      <c r="H130">
        <v>934</v>
      </c>
      <c r="I130">
        <v>11217</v>
      </c>
      <c r="J130" t="s">
        <v>2004</v>
      </c>
      <c r="K130" t="s">
        <v>2004</v>
      </c>
      <c r="N130" t="s">
        <v>2414</v>
      </c>
      <c r="Q130" t="s">
        <v>2003</v>
      </c>
      <c r="T130">
        <v>800</v>
      </c>
      <c r="U130" t="s">
        <v>2495</v>
      </c>
      <c r="W130" t="s">
        <v>4990</v>
      </c>
      <c r="Z130">
        <v>400</v>
      </c>
      <c r="AA130" t="s">
        <v>2156</v>
      </c>
      <c r="AB130" t="s">
        <v>3794</v>
      </c>
      <c r="AC130">
        <v>2</v>
      </c>
      <c r="AD130">
        <v>1</v>
      </c>
      <c r="AE130">
        <v>0</v>
      </c>
      <c r="AF130">
        <v>118.81</v>
      </c>
      <c r="AI130" t="s">
        <v>3809</v>
      </c>
      <c r="AJ130">
        <v>14424</v>
      </c>
      <c r="AP130">
        <v>0.5</v>
      </c>
      <c r="AQ130" t="s">
        <v>119</v>
      </c>
      <c r="AR130" t="s">
        <v>4196</v>
      </c>
      <c r="AS130" t="s">
        <v>4210</v>
      </c>
      <c r="AT130" t="s">
        <v>4219</v>
      </c>
    </row>
    <row r="131" spans="1:46">
      <c r="A131" s="1">
        <f>HYPERLINK("https://lsnyc.legalserver.org/matter/dynamic-profile/view/1874680","18-1874680")</f>
        <v>0</v>
      </c>
      <c r="B131" t="s">
        <v>64</v>
      </c>
      <c r="C131" t="s">
        <v>220</v>
      </c>
      <c r="E131" t="s">
        <v>4321</v>
      </c>
      <c r="F131" t="s">
        <v>4477</v>
      </c>
      <c r="G131" t="s">
        <v>4635</v>
      </c>
      <c r="H131" t="s">
        <v>1740</v>
      </c>
      <c r="I131">
        <v>11207</v>
      </c>
      <c r="J131" t="s">
        <v>2003</v>
      </c>
      <c r="K131" t="s">
        <v>2003</v>
      </c>
      <c r="O131" t="s">
        <v>2436</v>
      </c>
      <c r="T131">
        <v>1500</v>
      </c>
      <c r="W131" t="s">
        <v>4991</v>
      </c>
      <c r="Y131" t="s">
        <v>5237</v>
      </c>
      <c r="Z131">
        <v>3</v>
      </c>
      <c r="AB131" t="s">
        <v>3795</v>
      </c>
      <c r="AC131">
        <v>1</v>
      </c>
      <c r="AD131">
        <v>5</v>
      </c>
      <c r="AE131">
        <v>0</v>
      </c>
      <c r="AF131">
        <v>118.97</v>
      </c>
      <c r="AI131" t="s">
        <v>3809</v>
      </c>
      <c r="AJ131">
        <v>35000</v>
      </c>
      <c r="AK131" t="s">
        <v>5370</v>
      </c>
      <c r="AP131">
        <v>1.5</v>
      </c>
      <c r="AQ131" t="s">
        <v>81</v>
      </c>
      <c r="AR131" t="s">
        <v>4197</v>
      </c>
      <c r="AS131" t="s">
        <v>4210</v>
      </c>
      <c r="AT131" t="s">
        <v>4219</v>
      </c>
    </row>
    <row r="132" spans="1:46">
      <c r="A132" s="1">
        <f>HYPERLINK("https://lsnyc.legalserver.org/matter/dynamic-profile/view/1880872","18-1880872")</f>
        <v>0</v>
      </c>
      <c r="B132" t="s">
        <v>64</v>
      </c>
      <c r="C132" t="s">
        <v>126</v>
      </c>
      <c r="E132" t="s">
        <v>4322</v>
      </c>
      <c r="F132" t="s">
        <v>1190</v>
      </c>
      <c r="G132" t="s">
        <v>4636</v>
      </c>
      <c r="H132" t="s">
        <v>4763</v>
      </c>
      <c r="I132">
        <v>11207</v>
      </c>
      <c r="J132" t="s">
        <v>2003</v>
      </c>
      <c r="K132" t="s">
        <v>2003</v>
      </c>
      <c r="M132" t="s">
        <v>4831</v>
      </c>
      <c r="N132" t="s">
        <v>2415</v>
      </c>
      <c r="Q132" t="s">
        <v>2003</v>
      </c>
      <c r="R132" t="s">
        <v>2455</v>
      </c>
      <c r="T132">
        <v>1318.64</v>
      </c>
      <c r="U132" t="s">
        <v>2495</v>
      </c>
      <c r="W132" t="s">
        <v>4992</v>
      </c>
      <c r="X132" t="s">
        <v>5127</v>
      </c>
      <c r="Y132" t="s">
        <v>5238</v>
      </c>
      <c r="Z132">
        <v>54</v>
      </c>
      <c r="AA132" t="s">
        <v>2156</v>
      </c>
      <c r="AB132" t="s">
        <v>3794</v>
      </c>
      <c r="AC132">
        <v>0</v>
      </c>
      <c r="AD132">
        <v>2</v>
      </c>
      <c r="AE132">
        <v>0</v>
      </c>
      <c r="AF132">
        <v>120.29</v>
      </c>
      <c r="AI132" t="s">
        <v>3809</v>
      </c>
      <c r="AJ132">
        <v>19800</v>
      </c>
      <c r="AP132">
        <v>0.7</v>
      </c>
      <c r="AQ132" t="s">
        <v>300</v>
      </c>
      <c r="AR132" t="s">
        <v>4187</v>
      </c>
      <c r="AS132" t="s">
        <v>4210</v>
      </c>
      <c r="AT132" t="s">
        <v>4219</v>
      </c>
    </row>
    <row r="133" spans="1:46">
      <c r="A133" s="1">
        <f>HYPERLINK("https://lsnyc.legalserver.org/matter/dynamic-profile/view/1901868","19-1901868")</f>
        <v>0</v>
      </c>
      <c r="B133" t="s">
        <v>64</v>
      </c>
      <c r="C133" t="s">
        <v>4169</v>
      </c>
      <c r="E133" t="s">
        <v>4323</v>
      </c>
      <c r="F133" t="s">
        <v>4478</v>
      </c>
      <c r="G133" t="s">
        <v>4637</v>
      </c>
      <c r="H133" t="s">
        <v>4764</v>
      </c>
      <c r="I133">
        <v>11219</v>
      </c>
      <c r="J133" t="s">
        <v>2002</v>
      </c>
      <c r="K133" t="s">
        <v>2004</v>
      </c>
      <c r="L133" t="s">
        <v>2005</v>
      </c>
      <c r="M133" t="s">
        <v>4832</v>
      </c>
      <c r="N133" t="s">
        <v>4880</v>
      </c>
      <c r="O133" t="s">
        <v>2437</v>
      </c>
      <c r="Q133" t="s">
        <v>2003</v>
      </c>
      <c r="T133">
        <v>1000</v>
      </c>
      <c r="U133" t="s">
        <v>2501</v>
      </c>
      <c r="W133" t="s">
        <v>4993</v>
      </c>
      <c r="Y133" t="s">
        <v>5239</v>
      </c>
      <c r="Z133">
        <v>35</v>
      </c>
      <c r="AA133" t="s">
        <v>3783</v>
      </c>
      <c r="AB133" t="s">
        <v>2006</v>
      </c>
      <c r="AC133">
        <v>12</v>
      </c>
      <c r="AD133">
        <v>4</v>
      </c>
      <c r="AE133">
        <v>0</v>
      </c>
      <c r="AF133">
        <v>121.17</v>
      </c>
      <c r="AI133" t="s">
        <v>3810</v>
      </c>
      <c r="AJ133">
        <v>31200</v>
      </c>
      <c r="AP133">
        <v>2.7</v>
      </c>
      <c r="AQ133" t="s">
        <v>4169</v>
      </c>
      <c r="AR133" t="s">
        <v>49</v>
      </c>
      <c r="AS133" t="s">
        <v>4210</v>
      </c>
      <c r="AT133" t="s">
        <v>4219</v>
      </c>
    </row>
    <row r="134" spans="1:46">
      <c r="A134" s="1">
        <f>HYPERLINK("https://lsnyc.legalserver.org/matter/dynamic-profile/view/1901865","19-1901865")</f>
        <v>0</v>
      </c>
      <c r="B134" t="s">
        <v>64</v>
      </c>
      <c r="C134" t="s">
        <v>4169</v>
      </c>
      <c r="E134" t="s">
        <v>4323</v>
      </c>
      <c r="F134" t="s">
        <v>4478</v>
      </c>
      <c r="G134" t="s">
        <v>4637</v>
      </c>
      <c r="H134" t="s">
        <v>4764</v>
      </c>
      <c r="I134">
        <v>11219</v>
      </c>
      <c r="J134" t="s">
        <v>2003</v>
      </c>
      <c r="K134" t="s">
        <v>2004</v>
      </c>
      <c r="M134" t="s">
        <v>4833</v>
      </c>
      <c r="N134" t="s">
        <v>2415</v>
      </c>
      <c r="O134" t="s">
        <v>2437</v>
      </c>
      <c r="Q134" t="s">
        <v>2003</v>
      </c>
      <c r="T134">
        <v>1000</v>
      </c>
      <c r="U134" t="s">
        <v>2501</v>
      </c>
      <c r="W134" t="s">
        <v>4993</v>
      </c>
      <c r="Y134" t="s">
        <v>5239</v>
      </c>
      <c r="Z134">
        <v>35</v>
      </c>
      <c r="AA134" t="s">
        <v>3783</v>
      </c>
      <c r="AB134" t="s">
        <v>2006</v>
      </c>
      <c r="AC134">
        <v>12</v>
      </c>
      <c r="AD134">
        <v>4</v>
      </c>
      <c r="AE134">
        <v>0</v>
      </c>
      <c r="AF134">
        <v>121.17</v>
      </c>
      <c r="AI134" t="s">
        <v>3810</v>
      </c>
      <c r="AJ134">
        <v>31200</v>
      </c>
      <c r="AP134">
        <v>2.8</v>
      </c>
      <c r="AQ134" t="s">
        <v>310</v>
      </c>
      <c r="AR134" t="s">
        <v>49</v>
      </c>
      <c r="AS134" t="s">
        <v>4210</v>
      </c>
      <c r="AT134" t="s">
        <v>4219</v>
      </c>
    </row>
    <row r="135" spans="1:46">
      <c r="A135" s="1">
        <f>HYPERLINK("https://lsnyc.legalserver.org/matter/dynamic-profile/view/1872760","18-1872760")</f>
        <v>0</v>
      </c>
      <c r="B135" t="s">
        <v>64</v>
      </c>
      <c r="C135" t="s">
        <v>203</v>
      </c>
      <c r="E135" t="s">
        <v>4324</v>
      </c>
      <c r="F135" t="s">
        <v>4479</v>
      </c>
      <c r="G135" t="s">
        <v>4638</v>
      </c>
      <c r="H135" t="s">
        <v>4765</v>
      </c>
      <c r="I135">
        <v>11212</v>
      </c>
      <c r="J135" t="s">
        <v>2003</v>
      </c>
      <c r="K135" t="s">
        <v>2004</v>
      </c>
      <c r="M135" t="s">
        <v>2131</v>
      </c>
      <c r="N135" t="s">
        <v>2414</v>
      </c>
      <c r="Q135" t="s">
        <v>2003</v>
      </c>
      <c r="T135">
        <v>1100</v>
      </c>
      <c r="W135" t="s">
        <v>4994</v>
      </c>
      <c r="X135" t="s">
        <v>2058</v>
      </c>
      <c r="Y135" t="s">
        <v>5240</v>
      </c>
      <c r="Z135">
        <v>31</v>
      </c>
      <c r="AA135" t="s">
        <v>3783</v>
      </c>
      <c r="AB135" t="s">
        <v>3800</v>
      </c>
      <c r="AC135">
        <v>3</v>
      </c>
      <c r="AD135">
        <v>1</v>
      </c>
      <c r="AE135">
        <v>1</v>
      </c>
      <c r="AF135">
        <v>126.37</v>
      </c>
      <c r="AI135" t="s">
        <v>3809</v>
      </c>
      <c r="AJ135">
        <v>20800</v>
      </c>
      <c r="AP135">
        <v>0.5</v>
      </c>
      <c r="AQ135" t="s">
        <v>203</v>
      </c>
      <c r="AR135" t="s">
        <v>4191</v>
      </c>
      <c r="AS135" t="s">
        <v>4210</v>
      </c>
      <c r="AT135" t="s">
        <v>4219</v>
      </c>
    </row>
    <row r="136" spans="1:46">
      <c r="A136" s="1">
        <f>HYPERLINK("https://lsnyc.legalserver.org/matter/dynamic-profile/view/1884410","18-1884410")</f>
        <v>0</v>
      </c>
      <c r="B136" t="s">
        <v>64</v>
      </c>
      <c r="C136" t="s">
        <v>122</v>
      </c>
      <c r="E136" t="s">
        <v>4325</v>
      </c>
      <c r="F136" t="s">
        <v>4480</v>
      </c>
      <c r="G136" t="s">
        <v>4639</v>
      </c>
      <c r="H136" t="s">
        <v>1744</v>
      </c>
      <c r="I136">
        <v>11249</v>
      </c>
      <c r="J136" t="s">
        <v>2004</v>
      </c>
      <c r="K136" t="s">
        <v>2004</v>
      </c>
      <c r="T136">
        <v>4400</v>
      </c>
      <c r="U136" t="s">
        <v>2502</v>
      </c>
      <c r="W136" t="s">
        <v>4995</v>
      </c>
      <c r="Y136" t="s">
        <v>5241</v>
      </c>
      <c r="Z136">
        <v>89</v>
      </c>
      <c r="AB136" t="s">
        <v>2006</v>
      </c>
      <c r="AC136">
        <v>0</v>
      </c>
      <c r="AD136">
        <v>2</v>
      </c>
      <c r="AE136">
        <v>1</v>
      </c>
      <c r="AF136">
        <v>134.74</v>
      </c>
      <c r="AI136" t="s">
        <v>3809</v>
      </c>
      <c r="AJ136">
        <v>28000</v>
      </c>
      <c r="AP136">
        <v>1</v>
      </c>
      <c r="AQ136" t="s">
        <v>122</v>
      </c>
      <c r="AR136" t="s">
        <v>4193</v>
      </c>
      <c r="AS136" t="s">
        <v>4210</v>
      </c>
      <c r="AT136" t="s">
        <v>4219</v>
      </c>
    </row>
    <row r="137" spans="1:46">
      <c r="A137" s="1">
        <f>HYPERLINK("https://lsnyc.legalserver.org/matter/dynamic-profile/view/1902184","19-1902184")</f>
        <v>0</v>
      </c>
      <c r="B137" t="s">
        <v>64</v>
      </c>
      <c r="C137" t="s">
        <v>107</v>
      </c>
      <c r="E137" t="s">
        <v>4326</v>
      </c>
      <c r="F137" t="s">
        <v>4442</v>
      </c>
      <c r="G137" t="s">
        <v>4640</v>
      </c>
      <c r="H137">
        <v>2</v>
      </c>
      <c r="I137">
        <v>11207</v>
      </c>
      <c r="J137" t="s">
        <v>2003</v>
      </c>
      <c r="K137" t="s">
        <v>2004</v>
      </c>
      <c r="L137" t="s">
        <v>2006</v>
      </c>
      <c r="M137" t="s">
        <v>4834</v>
      </c>
      <c r="N137" t="s">
        <v>2414</v>
      </c>
      <c r="Q137" t="s">
        <v>2003</v>
      </c>
      <c r="R137" t="s">
        <v>2451</v>
      </c>
      <c r="T137">
        <v>2379</v>
      </c>
      <c r="U137" t="s">
        <v>2499</v>
      </c>
      <c r="W137" t="s">
        <v>4996</v>
      </c>
      <c r="X137" t="s">
        <v>3163</v>
      </c>
      <c r="Y137" t="s">
        <v>5242</v>
      </c>
      <c r="Z137">
        <v>4</v>
      </c>
      <c r="AA137" t="s">
        <v>3784</v>
      </c>
      <c r="AB137" t="s">
        <v>3793</v>
      </c>
      <c r="AC137">
        <v>0</v>
      </c>
      <c r="AD137">
        <v>2</v>
      </c>
      <c r="AE137">
        <v>2</v>
      </c>
      <c r="AF137">
        <v>143.69</v>
      </c>
      <c r="AI137" t="s">
        <v>3809</v>
      </c>
      <c r="AJ137">
        <v>37000</v>
      </c>
      <c r="AP137">
        <v>1.7</v>
      </c>
      <c r="AQ137" t="s">
        <v>4180</v>
      </c>
      <c r="AR137" t="s">
        <v>4198</v>
      </c>
      <c r="AS137" t="s">
        <v>4210</v>
      </c>
      <c r="AT137" t="s">
        <v>4219</v>
      </c>
    </row>
    <row r="138" spans="1:46">
      <c r="A138" s="1">
        <f>HYPERLINK("https://lsnyc.legalserver.org/matter/dynamic-profile/view/1872672","18-1872672")</f>
        <v>0</v>
      </c>
      <c r="B138" t="s">
        <v>64</v>
      </c>
      <c r="C138" t="s">
        <v>4234</v>
      </c>
      <c r="E138" t="s">
        <v>4327</v>
      </c>
      <c r="F138" t="s">
        <v>4481</v>
      </c>
      <c r="G138" t="s">
        <v>4641</v>
      </c>
      <c r="H138">
        <v>421</v>
      </c>
      <c r="I138">
        <v>11230</v>
      </c>
      <c r="J138" t="s">
        <v>2004</v>
      </c>
      <c r="K138" t="s">
        <v>2004</v>
      </c>
      <c r="N138" t="s">
        <v>2414</v>
      </c>
      <c r="Q138" t="s">
        <v>2003</v>
      </c>
      <c r="T138">
        <v>1250</v>
      </c>
      <c r="U138" t="s">
        <v>2508</v>
      </c>
      <c r="W138" t="s">
        <v>4997</v>
      </c>
      <c r="Y138" t="s">
        <v>5243</v>
      </c>
      <c r="Z138">
        <v>100</v>
      </c>
      <c r="AA138" t="s">
        <v>2156</v>
      </c>
      <c r="AB138" t="s">
        <v>2006</v>
      </c>
      <c r="AC138">
        <v>3</v>
      </c>
      <c r="AD138">
        <v>1</v>
      </c>
      <c r="AE138">
        <v>2</v>
      </c>
      <c r="AF138">
        <v>144.37</v>
      </c>
      <c r="AI138" t="s">
        <v>3809</v>
      </c>
      <c r="AJ138">
        <v>30000</v>
      </c>
      <c r="AP138">
        <v>0.5</v>
      </c>
      <c r="AQ138" t="s">
        <v>4234</v>
      </c>
      <c r="AR138" t="s">
        <v>4196</v>
      </c>
      <c r="AS138" t="s">
        <v>4210</v>
      </c>
      <c r="AT138" t="s">
        <v>4219</v>
      </c>
    </row>
    <row r="139" spans="1:46">
      <c r="A139" s="1">
        <f>HYPERLINK("https://lsnyc.legalserver.org/matter/dynamic-profile/view/1882895","18-1882895")</f>
        <v>0</v>
      </c>
      <c r="B139" t="s">
        <v>64</v>
      </c>
      <c r="C139" t="s">
        <v>117</v>
      </c>
      <c r="E139" t="s">
        <v>4328</v>
      </c>
      <c r="F139" t="s">
        <v>956</v>
      </c>
      <c r="G139" t="s">
        <v>4642</v>
      </c>
      <c r="H139">
        <v>2</v>
      </c>
      <c r="I139">
        <v>11212</v>
      </c>
      <c r="J139" t="s">
        <v>2004</v>
      </c>
      <c r="K139" t="s">
        <v>2003</v>
      </c>
      <c r="M139" t="s">
        <v>2027</v>
      </c>
      <c r="N139" t="s">
        <v>2414</v>
      </c>
      <c r="Q139" t="s">
        <v>2003</v>
      </c>
      <c r="R139" t="s">
        <v>2451</v>
      </c>
      <c r="T139">
        <v>2200</v>
      </c>
      <c r="U139" t="s">
        <v>2499</v>
      </c>
      <c r="W139" t="s">
        <v>4998</v>
      </c>
      <c r="X139" t="s">
        <v>3160</v>
      </c>
      <c r="Y139" t="s">
        <v>5244</v>
      </c>
      <c r="Z139">
        <v>3</v>
      </c>
      <c r="AA139" t="s">
        <v>3784</v>
      </c>
      <c r="AB139" t="s">
        <v>3796</v>
      </c>
      <c r="AC139">
        <v>1</v>
      </c>
      <c r="AD139">
        <v>1</v>
      </c>
      <c r="AE139">
        <v>0</v>
      </c>
      <c r="AF139">
        <v>148.27</v>
      </c>
      <c r="AI139" t="s">
        <v>3809</v>
      </c>
      <c r="AJ139">
        <v>18000</v>
      </c>
      <c r="AP139">
        <v>0</v>
      </c>
      <c r="AR139" t="s">
        <v>4185</v>
      </c>
      <c r="AS139" t="s">
        <v>4210</v>
      </c>
      <c r="AT139" t="s">
        <v>4219</v>
      </c>
    </row>
    <row r="140" spans="1:46">
      <c r="A140" s="1">
        <f>HYPERLINK("https://lsnyc.legalserver.org/matter/dynamic-profile/view/1880341","18-1880341")</f>
        <v>0</v>
      </c>
      <c r="B140" t="s">
        <v>64</v>
      </c>
      <c r="C140" t="s">
        <v>113</v>
      </c>
      <c r="D140" t="s">
        <v>298</v>
      </c>
      <c r="E140" t="s">
        <v>595</v>
      </c>
      <c r="F140" t="s">
        <v>1105</v>
      </c>
      <c r="G140" t="s">
        <v>4643</v>
      </c>
      <c r="H140" t="s">
        <v>1778</v>
      </c>
      <c r="I140">
        <v>11208</v>
      </c>
      <c r="J140" t="s">
        <v>2002</v>
      </c>
      <c r="K140" t="s">
        <v>2004</v>
      </c>
      <c r="M140" t="s">
        <v>2220</v>
      </c>
      <c r="O140" t="s">
        <v>2439</v>
      </c>
      <c r="P140" t="s">
        <v>2444</v>
      </c>
      <c r="T140">
        <v>0</v>
      </c>
      <c r="V140" t="s">
        <v>2525</v>
      </c>
      <c r="W140" t="s">
        <v>2828</v>
      </c>
      <c r="Y140" t="s">
        <v>3569</v>
      </c>
      <c r="Z140">
        <v>0</v>
      </c>
      <c r="AC140">
        <v>0</v>
      </c>
      <c r="AD140">
        <v>2</v>
      </c>
      <c r="AE140">
        <v>3</v>
      </c>
      <c r="AF140">
        <v>150</v>
      </c>
      <c r="AI140" t="s">
        <v>3810</v>
      </c>
      <c r="AJ140">
        <v>44129.28</v>
      </c>
      <c r="AP140">
        <v>0.2</v>
      </c>
      <c r="AQ140" t="s">
        <v>298</v>
      </c>
      <c r="AR140" t="s">
        <v>4188</v>
      </c>
      <c r="AS140" t="s">
        <v>4214</v>
      </c>
      <c r="AT140" t="s">
        <v>4219</v>
      </c>
    </row>
    <row r="141" spans="1:46">
      <c r="A141" s="1">
        <f>HYPERLINK("https://lsnyc.legalserver.org/matter/dynamic-profile/view/1860121","18-1860121")</f>
        <v>0</v>
      </c>
      <c r="B141" t="s">
        <v>64</v>
      </c>
      <c r="C141" t="s">
        <v>4240</v>
      </c>
      <c r="E141" t="s">
        <v>4329</v>
      </c>
      <c r="F141" t="s">
        <v>4482</v>
      </c>
      <c r="G141" t="s">
        <v>4644</v>
      </c>
      <c r="H141" t="s">
        <v>4766</v>
      </c>
      <c r="I141">
        <v>11230</v>
      </c>
      <c r="J141" t="s">
        <v>2003</v>
      </c>
      <c r="K141" t="s">
        <v>2004</v>
      </c>
      <c r="M141" t="s">
        <v>4835</v>
      </c>
      <c r="N141" t="s">
        <v>2414</v>
      </c>
      <c r="Q141" t="s">
        <v>2003</v>
      </c>
      <c r="T141">
        <v>1065</v>
      </c>
      <c r="U141" t="s">
        <v>2503</v>
      </c>
      <c r="W141" t="s">
        <v>4999</v>
      </c>
      <c r="Y141" t="s">
        <v>5245</v>
      </c>
      <c r="Z141">
        <v>80</v>
      </c>
      <c r="AA141" t="s">
        <v>3783</v>
      </c>
      <c r="AB141" t="s">
        <v>3793</v>
      </c>
      <c r="AC141">
        <v>3</v>
      </c>
      <c r="AD141">
        <v>1</v>
      </c>
      <c r="AE141">
        <v>0</v>
      </c>
      <c r="AF141">
        <v>153.43</v>
      </c>
      <c r="AI141" t="s">
        <v>3809</v>
      </c>
      <c r="AJ141">
        <v>18504</v>
      </c>
      <c r="AP141">
        <v>0.5</v>
      </c>
      <c r="AQ141" t="s">
        <v>4222</v>
      </c>
      <c r="AR141" t="s">
        <v>4202</v>
      </c>
      <c r="AS141" t="s">
        <v>4210</v>
      </c>
      <c r="AT141" t="s">
        <v>4219</v>
      </c>
    </row>
    <row r="142" spans="1:46">
      <c r="A142" s="1">
        <f>HYPERLINK("https://lsnyc.legalserver.org/matter/dynamic-profile/view/1836723","17-1836723")</f>
        <v>0</v>
      </c>
      <c r="B142" t="s">
        <v>64</v>
      </c>
      <c r="C142" t="s">
        <v>4241</v>
      </c>
      <c r="E142" t="s">
        <v>562</v>
      </c>
      <c r="F142" t="s">
        <v>4483</v>
      </c>
      <c r="G142" t="s">
        <v>4638</v>
      </c>
      <c r="H142" t="s">
        <v>1744</v>
      </c>
      <c r="I142">
        <v>11212</v>
      </c>
      <c r="J142" t="s">
        <v>2002</v>
      </c>
      <c r="K142" t="s">
        <v>2002</v>
      </c>
      <c r="L142" t="s">
        <v>2007</v>
      </c>
      <c r="M142" t="s">
        <v>4836</v>
      </c>
      <c r="N142" t="s">
        <v>2415</v>
      </c>
      <c r="O142" t="s">
        <v>2440</v>
      </c>
      <c r="Q142" t="s">
        <v>2003</v>
      </c>
      <c r="T142">
        <v>457</v>
      </c>
      <c r="U142" t="s">
        <v>2497</v>
      </c>
      <c r="W142" t="s">
        <v>5000</v>
      </c>
      <c r="X142" t="s">
        <v>5128</v>
      </c>
      <c r="Y142" t="s">
        <v>5246</v>
      </c>
      <c r="Z142">
        <v>31</v>
      </c>
      <c r="AA142" t="s">
        <v>3787</v>
      </c>
      <c r="AB142" t="s">
        <v>3800</v>
      </c>
      <c r="AC142">
        <v>40</v>
      </c>
      <c r="AD142">
        <v>1</v>
      </c>
      <c r="AE142">
        <v>0</v>
      </c>
      <c r="AF142">
        <v>155.22</v>
      </c>
      <c r="AI142" t="s">
        <v>3810</v>
      </c>
      <c r="AJ142">
        <v>18720</v>
      </c>
      <c r="AK142" t="s">
        <v>5371</v>
      </c>
      <c r="AP142">
        <v>0.1</v>
      </c>
      <c r="AQ142" t="s">
        <v>4241</v>
      </c>
      <c r="AR142" t="s">
        <v>5411</v>
      </c>
      <c r="AS142" t="s">
        <v>4214</v>
      </c>
      <c r="AT142" t="s">
        <v>4219</v>
      </c>
    </row>
    <row r="143" spans="1:46">
      <c r="A143" s="1">
        <f>HYPERLINK("https://lsnyc.legalserver.org/matter/dynamic-profile/view/1867797","18-1867797")</f>
        <v>0</v>
      </c>
      <c r="B143" t="s">
        <v>64</v>
      </c>
      <c r="C143" t="s">
        <v>4242</v>
      </c>
      <c r="E143" t="s">
        <v>498</v>
      </c>
      <c r="F143" t="s">
        <v>4484</v>
      </c>
      <c r="G143" t="s">
        <v>4645</v>
      </c>
      <c r="H143">
        <v>1</v>
      </c>
      <c r="I143">
        <v>11212</v>
      </c>
      <c r="J143" t="s">
        <v>2003</v>
      </c>
      <c r="K143" t="s">
        <v>2004</v>
      </c>
      <c r="M143" t="s">
        <v>4837</v>
      </c>
      <c r="N143" t="s">
        <v>2414</v>
      </c>
      <c r="Q143" t="s">
        <v>2450</v>
      </c>
      <c r="T143">
        <v>1575</v>
      </c>
      <c r="U143" t="s">
        <v>2510</v>
      </c>
      <c r="W143" t="s">
        <v>5001</v>
      </c>
      <c r="Y143" t="s">
        <v>5247</v>
      </c>
      <c r="Z143">
        <v>2</v>
      </c>
      <c r="AA143" t="s">
        <v>5348</v>
      </c>
      <c r="AB143" t="s">
        <v>3793</v>
      </c>
      <c r="AC143">
        <v>11</v>
      </c>
      <c r="AD143">
        <v>3</v>
      </c>
      <c r="AE143">
        <v>1</v>
      </c>
      <c r="AF143">
        <v>155.38</v>
      </c>
      <c r="AI143" t="s">
        <v>3809</v>
      </c>
      <c r="AJ143">
        <v>39000</v>
      </c>
      <c r="AP143">
        <v>1.5</v>
      </c>
      <c r="AQ143" t="s">
        <v>5404</v>
      </c>
      <c r="AR143" t="s">
        <v>4185</v>
      </c>
      <c r="AS143" t="s">
        <v>4210</v>
      </c>
      <c r="AT143" t="s">
        <v>4219</v>
      </c>
    </row>
    <row r="144" spans="1:46">
      <c r="A144" s="1">
        <f>HYPERLINK("https://lsnyc.legalserver.org/matter/dynamic-profile/view/1872368","18-1872368")</f>
        <v>0</v>
      </c>
      <c r="B144" t="s">
        <v>64</v>
      </c>
      <c r="C144" t="s">
        <v>264</v>
      </c>
      <c r="E144" t="s">
        <v>4330</v>
      </c>
      <c r="F144" t="s">
        <v>4485</v>
      </c>
      <c r="G144" t="s">
        <v>4646</v>
      </c>
      <c r="H144" t="s">
        <v>1763</v>
      </c>
      <c r="I144">
        <v>11209</v>
      </c>
      <c r="J144" t="s">
        <v>2004</v>
      </c>
      <c r="K144" t="s">
        <v>2004</v>
      </c>
      <c r="N144" t="s">
        <v>2027</v>
      </c>
      <c r="O144" t="s">
        <v>2439</v>
      </c>
      <c r="Q144" t="s">
        <v>2002</v>
      </c>
      <c r="T144">
        <v>5000</v>
      </c>
      <c r="W144" t="s">
        <v>5002</v>
      </c>
      <c r="Y144" t="s">
        <v>5248</v>
      </c>
      <c r="Z144">
        <v>3</v>
      </c>
      <c r="AA144" t="s">
        <v>2156</v>
      </c>
      <c r="AB144" t="s">
        <v>2006</v>
      </c>
      <c r="AC144">
        <v>4</v>
      </c>
      <c r="AD144">
        <v>1</v>
      </c>
      <c r="AE144">
        <v>0</v>
      </c>
      <c r="AF144">
        <v>158.15</v>
      </c>
      <c r="AI144" t="s">
        <v>3809</v>
      </c>
      <c r="AJ144">
        <v>19200</v>
      </c>
      <c r="AP144">
        <v>0.5</v>
      </c>
      <c r="AQ144" t="s">
        <v>264</v>
      </c>
      <c r="AR144" t="s">
        <v>4187</v>
      </c>
      <c r="AS144" t="s">
        <v>4210</v>
      </c>
      <c r="AT144" t="s">
        <v>4219</v>
      </c>
    </row>
    <row r="145" spans="1:46">
      <c r="A145" s="1">
        <f>HYPERLINK("https://lsnyc.legalserver.org/matter/dynamic-profile/view/1876496","18-1876496")</f>
        <v>0</v>
      </c>
      <c r="B145" t="s">
        <v>64</v>
      </c>
      <c r="C145" t="s">
        <v>176</v>
      </c>
      <c r="E145" t="s">
        <v>435</v>
      </c>
      <c r="F145" t="s">
        <v>942</v>
      </c>
      <c r="G145" t="s">
        <v>1443</v>
      </c>
      <c r="H145" t="s">
        <v>1782</v>
      </c>
      <c r="I145">
        <v>11233</v>
      </c>
      <c r="J145" t="s">
        <v>2003</v>
      </c>
      <c r="K145" t="s">
        <v>2004</v>
      </c>
      <c r="M145" t="s">
        <v>2027</v>
      </c>
      <c r="N145" t="s">
        <v>2414</v>
      </c>
      <c r="Q145" t="s">
        <v>2003</v>
      </c>
      <c r="T145">
        <v>1542</v>
      </c>
      <c r="U145" t="s">
        <v>2497</v>
      </c>
      <c r="W145" t="s">
        <v>2632</v>
      </c>
      <c r="X145">
        <v>562586</v>
      </c>
      <c r="Y145" t="s">
        <v>3401</v>
      </c>
      <c r="Z145">
        <v>200</v>
      </c>
      <c r="AA145" t="s">
        <v>3783</v>
      </c>
      <c r="AB145" t="s">
        <v>3793</v>
      </c>
      <c r="AC145">
        <v>10</v>
      </c>
      <c r="AD145">
        <v>1</v>
      </c>
      <c r="AE145">
        <v>2</v>
      </c>
      <c r="AF145">
        <v>159.15</v>
      </c>
      <c r="AI145" t="s">
        <v>3809</v>
      </c>
      <c r="AJ145">
        <v>33072</v>
      </c>
      <c r="AP145">
        <v>0</v>
      </c>
      <c r="AR145" t="s">
        <v>4185</v>
      </c>
      <c r="AS145" t="s">
        <v>4210</v>
      </c>
      <c r="AT145" t="s">
        <v>4219</v>
      </c>
    </row>
    <row r="146" spans="1:46">
      <c r="A146" s="1">
        <f>HYPERLINK("https://lsnyc.legalserver.org/matter/dynamic-profile/view/1886303","18-1886303")</f>
        <v>0</v>
      </c>
      <c r="B146" t="s">
        <v>64</v>
      </c>
      <c r="C146" t="s">
        <v>237</v>
      </c>
      <c r="E146" t="s">
        <v>4331</v>
      </c>
      <c r="F146" t="s">
        <v>551</v>
      </c>
      <c r="G146" t="s">
        <v>4647</v>
      </c>
      <c r="H146" t="s">
        <v>4767</v>
      </c>
      <c r="I146">
        <v>11236</v>
      </c>
      <c r="J146" t="s">
        <v>2003</v>
      </c>
      <c r="K146" t="s">
        <v>2003</v>
      </c>
      <c r="M146" t="s">
        <v>2027</v>
      </c>
      <c r="N146" t="s">
        <v>2027</v>
      </c>
      <c r="Q146" t="s">
        <v>2003</v>
      </c>
      <c r="R146" t="s">
        <v>2451</v>
      </c>
      <c r="T146">
        <v>2000</v>
      </c>
      <c r="U146" t="s">
        <v>2497</v>
      </c>
      <c r="W146" t="s">
        <v>5003</v>
      </c>
      <c r="X146" t="s">
        <v>2006</v>
      </c>
      <c r="Y146" t="s">
        <v>5249</v>
      </c>
      <c r="Z146">
        <v>3</v>
      </c>
      <c r="AA146" t="s">
        <v>3784</v>
      </c>
      <c r="AB146" t="s">
        <v>2006</v>
      </c>
      <c r="AC146">
        <v>1</v>
      </c>
      <c r="AD146">
        <v>2</v>
      </c>
      <c r="AE146">
        <v>2</v>
      </c>
      <c r="AF146">
        <v>176.1</v>
      </c>
      <c r="AI146" t="s">
        <v>3809</v>
      </c>
      <c r="AJ146">
        <v>44200</v>
      </c>
      <c r="AP146">
        <v>0</v>
      </c>
      <c r="AR146" t="s">
        <v>4185</v>
      </c>
      <c r="AS146" t="s">
        <v>4210</v>
      </c>
      <c r="AT146" t="s">
        <v>4219</v>
      </c>
    </row>
    <row r="147" spans="1:46">
      <c r="A147" s="1">
        <f>HYPERLINK("https://lsnyc.legalserver.org/matter/dynamic-profile/view/1879104","18-1879104")</f>
        <v>0</v>
      </c>
      <c r="B147" t="s">
        <v>64</v>
      </c>
      <c r="C147" t="s">
        <v>116</v>
      </c>
      <c r="E147" t="s">
        <v>4290</v>
      </c>
      <c r="F147" t="s">
        <v>4447</v>
      </c>
      <c r="G147" t="s">
        <v>1395</v>
      </c>
      <c r="H147">
        <v>2</v>
      </c>
      <c r="I147">
        <v>11233</v>
      </c>
      <c r="J147" t="s">
        <v>2002</v>
      </c>
      <c r="K147" t="s">
        <v>2003</v>
      </c>
      <c r="O147" t="s">
        <v>2442</v>
      </c>
      <c r="T147">
        <v>1363</v>
      </c>
      <c r="U147" t="s">
        <v>2497</v>
      </c>
      <c r="W147" t="s">
        <v>4948</v>
      </c>
      <c r="Y147" t="s">
        <v>5200</v>
      </c>
      <c r="Z147">
        <v>8</v>
      </c>
      <c r="AA147" t="s">
        <v>3783</v>
      </c>
      <c r="AB147" t="s">
        <v>3793</v>
      </c>
      <c r="AC147">
        <v>4</v>
      </c>
      <c r="AD147">
        <v>1</v>
      </c>
      <c r="AE147">
        <v>1</v>
      </c>
      <c r="AF147">
        <v>176.12</v>
      </c>
      <c r="AI147" t="s">
        <v>3809</v>
      </c>
      <c r="AJ147">
        <v>28990</v>
      </c>
      <c r="AP147">
        <v>0</v>
      </c>
      <c r="AR147" t="s">
        <v>4188</v>
      </c>
      <c r="AS147" t="s">
        <v>4210</v>
      </c>
      <c r="AT147" t="s">
        <v>4219</v>
      </c>
    </row>
    <row r="148" spans="1:46">
      <c r="A148" s="1">
        <f>HYPERLINK("https://lsnyc.legalserver.org/matter/dynamic-profile/view/1874757","18-1874757")</f>
        <v>0</v>
      </c>
      <c r="B148" t="s">
        <v>64</v>
      </c>
      <c r="C148" t="s">
        <v>220</v>
      </c>
      <c r="E148" t="s">
        <v>337</v>
      </c>
      <c r="F148" t="s">
        <v>856</v>
      </c>
      <c r="G148" t="s">
        <v>1357</v>
      </c>
      <c r="H148" t="s">
        <v>1736</v>
      </c>
      <c r="I148">
        <v>11221</v>
      </c>
      <c r="J148" t="s">
        <v>2003</v>
      </c>
      <c r="K148" t="s">
        <v>2004</v>
      </c>
      <c r="N148" t="s">
        <v>2414</v>
      </c>
      <c r="Q148" t="s">
        <v>2003</v>
      </c>
      <c r="T148">
        <v>1292.5</v>
      </c>
      <c r="W148" t="s">
        <v>2532</v>
      </c>
      <c r="Y148" t="s">
        <v>3315</v>
      </c>
      <c r="Z148">
        <v>16</v>
      </c>
      <c r="AA148" t="s">
        <v>3783</v>
      </c>
      <c r="AB148" t="s">
        <v>2006</v>
      </c>
      <c r="AC148">
        <v>10</v>
      </c>
      <c r="AD148">
        <v>2</v>
      </c>
      <c r="AE148">
        <v>0</v>
      </c>
      <c r="AF148">
        <v>189.55</v>
      </c>
      <c r="AI148" t="s">
        <v>3809</v>
      </c>
      <c r="AJ148">
        <v>31200</v>
      </c>
      <c r="AP148">
        <v>0</v>
      </c>
      <c r="AR148" t="s">
        <v>4185</v>
      </c>
      <c r="AS148" t="s">
        <v>4210</v>
      </c>
      <c r="AT148" t="s">
        <v>4219</v>
      </c>
    </row>
    <row r="149" spans="1:46">
      <c r="A149" s="1">
        <f>HYPERLINK("https://lsnyc.legalserver.org/matter/dynamic-profile/view/1875894","18-1875894")</f>
        <v>0</v>
      </c>
      <c r="B149" t="s">
        <v>64</v>
      </c>
      <c r="C149" t="s">
        <v>202</v>
      </c>
      <c r="E149" t="s">
        <v>4332</v>
      </c>
      <c r="F149" t="s">
        <v>4486</v>
      </c>
      <c r="G149" t="s">
        <v>4648</v>
      </c>
      <c r="H149">
        <v>1</v>
      </c>
      <c r="I149">
        <v>11208</v>
      </c>
      <c r="J149" t="s">
        <v>2003</v>
      </c>
      <c r="K149" t="s">
        <v>2004</v>
      </c>
      <c r="M149" t="s">
        <v>4838</v>
      </c>
      <c r="N149" t="s">
        <v>2415</v>
      </c>
      <c r="Q149" t="s">
        <v>2003</v>
      </c>
      <c r="T149">
        <v>2000</v>
      </c>
      <c r="U149" t="s">
        <v>2500</v>
      </c>
      <c r="W149" t="s">
        <v>5004</v>
      </c>
      <c r="Y149" t="s">
        <v>5250</v>
      </c>
      <c r="Z149">
        <v>3</v>
      </c>
      <c r="AA149" t="s">
        <v>3784</v>
      </c>
      <c r="AB149" t="s">
        <v>5350</v>
      </c>
      <c r="AC149">
        <v>1</v>
      </c>
      <c r="AD149">
        <v>1</v>
      </c>
      <c r="AE149">
        <v>3</v>
      </c>
      <c r="AF149">
        <v>204.69</v>
      </c>
      <c r="AI149" t="s">
        <v>3809</v>
      </c>
      <c r="AJ149">
        <v>51376</v>
      </c>
      <c r="AP149">
        <v>14.7</v>
      </c>
      <c r="AQ149" t="s">
        <v>302</v>
      </c>
      <c r="AR149" t="s">
        <v>4185</v>
      </c>
      <c r="AS149" t="s">
        <v>4210</v>
      </c>
      <c r="AT149" t="s">
        <v>4219</v>
      </c>
    </row>
    <row r="150" spans="1:46">
      <c r="A150" s="1">
        <f>HYPERLINK("https://lsnyc.legalserver.org/matter/dynamic-profile/view/1901332","19-1901332")</f>
        <v>0</v>
      </c>
      <c r="B150" t="s">
        <v>64</v>
      </c>
      <c r="C150" t="s">
        <v>260</v>
      </c>
      <c r="E150" t="s">
        <v>766</v>
      </c>
      <c r="F150" t="s">
        <v>4487</v>
      </c>
      <c r="G150" t="s">
        <v>4649</v>
      </c>
      <c r="H150" t="s">
        <v>1748</v>
      </c>
      <c r="I150">
        <v>11207</v>
      </c>
      <c r="J150" t="s">
        <v>2003</v>
      </c>
      <c r="K150" t="s">
        <v>2004</v>
      </c>
      <c r="L150" t="s">
        <v>2006</v>
      </c>
      <c r="M150" t="s">
        <v>2131</v>
      </c>
      <c r="N150" t="s">
        <v>2027</v>
      </c>
      <c r="Q150" t="s">
        <v>2003</v>
      </c>
      <c r="T150">
        <v>850</v>
      </c>
      <c r="U150" t="s">
        <v>2499</v>
      </c>
      <c r="W150" t="s">
        <v>5005</v>
      </c>
      <c r="Z150">
        <v>8</v>
      </c>
      <c r="AA150" t="s">
        <v>3783</v>
      </c>
      <c r="AB150" t="s">
        <v>2006</v>
      </c>
      <c r="AC150">
        <v>1</v>
      </c>
      <c r="AD150">
        <v>1</v>
      </c>
      <c r="AE150">
        <v>0</v>
      </c>
      <c r="AF150">
        <v>240.19</v>
      </c>
      <c r="AI150" t="s">
        <v>3809</v>
      </c>
      <c r="AJ150">
        <v>30000</v>
      </c>
      <c r="AP150">
        <v>0.8</v>
      </c>
      <c r="AQ150" t="s">
        <v>261</v>
      </c>
      <c r="AR150" t="s">
        <v>4185</v>
      </c>
      <c r="AS150" t="s">
        <v>4210</v>
      </c>
      <c r="AT150" t="s">
        <v>4219</v>
      </c>
    </row>
    <row r="151" spans="1:46">
      <c r="A151" s="1">
        <f>HYPERLINK("https://lsnyc.legalserver.org/matter/dynamic-profile/view/1901618","19-1901618")</f>
        <v>0</v>
      </c>
      <c r="B151" t="s">
        <v>64</v>
      </c>
      <c r="C151" t="s">
        <v>2492</v>
      </c>
      <c r="E151" t="s">
        <v>680</v>
      </c>
      <c r="F151" t="s">
        <v>4488</v>
      </c>
      <c r="G151" t="s">
        <v>4650</v>
      </c>
      <c r="H151" t="s">
        <v>1737</v>
      </c>
      <c r="I151">
        <v>11233</v>
      </c>
      <c r="J151" t="s">
        <v>2002</v>
      </c>
      <c r="K151" t="s">
        <v>2004</v>
      </c>
      <c r="L151" t="s">
        <v>2005</v>
      </c>
      <c r="M151" t="s">
        <v>4839</v>
      </c>
      <c r="N151" t="s">
        <v>2415</v>
      </c>
      <c r="Q151" t="s">
        <v>2003</v>
      </c>
      <c r="R151" t="s">
        <v>2451</v>
      </c>
      <c r="T151">
        <v>1585</v>
      </c>
      <c r="U151" t="s">
        <v>2505</v>
      </c>
      <c r="W151" t="s">
        <v>5006</v>
      </c>
      <c r="X151" t="s">
        <v>2006</v>
      </c>
      <c r="Y151" t="s">
        <v>5251</v>
      </c>
      <c r="Z151">
        <v>8</v>
      </c>
      <c r="AA151" t="s">
        <v>3783</v>
      </c>
      <c r="AB151" t="s">
        <v>2006</v>
      </c>
      <c r="AC151">
        <v>5</v>
      </c>
      <c r="AD151">
        <v>2</v>
      </c>
      <c r="AE151">
        <v>0</v>
      </c>
      <c r="AF151">
        <v>285.04</v>
      </c>
      <c r="AI151" t="s">
        <v>3809</v>
      </c>
      <c r="AJ151">
        <v>48200</v>
      </c>
      <c r="AK151" t="s">
        <v>5372</v>
      </c>
      <c r="AP151">
        <v>2.75</v>
      </c>
      <c r="AQ151" t="s">
        <v>310</v>
      </c>
      <c r="AR151" t="s">
        <v>4185</v>
      </c>
      <c r="AS151" t="s">
        <v>4210</v>
      </c>
      <c r="AT151" t="s">
        <v>4219</v>
      </c>
    </row>
    <row r="152" spans="1:46">
      <c r="A152" s="1">
        <f>HYPERLINK("https://lsnyc.legalserver.org/matter/dynamic-profile/view/1883638","18-1883638")</f>
        <v>0</v>
      </c>
      <c r="B152" t="s">
        <v>64</v>
      </c>
      <c r="C152" t="s">
        <v>145</v>
      </c>
      <c r="D152" t="s">
        <v>2491</v>
      </c>
      <c r="E152" t="s">
        <v>387</v>
      </c>
      <c r="F152" t="s">
        <v>1317</v>
      </c>
      <c r="G152" t="s">
        <v>4651</v>
      </c>
      <c r="H152" t="s">
        <v>4768</v>
      </c>
      <c r="I152">
        <v>11233</v>
      </c>
      <c r="J152" t="s">
        <v>2004</v>
      </c>
      <c r="K152" t="s">
        <v>2004</v>
      </c>
      <c r="M152" t="s">
        <v>4840</v>
      </c>
      <c r="N152" t="s">
        <v>2415</v>
      </c>
      <c r="P152" t="s">
        <v>2444</v>
      </c>
      <c r="Q152" t="s">
        <v>2003</v>
      </c>
      <c r="T152">
        <v>1431</v>
      </c>
      <c r="U152" t="s">
        <v>2499</v>
      </c>
      <c r="V152" t="s">
        <v>2515</v>
      </c>
      <c r="W152" t="s">
        <v>5007</v>
      </c>
      <c r="Y152" t="s">
        <v>5252</v>
      </c>
      <c r="Z152">
        <v>287</v>
      </c>
      <c r="AA152" t="s">
        <v>3783</v>
      </c>
      <c r="AB152" t="s">
        <v>2006</v>
      </c>
      <c r="AC152">
        <v>4</v>
      </c>
      <c r="AD152">
        <v>2</v>
      </c>
      <c r="AE152">
        <v>0</v>
      </c>
      <c r="AF152">
        <v>364.52</v>
      </c>
      <c r="AI152" t="s">
        <v>3809</v>
      </c>
      <c r="AJ152">
        <v>60000</v>
      </c>
      <c r="AP152">
        <v>2.8</v>
      </c>
      <c r="AQ152" t="s">
        <v>130</v>
      </c>
      <c r="AR152" t="s">
        <v>4198</v>
      </c>
      <c r="AS152" t="s">
        <v>4210</v>
      </c>
      <c r="AT152" t="s">
        <v>4219</v>
      </c>
    </row>
    <row r="153" spans="1:46">
      <c r="A153" s="1">
        <f>HYPERLINK("https://lsnyc.legalserver.org/matter/dynamic-profile/view/1900424","19-1900424")</f>
        <v>0</v>
      </c>
      <c r="B153" t="s">
        <v>65</v>
      </c>
      <c r="C153" t="s">
        <v>167</v>
      </c>
      <c r="D153" t="s">
        <v>327</v>
      </c>
      <c r="E153" t="s">
        <v>766</v>
      </c>
      <c r="F153" t="s">
        <v>938</v>
      </c>
      <c r="G153" t="s">
        <v>4652</v>
      </c>
      <c r="H153" t="s">
        <v>1740</v>
      </c>
      <c r="I153">
        <v>11239</v>
      </c>
      <c r="J153" t="s">
        <v>2003</v>
      </c>
      <c r="K153" t="s">
        <v>2004</v>
      </c>
      <c r="L153" t="s">
        <v>2006</v>
      </c>
      <c r="M153" t="s">
        <v>2131</v>
      </c>
      <c r="N153" t="s">
        <v>2435</v>
      </c>
      <c r="P153" t="s">
        <v>2444</v>
      </c>
      <c r="Q153" t="s">
        <v>2003</v>
      </c>
      <c r="R153" t="s">
        <v>2451</v>
      </c>
      <c r="T153">
        <v>0</v>
      </c>
      <c r="U153" t="s">
        <v>2502</v>
      </c>
      <c r="V153" t="s">
        <v>2515</v>
      </c>
      <c r="W153" t="s">
        <v>5008</v>
      </c>
      <c r="Y153" t="s">
        <v>5253</v>
      </c>
      <c r="Z153">
        <v>24</v>
      </c>
      <c r="AB153" t="s">
        <v>3793</v>
      </c>
      <c r="AC153">
        <v>6</v>
      </c>
      <c r="AD153">
        <v>1</v>
      </c>
      <c r="AE153">
        <v>0</v>
      </c>
      <c r="AF153">
        <v>0</v>
      </c>
      <c r="AI153" t="s">
        <v>3809</v>
      </c>
      <c r="AJ153">
        <v>0</v>
      </c>
      <c r="AP153">
        <v>2.75</v>
      </c>
      <c r="AQ153" t="s">
        <v>327</v>
      </c>
      <c r="AR153" t="s">
        <v>4193</v>
      </c>
      <c r="AS153" t="s">
        <v>4210</v>
      </c>
      <c r="AT153" t="s">
        <v>4219</v>
      </c>
    </row>
    <row r="154" spans="1:46">
      <c r="A154" s="1">
        <f>HYPERLINK("https://lsnyc.legalserver.org/matter/dynamic-profile/view/1882630","18-1882630")</f>
        <v>0</v>
      </c>
      <c r="B154" t="s">
        <v>65</v>
      </c>
      <c r="C154" t="s">
        <v>286</v>
      </c>
      <c r="D154" t="s">
        <v>143</v>
      </c>
      <c r="E154" t="s">
        <v>4333</v>
      </c>
      <c r="F154" t="s">
        <v>4489</v>
      </c>
      <c r="G154" t="s">
        <v>4653</v>
      </c>
      <c r="H154" t="s">
        <v>1774</v>
      </c>
      <c r="I154">
        <v>11233</v>
      </c>
      <c r="J154" t="s">
        <v>2002</v>
      </c>
      <c r="K154" t="s">
        <v>2002</v>
      </c>
      <c r="N154" t="s">
        <v>2430</v>
      </c>
      <c r="O154" t="s">
        <v>2440</v>
      </c>
      <c r="P154" t="s">
        <v>2448</v>
      </c>
      <c r="Q154" t="s">
        <v>2003</v>
      </c>
      <c r="R154" t="s">
        <v>2454</v>
      </c>
      <c r="T154">
        <v>800</v>
      </c>
      <c r="U154" t="s">
        <v>2500</v>
      </c>
      <c r="V154" t="s">
        <v>4884</v>
      </c>
      <c r="W154" t="s">
        <v>5009</v>
      </c>
      <c r="X154">
        <v>88034031</v>
      </c>
      <c r="Y154" t="s">
        <v>5254</v>
      </c>
      <c r="Z154">
        <v>2</v>
      </c>
      <c r="AA154" t="s">
        <v>3784</v>
      </c>
      <c r="AB154" t="s">
        <v>5351</v>
      </c>
      <c r="AC154">
        <v>2</v>
      </c>
      <c r="AD154">
        <v>1</v>
      </c>
      <c r="AE154">
        <v>0</v>
      </c>
      <c r="AF154">
        <v>0</v>
      </c>
      <c r="AI154" t="s">
        <v>3810</v>
      </c>
      <c r="AJ154">
        <v>0</v>
      </c>
      <c r="AP154">
        <v>1.5</v>
      </c>
      <c r="AQ154" t="s">
        <v>238</v>
      </c>
      <c r="AR154" t="s">
        <v>4185</v>
      </c>
      <c r="AS154" t="s">
        <v>4214</v>
      </c>
      <c r="AT154" t="s">
        <v>4219</v>
      </c>
    </row>
    <row r="155" spans="1:46">
      <c r="A155" s="1">
        <f>HYPERLINK("https://lsnyc.legalserver.org/matter/dynamic-profile/view/1895178","19-1895178")</f>
        <v>0</v>
      </c>
      <c r="B155" t="s">
        <v>65</v>
      </c>
      <c r="C155" t="s">
        <v>105</v>
      </c>
      <c r="E155" t="s">
        <v>398</v>
      </c>
      <c r="F155" t="s">
        <v>946</v>
      </c>
      <c r="G155" t="s">
        <v>1446</v>
      </c>
      <c r="H155" t="s">
        <v>1783</v>
      </c>
      <c r="I155">
        <v>11212</v>
      </c>
      <c r="J155" t="s">
        <v>2002</v>
      </c>
      <c r="K155" t="s">
        <v>2002</v>
      </c>
      <c r="M155" t="s">
        <v>2102</v>
      </c>
      <c r="N155" t="s">
        <v>2415</v>
      </c>
      <c r="O155" t="s">
        <v>2439</v>
      </c>
      <c r="Q155" t="s">
        <v>2003</v>
      </c>
      <c r="T155">
        <v>1268</v>
      </c>
      <c r="U155" t="s">
        <v>2500</v>
      </c>
      <c r="W155" t="s">
        <v>2636</v>
      </c>
      <c r="X155" t="s">
        <v>3196</v>
      </c>
      <c r="Y155" t="s">
        <v>3405</v>
      </c>
      <c r="Z155">
        <v>31</v>
      </c>
      <c r="AA155" t="s">
        <v>3783</v>
      </c>
      <c r="AB155" t="s">
        <v>3794</v>
      </c>
      <c r="AC155">
        <v>2</v>
      </c>
      <c r="AD155">
        <v>2</v>
      </c>
      <c r="AE155">
        <v>0</v>
      </c>
      <c r="AF155">
        <v>0</v>
      </c>
      <c r="AI155" t="s">
        <v>3809</v>
      </c>
      <c r="AJ155">
        <v>0</v>
      </c>
      <c r="AP155">
        <v>0.75</v>
      </c>
      <c r="AQ155" t="s">
        <v>4165</v>
      </c>
      <c r="AR155" t="s">
        <v>49</v>
      </c>
      <c r="AS155" t="s">
        <v>4214</v>
      </c>
      <c r="AT155" t="s">
        <v>4219</v>
      </c>
    </row>
    <row r="156" spans="1:46">
      <c r="A156" s="1">
        <f>HYPERLINK("https://lsnyc.legalserver.org/matter/dynamic-profile/view/1880532","18-1880532")</f>
        <v>0</v>
      </c>
      <c r="B156" t="s">
        <v>65</v>
      </c>
      <c r="C156" t="s">
        <v>296</v>
      </c>
      <c r="D156" t="s">
        <v>223</v>
      </c>
      <c r="E156" t="s">
        <v>4334</v>
      </c>
      <c r="F156" t="s">
        <v>4490</v>
      </c>
      <c r="G156" t="s">
        <v>4654</v>
      </c>
      <c r="H156" t="s">
        <v>1773</v>
      </c>
      <c r="I156">
        <v>11208</v>
      </c>
      <c r="J156" t="s">
        <v>2003</v>
      </c>
      <c r="K156" t="s">
        <v>2003</v>
      </c>
      <c r="M156" t="s">
        <v>2027</v>
      </c>
      <c r="N156" t="s">
        <v>2429</v>
      </c>
      <c r="P156" t="s">
        <v>2444</v>
      </c>
      <c r="Q156" t="s">
        <v>2003</v>
      </c>
      <c r="R156" t="s">
        <v>2451</v>
      </c>
      <c r="T156">
        <v>1350</v>
      </c>
      <c r="U156" t="s">
        <v>2497</v>
      </c>
      <c r="V156" t="s">
        <v>2515</v>
      </c>
      <c r="W156" t="s">
        <v>5010</v>
      </c>
      <c r="X156" t="s">
        <v>5129</v>
      </c>
      <c r="Y156" t="s">
        <v>5255</v>
      </c>
      <c r="Z156">
        <v>32</v>
      </c>
      <c r="AA156" t="s">
        <v>3783</v>
      </c>
      <c r="AB156" t="s">
        <v>2006</v>
      </c>
      <c r="AC156">
        <v>0</v>
      </c>
      <c r="AD156">
        <v>1</v>
      </c>
      <c r="AE156">
        <v>2</v>
      </c>
      <c r="AF156">
        <v>0</v>
      </c>
      <c r="AI156" t="s">
        <v>3809</v>
      </c>
      <c r="AJ156">
        <v>0</v>
      </c>
      <c r="AP156">
        <v>2</v>
      </c>
      <c r="AQ156" t="s">
        <v>223</v>
      </c>
      <c r="AR156" t="s">
        <v>4184</v>
      </c>
      <c r="AS156" t="s">
        <v>4210</v>
      </c>
      <c r="AT156" t="s">
        <v>4219</v>
      </c>
    </row>
    <row r="157" spans="1:46">
      <c r="A157" s="1">
        <f>HYPERLINK("https://lsnyc.legalserver.org/matter/dynamic-profile/view/1880394","18-1880394")</f>
        <v>0</v>
      </c>
      <c r="B157" t="s">
        <v>65</v>
      </c>
      <c r="C157" t="s">
        <v>113</v>
      </c>
      <c r="D157" t="s">
        <v>4173</v>
      </c>
      <c r="E157" t="s">
        <v>604</v>
      </c>
      <c r="F157" t="s">
        <v>4491</v>
      </c>
      <c r="G157" t="s">
        <v>4564</v>
      </c>
      <c r="H157" t="s">
        <v>1762</v>
      </c>
      <c r="I157">
        <v>11208</v>
      </c>
      <c r="J157" t="s">
        <v>2003</v>
      </c>
      <c r="K157" t="s">
        <v>2003</v>
      </c>
      <c r="M157" t="s">
        <v>2027</v>
      </c>
      <c r="N157" t="s">
        <v>2419</v>
      </c>
      <c r="O157" t="s">
        <v>2439</v>
      </c>
      <c r="P157" t="s">
        <v>2444</v>
      </c>
      <c r="Q157" t="s">
        <v>2003</v>
      </c>
      <c r="R157" t="s">
        <v>2451</v>
      </c>
      <c r="T157">
        <v>996.0599999999999</v>
      </c>
      <c r="U157" t="s">
        <v>2512</v>
      </c>
      <c r="V157" t="s">
        <v>2515</v>
      </c>
      <c r="W157" t="s">
        <v>5011</v>
      </c>
      <c r="X157" t="s">
        <v>2156</v>
      </c>
      <c r="Y157" t="s">
        <v>5256</v>
      </c>
      <c r="Z157">
        <v>294</v>
      </c>
      <c r="AA157" t="s">
        <v>3787</v>
      </c>
      <c r="AB157" t="s">
        <v>3793</v>
      </c>
      <c r="AC157">
        <v>23</v>
      </c>
      <c r="AD157">
        <v>1</v>
      </c>
      <c r="AE157">
        <v>0</v>
      </c>
      <c r="AF157">
        <v>0</v>
      </c>
      <c r="AI157" t="s">
        <v>3809</v>
      </c>
      <c r="AJ157">
        <v>0</v>
      </c>
      <c r="AP157">
        <v>1.5</v>
      </c>
      <c r="AQ157" t="s">
        <v>4173</v>
      </c>
      <c r="AR157" t="s">
        <v>4185</v>
      </c>
      <c r="AS157" t="s">
        <v>4210</v>
      </c>
      <c r="AT157" t="s">
        <v>4219</v>
      </c>
    </row>
    <row r="158" spans="1:46">
      <c r="A158" s="1">
        <f>HYPERLINK("https://lsnyc.legalserver.org/matter/dynamic-profile/view/1882928","18-1882928")</f>
        <v>0</v>
      </c>
      <c r="B158" t="s">
        <v>65</v>
      </c>
      <c r="C158" t="s">
        <v>285</v>
      </c>
      <c r="D158" t="s">
        <v>306</v>
      </c>
      <c r="E158" t="s">
        <v>389</v>
      </c>
      <c r="F158" t="s">
        <v>1051</v>
      </c>
      <c r="G158" t="s">
        <v>1545</v>
      </c>
      <c r="H158" t="s">
        <v>1741</v>
      </c>
      <c r="I158">
        <v>11207</v>
      </c>
      <c r="J158" t="s">
        <v>2003</v>
      </c>
      <c r="K158" t="s">
        <v>2003</v>
      </c>
      <c r="N158" t="s">
        <v>2027</v>
      </c>
      <c r="O158" t="s">
        <v>2439</v>
      </c>
      <c r="P158" t="s">
        <v>2444</v>
      </c>
      <c r="Q158" t="s">
        <v>2003</v>
      </c>
      <c r="T158">
        <v>1239</v>
      </c>
      <c r="U158" t="s">
        <v>2509</v>
      </c>
      <c r="V158" t="s">
        <v>2515</v>
      </c>
      <c r="W158" t="s">
        <v>5012</v>
      </c>
      <c r="X158" t="s">
        <v>3160</v>
      </c>
      <c r="Z158">
        <v>0</v>
      </c>
      <c r="AA158" t="s">
        <v>3783</v>
      </c>
      <c r="AB158" t="s">
        <v>2006</v>
      </c>
      <c r="AC158">
        <v>0</v>
      </c>
      <c r="AD158">
        <v>3</v>
      </c>
      <c r="AE158">
        <v>0</v>
      </c>
      <c r="AF158">
        <v>0</v>
      </c>
      <c r="AI158" t="s">
        <v>3809</v>
      </c>
      <c r="AJ158">
        <v>0</v>
      </c>
      <c r="AK158" t="s">
        <v>5373</v>
      </c>
      <c r="AP158">
        <v>0.92</v>
      </c>
      <c r="AQ158" t="s">
        <v>306</v>
      </c>
      <c r="AR158" t="s">
        <v>4195</v>
      </c>
      <c r="AS158" t="s">
        <v>4210</v>
      </c>
      <c r="AT158" t="s">
        <v>4219</v>
      </c>
    </row>
    <row r="159" spans="1:46">
      <c r="A159" s="1">
        <f>HYPERLINK("https://lsnyc.legalserver.org/matter/dynamic-profile/view/1897808","19-1897808")</f>
        <v>0</v>
      </c>
      <c r="B159" t="s">
        <v>65</v>
      </c>
      <c r="C159" t="s">
        <v>273</v>
      </c>
      <c r="D159" t="s">
        <v>248</v>
      </c>
      <c r="E159" t="s">
        <v>4335</v>
      </c>
      <c r="F159" t="s">
        <v>1190</v>
      </c>
      <c r="G159" t="s">
        <v>4655</v>
      </c>
      <c r="I159">
        <v>11207</v>
      </c>
      <c r="J159" t="s">
        <v>2003</v>
      </c>
      <c r="K159" t="s">
        <v>2003</v>
      </c>
      <c r="N159" t="s">
        <v>2027</v>
      </c>
      <c r="O159" t="s">
        <v>2439</v>
      </c>
      <c r="P159" t="s">
        <v>2444</v>
      </c>
      <c r="Q159" t="s">
        <v>2003</v>
      </c>
      <c r="R159" t="s">
        <v>2451</v>
      </c>
      <c r="T159">
        <v>0</v>
      </c>
      <c r="U159" t="s">
        <v>2506</v>
      </c>
      <c r="V159" t="s">
        <v>4885</v>
      </c>
      <c r="W159" t="s">
        <v>5013</v>
      </c>
      <c r="Y159" t="s">
        <v>5257</v>
      </c>
      <c r="Z159">
        <v>3</v>
      </c>
      <c r="AA159" t="s">
        <v>3784</v>
      </c>
      <c r="AB159" t="s">
        <v>3793</v>
      </c>
      <c r="AC159">
        <v>0</v>
      </c>
      <c r="AD159">
        <v>1</v>
      </c>
      <c r="AE159">
        <v>1</v>
      </c>
      <c r="AF159">
        <v>0</v>
      </c>
      <c r="AI159" t="s">
        <v>3809</v>
      </c>
      <c r="AJ159">
        <v>0</v>
      </c>
      <c r="AK159" t="s">
        <v>5374</v>
      </c>
      <c r="AP159">
        <v>0.75</v>
      </c>
      <c r="AQ159" t="s">
        <v>248</v>
      </c>
      <c r="AR159" t="s">
        <v>4185</v>
      </c>
      <c r="AS159" t="s">
        <v>4214</v>
      </c>
      <c r="AT159" t="s">
        <v>4219</v>
      </c>
    </row>
    <row r="160" spans="1:46">
      <c r="A160" s="1">
        <f>HYPERLINK("https://lsnyc.legalserver.org/matter/dynamic-profile/view/1899905","19-1899905")</f>
        <v>0</v>
      </c>
      <c r="B160" t="s">
        <v>65</v>
      </c>
      <c r="C160" t="s">
        <v>183</v>
      </c>
      <c r="E160" t="s">
        <v>628</v>
      </c>
      <c r="F160" t="s">
        <v>1132</v>
      </c>
      <c r="G160" t="s">
        <v>1596</v>
      </c>
      <c r="H160" t="s">
        <v>1797</v>
      </c>
      <c r="I160">
        <v>11207</v>
      </c>
      <c r="J160" t="s">
        <v>2002</v>
      </c>
      <c r="K160" t="s">
        <v>2004</v>
      </c>
      <c r="L160" t="s">
        <v>2005</v>
      </c>
      <c r="M160" t="s">
        <v>2258</v>
      </c>
      <c r="N160" t="s">
        <v>2422</v>
      </c>
      <c r="O160" t="s">
        <v>2441</v>
      </c>
      <c r="Q160" t="s">
        <v>2003</v>
      </c>
      <c r="R160" t="s">
        <v>2454</v>
      </c>
      <c r="T160">
        <v>1699</v>
      </c>
      <c r="U160" t="s">
        <v>2501</v>
      </c>
      <c r="W160" t="s">
        <v>2870</v>
      </c>
      <c r="Y160" t="s">
        <v>3610</v>
      </c>
      <c r="Z160">
        <v>168</v>
      </c>
      <c r="AA160" t="s">
        <v>3786</v>
      </c>
      <c r="AB160" t="s">
        <v>3800</v>
      </c>
      <c r="AC160">
        <v>23</v>
      </c>
      <c r="AD160">
        <v>1</v>
      </c>
      <c r="AE160">
        <v>0</v>
      </c>
      <c r="AF160">
        <v>0</v>
      </c>
      <c r="AI160" t="s">
        <v>3809</v>
      </c>
      <c r="AJ160">
        <v>0</v>
      </c>
      <c r="AP160">
        <v>10.75</v>
      </c>
      <c r="AQ160" t="s">
        <v>314</v>
      </c>
      <c r="AR160" t="s">
        <v>49</v>
      </c>
      <c r="AS160" t="s">
        <v>4214</v>
      </c>
      <c r="AT160" t="s">
        <v>4219</v>
      </c>
    </row>
    <row r="161" spans="1:46">
      <c r="A161" s="1">
        <f>HYPERLINK("https://lsnyc.legalserver.org/matter/dynamic-profile/view/1898908","19-1898908")</f>
        <v>0</v>
      </c>
      <c r="B161" t="s">
        <v>65</v>
      </c>
      <c r="C161" t="s">
        <v>140</v>
      </c>
      <c r="E161" t="s">
        <v>427</v>
      </c>
      <c r="F161" t="s">
        <v>936</v>
      </c>
      <c r="G161" t="s">
        <v>1435</v>
      </c>
      <c r="H161" t="s">
        <v>1778</v>
      </c>
      <c r="I161">
        <v>11208</v>
      </c>
      <c r="J161" t="s">
        <v>2002</v>
      </c>
      <c r="K161" t="s">
        <v>2003</v>
      </c>
      <c r="L161" t="s">
        <v>2007</v>
      </c>
      <c r="N161" t="s">
        <v>2423</v>
      </c>
      <c r="O161" t="s">
        <v>2441</v>
      </c>
      <c r="Q161" t="s">
        <v>2003</v>
      </c>
      <c r="R161" t="s">
        <v>2454</v>
      </c>
      <c r="T161">
        <v>1297</v>
      </c>
      <c r="W161" t="s">
        <v>2624</v>
      </c>
      <c r="X161">
        <v>4798867</v>
      </c>
      <c r="Y161" t="s">
        <v>3394</v>
      </c>
      <c r="Z161">
        <v>2</v>
      </c>
      <c r="AA161" t="s">
        <v>3784</v>
      </c>
      <c r="AB161" t="s">
        <v>3793</v>
      </c>
      <c r="AC161">
        <v>12</v>
      </c>
      <c r="AD161">
        <v>1</v>
      </c>
      <c r="AE161">
        <v>2</v>
      </c>
      <c r="AF161">
        <v>14.14</v>
      </c>
      <c r="AI161" t="s">
        <v>3809</v>
      </c>
      <c r="AJ161">
        <v>3016</v>
      </c>
      <c r="AP161">
        <v>5.5</v>
      </c>
      <c r="AQ161" t="s">
        <v>330</v>
      </c>
      <c r="AR161" t="s">
        <v>4185</v>
      </c>
      <c r="AS161" t="s">
        <v>4210</v>
      </c>
      <c r="AT161" t="s">
        <v>4219</v>
      </c>
    </row>
    <row r="162" spans="1:46">
      <c r="A162" s="1">
        <f>HYPERLINK("https://lsnyc.legalserver.org/matter/dynamic-profile/view/1880293","18-1880293")</f>
        <v>0</v>
      </c>
      <c r="B162" t="s">
        <v>65</v>
      </c>
      <c r="C162" t="s">
        <v>113</v>
      </c>
      <c r="E162" t="s">
        <v>786</v>
      </c>
      <c r="F162" t="s">
        <v>1293</v>
      </c>
      <c r="G162" t="s">
        <v>1653</v>
      </c>
      <c r="H162" t="s">
        <v>1980</v>
      </c>
      <c r="I162">
        <v>11208</v>
      </c>
      <c r="J162" t="s">
        <v>2002</v>
      </c>
      <c r="K162" t="s">
        <v>2002</v>
      </c>
      <c r="M162" t="s">
        <v>2327</v>
      </c>
      <c r="N162" t="s">
        <v>2432</v>
      </c>
      <c r="O162" t="s">
        <v>2441</v>
      </c>
      <c r="T162">
        <v>1186</v>
      </c>
      <c r="U162" t="s">
        <v>2500</v>
      </c>
      <c r="W162" t="s">
        <v>3073</v>
      </c>
      <c r="X162" t="s">
        <v>3280</v>
      </c>
      <c r="Y162" t="s">
        <v>3703</v>
      </c>
      <c r="Z162">
        <v>0</v>
      </c>
      <c r="AC162">
        <v>11</v>
      </c>
      <c r="AD162">
        <v>1</v>
      </c>
      <c r="AE162">
        <v>1</v>
      </c>
      <c r="AF162">
        <v>15.48</v>
      </c>
      <c r="AI162" t="s">
        <v>3809</v>
      </c>
      <c r="AJ162">
        <v>2548</v>
      </c>
      <c r="AP162">
        <v>111.3</v>
      </c>
      <c r="AQ162" t="s">
        <v>332</v>
      </c>
      <c r="AR162" t="s">
        <v>4190</v>
      </c>
      <c r="AS162" t="s">
        <v>4214</v>
      </c>
      <c r="AT162" t="s">
        <v>4219</v>
      </c>
    </row>
    <row r="163" spans="1:46">
      <c r="A163" s="1">
        <f>HYPERLINK("https://lsnyc.legalserver.org/matter/dynamic-profile/view/1880379","18-1880379")</f>
        <v>0</v>
      </c>
      <c r="B163" t="s">
        <v>65</v>
      </c>
      <c r="C163" t="s">
        <v>113</v>
      </c>
      <c r="D163" t="s">
        <v>324</v>
      </c>
      <c r="E163" t="s">
        <v>642</v>
      </c>
      <c r="F163" t="s">
        <v>1145</v>
      </c>
      <c r="G163" t="s">
        <v>1614</v>
      </c>
      <c r="H163" t="s">
        <v>4769</v>
      </c>
      <c r="I163">
        <v>11207</v>
      </c>
      <c r="J163" t="s">
        <v>2002</v>
      </c>
      <c r="K163" t="s">
        <v>2002</v>
      </c>
      <c r="M163" t="s">
        <v>2274</v>
      </c>
      <c r="N163" t="s">
        <v>2432</v>
      </c>
      <c r="O163" t="s">
        <v>2441</v>
      </c>
      <c r="P163" t="s">
        <v>2449</v>
      </c>
      <c r="Q163" t="s">
        <v>2003</v>
      </c>
      <c r="R163" t="s">
        <v>2454</v>
      </c>
      <c r="T163">
        <v>1200</v>
      </c>
      <c r="U163" t="s">
        <v>2497</v>
      </c>
      <c r="V163" t="s">
        <v>2524</v>
      </c>
      <c r="W163" t="s">
        <v>2888</v>
      </c>
      <c r="X163" t="s">
        <v>3253</v>
      </c>
      <c r="Y163" t="s">
        <v>3629</v>
      </c>
      <c r="Z163">
        <v>6</v>
      </c>
      <c r="AA163" t="s">
        <v>3783</v>
      </c>
      <c r="AB163" t="s">
        <v>3795</v>
      </c>
      <c r="AC163">
        <v>6</v>
      </c>
      <c r="AD163">
        <v>2</v>
      </c>
      <c r="AE163">
        <v>1</v>
      </c>
      <c r="AF163">
        <v>36.96</v>
      </c>
      <c r="AI163" t="s">
        <v>3809</v>
      </c>
      <c r="AJ163">
        <v>7680</v>
      </c>
      <c r="AP163">
        <v>45.25</v>
      </c>
      <c r="AQ163" t="s">
        <v>324</v>
      </c>
      <c r="AR163" t="s">
        <v>4185</v>
      </c>
      <c r="AS163" t="s">
        <v>4214</v>
      </c>
      <c r="AT163" t="s">
        <v>4219</v>
      </c>
    </row>
    <row r="164" spans="1:46">
      <c r="A164" s="1">
        <f>HYPERLINK("https://lsnyc.legalserver.org/matter/dynamic-profile/view/1893549","19-1893549")</f>
        <v>0</v>
      </c>
      <c r="B164" t="s">
        <v>65</v>
      </c>
      <c r="C164" t="s">
        <v>241</v>
      </c>
      <c r="E164" t="s">
        <v>604</v>
      </c>
      <c r="F164" t="s">
        <v>1113</v>
      </c>
      <c r="G164" t="s">
        <v>1444</v>
      </c>
      <c r="H164" t="s">
        <v>1848</v>
      </c>
      <c r="I164">
        <v>11208</v>
      </c>
      <c r="J164" t="s">
        <v>2002</v>
      </c>
      <c r="K164" t="s">
        <v>2002</v>
      </c>
      <c r="M164" t="s">
        <v>2229</v>
      </c>
      <c r="N164" t="s">
        <v>2430</v>
      </c>
      <c r="O164" t="s">
        <v>2440</v>
      </c>
      <c r="Q164" t="s">
        <v>2003</v>
      </c>
      <c r="T164">
        <v>247</v>
      </c>
      <c r="U164" t="s">
        <v>2509</v>
      </c>
      <c r="W164" t="s">
        <v>2839</v>
      </c>
      <c r="Y164" t="s">
        <v>3578</v>
      </c>
      <c r="Z164">
        <v>0</v>
      </c>
      <c r="AA164" t="s">
        <v>3787</v>
      </c>
      <c r="AC164">
        <v>9</v>
      </c>
      <c r="AD164">
        <v>1</v>
      </c>
      <c r="AE164">
        <v>0</v>
      </c>
      <c r="AF164">
        <v>37.28</v>
      </c>
      <c r="AI164" t="s">
        <v>3809</v>
      </c>
      <c r="AJ164">
        <v>4656</v>
      </c>
      <c r="AP164">
        <v>21.25</v>
      </c>
      <c r="AQ164" t="s">
        <v>172</v>
      </c>
      <c r="AR164" t="s">
        <v>49</v>
      </c>
      <c r="AS164" t="s">
        <v>4214</v>
      </c>
      <c r="AT164" t="s">
        <v>4219</v>
      </c>
    </row>
    <row r="165" spans="1:46">
      <c r="A165" s="1">
        <f>HYPERLINK("https://lsnyc.legalserver.org/matter/dynamic-profile/view/1885530","18-1885530")</f>
        <v>0</v>
      </c>
      <c r="B165" t="s">
        <v>65</v>
      </c>
      <c r="C165" t="s">
        <v>131</v>
      </c>
      <c r="D165" t="s">
        <v>314</v>
      </c>
      <c r="E165" t="s">
        <v>577</v>
      </c>
      <c r="F165" t="s">
        <v>1328</v>
      </c>
      <c r="G165" t="s">
        <v>1708</v>
      </c>
      <c r="H165" t="s">
        <v>1992</v>
      </c>
      <c r="I165">
        <v>11212</v>
      </c>
      <c r="J165" t="s">
        <v>2002</v>
      </c>
      <c r="K165" t="s">
        <v>2004</v>
      </c>
      <c r="M165" t="s">
        <v>2378</v>
      </c>
      <c r="N165" t="s">
        <v>2429</v>
      </c>
      <c r="O165" t="s">
        <v>2441</v>
      </c>
      <c r="P165" t="s">
        <v>2449</v>
      </c>
      <c r="T165">
        <v>508</v>
      </c>
      <c r="U165" t="s">
        <v>2500</v>
      </c>
      <c r="V165" t="s">
        <v>2524</v>
      </c>
      <c r="W165" t="s">
        <v>3123</v>
      </c>
      <c r="Y165" t="s">
        <v>3752</v>
      </c>
      <c r="Z165">
        <v>23</v>
      </c>
      <c r="AC165">
        <v>32</v>
      </c>
      <c r="AD165">
        <v>1</v>
      </c>
      <c r="AE165">
        <v>1</v>
      </c>
      <c r="AF165">
        <v>37.69</v>
      </c>
      <c r="AI165" t="s">
        <v>3809</v>
      </c>
      <c r="AJ165">
        <v>6204</v>
      </c>
      <c r="AP165">
        <v>12.75</v>
      </c>
      <c r="AQ165" t="s">
        <v>314</v>
      </c>
      <c r="AR165" t="s">
        <v>4189</v>
      </c>
      <c r="AS165" t="s">
        <v>4214</v>
      </c>
      <c r="AT165" t="s">
        <v>4219</v>
      </c>
    </row>
    <row r="166" spans="1:46">
      <c r="A166" s="1">
        <f>HYPERLINK("https://lsnyc.legalserver.org/matter/dynamic-profile/view/1882639","18-1882639")</f>
        <v>0</v>
      </c>
      <c r="B166" t="s">
        <v>65</v>
      </c>
      <c r="C166" t="s">
        <v>286</v>
      </c>
      <c r="D166" t="s">
        <v>143</v>
      </c>
      <c r="E166" t="s">
        <v>4336</v>
      </c>
      <c r="F166" t="s">
        <v>4492</v>
      </c>
      <c r="G166" t="s">
        <v>4653</v>
      </c>
      <c r="H166" t="s">
        <v>1777</v>
      </c>
      <c r="I166">
        <v>11233</v>
      </c>
      <c r="J166" t="s">
        <v>2002</v>
      </c>
      <c r="K166" t="s">
        <v>2002</v>
      </c>
      <c r="N166" t="s">
        <v>2430</v>
      </c>
      <c r="O166" t="s">
        <v>2440</v>
      </c>
      <c r="P166" t="s">
        <v>2448</v>
      </c>
      <c r="Q166" t="s">
        <v>2003</v>
      </c>
      <c r="R166" t="s">
        <v>2454</v>
      </c>
      <c r="T166">
        <v>2394</v>
      </c>
      <c r="U166" t="s">
        <v>2500</v>
      </c>
      <c r="V166" t="s">
        <v>4884</v>
      </c>
      <c r="W166" t="s">
        <v>5014</v>
      </c>
      <c r="X166" t="s">
        <v>5130</v>
      </c>
      <c r="Y166" t="s">
        <v>5258</v>
      </c>
      <c r="Z166">
        <v>2</v>
      </c>
      <c r="AA166" t="s">
        <v>3784</v>
      </c>
      <c r="AB166" t="s">
        <v>5351</v>
      </c>
      <c r="AC166">
        <v>1</v>
      </c>
      <c r="AD166">
        <v>2</v>
      </c>
      <c r="AE166">
        <v>0</v>
      </c>
      <c r="AF166">
        <v>54.68</v>
      </c>
      <c r="AI166" t="s">
        <v>3809</v>
      </c>
      <c r="AJ166">
        <v>9000</v>
      </c>
      <c r="AK166" t="s">
        <v>5375</v>
      </c>
      <c r="AP166">
        <v>3</v>
      </c>
      <c r="AQ166" t="s">
        <v>238</v>
      </c>
      <c r="AR166" t="s">
        <v>4185</v>
      </c>
      <c r="AS166" t="s">
        <v>4214</v>
      </c>
      <c r="AT166" t="s">
        <v>4219</v>
      </c>
    </row>
    <row r="167" spans="1:46">
      <c r="A167" s="1">
        <f>HYPERLINK("https://lsnyc.legalserver.org/matter/dynamic-profile/view/1901690","19-1901690")</f>
        <v>0</v>
      </c>
      <c r="B167" t="s">
        <v>65</v>
      </c>
      <c r="C167" t="s">
        <v>172</v>
      </c>
      <c r="D167" t="s">
        <v>314</v>
      </c>
      <c r="E167" t="s">
        <v>361</v>
      </c>
      <c r="F167" t="s">
        <v>1098</v>
      </c>
      <c r="G167" t="s">
        <v>4656</v>
      </c>
      <c r="H167" t="s">
        <v>1774</v>
      </c>
      <c r="I167">
        <v>11208</v>
      </c>
      <c r="J167" t="s">
        <v>2003</v>
      </c>
      <c r="K167" t="s">
        <v>2004</v>
      </c>
      <c r="L167" t="s">
        <v>2006</v>
      </c>
      <c r="N167" t="s">
        <v>2027</v>
      </c>
      <c r="P167" t="s">
        <v>2444</v>
      </c>
      <c r="Q167" t="s">
        <v>2003</v>
      </c>
      <c r="R167" t="s">
        <v>2451</v>
      </c>
      <c r="T167">
        <v>2300</v>
      </c>
      <c r="U167" t="s">
        <v>2508</v>
      </c>
      <c r="V167" t="s">
        <v>2515</v>
      </c>
      <c r="W167" t="s">
        <v>5015</v>
      </c>
      <c r="X167" t="s">
        <v>2058</v>
      </c>
      <c r="Y167" t="s">
        <v>5259</v>
      </c>
      <c r="Z167">
        <v>2</v>
      </c>
      <c r="AA167" t="s">
        <v>3784</v>
      </c>
      <c r="AB167" t="s">
        <v>2006</v>
      </c>
      <c r="AC167">
        <v>0</v>
      </c>
      <c r="AD167">
        <v>2</v>
      </c>
      <c r="AE167">
        <v>1</v>
      </c>
      <c r="AF167">
        <v>54.85</v>
      </c>
      <c r="AI167" t="s">
        <v>3809</v>
      </c>
      <c r="AJ167">
        <v>11700</v>
      </c>
      <c r="AP167">
        <v>1</v>
      </c>
      <c r="AQ167" t="s">
        <v>314</v>
      </c>
      <c r="AR167" t="s">
        <v>4185</v>
      </c>
      <c r="AS167" t="s">
        <v>4210</v>
      </c>
      <c r="AT167" t="s">
        <v>4219</v>
      </c>
    </row>
    <row r="168" spans="1:46">
      <c r="A168" s="1">
        <f>HYPERLINK("https://lsnyc.legalserver.org/matter/dynamic-profile/view/1901176","19-1901176")</f>
        <v>0</v>
      </c>
      <c r="B168" t="s">
        <v>65</v>
      </c>
      <c r="C168" t="s">
        <v>171</v>
      </c>
      <c r="E168" t="s">
        <v>4337</v>
      </c>
      <c r="F168" t="s">
        <v>921</v>
      </c>
      <c r="G168" t="s">
        <v>4657</v>
      </c>
      <c r="H168" t="s">
        <v>1734</v>
      </c>
      <c r="I168">
        <v>11233</v>
      </c>
      <c r="J168" t="s">
        <v>2002</v>
      </c>
      <c r="K168" t="s">
        <v>2004</v>
      </c>
      <c r="L168" t="s">
        <v>2005</v>
      </c>
      <c r="N168" t="s">
        <v>2027</v>
      </c>
      <c r="O168" t="s">
        <v>2441</v>
      </c>
      <c r="Q168" t="s">
        <v>2003</v>
      </c>
      <c r="R168" t="s">
        <v>2451</v>
      </c>
      <c r="T168">
        <v>1546.83</v>
      </c>
      <c r="U168" t="s">
        <v>2499</v>
      </c>
      <c r="W168" t="s">
        <v>5016</v>
      </c>
      <c r="Y168" t="s">
        <v>5260</v>
      </c>
      <c r="Z168">
        <v>16</v>
      </c>
      <c r="AA168" t="s">
        <v>3783</v>
      </c>
      <c r="AB168" t="s">
        <v>3793</v>
      </c>
      <c r="AC168">
        <v>9</v>
      </c>
      <c r="AD168">
        <v>1</v>
      </c>
      <c r="AE168">
        <v>2</v>
      </c>
      <c r="AF168">
        <v>57.33</v>
      </c>
      <c r="AI168" t="s">
        <v>3809</v>
      </c>
      <c r="AJ168">
        <v>12228</v>
      </c>
      <c r="AP168">
        <v>19</v>
      </c>
      <c r="AQ168" t="s">
        <v>332</v>
      </c>
      <c r="AR168" t="s">
        <v>4185</v>
      </c>
      <c r="AS168" t="s">
        <v>4210</v>
      </c>
      <c r="AT168" t="s">
        <v>4219</v>
      </c>
    </row>
    <row r="169" spans="1:46">
      <c r="A169" s="1">
        <f>HYPERLINK("https://lsnyc.legalserver.org/matter/dynamic-profile/view/1874946","18-1874946")</f>
        <v>0</v>
      </c>
      <c r="B169" t="s">
        <v>65</v>
      </c>
      <c r="C169" t="s">
        <v>134</v>
      </c>
      <c r="D169" t="s">
        <v>270</v>
      </c>
      <c r="E169" t="s">
        <v>4338</v>
      </c>
      <c r="F169" t="s">
        <v>4493</v>
      </c>
      <c r="G169" t="s">
        <v>1707</v>
      </c>
      <c r="H169">
        <v>122</v>
      </c>
      <c r="I169">
        <v>11208</v>
      </c>
      <c r="J169" t="s">
        <v>2003</v>
      </c>
      <c r="K169" t="s">
        <v>2003</v>
      </c>
      <c r="M169" t="s">
        <v>2027</v>
      </c>
      <c r="N169" t="s">
        <v>2422</v>
      </c>
      <c r="P169" t="s">
        <v>2444</v>
      </c>
      <c r="Q169" t="s">
        <v>2003</v>
      </c>
      <c r="R169" t="s">
        <v>2451</v>
      </c>
      <c r="T169">
        <v>1200</v>
      </c>
      <c r="V169" t="s">
        <v>2515</v>
      </c>
      <c r="W169" t="s">
        <v>5017</v>
      </c>
      <c r="X169" t="s">
        <v>5131</v>
      </c>
      <c r="Y169" t="s">
        <v>5261</v>
      </c>
      <c r="Z169">
        <v>266</v>
      </c>
      <c r="AA169" t="s">
        <v>2156</v>
      </c>
      <c r="AB169" t="s">
        <v>3794</v>
      </c>
      <c r="AC169">
        <v>2</v>
      </c>
      <c r="AD169">
        <v>1</v>
      </c>
      <c r="AE169">
        <v>0</v>
      </c>
      <c r="AF169">
        <v>69.18000000000001</v>
      </c>
      <c r="AI169" t="s">
        <v>3809</v>
      </c>
      <c r="AJ169">
        <v>8640</v>
      </c>
      <c r="AP169">
        <v>1.5</v>
      </c>
      <c r="AQ169" t="s">
        <v>210</v>
      </c>
      <c r="AR169" t="s">
        <v>4185</v>
      </c>
      <c r="AS169" t="s">
        <v>4210</v>
      </c>
      <c r="AT169" t="s">
        <v>4219</v>
      </c>
    </row>
    <row r="170" spans="1:46">
      <c r="A170" s="1">
        <f>HYPERLINK("https://lsnyc.legalserver.org/matter/dynamic-profile/view/1895160","19-1895160")</f>
        <v>0</v>
      </c>
      <c r="B170" t="s">
        <v>65</v>
      </c>
      <c r="C170" t="s">
        <v>105</v>
      </c>
      <c r="D170" t="s">
        <v>314</v>
      </c>
      <c r="E170" t="s">
        <v>427</v>
      </c>
      <c r="F170" t="s">
        <v>944</v>
      </c>
      <c r="G170" t="s">
        <v>1444</v>
      </c>
      <c r="H170" t="s">
        <v>1735</v>
      </c>
      <c r="I170">
        <v>11208</v>
      </c>
      <c r="J170" t="s">
        <v>2002</v>
      </c>
      <c r="K170" t="s">
        <v>2002</v>
      </c>
      <c r="M170" t="s">
        <v>2100</v>
      </c>
      <c r="N170" t="s">
        <v>2432</v>
      </c>
      <c r="O170" t="s">
        <v>2441</v>
      </c>
      <c r="P170" t="s">
        <v>2449</v>
      </c>
      <c r="Q170" t="s">
        <v>2003</v>
      </c>
      <c r="T170">
        <v>1408</v>
      </c>
      <c r="U170" t="s">
        <v>2500</v>
      </c>
      <c r="V170" t="s">
        <v>2524</v>
      </c>
      <c r="W170" t="s">
        <v>2634</v>
      </c>
      <c r="Y170" t="s">
        <v>3403</v>
      </c>
      <c r="Z170">
        <v>0</v>
      </c>
      <c r="AA170" t="s">
        <v>3783</v>
      </c>
      <c r="AB170" t="s">
        <v>2006</v>
      </c>
      <c r="AC170">
        <v>3</v>
      </c>
      <c r="AD170">
        <v>1</v>
      </c>
      <c r="AE170">
        <v>3</v>
      </c>
      <c r="AF170">
        <v>69.90000000000001</v>
      </c>
      <c r="AI170" t="s">
        <v>3809</v>
      </c>
      <c r="AJ170">
        <v>18000</v>
      </c>
      <c r="AP170">
        <v>17</v>
      </c>
      <c r="AQ170" t="s">
        <v>314</v>
      </c>
      <c r="AR170" t="s">
        <v>49</v>
      </c>
      <c r="AS170" t="s">
        <v>4214</v>
      </c>
      <c r="AT170" t="s">
        <v>4219</v>
      </c>
    </row>
    <row r="171" spans="1:46">
      <c r="A171" s="1">
        <f>HYPERLINK("https://lsnyc.legalserver.org/matter/dynamic-profile/view/1895220","19-1895220")</f>
        <v>0</v>
      </c>
      <c r="B171" t="s">
        <v>65</v>
      </c>
      <c r="C171" t="s">
        <v>105</v>
      </c>
      <c r="E171" t="s">
        <v>376</v>
      </c>
      <c r="F171" t="s">
        <v>898</v>
      </c>
      <c r="G171" t="s">
        <v>1396</v>
      </c>
      <c r="H171" t="s">
        <v>1760</v>
      </c>
      <c r="I171">
        <v>11233</v>
      </c>
      <c r="J171" t="s">
        <v>2003</v>
      </c>
      <c r="K171" t="s">
        <v>2003</v>
      </c>
      <c r="M171" t="s">
        <v>2006</v>
      </c>
      <c r="N171" t="s">
        <v>2432</v>
      </c>
      <c r="O171" t="s">
        <v>2440</v>
      </c>
      <c r="Q171" t="s">
        <v>2003</v>
      </c>
      <c r="R171" t="s">
        <v>2451</v>
      </c>
      <c r="T171">
        <v>957.15</v>
      </c>
      <c r="U171" t="s">
        <v>2497</v>
      </c>
      <c r="W171" t="s">
        <v>2584</v>
      </c>
      <c r="X171" t="s">
        <v>3171</v>
      </c>
      <c r="Y171" t="s">
        <v>3356</v>
      </c>
      <c r="Z171">
        <v>15</v>
      </c>
      <c r="AA171" t="s">
        <v>2156</v>
      </c>
      <c r="AB171" t="s">
        <v>2006</v>
      </c>
      <c r="AC171">
        <v>25</v>
      </c>
      <c r="AD171">
        <v>1</v>
      </c>
      <c r="AE171">
        <v>0</v>
      </c>
      <c r="AF171">
        <v>70.62</v>
      </c>
      <c r="AI171" t="s">
        <v>3809</v>
      </c>
      <c r="AJ171">
        <v>8820</v>
      </c>
      <c r="AP171">
        <v>19.75</v>
      </c>
      <c r="AQ171" t="s">
        <v>4165</v>
      </c>
      <c r="AR171" t="s">
        <v>4185</v>
      </c>
      <c r="AS171" t="s">
        <v>4214</v>
      </c>
      <c r="AT171" t="s">
        <v>4219</v>
      </c>
    </row>
    <row r="172" spans="1:46">
      <c r="A172" s="1">
        <f>HYPERLINK("https://lsnyc.legalserver.org/matter/dynamic-profile/view/1885925","18-1885925")</f>
        <v>0</v>
      </c>
      <c r="B172" t="s">
        <v>65</v>
      </c>
      <c r="C172" t="s">
        <v>161</v>
      </c>
      <c r="D172" t="s">
        <v>311</v>
      </c>
      <c r="E172" t="s">
        <v>4339</v>
      </c>
      <c r="F172" t="s">
        <v>870</v>
      </c>
      <c r="G172" t="s">
        <v>4658</v>
      </c>
      <c r="H172" t="s">
        <v>4746</v>
      </c>
      <c r="I172">
        <v>11233</v>
      </c>
      <c r="J172" t="s">
        <v>2003</v>
      </c>
      <c r="K172" t="s">
        <v>2003</v>
      </c>
      <c r="M172" t="s">
        <v>4841</v>
      </c>
      <c r="N172" t="s">
        <v>2413</v>
      </c>
      <c r="O172" t="s">
        <v>2439</v>
      </c>
      <c r="P172" t="s">
        <v>2444</v>
      </c>
      <c r="Q172" t="s">
        <v>2003</v>
      </c>
      <c r="R172" t="s">
        <v>2451</v>
      </c>
      <c r="T172">
        <v>1336</v>
      </c>
      <c r="U172" t="s">
        <v>2502</v>
      </c>
      <c r="V172" t="s">
        <v>2515</v>
      </c>
      <c r="W172" t="s">
        <v>5018</v>
      </c>
      <c r="X172" t="s">
        <v>5132</v>
      </c>
      <c r="Y172" t="s">
        <v>5262</v>
      </c>
      <c r="Z172">
        <v>3</v>
      </c>
      <c r="AA172" t="s">
        <v>3784</v>
      </c>
      <c r="AB172" t="s">
        <v>3793</v>
      </c>
      <c r="AC172">
        <v>6</v>
      </c>
      <c r="AD172">
        <v>2</v>
      </c>
      <c r="AE172">
        <v>1</v>
      </c>
      <c r="AF172">
        <v>72.56999999999999</v>
      </c>
      <c r="AI172" t="s">
        <v>3809</v>
      </c>
      <c r="AJ172">
        <v>15080</v>
      </c>
      <c r="AP172">
        <v>2.75</v>
      </c>
      <c r="AQ172" t="s">
        <v>180</v>
      </c>
      <c r="AR172" t="s">
        <v>4193</v>
      </c>
      <c r="AS172" t="s">
        <v>4210</v>
      </c>
      <c r="AT172" t="s">
        <v>4219</v>
      </c>
    </row>
    <row r="173" spans="1:46">
      <c r="A173" s="1">
        <f>HYPERLINK("https://lsnyc.legalserver.org/matter/dynamic-profile/view/1882679","18-1882679")</f>
        <v>0</v>
      </c>
      <c r="B173" t="s">
        <v>65</v>
      </c>
      <c r="C173" t="s">
        <v>286</v>
      </c>
      <c r="D173" t="s">
        <v>143</v>
      </c>
      <c r="E173" t="s">
        <v>4340</v>
      </c>
      <c r="F173" t="s">
        <v>4494</v>
      </c>
      <c r="G173" t="s">
        <v>4653</v>
      </c>
      <c r="H173" t="s">
        <v>1774</v>
      </c>
      <c r="I173">
        <v>11233</v>
      </c>
      <c r="J173" t="s">
        <v>2002</v>
      </c>
      <c r="K173" t="s">
        <v>2002</v>
      </c>
      <c r="N173" t="s">
        <v>2430</v>
      </c>
      <c r="O173" t="s">
        <v>2440</v>
      </c>
      <c r="P173" t="s">
        <v>2448</v>
      </c>
      <c r="Q173" t="s">
        <v>2003</v>
      </c>
      <c r="R173" t="s">
        <v>2454</v>
      </c>
      <c r="T173">
        <v>220</v>
      </c>
      <c r="U173" t="s">
        <v>2500</v>
      </c>
      <c r="V173" t="s">
        <v>4884</v>
      </c>
      <c r="W173" t="s">
        <v>5019</v>
      </c>
      <c r="X173">
        <v>4470485</v>
      </c>
      <c r="Y173" t="s">
        <v>5263</v>
      </c>
      <c r="Z173">
        <v>2</v>
      </c>
      <c r="AA173" t="s">
        <v>3784</v>
      </c>
      <c r="AB173" t="s">
        <v>5351</v>
      </c>
      <c r="AC173">
        <v>1</v>
      </c>
      <c r="AD173">
        <v>1</v>
      </c>
      <c r="AE173">
        <v>0</v>
      </c>
      <c r="AF173">
        <v>74.14</v>
      </c>
      <c r="AI173" t="s">
        <v>3809</v>
      </c>
      <c r="AJ173">
        <v>9000</v>
      </c>
      <c r="AK173" t="s">
        <v>5376</v>
      </c>
      <c r="AP173">
        <v>2.5</v>
      </c>
      <c r="AQ173" t="s">
        <v>238</v>
      </c>
      <c r="AR173" t="s">
        <v>49</v>
      </c>
      <c r="AS173" t="s">
        <v>4214</v>
      </c>
      <c r="AT173" t="s">
        <v>4219</v>
      </c>
    </row>
    <row r="174" spans="1:46">
      <c r="A174" s="1">
        <f>HYPERLINK("https://lsnyc.legalserver.org/matter/dynamic-profile/view/1881270","18-1881270")</f>
        <v>0</v>
      </c>
      <c r="B174" t="s">
        <v>65</v>
      </c>
      <c r="C174" t="s">
        <v>300</v>
      </c>
      <c r="D174" t="s">
        <v>223</v>
      </c>
      <c r="E174" t="s">
        <v>4341</v>
      </c>
      <c r="F174" t="s">
        <v>4495</v>
      </c>
      <c r="G174" t="s">
        <v>4659</v>
      </c>
      <c r="H174" t="s">
        <v>4770</v>
      </c>
      <c r="I174">
        <v>11212</v>
      </c>
      <c r="J174" t="s">
        <v>2003</v>
      </c>
      <c r="K174" t="s">
        <v>2003</v>
      </c>
      <c r="N174" t="s">
        <v>2027</v>
      </c>
      <c r="P174" t="s">
        <v>2444</v>
      </c>
      <c r="Q174" t="s">
        <v>2003</v>
      </c>
      <c r="R174" t="s">
        <v>2451</v>
      </c>
      <c r="T174">
        <v>1650</v>
      </c>
      <c r="U174" t="s">
        <v>2512</v>
      </c>
      <c r="V174" t="s">
        <v>2515</v>
      </c>
      <c r="W174" t="s">
        <v>5020</v>
      </c>
      <c r="Y174" t="s">
        <v>5264</v>
      </c>
      <c r="Z174">
        <v>32</v>
      </c>
      <c r="AA174" t="s">
        <v>2156</v>
      </c>
      <c r="AB174" t="s">
        <v>3793</v>
      </c>
      <c r="AC174">
        <v>0</v>
      </c>
      <c r="AD174">
        <v>1</v>
      </c>
      <c r="AE174">
        <v>0</v>
      </c>
      <c r="AF174">
        <v>74.14</v>
      </c>
      <c r="AI174" t="s">
        <v>3809</v>
      </c>
      <c r="AJ174">
        <v>9000</v>
      </c>
      <c r="AP174">
        <v>1.5</v>
      </c>
      <c r="AQ174" t="s">
        <v>223</v>
      </c>
      <c r="AR174" t="s">
        <v>4195</v>
      </c>
      <c r="AS174" t="s">
        <v>4210</v>
      </c>
      <c r="AT174" t="s">
        <v>4219</v>
      </c>
    </row>
    <row r="175" spans="1:46">
      <c r="A175" s="1">
        <f>HYPERLINK("https://lsnyc.legalserver.org/matter/dynamic-profile/view/1889495","19-1889495")</f>
        <v>0</v>
      </c>
      <c r="B175" t="s">
        <v>65</v>
      </c>
      <c r="C175" t="s">
        <v>287</v>
      </c>
      <c r="D175" t="s">
        <v>95</v>
      </c>
      <c r="E175" t="s">
        <v>443</v>
      </c>
      <c r="F175" t="s">
        <v>953</v>
      </c>
      <c r="G175" t="s">
        <v>1453</v>
      </c>
      <c r="H175" t="s">
        <v>1784</v>
      </c>
      <c r="I175">
        <v>11212</v>
      </c>
      <c r="J175" t="s">
        <v>2002</v>
      </c>
      <c r="K175" t="s">
        <v>2002</v>
      </c>
      <c r="M175" t="s">
        <v>2027</v>
      </c>
      <c r="N175" t="s">
        <v>2027</v>
      </c>
      <c r="O175" t="s">
        <v>2439</v>
      </c>
      <c r="P175" t="s">
        <v>2444</v>
      </c>
      <c r="Q175" t="s">
        <v>2003</v>
      </c>
      <c r="R175" t="s">
        <v>2451</v>
      </c>
      <c r="T175">
        <v>135</v>
      </c>
      <c r="U175" t="s">
        <v>2497</v>
      </c>
      <c r="V175" t="s">
        <v>2515</v>
      </c>
      <c r="W175" t="s">
        <v>2644</v>
      </c>
      <c r="X175" t="s">
        <v>5133</v>
      </c>
      <c r="Y175" t="s">
        <v>3413</v>
      </c>
      <c r="Z175">
        <v>260</v>
      </c>
      <c r="AB175" t="s">
        <v>3800</v>
      </c>
      <c r="AC175">
        <v>39</v>
      </c>
      <c r="AD175">
        <v>1</v>
      </c>
      <c r="AE175">
        <v>0</v>
      </c>
      <c r="AF175">
        <v>74.36</v>
      </c>
      <c r="AI175" t="s">
        <v>3809</v>
      </c>
      <c r="AJ175">
        <v>9288</v>
      </c>
      <c r="AP175">
        <v>5.25</v>
      </c>
      <c r="AQ175" t="s">
        <v>95</v>
      </c>
      <c r="AR175" t="s">
        <v>4185</v>
      </c>
      <c r="AS175" t="s">
        <v>4210</v>
      </c>
      <c r="AT175" t="s">
        <v>4219</v>
      </c>
    </row>
    <row r="176" spans="1:46">
      <c r="A176" s="1">
        <f>HYPERLINK("https://lsnyc.legalserver.org/matter/dynamic-profile/view/1884423","18-1884423")</f>
        <v>0</v>
      </c>
      <c r="B176" t="s">
        <v>65</v>
      </c>
      <c r="C176" t="s">
        <v>122</v>
      </c>
      <c r="D176" t="s">
        <v>136</v>
      </c>
      <c r="E176" t="s">
        <v>4342</v>
      </c>
      <c r="F176" t="s">
        <v>4496</v>
      </c>
      <c r="G176" t="s">
        <v>4660</v>
      </c>
      <c r="H176" t="s">
        <v>1752</v>
      </c>
      <c r="I176">
        <v>11212</v>
      </c>
      <c r="J176" t="s">
        <v>2003</v>
      </c>
      <c r="K176" t="s">
        <v>2003</v>
      </c>
      <c r="P176" t="s">
        <v>2444</v>
      </c>
      <c r="Q176" t="s">
        <v>2003</v>
      </c>
      <c r="T176">
        <v>1499</v>
      </c>
      <c r="U176" t="s">
        <v>2502</v>
      </c>
      <c r="V176" t="s">
        <v>4885</v>
      </c>
      <c r="W176" t="s">
        <v>5021</v>
      </c>
      <c r="Y176" t="s">
        <v>5265</v>
      </c>
      <c r="Z176">
        <v>4</v>
      </c>
      <c r="AA176" t="s">
        <v>3784</v>
      </c>
      <c r="AB176" t="s">
        <v>3793</v>
      </c>
      <c r="AC176">
        <v>4</v>
      </c>
      <c r="AD176">
        <v>1</v>
      </c>
      <c r="AE176">
        <v>0</v>
      </c>
      <c r="AF176">
        <v>76.41</v>
      </c>
      <c r="AJ176">
        <v>9276</v>
      </c>
      <c r="AP176">
        <v>2.5</v>
      </c>
      <c r="AQ176" t="s">
        <v>136</v>
      </c>
      <c r="AR176" t="s">
        <v>49</v>
      </c>
      <c r="AS176" t="s">
        <v>4214</v>
      </c>
      <c r="AT176" t="s">
        <v>4219</v>
      </c>
    </row>
    <row r="177" spans="1:46">
      <c r="A177" s="1">
        <f>HYPERLINK("https://lsnyc.legalserver.org/matter/dynamic-profile/view/1902322","19-1902322")</f>
        <v>0</v>
      </c>
      <c r="B177" t="s">
        <v>65</v>
      </c>
      <c r="C177" t="s">
        <v>254</v>
      </c>
      <c r="D177" t="s">
        <v>325</v>
      </c>
      <c r="E177" t="s">
        <v>4343</v>
      </c>
      <c r="F177" t="s">
        <v>4497</v>
      </c>
      <c r="G177" t="s">
        <v>4661</v>
      </c>
      <c r="H177" t="s">
        <v>1908</v>
      </c>
      <c r="I177">
        <v>11239</v>
      </c>
      <c r="J177" t="s">
        <v>2003</v>
      </c>
      <c r="K177" t="s">
        <v>2004</v>
      </c>
      <c r="L177" t="s">
        <v>2006</v>
      </c>
      <c r="M177" t="s">
        <v>2006</v>
      </c>
      <c r="N177" t="s">
        <v>2027</v>
      </c>
      <c r="O177" t="s">
        <v>2442</v>
      </c>
      <c r="P177" t="s">
        <v>2444</v>
      </c>
      <c r="Q177" t="s">
        <v>2003</v>
      </c>
      <c r="R177" t="s">
        <v>2451</v>
      </c>
      <c r="T177">
        <v>1618</v>
      </c>
      <c r="U177" t="s">
        <v>2505</v>
      </c>
      <c r="V177" t="s">
        <v>2515</v>
      </c>
      <c r="W177" t="s">
        <v>5022</v>
      </c>
      <c r="X177" t="s">
        <v>2006</v>
      </c>
      <c r="Y177" t="s">
        <v>5266</v>
      </c>
      <c r="Z177">
        <v>1164</v>
      </c>
      <c r="AA177" t="s">
        <v>3787</v>
      </c>
      <c r="AB177" t="s">
        <v>3793</v>
      </c>
      <c r="AC177">
        <v>4</v>
      </c>
      <c r="AD177">
        <v>1</v>
      </c>
      <c r="AE177">
        <v>0</v>
      </c>
      <c r="AF177">
        <v>83.27</v>
      </c>
      <c r="AI177" t="s">
        <v>3809</v>
      </c>
      <c r="AJ177">
        <v>10400</v>
      </c>
      <c r="AP177">
        <v>3.25</v>
      </c>
      <c r="AQ177" t="s">
        <v>325</v>
      </c>
      <c r="AR177" t="s">
        <v>4192</v>
      </c>
      <c r="AS177" t="s">
        <v>4210</v>
      </c>
      <c r="AT177" t="s">
        <v>4219</v>
      </c>
    </row>
    <row r="178" spans="1:46">
      <c r="A178" s="1">
        <f>HYPERLINK("https://lsnyc.legalserver.org/matter/dynamic-profile/view/1903639","19-1903639")</f>
        <v>0</v>
      </c>
      <c r="B178" t="s">
        <v>65</v>
      </c>
      <c r="C178" t="s">
        <v>255</v>
      </c>
      <c r="D178" t="s">
        <v>325</v>
      </c>
      <c r="E178" t="s">
        <v>4332</v>
      </c>
      <c r="F178" t="s">
        <v>4498</v>
      </c>
      <c r="G178" t="s">
        <v>4662</v>
      </c>
      <c r="H178" t="s">
        <v>1751</v>
      </c>
      <c r="I178">
        <v>11212</v>
      </c>
      <c r="J178" t="s">
        <v>2003</v>
      </c>
      <c r="K178" t="s">
        <v>2004</v>
      </c>
      <c r="L178" t="s">
        <v>2006</v>
      </c>
      <c r="N178" t="s">
        <v>2027</v>
      </c>
      <c r="O178" t="s">
        <v>2439</v>
      </c>
      <c r="P178" t="s">
        <v>2444</v>
      </c>
      <c r="Q178" t="s">
        <v>2003</v>
      </c>
      <c r="R178" t="s">
        <v>2451</v>
      </c>
      <c r="T178">
        <v>1008</v>
      </c>
      <c r="U178" t="s">
        <v>2505</v>
      </c>
      <c r="V178" t="s">
        <v>2515</v>
      </c>
      <c r="W178" t="s">
        <v>5023</v>
      </c>
      <c r="X178" t="s">
        <v>4830</v>
      </c>
      <c r="Y178" t="s">
        <v>5267</v>
      </c>
      <c r="Z178">
        <v>24</v>
      </c>
      <c r="AA178" t="s">
        <v>3783</v>
      </c>
      <c r="AB178" t="s">
        <v>3793</v>
      </c>
      <c r="AC178">
        <v>5</v>
      </c>
      <c r="AD178">
        <v>2</v>
      </c>
      <c r="AE178">
        <v>0</v>
      </c>
      <c r="AF178">
        <v>105.59</v>
      </c>
      <c r="AI178" t="s">
        <v>3809</v>
      </c>
      <c r="AJ178">
        <v>17856</v>
      </c>
      <c r="AP178">
        <v>2.66</v>
      </c>
      <c r="AQ178" t="s">
        <v>325</v>
      </c>
      <c r="AR178" t="s">
        <v>4195</v>
      </c>
      <c r="AS178" t="s">
        <v>4210</v>
      </c>
      <c r="AT178" t="s">
        <v>4219</v>
      </c>
    </row>
    <row r="179" spans="1:46">
      <c r="A179" s="1">
        <f>HYPERLINK("https://lsnyc.legalserver.org/matter/dynamic-profile/view/1899084","19-1899084")</f>
        <v>0</v>
      </c>
      <c r="B179" t="s">
        <v>65</v>
      </c>
      <c r="C179" t="s">
        <v>307</v>
      </c>
      <c r="E179" t="s">
        <v>4344</v>
      </c>
      <c r="F179" t="s">
        <v>1005</v>
      </c>
      <c r="G179" t="s">
        <v>4663</v>
      </c>
      <c r="H179" t="s">
        <v>4771</v>
      </c>
      <c r="I179">
        <v>11212</v>
      </c>
      <c r="J179" t="s">
        <v>2004</v>
      </c>
      <c r="K179" t="s">
        <v>2004</v>
      </c>
      <c r="N179" t="s">
        <v>2423</v>
      </c>
      <c r="T179">
        <v>0</v>
      </c>
      <c r="U179" t="s">
        <v>2495</v>
      </c>
      <c r="W179" t="s">
        <v>5024</v>
      </c>
      <c r="Y179" t="s">
        <v>5268</v>
      </c>
      <c r="Z179">
        <v>0</v>
      </c>
      <c r="AC179">
        <v>0</v>
      </c>
      <c r="AD179">
        <v>2</v>
      </c>
      <c r="AE179">
        <v>2</v>
      </c>
      <c r="AF179">
        <v>121.17</v>
      </c>
      <c r="AI179" t="s">
        <v>3809</v>
      </c>
      <c r="AJ179">
        <v>31200</v>
      </c>
      <c r="AP179">
        <v>0.5</v>
      </c>
      <c r="AQ179" t="s">
        <v>307</v>
      </c>
      <c r="AR179" t="s">
        <v>4191</v>
      </c>
      <c r="AS179" t="s">
        <v>4212</v>
      </c>
      <c r="AT179" t="s">
        <v>4219</v>
      </c>
    </row>
    <row r="180" spans="1:46">
      <c r="A180" s="1">
        <f>HYPERLINK("https://lsnyc.legalserver.org/matter/dynamic-profile/view/1891100","19-1891100")</f>
        <v>0</v>
      </c>
      <c r="B180" t="s">
        <v>65</v>
      </c>
      <c r="C180" t="s">
        <v>143</v>
      </c>
      <c r="D180" t="s">
        <v>324</v>
      </c>
      <c r="E180" t="s">
        <v>420</v>
      </c>
      <c r="F180" t="s">
        <v>1076</v>
      </c>
      <c r="G180" t="s">
        <v>1531</v>
      </c>
      <c r="H180" t="s">
        <v>1737</v>
      </c>
      <c r="I180">
        <v>11233</v>
      </c>
      <c r="J180" t="s">
        <v>2002</v>
      </c>
      <c r="K180" t="s">
        <v>2002</v>
      </c>
      <c r="M180" t="s">
        <v>2194</v>
      </c>
      <c r="N180" t="s">
        <v>2415</v>
      </c>
      <c r="O180" t="s">
        <v>2440</v>
      </c>
      <c r="P180" t="s">
        <v>2449</v>
      </c>
      <c r="Q180" t="s">
        <v>2003</v>
      </c>
      <c r="T180">
        <v>1950</v>
      </c>
      <c r="U180" t="s">
        <v>2501</v>
      </c>
      <c r="V180" t="s">
        <v>2524</v>
      </c>
      <c r="W180" t="s">
        <v>2787</v>
      </c>
      <c r="Y180" t="s">
        <v>3537</v>
      </c>
      <c r="Z180">
        <v>4</v>
      </c>
      <c r="AA180" t="s">
        <v>3784</v>
      </c>
      <c r="AB180" t="s">
        <v>2006</v>
      </c>
      <c r="AC180">
        <v>0</v>
      </c>
      <c r="AD180">
        <v>1</v>
      </c>
      <c r="AE180">
        <v>0</v>
      </c>
      <c r="AF180">
        <v>122.4</v>
      </c>
      <c r="AI180" t="s">
        <v>3809</v>
      </c>
      <c r="AJ180">
        <v>15288</v>
      </c>
      <c r="AP180">
        <v>12</v>
      </c>
      <c r="AQ180" t="s">
        <v>324</v>
      </c>
      <c r="AR180" t="s">
        <v>49</v>
      </c>
      <c r="AS180" t="s">
        <v>4214</v>
      </c>
      <c r="AT180" t="s">
        <v>4219</v>
      </c>
    </row>
    <row r="181" spans="1:46">
      <c r="A181" s="1">
        <f>HYPERLINK("https://lsnyc.legalserver.org/matter/dynamic-profile/view/1901547","19-1901547")</f>
        <v>0</v>
      </c>
      <c r="B181" t="s">
        <v>65</v>
      </c>
      <c r="C181" t="s">
        <v>261</v>
      </c>
      <c r="D181" t="s">
        <v>325</v>
      </c>
      <c r="E181" t="s">
        <v>4345</v>
      </c>
      <c r="F181" t="s">
        <v>4499</v>
      </c>
      <c r="G181" t="s">
        <v>4664</v>
      </c>
      <c r="H181" t="s">
        <v>1741</v>
      </c>
      <c r="I181">
        <v>11233</v>
      </c>
      <c r="J181" t="s">
        <v>2002</v>
      </c>
      <c r="K181" t="s">
        <v>2004</v>
      </c>
      <c r="L181" t="s">
        <v>2005</v>
      </c>
      <c r="N181" t="s">
        <v>2027</v>
      </c>
      <c r="P181" t="s">
        <v>2444</v>
      </c>
      <c r="Q181" t="s">
        <v>2003</v>
      </c>
      <c r="R181" t="s">
        <v>2451</v>
      </c>
      <c r="T181">
        <v>1879.2</v>
      </c>
      <c r="U181" t="s">
        <v>2499</v>
      </c>
      <c r="V181" t="s">
        <v>2515</v>
      </c>
      <c r="W181" t="s">
        <v>5025</v>
      </c>
      <c r="X181" t="s">
        <v>5134</v>
      </c>
      <c r="Y181" t="s">
        <v>5269</v>
      </c>
      <c r="Z181">
        <v>13</v>
      </c>
      <c r="AA181" t="s">
        <v>3783</v>
      </c>
      <c r="AB181" t="s">
        <v>3796</v>
      </c>
      <c r="AC181">
        <v>0</v>
      </c>
      <c r="AD181">
        <v>3</v>
      </c>
      <c r="AE181">
        <v>2</v>
      </c>
      <c r="AF181">
        <v>122.98</v>
      </c>
      <c r="AI181" t="s">
        <v>3809</v>
      </c>
      <c r="AJ181">
        <v>37104</v>
      </c>
      <c r="AP181">
        <v>1</v>
      </c>
      <c r="AQ181" t="s">
        <v>325</v>
      </c>
      <c r="AR181" t="s">
        <v>4185</v>
      </c>
      <c r="AS181" t="s">
        <v>4210</v>
      </c>
      <c r="AT181" t="s">
        <v>4219</v>
      </c>
    </row>
    <row r="182" spans="1:46">
      <c r="A182" s="1">
        <f>HYPERLINK("https://lsnyc.legalserver.org/matter/dynamic-profile/view/1880561","18-1880561")</f>
        <v>0</v>
      </c>
      <c r="B182" t="s">
        <v>65</v>
      </c>
      <c r="C182" t="s">
        <v>295</v>
      </c>
      <c r="D182" t="s">
        <v>156</v>
      </c>
      <c r="E182" t="s">
        <v>4346</v>
      </c>
      <c r="F182" t="s">
        <v>4500</v>
      </c>
      <c r="G182" t="s">
        <v>4596</v>
      </c>
      <c r="H182" t="s">
        <v>1744</v>
      </c>
      <c r="I182">
        <v>11233</v>
      </c>
      <c r="J182" t="s">
        <v>2003</v>
      </c>
      <c r="K182" t="s">
        <v>2003</v>
      </c>
      <c r="N182" t="s">
        <v>2027</v>
      </c>
      <c r="O182" t="s">
        <v>2439</v>
      </c>
      <c r="P182" t="s">
        <v>2444</v>
      </c>
      <c r="Q182" t="s">
        <v>2003</v>
      </c>
      <c r="R182" t="s">
        <v>2451</v>
      </c>
      <c r="T182">
        <v>915</v>
      </c>
      <c r="V182" t="s">
        <v>2515</v>
      </c>
      <c r="W182" t="s">
        <v>5026</v>
      </c>
      <c r="X182" t="s">
        <v>3160</v>
      </c>
      <c r="Y182" t="s">
        <v>5270</v>
      </c>
      <c r="Z182">
        <v>12</v>
      </c>
      <c r="AA182" t="s">
        <v>3788</v>
      </c>
      <c r="AB182" t="s">
        <v>3794</v>
      </c>
      <c r="AC182">
        <v>4</v>
      </c>
      <c r="AD182">
        <v>1</v>
      </c>
      <c r="AE182">
        <v>3</v>
      </c>
      <c r="AF182">
        <v>127.04</v>
      </c>
      <c r="AI182" t="s">
        <v>3809</v>
      </c>
      <c r="AJ182">
        <v>31888</v>
      </c>
      <c r="AP182">
        <v>2</v>
      </c>
      <c r="AQ182" t="s">
        <v>156</v>
      </c>
      <c r="AR182" t="s">
        <v>4192</v>
      </c>
      <c r="AS182" t="s">
        <v>4210</v>
      </c>
      <c r="AT182" t="s">
        <v>4219</v>
      </c>
    </row>
    <row r="183" spans="1:46">
      <c r="A183" s="1">
        <f>HYPERLINK("https://lsnyc.legalserver.org/matter/dynamic-profile/view/1880288","18-1880288")</f>
        <v>0</v>
      </c>
      <c r="B183" t="s">
        <v>65</v>
      </c>
      <c r="C183" t="s">
        <v>113</v>
      </c>
      <c r="D183" t="s">
        <v>154</v>
      </c>
      <c r="E183" t="s">
        <v>4347</v>
      </c>
      <c r="F183" t="s">
        <v>4501</v>
      </c>
      <c r="G183" t="s">
        <v>4665</v>
      </c>
      <c r="H183" t="s">
        <v>4772</v>
      </c>
      <c r="I183">
        <v>11208</v>
      </c>
      <c r="J183" t="s">
        <v>2003</v>
      </c>
      <c r="K183" t="s">
        <v>2003</v>
      </c>
      <c r="N183" t="s">
        <v>2027</v>
      </c>
      <c r="P183" t="s">
        <v>2444</v>
      </c>
      <c r="Q183" t="s">
        <v>2003</v>
      </c>
      <c r="T183">
        <v>1200</v>
      </c>
      <c r="V183" t="s">
        <v>2515</v>
      </c>
      <c r="W183" t="s">
        <v>5027</v>
      </c>
      <c r="Y183" t="s">
        <v>5271</v>
      </c>
      <c r="Z183">
        <v>3</v>
      </c>
      <c r="AA183" t="s">
        <v>2156</v>
      </c>
      <c r="AC183">
        <v>1</v>
      </c>
      <c r="AD183">
        <v>1</v>
      </c>
      <c r="AE183">
        <v>0</v>
      </c>
      <c r="AF183">
        <v>128.5</v>
      </c>
      <c r="AI183" t="s">
        <v>3809</v>
      </c>
      <c r="AJ183">
        <v>15600</v>
      </c>
      <c r="AP183">
        <v>1.25</v>
      </c>
      <c r="AQ183" t="s">
        <v>154</v>
      </c>
      <c r="AR183" t="s">
        <v>4187</v>
      </c>
      <c r="AS183" t="s">
        <v>4210</v>
      </c>
      <c r="AT183" t="s">
        <v>4219</v>
      </c>
    </row>
    <row r="184" spans="1:46">
      <c r="A184" s="1">
        <f>HYPERLINK("https://lsnyc.legalserver.org/matter/dynamic-profile/view/1888647","19-1888647")</f>
        <v>0</v>
      </c>
      <c r="B184" t="s">
        <v>65</v>
      </c>
      <c r="C184" t="s">
        <v>253</v>
      </c>
      <c r="D184" t="s">
        <v>103</v>
      </c>
      <c r="E184" t="s">
        <v>1239</v>
      </c>
      <c r="F184" t="s">
        <v>1185</v>
      </c>
      <c r="G184" t="s">
        <v>4666</v>
      </c>
      <c r="I184">
        <v>11207</v>
      </c>
      <c r="J184" t="s">
        <v>2003</v>
      </c>
      <c r="K184" t="s">
        <v>2003</v>
      </c>
      <c r="M184" t="s">
        <v>2027</v>
      </c>
      <c r="N184" t="s">
        <v>2027</v>
      </c>
      <c r="O184" t="s">
        <v>2436</v>
      </c>
      <c r="P184" t="s">
        <v>2443</v>
      </c>
      <c r="Q184" t="s">
        <v>2003</v>
      </c>
      <c r="R184" t="s">
        <v>2451</v>
      </c>
      <c r="T184">
        <v>800</v>
      </c>
      <c r="U184" t="s">
        <v>2495</v>
      </c>
      <c r="V184" t="s">
        <v>2514</v>
      </c>
      <c r="W184" t="s">
        <v>5028</v>
      </c>
      <c r="Y184" t="s">
        <v>5272</v>
      </c>
      <c r="Z184">
        <v>1</v>
      </c>
      <c r="AA184" t="s">
        <v>2156</v>
      </c>
      <c r="AB184" t="s">
        <v>2006</v>
      </c>
      <c r="AC184">
        <v>12</v>
      </c>
      <c r="AD184">
        <v>1</v>
      </c>
      <c r="AE184">
        <v>0</v>
      </c>
      <c r="AF184">
        <v>144.12</v>
      </c>
      <c r="AI184" t="s">
        <v>3809</v>
      </c>
      <c r="AJ184">
        <v>18000</v>
      </c>
      <c r="AK184" t="s">
        <v>5377</v>
      </c>
      <c r="AP184">
        <v>1</v>
      </c>
      <c r="AQ184" t="s">
        <v>103</v>
      </c>
      <c r="AR184" t="s">
        <v>4196</v>
      </c>
      <c r="AS184" t="s">
        <v>4210</v>
      </c>
      <c r="AT184" t="s">
        <v>4219</v>
      </c>
    </row>
    <row r="185" spans="1:46">
      <c r="A185" s="1">
        <f>HYPERLINK("https://lsnyc.legalserver.org/matter/dynamic-profile/view/1882533","18-1882533")</f>
        <v>0</v>
      </c>
      <c r="B185" t="s">
        <v>65</v>
      </c>
      <c r="C185" t="s">
        <v>127</v>
      </c>
      <c r="D185" t="s">
        <v>230</v>
      </c>
      <c r="E185" t="s">
        <v>4328</v>
      </c>
      <c r="F185" t="s">
        <v>956</v>
      </c>
      <c r="G185" t="s">
        <v>4642</v>
      </c>
      <c r="H185">
        <v>2</v>
      </c>
      <c r="I185">
        <v>11212</v>
      </c>
      <c r="J185" t="s">
        <v>2004</v>
      </c>
      <c r="K185" t="s">
        <v>2004</v>
      </c>
      <c r="N185" t="s">
        <v>2027</v>
      </c>
      <c r="O185" t="s">
        <v>2439</v>
      </c>
      <c r="P185" t="s">
        <v>2444</v>
      </c>
      <c r="Q185" t="s">
        <v>2002</v>
      </c>
      <c r="R185" t="s">
        <v>2451</v>
      </c>
      <c r="T185">
        <v>2200</v>
      </c>
      <c r="U185" t="s">
        <v>2499</v>
      </c>
      <c r="V185" t="s">
        <v>2515</v>
      </c>
      <c r="W185" t="s">
        <v>4998</v>
      </c>
      <c r="Y185" t="s">
        <v>5244</v>
      </c>
      <c r="Z185">
        <v>3</v>
      </c>
      <c r="AA185" t="s">
        <v>2156</v>
      </c>
      <c r="AB185" t="s">
        <v>2006</v>
      </c>
      <c r="AC185">
        <v>1</v>
      </c>
      <c r="AD185">
        <v>1</v>
      </c>
      <c r="AE185">
        <v>0</v>
      </c>
      <c r="AF185">
        <v>148.27</v>
      </c>
      <c r="AI185" t="s">
        <v>3809</v>
      </c>
      <c r="AJ185">
        <v>18000</v>
      </c>
      <c r="AP185">
        <v>1.25</v>
      </c>
      <c r="AQ185" t="s">
        <v>230</v>
      </c>
      <c r="AR185" t="s">
        <v>4187</v>
      </c>
      <c r="AS185" t="s">
        <v>4210</v>
      </c>
      <c r="AT185" t="s">
        <v>4219</v>
      </c>
    </row>
    <row r="186" spans="1:46">
      <c r="A186" s="1">
        <f>HYPERLINK("https://lsnyc.legalserver.org/matter/dynamic-profile/view/1903131","19-1903131")</f>
        <v>0</v>
      </c>
      <c r="B186" t="s">
        <v>65</v>
      </c>
      <c r="C186" t="s">
        <v>256</v>
      </c>
      <c r="D186" t="s">
        <v>325</v>
      </c>
      <c r="E186" t="s">
        <v>4348</v>
      </c>
      <c r="F186" t="s">
        <v>4502</v>
      </c>
      <c r="G186" t="s">
        <v>4667</v>
      </c>
      <c r="H186" t="s">
        <v>1778</v>
      </c>
      <c r="I186">
        <v>11212</v>
      </c>
      <c r="J186" t="s">
        <v>2003</v>
      </c>
      <c r="K186" t="s">
        <v>2004</v>
      </c>
      <c r="L186" t="s">
        <v>2006</v>
      </c>
      <c r="M186" t="s">
        <v>2006</v>
      </c>
      <c r="N186" t="s">
        <v>2027</v>
      </c>
      <c r="O186" t="s">
        <v>2439</v>
      </c>
      <c r="P186" t="s">
        <v>2444</v>
      </c>
      <c r="Q186" t="s">
        <v>2003</v>
      </c>
      <c r="R186" t="s">
        <v>2451</v>
      </c>
      <c r="T186">
        <v>1235</v>
      </c>
      <c r="U186" t="s">
        <v>2499</v>
      </c>
      <c r="V186" t="s">
        <v>2515</v>
      </c>
      <c r="W186" t="s">
        <v>5029</v>
      </c>
      <c r="X186" t="s">
        <v>5135</v>
      </c>
      <c r="Z186">
        <v>4</v>
      </c>
      <c r="AA186" t="s">
        <v>3784</v>
      </c>
      <c r="AB186" t="s">
        <v>3799</v>
      </c>
      <c r="AC186">
        <v>30</v>
      </c>
      <c r="AD186">
        <v>1</v>
      </c>
      <c r="AE186">
        <v>0</v>
      </c>
      <c r="AF186">
        <v>151.8</v>
      </c>
      <c r="AI186" t="s">
        <v>3809</v>
      </c>
      <c r="AJ186">
        <v>18960</v>
      </c>
      <c r="AP186">
        <v>2.16</v>
      </c>
      <c r="AQ186" t="s">
        <v>325</v>
      </c>
      <c r="AR186" t="s">
        <v>4195</v>
      </c>
      <c r="AS186" t="s">
        <v>4210</v>
      </c>
      <c r="AT186" t="s">
        <v>4219</v>
      </c>
    </row>
    <row r="187" spans="1:46">
      <c r="A187" s="1">
        <f>HYPERLINK("https://lsnyc.legalserver.org/matter/dynamic-profile/view/1888349","19-1888349")</f>
        <v>0</v>
      </c>
      <c r="B187" t="s">
        <v>65</v>
      </c>
      <c r="C187" t="s">
        <v>233</v>
      </c>
      <c r="D187" t="s">
        <v>324</v>
      </c>
      <c r="E187" t="s">
        <v>779</v>
      </c>
      <c r="F187" t="s">
        <v>902</v>
      </c>
      <c r="G187" t="s">
        <v>1518</v>
      </c>
      <c r="H187" t="s">
        <v>1975</v>
      </c>
      <c r="I187">
        <v>11239</v>
      </c>
      <c r="J187" t="s">
        <v>2002</v>
      </c>
      <c r="K187" t="s">
        <v>2002</v>
      </c>
      <c r="M187" t="s">
        <v>2321</v>
      </c>
      <c r="N187" t="s">
        <v>2422</v>
      </c>
      <c r="O187" t="s">
        <v>2441</v>
      </c>
      <c r="P187" t="s">
        <v>2449</v>
      </c>
      <c r="Q187" t="s">
        <v>2003</v>
      </c>
      <c r="R187" t="s">
        <v>2451</v>
      </c>
      <c r="T187">
        <v>1300</v>
      </c>
      <c r="U187" t="s">
        <v>2505</v>
      </c>
      <c r="V187" t="s">
        <v>2524</v>
      </c>
      <c r="W187" t="s">
        <v>3065</v>
      </c>
      <c r="X187" t="s">
        <v>5136</v>
      </c>
      <c r="Y187" t="s">
        <v>3695</v>
      </c>
      <c r="Z187">
        <v>1164</v>
      </c>
      <c r="AA187" t="s">
        <v>3792</v>
      </c>
      <c r="AB187" t="s">
        <v>3800</v>
      </c>
      <c r="AC187">
        <v>27</v>
      </c>
      <c r="AD187">
        <v>1</v>
      </c>
      <c r="AE187">
        <v>0</v>
      </c>
      <c r="AF187">
        <v>163.1</v>
      </c>
      <c r="AI187" t="s">
        <v>3809</v>
      </c>
      <c r="AJ187">
        <v>19800</v>
      </c>
      <c r="AP187">
        <v>7.5</v>
      </c>
      <c r="AQ187" t="s">
        <v>324</v>
      </c>
      <c r="AR187" t="s">
        <v>49</v>
      </c>
      <c r="AS187" t="s">
        <v>4214</v>
      </c>
      <c r="AT187" t="s">
        <v>4219</v>
      </c>
    </row>
    <row r="188" spans="1:46">
      <c r="A188" s="1">
        <f>HYPERLINK("https://lsnyc.legalserver.org/matter/dynamic-profile/view/1880298","18-1880298")</f>
        <v>0</v>
      </c>
      <c r="B188" t="s">
        <v>65</v>
      </c>
      <c r="C188" t="s">
        <v>113</v>
      </c>
      <c r="D188" t="s">
        <v>223</v>
      </c>
      <c r="E188" t="s">
        <v>4349</v>
      </c>
      <c r="F188" t="s">
        <v>493</v>
      </c>
      <c r="G188" t="s">
        <v>4668</v>
      </c>
      <c r="H188" t="s">
        <v>1745</v>
      </c>
      <c r="I188">
        <v>11208</v>
      </c>
      <c r="J188" t="s">
        <v>2003</v>
      </c>
      <c r="K188" t="s">
        <v>2003</v>
      </c>
      <c r="N188" t="s">
        <v>2027</v>
      </c>
      <c r="O188" t="s">
        <v>2439</v>
      </c>
      <c r="P188" t="s">
        <v>2444</v>
      </c>
      <c r="Q188" t="s">
        <v>2003</v>
      </c>
      <c r="R188" t="s">
        <v>2451</v>
      </c>
      <c r="T188">
        <v>400</v>
      </c>
      <c r="U188" t="s">
        <v>2497</v>
      </c>
      <c r="V188" t="s">
        <v>2515</v>
      </c>
      <c r="W188" t="s">
        <v>5030</v>
      </c>
      <c r="X188" t="s">
        <v>3160</v>
      </c>
      <c r="Y188" t="s">
        <v>5273</v>
      </c>
      <c r="Z188">
        <v>3</v>
      </c>
      <c r="AA188" t="s">
        <v>3784</v>
      </c>
      <c r="AB188" t="s">
        <v>2006</v>
      </c>
      <c r="AC188">
        <v>0</v>
      </c>
      <c r="AD188">
        <v>1</v>
      </c>
      <c r="AE188">
        <v>0</v>
      </c>
      <c r="AF188">
        <v>171.33</v>
      </c>
      <c r="AI188" t="s">
        <v>3809</v>
      </c>
      <c r="AJ188">
        <v>20800</v>
      </c>
      <c r="AP188">
        <v>1.41</v>
      </c>
      <c r="AQ188" t="s">
        <v>96</v>
      </c>
      <c r="AR188" t="s">
        <v>4195</v>
      </c>
      <c r="AS188" t="s">
        <v>4210</v>
      </c>
      <c r="AT188" t="s">
        <v>4219</v>
      </c>
    </row>
    <row r="189" spans="1:46">
      <c r="A189" s="1">
        <f>HYPERLINK("https://lsnyc.legalserver.org/matter/dynamic-profile/view/1891348","19-1891348")</f>
        <v>0</v>
      </c>
      <c r="B189" t="s">
        <v>65</v>
      </c>
      <c r="C189" t="s">
        <v>243</v>
      </c>
      <c r="D189" t="s">
        <v>324</v>
      </c>
      <c r="E189" t="s">
        <v>353</v>
      </c>
      <c r="F189" t="s">
        <v>1250</v>
      </c>
      <c r="G189" t="s">
        <v>4669</v>
      </c>
      <c r="H189">
        <v>8</v>
      </c>
      <c r="I189">
        <v>11233</v>
      </c>
      <c r="J189" t="s">
        <v>2002</v>
      </c>
      <c r="K189" t="s">
        <v>2002</v>
      </c>
      <c r="M189" t="s">
        <v>2132</v>
      </c>
      <c r="N189" t="s">
        <v>2423</v>
      </c>
      <c r="O189" t="s">
        <v>2441</v>
      </c>
      <c r="P189" t="s">
        <v>2446</v>
      </c>
      <c r="Q189" t="s">
        <v>2003</v>
      </c>
      <c r="R189" t="s">
        <v>2451</v>
      </c>
      <c r="T189">
        <v>1280</v>
      </c>
      <c r="U189" t="s">
        <v>2496</v>
      </c>
      <c r="V189" t="s">
        <v>2518</v>
      </c>
      <c r="W189" t="s">
        <v>5031</v>
      </c>
      <c r="X189" t="s">
        <v>5137</v>
      </c>
      <c r="Y189" t="s">
        <v>5274</v>
      </c>
      <c r="Z189">
        <v>8</v>
      </c>
      <c r="AA189" t="s">
        <v>3783</v>
      </c>
      <c r="AB189" t="s">
        <v>3793</v>
      </c>
      <c r="AC189">
        <v>8</v>
      </c>
      <c r="AD189">
        <v>2</v>
      </c>
      <c r="AE189">
        <v>0</v>
      </c>
      <c r="AF189">
        <v>184.51</v>
      </c>
      <c r="AI189" t="s">
        <v>3809</v>
      </c>
      <c r="AJ189">
        <v>31200</v>
      </c>
      <c r="AP189">
        <v>7</v>
      </c>
      <c r="AQ189" t="s">
        <v>324</v>
      </c>
      <c r="AR189" t="s">
        <v>4185</v>
      </c>
      <c r="AS189" t="s">
        <v>4210</v>
      </c>
      <c r="AT189" t="s">
        <v>4219</v>
      </c>
    </row>
    <row r="190" spans="1:46">
      <c r="A190" s="1">
        <f>HYPERLINK("https://lsnyc.legalserver.org/matter/dynamic-profile/view/1895176","19-1895176")</f>
        <v>0</v>
      </c>
      <c r="B190" t="s">
        <v>65</v>
      </c>
      <c r="C190" t="s">
        <v>105</v>
      </c>
      <c r="D190" t="s">
        <v>147</v>
      </c>
      <c r="E190" t="s">
        <v>623</v>
      </c>
      <c r="F190" t="s">
        <v>1128</v>
      </c>
      <c r="G190" t="s">
        <v>1589</v>
      </c>
      <c r="H190">
        <v>1</v>
      </c>
      <c r="I190">
        <v>11208</v>
      </c>
      <c r="J190" t="s">
        <v>2003</v>
      </c>
      <c r="K190" t="s">
        <v>2003</v>
      </c>
      <c r="M190" t="s">
        <v>2131</v>
      </c>
      <c r="N190" t="s">
        <v>2417</v>
      </c>
      <c r="P190" t="s">
        <v>2444</v>
      </c>
      <c r="Q190" t="s">
        <v>2003</v>
      </c>
      <c r="R190" t="s">
        <v>2451</v>
      </c>
      <c r="T190">
        <v>1215</v>
      </c>
      <c r="U190" t="s">
        <v>2497</v>
      </c>
      <c r="V190" t="s">
        <v>2525</v>
      </c>
      <c r="W190" t="s">
        <v>2863</v>
      </c>
      <c r="X190" t="s">
        <v>5138</v>
      </c>
      <c r="Y190" t="s">
        <v>3602</v>
      </c>
      <c r="Z190">
        <v>5</v>
      </c>
      <c r="AA190" t="s">
        <v>3784</v>
      </c>
      <c r="AB190" t="s">
        <v>3799</v>
      </c>
      <c r="AC190">
        <v>1</v>
      </c>
      <c r="AD190">
        <v>1</v>
      </c>
      <c r="AE190">
        <v>0</v>
      </c>
      <c r="AF190">
        <v>187.35</v>
      </c>
      <c r="AI190" t="s">
        <v>3812</v>
      </c>
      <c r="AJ190">
        <v>23400</v>
      </c>
      <c r="AP190">
        <v>1</v>
      </c>
      <c r="AQ190" t="s">
        <v>147</v>
      </c>
      <c r="AR190" t="s">
        <v>4185</v>
      </c>
      <c r="AS190" t="s">
        <v>4214</v>
      </c>
      <c r="AT190" t="s">
        <v>4219</v>
      </c>
    </row>
    <row r="191" spans="1:46">
      <c r="A191" s="1">
        <f>HYPERLINK("https://lsnyc.legalserver.org/matter/dynamic-profile/view/1881909","18-1881909")</f>
        <v>0</v>
      </c>
      <c r="B191" t="s">
        <v>65</v>
      </c>
      <c r="C191" t="s">
        <v>100</v>
      </c>
      <c r="D191" t="s">
        <v>315</v>
      </c>
      <c r="E191" t="s">
        <v>806</v>
      </c>
      <c r="F191" t="s">
        <v>4503</v>
      </c>
      <c r="G191" t="s">
        <v>4670</v>
      </c>
      <c r="H191" t="s">
        <v>1754</v>
      </c>
      <c r="I191">
        <v>11233</v>
      </c>
      <c r="J191" t="s">
        <v>2003</v>
      </c>
      <c r="K191" t="s">
        <v>2003</v>
      </c>
      <c r="M191" t="s">
        <v>2006</v>
      </c>
      <c r="N191" t="s">
        <v>2027</v>
      </c>
      <c r="O191" t="s">
        <v>2439</v>
      </c>
      <c r="P191" t="s">
        <v>2444</v>
      </c>
      <c r="Q191" t="s">
        <v>2003</v>
      </c>
      <c r="R191" t="s">
        <v>2451</v>
      </c>
      <c r="T191">
        <v>1051.86</v>
      </c>
      <c r="U191" t="s">
        <v>2497</v>
      </c>
      <c r="V191" t="s">
        <v>2515</v>
      </c>
      <c r="W191" t="s">
        <v>5032</v>
      </c>
      <c r="X191" t="s">
        <v>2006</v>
      </c>
      <c r="Y191" t="s">
        <v>5275</v>
      </c>
      <c r="Z191">
        <v>12</v>
      </c>
      <c r="AA191" t="s">
        <v>3783</v>
      </c>
      <c r="AB191" t="s">
        <v>2006</v>
      </c>
      <c r="AC191">
        <v>8</v>
      </c>
      <c r="AD191">
        <v>2</v>
      </c>
      <c r="AE191">
        <v>0</v>
      </c>
      <c r="AF191">
        <v>189.55</v>
      </c>
      <c r="AH191" t="s">
        <v>3806</v>
      </c>
      <c r="AI191" t="s">
        <v>3809</v>
      </c>
      <c r="AJ191">
        <v>31200</v>
      </c>
      <c r="AP191">
        <v>1.25</v>
      </c>
      <c r="AQ191" t="s">
        <v>129</v>
      </c>
      <c r="AR191" t="s">
        <v>4185</v>
      </c>
      <c r="AS191" t="s">
        <v>4210</v>
      </c>
      <c r="AT191" t="s">
        <v>4219</v>
      </c>
    </row>
    <row r="192" spans="1:46">
      <c r="A192" s="1">
        <f>HYPERLINK("https://lsnyc.legalserver.org/matter/dynamic-profile/view/1901830","19-1901830")</f>
        <v>0</v>
      </c>
      <c r="B192" t="s">
        <v>65</v>
      </c>
      <c r="C192" t="s">
        <v>172</v>
      </c>
      <c r="E192" t="s">
        <v>451</v>
      </c>
      <c r="F192" t="s">
        <v>956</v>
      </c>
      <c r="G192" t="s">
        <v>1458</v>
      </c>
      <c r="H192" t="s">
        <v>1787</v>
      </c>
      <c r="I192">
        <v>11208</v>
      </c>
      <c r="J192" t="s">
        <v>2002</v>
      </c>
      <c r="K192" t="s">
        <v>2004</v>
      </c>
      <c r="L192" t="s">
        <v>2005</v>
      </c>
      <c r="M192" t="s">
        <v>2121</v>
      </c>
      <c r="N192" t="s">
        <v>2422</v>
      </c>
      <c r="Q192" t="s">
        <v>2003</v>
      </c>
      <c r="R192" t="s">
        <v>2451</v>
      </c>
      <c r="T192">
        <v>1956</v>
      </c>
      <c r="U192" t="s">
        <v>2495</v>
      </c>
      <c r="W192" t="s">
        <v>2653</v>
      </c>
      <c r="Y192" t="s">
        <v>3420</v>
      </c>
      <c r="Z192">
        <v>3</v>
      </c>
      <c r="AA192" t="s">
        <v>3784</v>
      </c>
      <c r="AB192" t="s">
        <v>3794</v>
      </c>
      <c r="AC192">
        <v>4</v>
      </c>
      <c r="AD192">
        <v>1</v>
      </c>
      <c r="AE192">
        <v>3</v>
      </c>
      <c r="AF192">
        <v>197.31</v>
      </c>
      <c r="AI192" t="s">
        <v>3809</v>
      </c>
      <c r="AJ192">
        <v>50806.8</v>
      </c>
      <c r="AP192">
        <v>4</v>
      </c>
      <c r="AQ192" t="s">
        <v>318</v>
      </c>
      <c r="AR192" t="s">
        <v>49</v>
      </c>
      <c r="AS192" t="s">
        <v>4214</v>
      </c>
      <c r="AT192" t="s">
        <v>4219</v>
      </c>
    </row>
    <row r="193" spans="1:46">
      <c r="A193" s="1">
        <f>HYPERLINK("https://lsnyc.legalserver.org/matter/dynamic-profile/view/1880654","18-1880654")</f>
        <v>0</v>
      </c>
      <c r="B193" t="s">
        <v>65</v>
      </c>
      <c r="C193" t="s">
        <v>295</v>
      </c>
      <c r="D193" t="s">
        <v>154</v>
      </c>
      <c r="E193" t="s">
        <v>351</v>
      </c>
      <c r="F193" t="s">
        <v>1114</v>
      </c>
      <c r="G193" t="s">
        <v>1570</v>
      </c>
      <c r="H193" t="s">
        <v>1850</v>
      </c>
      <c r="I193">
        <v>11233</v>
      </c>
      <c r="J193" t="s">
        <v>2003</v>
      </c>
      <c r="K193" t="s">
        <v>2003</v>
      </c>
      <c r="M193" t="s">
        <v>2027</v>
      </c>
      <c r="N193" t="s">
        <v>2419</v>
      </c>
      <c r="O193" t="s">
        <v>2439</v>
      </c>
      <c r="P193" t="s">
        <v>2444</v>
      </c>
      <c r="Q193" t="s">
        <v>2003</v>
      </c>
      <c r="R193" t="s">
        <v>2451</v>
      </c>
      <c r="T193">
        <v>1304.95</v>
      </c>
      <c r="U193" t="s">
        <v>2497</v>
      </c>
      <c r="V193" t="s">
        <v>2515</v>
      </c>
      <c r="W193" t="s">
        <v>2842</v>
      </c>
      <c r="X193" t="s">
        <v>2006</v>
      </c>
      <c r="Y193" t="s">
        <v>3581</v>
      </c>
      <c r="Z193">
        <v>40</v>
      </c>
      <c r="AB193" t="s">
        <v>2006</v>
      </c>
      <c r="AC193">
        <v>8</v>
      </c>
      <c r="AD193">
        <v>3</v>
      </c>
      <c r="AE193">
        <v>1</v>
      </c>
      <c r="AF193">
        <v>201.59</v>
      </c>
      <c r="AH193" t="s">
        <v>3806</v>
      </c>
      <c r="AI193" t="s">
        <v>3809</v>
      </c>
      <c r="AJ193">
        <v>50600</v>
      </c>
      <c r="AP193">
        <v>2.45</v>
      </c>
      <c r="AQ193" t="s">
        <v>115</v>
      </c>
      <c r="AR193" t="s">
        <v>4193</v>
      </c>
      <c r="AS193" t="s">
        <v>4210</v>
      </c>
      <c r="AT193" t="s">
        <v>4219</v>
      </c>
    </row>
    <row r="194" spans="1:46">
      <c r="A194" s="1">
        <f>HYPERLINK("https://lsnyc.legalserver.org/matter/dynamic-profile/view/1895168","19-1895168")</f>
        <v>0</v>
      </c>
      <c r="B194" t="s">
        <v>65</v>
      </c>
      <c r="C194" t="s">
        <v>105</v>
      </c>
      <c r="E194" t="s">
        <v>4343</v>
      </c>
      <c r="F194" t="s">
        <v>882</v>
      </c>
      <c r="G194" t="s">
        <v>1429</v>
      </c>
      <c r="H194">
        <v>615</v>
      </c>
      <c r="I194">
        <v>11239</v>
      </c>
      <c r="J194" t="s">
        <v>2002</v>
      </c>
      <c r="K194" t="s">
        <v>2002</v>
      </c>
      <c r="M194" t="s">
        <v>4842</v>
      </c>
      <c r="N194" t="s">
        <v>2415</v>
      </c>
      <c r="Q194" t="s">
        <v>2003</v>
      </c>
      <c r="T194">
        <v>1205</v>
      </c>
      <c r="U194" t="s">
        <v>2499</v>
      </c>
      <c r="W194" t="s">
        <v>5033</v>
      </c>
      <c r="X194">
        <v>32263748</v>
      </c>
      <c r="Y194" t="s">
        <v>5276</v>
      </c>
      <c r="Z194">
        <v>137</v>
      </c>
      <c r="AA194" t="s">
        <v>3783</v>
      </c>
      <c r="AB194" t="s">
        <v>3793</v>
      </c>
      <c r="AC194">
        <v>1</v>
      </c>
      <c r="AD194">
        <v>2</v>
      </c>
      <c r="AE194">
        <v>1</v>
      </c>
      <c r="AF194">
        <v>241.76</v>
      </c>
      <c r="AI194" t="s">
        <v>3809</v>
      </c>
      <c r="AJ194">
        <v>51568</v>
      </c>
      <c r="AP194">
        <v>10.75</v>
      </c>
      <c r="AQ194" t="s">
        <v>172</v>
      </c>
      <c r="AR194" t="s">
        <v>49</v>
      </c>
      <c r="AS194" t="s">
        <v>4214</v>
      </c>
      <c r="AT194" t="s">
        <v>4219</v>
      </c>
    </row>
    <row r="195" spans="1:46">
      <c r="A195" s="1">
        <f>HYPERLINK("https://lsnyc.legalserver.org/matter/dynamic-profile/view/1887281","19-1887281")</f>
        <v>0</v>
      </c>
      <c r="B195" t="s">
        <v>65</v>
      </c>
      <c r="C195" t="s">
        <v>2491</v>
      </c>
      <c r="D195" t="s">
        <v>233</v>
      </c>
      <c r="E195" t="s">
        <v>4350</v>
      </c>
      <c r="F195" t="s">
        <v>1168</v>
      </c>
      <c r="G195" t="s">
        <v>4671</v>
      </c>
      <c r="H195" t="s">
        <v>4773</v>
      </c>
      <c r="I195">
        <v>11207</v>
      </c>
      <c r="J195" t="s">
        <v>2003</v>
      </c>
      <c r="K195" t="s">
        <v>2003</v>
      </c>
      <c r="M195" t="s">
        <v>2027</v>
      </c>
      <c r="N195" t="s">
        <v>2027</v>
      </c>
      <c r="O195" t="s">
        <v>2439</v>
      </c>
      <c r="P195" t="s">
        <v>2444</v>
      </c>
      <c r="Q195" t="s">
        <v>2003</v>
      </c>
      <c r="R195" t="s">
        <v>2451</v>
      </c>
      <c r="T195">
        <v>1418</v>
      </c>
      <c r="V195" t="s">
        <v>2515</v>
      </c>
      <c r="W195" t="s">
        <v>5034</v>
      </c>
      <c r="X195" t="s">
        <v>2006</v>
      </c>
      <c r="Y195" t="s">
        <v>5277</v>
      </c>
      <c r="Z195">
        <v>196</v>
      </c>
      <c r="AA195" t="s">
        <v>2156</v>
      </c>
      <c r="AB195" t="s">
        <v>2006</v>
      </c>
      <c r="AC195">
        <v>0</v>
      </c>
      <c r="AD195">
        <v>1</v>
      </c>
      <c r="AE195">
        <v>0</v>
      </c>
      <c r="AF195">
        <v>257</v>
      </c>
      <c r="AI195" t="s">
        <v>3809</v>
      </c>
      <c r="AJ195">
        <v>31200</v>
      </c>
      <c r="AK195" t="s">
        <v>5378</v>
      </c>
      <c r="AP195">
        <v>0.75</v>
      </c>
      <c r="AQ195" t="s">
        <v>233</v>
      </c>
      <c r="AR195" t="s">
        <v>4185</v>
      </c>
      <c r="AS195" t="s">
        <v>4210</v>
      </c>
      <c r="AT195" t="s">
        <v>4219</v>
      </c>
    </row>
    <row r="196" spans="1:46">
      <c r="A196" s="1">
        <f>HYPERLINK("https://lsnyc.legalserver.org/matter/dynamic-profile/view/1872104","18-1872104")</f>
        <v>0</v>
      </c>
      <c r="B196" t="s">
        <v>65</v>
      </c>
      <c r="C196" t="s">
        <v>111</v>
      </c>
      <c r="D196" t="s">
        <v>230</v>
      </c>
      <c r="E196" t="s">
        <v>419</v>
      </c>
      <c r="F196" t="s">
        <v>4504</v>
      </c>
      <c r="G196" t="s">
        <v>1596</v>
      </c>
      <c r="H196" t="s">
        <v>1819</v>
      </c>
      <c r="I196">
        <v>11207</v>
      </c>
      <c r="J196" t="s">
        <v>2003</v>
      </c>
      <c r="K196" t="s">
        <v>2003</v>
      </c>
      <c r="M196" t="s">
        <v>2027</v>
      </c>
      <c r="P196" t="s">
        <v>2444</v>
      </c>
      <c r="Q196" t="s">
        <v>2003</v>
      </c>
      <c r="T196">
        <v>1329</v>
      </c>
      <c r="U196" t="s">
        <v>2504</v>
      </c>
      <c r="V196" t="s">
        <v>2515</v>
      </c>
      <c r="W196" t="s">
        <v>5035</v>
      </c>
      <c r="X196" t="s">
        <v>3160</v>
      </c>
      <c r="Y196" t="s">
        <v>5278</v>
      </c>
      <c r="Z196">
        <v>84</v>
      </c>
      <c r="AA196" t="s">
        <v>3783</v>
      </c>
      <c r="AB196" t="s">
        <v>2006</v>
      </c>
      <c r="AC196">
        <v>45</v>
      </c>
      <c r="AD196">
        <v>1</v>
      </c>
      <c r="AE196">
        <v>0</v>
      </c>
      <c r="AF196">
        <v>257</v>
      </c>
      <c r="AI196" t="s">
        <v>3809</v>
      </c>
      <c r="AJ196">
        <v>31200</v>
      </c>
      <c r="AP196">
        <v>1.4</v>
      </c>
      <c r="AQ196" t="s">
        <v>230</v>
      </c>
      <c r="AR196" t="s">
        <v>5412</v>
      </c>
      <c r="AS196" t="s">
        <v>4210</v>
      </c>
      <c r="AT196" t="s">
        <v>4219</v>
      </c>
    </row>
    <row r="197" spans="1:46">
      <c r="A197" s="1">
        <f>HYPERLINK("https://lsnyc.legalserver.org/matter/dynamic-profile/view/1888102","19-1888102")</f>
        <v>0</v>
      </c>
      <c r="B197" t="s">
        <v>65</v>
      </c>
      <c r="C197" t="s">
        <v>155</v>
      </c>
      <c r="D197" t="s">
        <v>159</v>
      </c>
      <c r="E197" t="s">
        <v>4351</v>
      </c>
      <c r="F197" t="s">
        <v>902</v>
      </c>
      <c r="G197" t="s">
        <v>4672</v>
      </c>
      <c r="H197" t="s">
        <v>1735</v>
      </c>
      <c r="I197">
        <v>11233</v>
      </c>
      <c r="J197" t="s">
        <v>2003</v>
      </c>
      <c r="K197" t="s">
        <v>2003</v>
      </c>
      <c r="M197" t="s">
        <v>2027</v>
      </c>
      <c r="N197" t="s">
        <v>2027</v>
      </c>
      <c r="O197" t="s">
        <v>2439</v>
      </c>
      <c r="P197" t="s">
        <v>2444</v>
      </c>
      <c r="Q197" t="s">
        <v>2003</v>
      </c>
      <c r="R197" t="s">
        <v>2451</v>
      </c>
      <c r="T197">
        <v>1400</v>
      </c>
      <c r="U197" t="s">
        <v>2495</v>
      </c>
      <c r="V197" t="s">
        <v>2515</v>
      </c>
      <c r="W197" t="s">
        <v>5036</v>
      </c>
      <c r="X197" t="s">
        <v>2006</v>
      </c>
      <c r="Y197" t="s">
        <v>5279</v>
      </c>
      <c r="Z197">
        <v>6</v>
      </c>
      <c r="AA197" t="s">
        <v>3783</v>
      </c>
      <c r="AB197" t="s">
        <v>2006</v>
      </c>
      <c r="AC197">
        <v>18</v>
      </c>
      <c r="AD197">
        <v>1</v>
      </c>
      <c r="AE197">
        <v>0</v>
      </c>
      <c r="AF197">
        <v>329.49</v>
      </c>
      <c r="AI197" t="s">
        <v>3809</v>
      </c>
      <c r="AJ197">
        <v>40000</v>
      </c>
      <c r="AK197" t="s">
        <v>4097</v>
      </c>
      <c r="AP197">
        <v>1.9</v>
      </c>
      <c r="AQ197" t="s">
        <v>159</v>
      </c>
      <c r="AR197" t="s">
        <v>4197</v>
      </c>
      <c r="AS197" t="s">
        <v>4210</v>
      </c>
      <c r="AT197" t="s">
        <v>4219</v>
      </c>
    </row>
    <row r="198" spans="1:46">
      <c r="A198" s="1">
        <f>HYPERLINK("https://lsnyc.legalserver.org/matter/dynamic-profile/view/1894172","19-1894172")</f>
        <v>0</v>
      </c>
      <c r="B198" t="s">
        <v>65</v>
      </c>
      <c r="C198" t="s">
        <v>331</v>
      </c>
      <c r="D198" t="s">
        <v>321</v>
      </c>
      <c r="E198" t="s">
        <v>787</v>
      </c>
      <c r="F198" t="s">
        <v>1057</v>
      </c>
      <c r="G198" t="s">
        <v>1664</v>
      </c>
      <c r="H198" t="s">
        <v>1982</v>
      </c>
      <c r="I198">
        <v>11239</v>
      </c>
      <c r="J198" t="s">
        <v>2003</v>
      </c>
      <c r="K198" t="s">
        <v>2003</v>
      </c>
      <c r="M198" t="s">
        <v>4843</v>
      </c>
      <c r="N198" t="s">
        <v>2415</v>
      </c>
      <c r="O198" t="s">
        <v>2441</v>
      </c>
      <c r="P198" t="s">
        <v>2449</v>
      </c>
      <c r="Q198" t="s">
        <v>2003</v>
      </c>
      <c r="T198">
        <v>1191</v>
      </c>
      <c r="V198" t="s">
        <v>2524</v>
      </c>
      <c r="W198" t="s">
        <v>3074</v>
      </c>
      <c r="Y198" t="s">
        <v>3705</v>
      </c>
      <c r="Z198">
        <v>1168</v>
      </c>
      <c r="AA198" t="s">
        <v>3783</v>
      </c>
      <c r="AB198" t="s">
        <v>2495</v>
      </c>
      <c r="AC198">
        <v>2</v>
      </c>
      <c r="AD198">
        <v>1</v>
      </c>
      <c r="AE198">
        <v>0</v>
      </c>
      <c r="AF198">
        <v>384.31</v>
      </c>
      <c r="AI198" t="s">
        <v>3809</v>
      </c>
      <c r="AJ198">
        <v>48000</v>
      </c>
      <c r="AP198">
        <v>32</v>
      </c>
      <c r="AQ198" t="s">
        <v>321</v>
      </c>
      <c r="AR198" t="s">
        <v>49</v>
      </c>
      <c r="AS198" t="s">
        <v>4214</v>
      </c>
      <c r="AT198" t="s">
        <v>4219</v>
      </c>
    </row>
    <row r="199" spans="1:46">
      <c r="A199" s="1">
        <f>HYPERLINK("https://lsnyc.legalserver.org/matter/dynamic-profile/view/1888215","19-1888215")</f>
        <v>0</v>
      </c>
      <c r="B199" t="s">
        <v>66</v>
      </c>
      <c r="C199" t="s">
        <v>2489</v>
      </c>
      <c r="E199" t="s">
        <v>4352</v>
      </c>
      <c r="F199" t="s">
        <v>1318</v>
      </c>
      <c r="G199" t="s">
        <v>4673</v>
      </c>
      <c r="H199" t="s">
        <v>1969</v>
      </c>
      <c r="I199">
        <v>11215</v>
      </c>
      <c r="J199" t="s">
        <v>2003</v>
      </c>
      <c r="K199" t="s">
        <v>2003</v>
      </c>
      <c r="M199" t="s">
        <v>4844</v>
      </c>
      <c r="N199" t="s">
        <v>2414</v>
      </c>
      <c r="O199" t="s">
        <v>2437</v>
      </c>
      <c r="R199" t="s">
        <v>2451</v>
      </c>
      <c r="T199">
        <v>165</v>
      </c>
      <c r="U199" t="s">
        <v>2497</v>
      </c>
      <c r="W199" t="s">
        <v>5037</v>
      </c>
      <c r="Y199" t="s">
        <v>5280</v>
      </c>
      <c r="Z199">
        <v>7</v>
      </c>
      <c r="AA199" t="s">
        <v>3788</v>
      </c>
      <c r="AB199" t="s">
        <v>2006</v>
      </c>
      <c r="AC199">
        <v>22</v>
      </c>
      <c r="AD199">
        <v>3</v>
      </c>
      <c r="AE199">
        <v>2</v>
      </c>
      <c r="AF199">
        <v>34.33</v>
      </c>
      <c r="AI199" t="s">
        <v>3809</v>
      </c>
      <c r="AJ199">
        <v>10100</v>
      </c>
      <c r="AP199">
        <v>0</v>
      </c>
      <c r="AR199" t="s">
        <v>4185</v>
      </c>
      <c r="AS199" t="s">
        <v>4210</v>
      </c>
      <c r="AT199" t="s">
        <v>4219</v>
      </c>
    </row>
    <row r="200" spans="1:46">
      <c r="A200" s="1">
        <f>HYPERLINK("https://lsnyc.legalserver.org/matter/dynamic-profile/view/1896625","19-1896625")</f>
        <v>0</v>
      </c>
      <c r="B200" t="s">
        <v>66</v>
      </c>
      <c r="C200" t="s">
        <v>144</v>
      </c>
      <c r="E200" t="s">
        <v>353</v>
      </c>
      <c r="F200" t="s">
        <v>870</v>
      </c>
      <c r="G200" t="s">
        <v>1632</v>
      </c>
      <c r="H200" t="s">
        <v>4774</v>
      </c>
      <c r="I200">
        <v>11233</v>
      </c>
      <c r="J200" t="s">
        <v>2003</v>
      </c>
      <c r="K200" t="s">
        <v>2003</v>
      </c>
      <c r="N200" t="s">
        <v>2424</v>
      </c>
      <c r="O200" t="s">
        <v>2441</v>
      </c>
      <c r="R200" t="s">
        <v>2451</v>
      </c>
      <c r="T200">
        <v>1056</v>
      </c>
      <c r="W200" t="s">
        <v>5038</v>
      </c>
      <c r="Z200">
        <v>359</v>
      </c>
      <c r="AA200" t="s">
        <v>3783</v>
      </c>
      <c r="AB200" t="s">
        <v>2006</v>
      </c>
      <c r="AC200">
        <v>9</v>
      </c>
      <c r="AD200">
        <v>2</v>
      </c>
      <c r="AE200">
        <v>0</v>
      </c>
      <c r="AF200">
        <v>37.21</v>
      </c>
      <c r="AI200" t="s">
        <v>3809</v>
      </c>
      <c r="AJ200">
        <v>6292</v>
      </c>
      <c r="AK200" t="s">
        <v>5379</v>
      </c>
      <c r="AP200">
        <v>0</v>
      </c>
      <c r="AR200" t="s">
        <v>49</v>
      </c>
      <c r="AS200" t="s">
        <v>4210</v>
      </c>
      <c r="AT200" t="s">
        <v>4219</v>
      </c>
    </row>
    <row r="201" spans="1:46">
      <c r="A201" s="1">
        <f>HYPERLINK("https://lsnyc.legalserver.org/matter/dynamic-profile/view/1896627","19-1896627")</f>
        <v>0</v>
      </c>
      <c r="B201" t="s">
        <v>66</v>
      </c>
      <c r="C201" t="s">
        <v>144</v>
      </c>
      <c r="E201" t="s">
        <v>353</v>
      </c>
      <c r="F201" t="s">
        <v>870</v>
      </c>
      <c r="G201" t="s">
        <v>1632</v>
      </c>
      <c r="H201" t="s">
        <v>4774</v>
      </c>
      <c r="I201">
        <v>11233</v>
      </c>
      <c r="J201" t="s">
        <v>2003</v>
      </c>
      <c r="K201" t="s">
        <v>2003</v>
      </c>
      <c r="N201" t="s">
        <v>2417</v>
      </c>
      <c r="O201" t="s">
        <v>2436</v>
      </c>
      <c r="Q201" t="s">
        <v>2002</v>
      </c>
      <c r="R201" t="s">
        <v>2451</v>
      </c>
      <c r="T201">
        <v>1056</v>
      </c>
      <c r="W201" t="s">
        <v>5038</v>
      </c>
      <c r="Z201">
        <v>359</v>
      </c>
      <c r="AA201" t="s">
        <v>3783</v>
      </c>
      <c r="AB201" t="s">
        <v>2006</v>
      </c>
      <c r="AC201">
        <v>9</v>
      </c>
      <c r="AD201">
        <v>2</v>
      </c>
      <c r="AE201">
        <v>0</v>
      </c>
      <c r="AF201">
        <v>37.21</v>
      </c>
      <c r="AI201" t="s">
        <v>3809</v>
      </c>
      <c r="AJ201">
        <v>6292</v>
      </c>
      <c r="AP201">
        <v>0</v>
      </c>
      <c r="AR201" t="s">
        <v>49</v>
      </c>
      <c r="AS201" t="s">
        <v>4210</v>
      </c>
      <c r="AT201" t="s">
        <v>4219</v>
      </c>
    </row>
    <row r="202" spans="1:46">
      <c r="A202" s="1">
        <f>HYPERLINK("https://lsnyc.legalserver.org/matter/dynamic-profile/view/1888217","19-1888217")</f>
        <v>0</v>
      </c>
      <c r="B202" t="s">
        <v>66</v>
      </c>
      <c r="C202" t="s">
        <v>2489</v>
      </c>
      <c r="E202" t="s">
        <v>565</v>
      </c>
      <c r="F202" t="s">
        <v>4505</v>
      </c>
      <c r="G202" t="s">
        <v>4673</v>
      </c>
      <c r="H202" t="s">
        <v>1768</v>
      </c>
      <c r="I202">
        <v>11215</v>
      </c>
      <c r="J202" t="s">
        <v>2003</v>
      </c>
      <c r="K202" t="s">
        <v>2003</v>
      </c>
      <c r="N202" t="s">
        <v>2414</v>
      </c>
      <c r="O202" t="s">
        <v>2437</v>
      </c>
      <c r="Q202" t="s">
        <v>2002</v>
      </c>
      <c r="R202" t="s">
        <v>2451</v>
      </c>
      <c r="T202">
        <v>149</v>
      </c>
      <c r="U202" t="s">
        <v>2497</v>
      </c>
      <c r="W202" t="s">
        <v>5039</v>
      </c>
      <c r="Z202">
        <v>7</v>
      </c>
      <c r="AA202" t="s">
        <v>3788</v>
      </c>
      <c r="AB202" t="s">
        <v>2006</v>
      </c>
      <c r="AC202">
        <v>42</v>
      </c>
      <c r="AD202">
        <v>2</v>
      </c>
      <c r="AE202">
        <v>0</v>
      </c>
      <c r="AF202">
        <v>63.06</v>
      </c>
      <c r="AI202" t="s">
        <v>3809</v>
      </c>
      <c r="AJ202">
        <v>10380</v>
      </c>
      <c r="AP202">
        <v>0</v>
      </c>
      <c r="AR202" t="s">
        <v>4185</v>
      </c>
      <c r="AS202" t="s">
        <v>4210</v>
      </c>
      <c r="AT202" t="s">
        <v>4219</v>
      </c>
    </row>
    <row r="203" spans="1:46">
      <c r="A203" s="1">
        <f>HYPERLINK("https://lsnyc.legalserver.org/matter/dynamic-profile/view/1891802","19-1891802")</f>
        <v>0</v>
      </c>
      <c r="B203" t="s">
        <v>66</v>
      </c>
      <c r="C203" t="s">
        <v>277</v>
      </c>
      <c r="D203" t="s">
        <v>224</v>
      </c>
      <c r="E203" t="s">
        <v>370</v>
      </c>
      <c r="F203" t="s">
        <v>1253</v>
      </c>
      <c r="G203" t="s">
        <v>1482</v>
      </c>
      <c r="H203" t="s">
        <v>1964</v>
      </c>
      <c r="I203">
        <v>11233</v>
      </c>
      <c r="J203" t="s">
        <v>2002</v>
      </c>
      <c r="K203" t="s">
        <v>2002</v>
      </c>
      <c r="N203" t="s">
        <v>2417</v>
      </c>
      <c r="O203" t="s">
        <v>2440</v>
      </c>
      <c r="P203" t="s">
        <v>2448</v>
      </c>
      <c r="Q203" t="s">
        <v>2002</v>
      </c>
      <c r="R203" t="s">
        <v>2451</v>
      </c>
      <c r="T203">
        <v>0</v>
      </c>
      <c r="V203" t="s">
        <v>2527</v>
      </c>
      <c r="W203" t="s">
        <v>2561</v>
      </c>
      <c r="X203" t="s">
        <v>2006</v>
      </c>
      <c r="Z203">
        <v>359</v>
      </c>
      <c r="AA203" t="s">
        <v>3783</v>
      </c>
      <c r="AB203" t="s">
        <v>2006</v>
      </c>
      <c r="AC203">
        <v>0</v>
      </c>
      <c r="AD203">
        <v>1</v>
      </c>
      <c r="AE203">
        <v>0</v>
      </c>
      <c r="AF203">
        <v>320.26</v>
      </c>
      <c r="AI203" t="s">
        <v>3809</v>
      </c>
      <c r="AJ203">
        <v>40000</v>
      </c>
      <c r="AP203">
        <v>0.25</v>
      </c>
      <c r="AQ203" t="s">
        <v>224</v>
      </c>
      <c r="AR203" t="s">
        <v>4185</v>
      </c>
      <c r="AS203" t="s">
        <v>4210</v>
      </c>
      <c r="AT203" t="s">
        <v>4219</v>
      </c>
    </row>
    <row r="204" spans="1:46">
      <c r="A204" s="1">
        <f>HYPERLINK("https://lsnyc.legalserver.org/matter/dynamic-profile/view/1887156","19-1887156")</f>
        <v>0</v>
      </c>
      <c r="B204" t="s">
        <v>66</v>
      </c>
      <c r="C204" t="s">
        <v>130</v>
      </c>
      <c r="E204" t="s">
        <v>370</v>
      </c>
      <c r="F204" t="s">
        <v>1253</v>
      </c>
      <c r="G204" t="s">
        <v>1482</v>
      </c>
      <c r="H204" t="s">
        <v>1964</v>
      </c>
      <c r="I204">
        <v>11233</v>
      </c>
      <c r="J204" t="s">
        <v>2002</v>
      </c>
      <c r="K204" t="s">
        <v>2002</v>
      </c>
      <c r="N204" t="s">
        <v>2424</v>
      </c>
      <c r="O204" t="s">
        <v>2440</v>
      </c>
      <c r="Q204" t="s">
        <v>2002</v>
      </c>
      <c r="R204" t="s">
        <v>2451</v>
      </c>
      <c r="T204">
        <v>0</v>
      </c>
      <c r="W204" t="s">
        <v>2561</v>
      </c>
      <c r="X204" t="s">
        <v>2006</v>
      </c>
      <c r="Z204">
        <v>0</v>
      </c>
      <c r="AA204" t="s">
        <v>3783</v>
      </c>
      <c r="AB204" t="s">
        <v>2006</v>
      </c>
      <c r="AC204">
        <v>0</v>
      </c>
      <c r="AD204">
        <v>1</v>
      </c>
      <c r="AE204">
        <v>0</v>
      </c>
      <c r="AF204">
        <v>329.49</v>
      </c>
      <c r="AI204" t="s">
        <v>3809</v>
      </c>
      <c r="AJ204">
        <v>40000</v>
      </c>
      <c r="AP204">
        <v>0</v>
      </c>
      <c r="AR204" t="s">
        <v>4185</v>
      </c>
      <c r="AS204" t="s">
        <v>4210</v>
      </c>
      <c r="AT204" t="s">
        <v>4219</v>
      </c>
    </row>
    <row r="205" spans="1:46">
      <c r="A205" s="1">
        <f>HYPERLINK("https://lsnyc.legalserver.org/matter/dynamic-profile/view/1892512","19-1892512")</f>
        <v>0</v>
      </c>
      <c r="B205" t="s">
        <v>66</v>
      </c>
      <c r="C205" t="s">
        <v>274</v>
      </c>
      <c r="E205" t="s">
        <v>742</v>
      </c>
      <c r="F205" t="s">
        <v>938</v>
      </c>
      <c r="G205" t="s">
        <v>1632</v>
      </c>
      <c r="H205" t="s">
        <v>1857</v>
      </c>
      <c r="I205">
        <v>11233</v>
      </c>
      <c r="J205" t="s">
        <v>2002</v>
      </c>
      <c r="K205" t="s">
        <v>2003</v>
      </c>
      <c r="L205" t="s">
        <v>2006</v>
      </c>
      <c r="M205" t="s">
        <v>2006</v>
      </c>
      <c r="N205" t="s">
        <v>2424</v>
      </c>
      <c r="O205" t="s">
        <v>2441</v>
      </c>
      <c r="Q205" t="s">
        <v>2002</v>
      </c>
      <c r="R205" t="s">
        <v>2451</v>
      </c>
      <c r="T205">
        <v>0</v>
      </c>
      <c r="U205" t="s">
        <v>2495</v>
      </c>
      <c r="W205" t="s">
        <v>2561</v>
      </c>
      <c r="X205" t="s">
        <v>2006</v>
      </c>
      <c r="Z205">
        <v>359</v>
      </c>
      <c r="AA205" t="s">
        <v>3783</v>
      </c>
      <c r="AB205" t="s">
        <v>2006</v>
      </c>
      <c r="AC205">
        <v>43</v>
      </c>
      <c r="AD205">
        <v>2</v>
      </c>
      <c r="AE205">
        <v>0</v>
      </c>
      <c r="AF205">
        <v>413.96</v>
      </c>
      <c r="AI205" t="s">
        <v>3809</v>
      </c>
      <c r="AJ205">
        <v>70000</v>
      </c>
      <c r="AK205" t="s">
        <v>4058</v>
      </c>
      <c r="AP205">
        <v>0</v>
      </c>
      <c r="AR205" t="s">
        <v>49</v>
      </c>
      <c r="AS205" t="s">
        <v>4210</v>
      </c>
      <c r="AT205" t="s">
        <v>4219</v>
      </c>
    </row>
    <row r="206" spans="1:46">
      <c r="A206" s="1">
        <f>HYPERLINK("https://lsnyc.legalserver.org/matter/dynamic-profile/view/1891464","19-1891464")</f>
        <v>0</v>
      </c>
      <c r="B206" t="s">
        <v>66</v>
      </c>
      <c r="C206" t="s">
        <v>164</v>
      </c>
      <c r="E206" t="s">
        <v>400</v>
      </c>
      <c r="F206" t="s">
        <v>1242</v>
      </c>
      <c r="G206" t="s">
        <v>1632</v>
      </c>
      <c r="H206" t="s">
        <v>1954</v>
      </c>
      <c r="I206">
        <v>11233</v>
      </c>
      <c r="J206" t="s">
        <v>2002</v>
      </c>
      <c r="K206" t="s">
        <v>2003</v>
      </c>
      <c r="L206" t="s">
        <v>2006</v>
      </c>
      <c r="N206" t="s">
        <v>2417</v>
      </c>
      <c r="O206" t="s">
        <v>2436</v>
      </c>
      <c r="Q206" t="s">
        <v>2002</v>
      </c>
      <c r="R206" t="s">
        <v>2451</v>
      </c>
      <c r="T206">
        <v>1027</v>
      </c>
      <c r="U206" t="s">
        <v>2512</v>
      </c>
      <c r="W206" t="s">
        <v>3009</v>
      </c>
      <c r="X206" t="s">
        <v>2006</v>
      </c>
      <c r="Z206">
        <v>359</v>
      </c>
      <c r="AA206" t="s">
        <v>3783</v>
      </c>
      <c r="AB206" t="s">
        <v>2006</v>
      </c>
      <c r="AC206">
        <v>7</v>
      </c>
      <c r="AD206">
        <v>2</v>
      </c>
      <c r="AE206">
        <v>0</v>
      </c>
      <c r="AF206">
        <v>420.19</v>
      </c>
      <c r="AI206" t="s">
        <v>3809</v>
      </c>
      <c r="AJ206">
        <v>71054</v>
      </c>
      <c r="AK206" t="s">
        <v>5380</v>
      </c>
      <c r="AP206">
        <v>0</v>
      </c>
      <c r="AR206" t="s">
        <v>49</v>
      </c>
      <c r="AS206" t="s">
        <v>4210</v>
      </c>
      <c r="AT206" t="s">
        <v>4219</v>
      </c>
    </row>
    <row r="207" spans="1:46">
      <c r="A207" s="1">
        <f>HYPERLINK("https://lsnyc.legalserver.org/matter/dynamic-profile/view/1890634","19-1890634")</f>
        <v>0</v>
      </c>
      <c r="B207" t="s">
        <v>66</v>
      </c>
      <c r="C207" t="s">
        <v>270</v>
      </c>
      <c r="E207" t="s">
        <v>467</v>
      </c>
      <c r="F207" t="s">
        <v>4506</v>
      </c>
      <c r="G207" t="s">
        <v>1632</v>
      </c>
      <c r="H207" t="s">
        <v>1793</v>
      </c>
      <c r="I207">
        <v>11233</v>
      </c>
      <c r="J207" t="s">
        <v>2002</v>
      </c>
      <c r="K207" t="s">
        <v>2003</v>
      </c>
      <c r="L207" t="s">
        <v>2006</v>
      </c>
      <c r="M207" t="s">
        <v>2006</v>
      </c>
      <c r="N207" t="s">
        <v>2424</v>
      </c>
      <c r="O207" t="s">
        <v>2441</v>
      </c>
      <c r="Q207" t="s">
        <v>2002</v>
      </c>
      <c r="R207" t="s">
        <v>2451</v>
      </c>
      <c r="T207">
        <v>776.46</v>
      </c>
      <c r="U207" t="s">
        <v>2495</v>
      </c>
      <c r="W207" t="s">
        <v>5040</v>
      </c>
      <c r="Z207">
        <v>359</v>
      </c>
      <c r="AA207" t="s">
        <v>3783</v>
      </c>
      <c r="AB207" t="s">
        <v>2006</v>
      </c>
      <c r="AC207">
        <v>2</v>
      </c>
      <c r="AD207">
        <v>2</v>
      </c>
      <c r="AE207">
        <v>0</v>
      </c>
      <c r="AF207">
        <v>543.35</v>
      </c>
      <c r="AI207" t="s">
        <v>3809</v>
      </c>
      <c r="AJ207">
        <v>91879.89999999999</v>
      </c>
      <c r="AK207" t="s">
        <v>5381</v>
      </c>
      <c r="AP207">
        <v>0</v>
      </c>
      <c r="AR207" t="s">
        <v>49</v>
      </c>
      <c r="AS207" t="s">
        <v>4210</v>
      </c>
      <c r="AT207" t="s">
        <v>4219</v>
      </c>
    </row>
    <row r="208" spans="1:46">
      <c r="A208" s="1">
        <f>HYPERLINK("https://lsnyc.legalserver.org/matter/dynamic-profile/view/1891621","19-1891621")</f>
        <v>0</v>
      </c>
      <c r="B208" t="s">
        <v>66</v>
      </c>
      <c r="C208" t="s">
        <v>271</v>
      </c>
      <c r="E208" t="s">
        <v>467</v>
      </c>
      <c r="F208" t="s">
        <v>4506</v>
      </c>
      <c r="G208" t="s">
        <v>1632</v>
      </c>
      <c r="H208" t="s">
        <v>1793</v>
      </c>
      <c r="I208">
        <v>11233</v>
      </c>
      <c r="J208" t="s">
        <v>2002</v>
      </c>
      <c r="K208" t="s">
        <v>2003</v>
      </c>
      <c r="L208" t="s">
        <v>2006</v>
      </c>
      <c r="N208" t="s">
        <v>2417</v>
      </c>
      <c r="O208" t="s">
        <v>2436</v>
      </c>
      <c r="Q208" t="s">
        <v>2002</v>
      </c>
      <c r="R208" t="s">
        <v>2451</v>
      </c>
      <c r="T208">
        <v>776.46</v>
      </c>
      <c r="U208" t="s">
        <v>2495</v>
      </c>
      <c r="W208" t="s">
        <v>5040</v>
      </c>
      <c r="X208" t="s">
        <v>2006</v>
      </c>
      <c r="Z208">
        <v>359</v>
      </c>
      <c r="AA208" t="s">
        <v>3783</v>
      </c>
      <c r="AB208" t="s">
        <v>2006</v>
      </c>
      <c r="AC208">
        <v>2</v>
      </c>
      <c r="AD208">
        <v>2</v>
      </c>
      <c r="AE208">
        <v>0</v>
      </c>
      <c r="AF208">
        <v>543.35</v>
      </c>
      <c r="AI208" t="s">
        <v>3809</v>
      </c>
      <c r="AJ208">
        <v>91879.89999999999</v>
      </c>
      <c r="AK208" t="s">
        <v>5382</v>
      </c>
      <c r="AP208">
        <v>0</v>
      </c>
      <c r="AR208" t="s">
        <v>49</v>
      </c>
      <c r="AS208" t="s">
        <v>4210</v>
      </c>
      <c r="AT208" t="s">
        <v>4219</v>
      </c>
    </row>
    <row r="209" spans="1:46">
      <c r="A209" s="1">
        <f>HYPERLINK("https://lsnyc.legalserver.org/matter/dynamic-profile/view/0821335","16-0821335")</f>
        <v>0</v>
      </c>
      <c r="B209" t="s">
        <v>4221</v>
      </c>
      <c r="C209" t="s">
        <v>4243</v>
      </c>
      <c r="D209" t="s">
        <v>208</v>
      </c>
      <c r="E209" t="s">
        <v>4353</v>
      </c>
      <c r="F209" t="s">
        <v>1190</v>
      </c>
      <c r="G209" t="s">
        <v>4674</v>
      </c>
      <c r="H209">
        <v>4</v>
      </c>
      <c r="I209">
        <v>11233</v>
      </c>
      <c r="J209" t="s">
        <v>2002</v>
      </c>
      <c r="K209" t="s">
        <v>2004</v>
      </c>
      <c r="M209" t="s">
        <v>4845</v>
      </c>
      <c r="N209" t="s">
        <v>2413</v>
      </c>
      <c r="O209" t="s">
        <v>2439</v>
      </c>
      <c r="P209" t="s">
        <v>2444</v>
      </c>
      <c r="Q209" t="s">
        <v>2002</v>
      </c>
      <c r="T209">
        <v>2175</v>
      </c>
      <c r="U209" t="s">
        <v>2505</v>
      </c>
      <c r="V209" t="s">
        <v>2515</v>
      </c>
      <c r="W209" t="s">
        <v>5041</v>
      </c>
      <c r="Y209" t="s">
        <v>5281</v>
      </c>
      <c r="Z209">
        <v>4</v>
      </c>
      <c r="AA209" t="s">
        <v>3784</v>
      </c>
      <c r="AB209" t="s">
        <v>3793</v>
      </c>
      <c r="AC209">
        <v>5</v>
      </c>
      <c r="AD209">
        <v>3</v>
      </c>
      <c r="AE209">
        <v>5</v>
      </c>
      <c r="AF209">
        <v>70.12</v>
      </c>
      <c r="AI209" t="s">
        <v>3809</v>
      </c>
      <c r="AJ209">
        <v>28672</v>
      </c>
      <c r="AP209">
        <v>0.3</v>
      </c>
      <c r="AQ209" t="s">
        <v>4177</v>
      </c>
      <c r="AR209" t="s">
        <v>4185</v>
      </c>
      <c r="AS209" t="s">
        <v>4210</v>
      </c>
      <c r="AT209" t="s">
        <v>4219</v>
      </c>
    </row>
    <row r="210" spans="1:46">
      <c r="A210" s="1">
        <f>HYPERLINK("https://lsnyc.legalserver.org/matter/dynamic-profile/view/0827260","17-0827260")</f>
        <v>0</v>
      </c>
      <c r="B210" t="s">
        <v>4221</v>
      </c>
      <c r="C210" t="s">
        <v>4244</v>
      </c>
      <c r="D210" t="s">
        <v>208</v>
      </c>
      <c r="E210" t="s">
        <v>705</v>
      </c>
      <c r="F210" t="s">
        <v>4507</v>
      </c>
      <c r="G210" t="s">
        <v>4675</v>
      </c>
      <c r="I210">
        <v>11208</v>
      </c>
      <c r="J210" t="s">
        <v>2002</v>
      </c>
      <c r="K210" t="s">
        <v>2004</v>
      </c>
      <c r="M210" t="s">
        <v>4846</v>
      </c>
      <c r="N210" t="s">
        <v>2415</v>
      </c>
      <c r="O210" t="s">
        <v>2440</v>
      </c>
      <c r="P210" t="s">
        <v>2448</v>
      </c>
      <c r="T210">
        <v>1500</v>
      </c>
      <c r="V210" t="s">
        <v>2518</v>
      </c>
      <c r="W210" t="s">
        <v>5042</v>
      </c>
      <c r="Y210" t="s">
        <v>5282</v>
      </c>
      <c r="Z210">
        <v>2</v>
      </c>
      <c r="AC210">
        <v>8</v>
      </c>
      <c r="AD210">
        <v>1</v>
      </c>
      <c r="AE210">
        <v>0</v>
      </c>
      <c r="AF210">
        <v>164.48</v>
      </c>
      <c r="AI210" t="s">
        <v>3809</v>
      </c>
      <c r="AJ210">
        <v>19836</v>
      </c>
      <c r="AP210">
        <v>6.4</v>
      </c>
      <c r="AQ210" t="s">
        <v>4177</v>
      </c>
      <c r="AR210" t="s">
        <v>5409</v>
      </c>
      <c r="AS210" t="s">
        <v>4210</v>
      </c>
      <c r="AT210" t="s">
        <v>4219</v>
      </c>
    </row>
    <row r="211" spans="1:46">
      <c r="A211" s="1">
        <f>HYPERLINK("https://lsnyc.legalserver.org/matter/dynamic-profile/view/1895299","19-1895299")</f>
        <v>0</v>
      </c>
      <c r="B211" t="s">
        <v>67</v>
      </c>
      <c r="C211" t="s">
        <v>76</v>
      </c>
      <c r="E211" t="s">
        <v>4354</v>
      </c>
      <c r="F211" t="s">
        <v>4508</v>
      </c>
      <c r="G211" t="s">
        <v>1640</v>
      </c>
      <c r="H211" t="s">
        <v>1738</v>
      </c>
      <c r="I211">
        <v>11233</v>
      </c>
      <c r="J211" t="s">
        <v>2002</v>
      </c>
      <c r="K211" t="s">
        <v>2003</v>
      </c>
      <c r="L211" t="s">
        <v>2005</v>
      </c>
      <c r="M211" t="s">
        <v>2303</v>
      </c>
      <c r="N211" t="s">
        <v>2416</v>
      </c>
      <c r="O211" t="s">
        <v>2438</v>
      </c>
      <c r="Q211" t="s">
        <v>2002</v>
      </c>
      <c r="R211" t="s">
        <v>2451</v>
      </c>
      <c r="T211">
        <v>0</v>
      </c>
      <c r="U211" t="s">
        <v>2494</v>
      </c>
      <c r="W211" t="s">
        <v>5043</v>
      </c>
      <c r="Y211" t="s">
        <v>5283</v>
      </c>
      <c r="Z211">
        <v>6</v>
      </c>
      <c r="AA211" t="s">
        <v>3783</v>
      </c>
      <c r="AC211">
        <v>1</v>
      </c>
      <c r="AD211">
        <v>1</v>
      </c>
      <c r="AE211">
        <v>0</v>
      </c>
      <c r="AF211">
        <v>9.550000000000001</v>
      </c>
      <c r="AI211" t="s">
        <v>3809</v>
      </c>
      <c r="AJ211">
        <v>1192.8</v>
      </c>
      <c r="AP211">
        <v>15</v>
      </c>
      <c r="AQ211" t="s">
        <v>321</v>
      </c>
      <c r="AR211" t="s">
        <v>4185</v>
      </c>
      <c r="AS211" t="s">
        <v>4211</v>
      </c>
      <c r="AT211" t="s">
        <v>4219</v>
      </c>
    </row>
    <row r="212" spans="1:46">
      <c r="A212" s="1">
        <f>HYPERLINK("https://lsnyc.legalserver.org/matter/dynamic-profile/view/1889278","19-1889278")</f>
        <v>0</v>
      </c>
      <c r="B212" t="s">
        <v>67</v>
      </c>
      <c r="C212" t="s">
        <v>134</v>
      </c>
      <c r="D212" t="s">
        <v>147</v>
      </c>
      <c r="E212" t="s">
        <v>4355</v>
      </c>
      <c r="F212" t="s">
        <v>4509</v>
      </c>
      <c r="G212" t="s">
        <v>4676</v>
      </c>
      <c r="H212" t="s">
        <v>4775</v>
      </c>
      <c r="I212">
        <v>11212</v>
      </c>
      <c r="J212" t="s">
        <v>2003</v>
      </c>
      <c r="K212" t="s">
        <v>2003</v>
      </c>
      <c r="M212" t="s">
        <v>4847</v>
      </c>
      <c r="N212" t="s">
        <v>2413</v>
      </c>
      <c r="O212" t="s">
        <v>2436</v>
      </c>
      <c r="P212" t="s">
        <v>2444</v>
      </c>
      <c r="Q212" t="s">
        <v>2003</v>
      </c>
      <c r="R212" t="s">
        <v>2451</v>
      </c>
      <c r="T212">
        <v>800</v>
      </c>
      <c r="V212" t="s">
        <v>2515</v>
      </c>
      <c r="W212" t="s">
        <v>5044</v>
      </c>
      <c r="Y212" t="s">
        <v>5284</v>
      </c>
      <c r="Z212">
        <v>2</v>
      </c>
      <c r="AA212" t="s">
        <v>3784</v>
      </c>
      <c r="AB212" t="s">
        <v>3795</v>
      </c>
      <c r="AC212">
        <v>1</v>
      </c>
      <c r="AD212">
        <v>1</v>
      </c>
      <c r="AE212">
        <v>1</v>
      </c>
      <c r="AF212">
        <v>92.25</v>
      </c>
      <c r="AI212" t="s">
        <v>3809</v>
      </c>
      <c r="AJ212">
        <v>15600</v>
      </c>
      <c r="AP212">
        <v>2.5</v>
      </c>
      <c r="AQ212" t="s">
        <v>105</v>
      </c>
      <c r="AR212" t="s">
        <v>4191</v>
      </c>
      <c r="AS212" t="s">
        <v>4210</v>
      </c>
      <c r="AT212" t="s">
        <v>4219</v>
      </c>
    </row>
    <row r="213" spans="1:46">
      <c r="A213" s="1">
        <f>HYPERLINK("https://lsnyc.legalserver.org/matter/dynamic-profile/view/1900703","19-1900703")</f>
        <v>0</v>
      </c>
      <c r="B213" t="s">
        <v>68</v>
      </c>
      <c r="C213" t="s">
        <v>258</v>
      </c>
      <c r="E213" t="s">
        <v>768</v>
      </c>
      <c r="F213" t="s">
        <v>1275</v>
      </c>
      <c r="G213" t="s">
        <v>1645</v>
      </c>
      <c r="H213" t="s">
        <v>1791</v>
      </c>
      <c r="I213">
        <v>11213</v>
      </c>
      <c r="J213" t="s">
        <v>2002</v>
      </c>
      <c r="K213" t="s">
        <v>2004</v>
      </c>
      <c r="L213" t="s">
        <v>2006</v>
      </c>
      <c r="N213" t="s">
        <v>2027</v>
      </c>
      <c r="O213" t="s">
        <v>2440</v>
      </c>
      <c r="Q213" t="s">
        <v>2002</v>
      </c>
      <c r="R213" t="s">
        <v>2451</v>
      </c>
      <c r="T213">
        <v>862</v>
      </c>
      <c r="U213" t="s">
        <v>2496</v>
      </c>
      <c r="W213" t="s">
        <v>3051</v>
      </c>
      <c r="Y213" t="s">
        <v>3682</v>
      </c>
      <c r="Z213">
        <v>23</v>
      </c>
      <c r="AA213" t="s">
        <v>3783</v>
      </c>
      <c r="AB213" t="s">
        <v>2006</v>
      </c>
      <c r="AC213">
        <v>20</v>
      </c>
      <c r="AD213">
        <v>2</v>
      </c>
      <c r="AE213">
        <v>0</v>
      </c>
      <c r="AF213">
        <v>0</v>
      </c>
      <c r="AI213" t="s">
        <v>3809</v>
      </c>
      <c r="AJ213">
        <v>0</v>
      </c>
      <c r="AK213" t="s">
        <v>5383</v>
      </c>
      <c r="AP213">
        <v>0.1</v>
      </c>
      <c r="AQ213" t="s">
        <v>278</v>
      </c>
      <c r="AR213" t="s">
        <v>4185</v>
      </c>
      <c r="AS213" t="s">
        <v>4210</v>
      </c>
      <c r="AT213" t="s">
        <v>4219</v>
      </c>
    </row>
    <row r="214" spans="1:46">
      <c r="A214" s="1">
        <f>HYPERLINK("https://lsnyc.legalserver.org/matter/dynamic-profile/view/1858116","18-1858116")</f>
        <v>0</v>
      </c>
      <c r="B214" t="s">
        <v>68</v>
      </c>
      <c r="C214" t="s">
        <v>4245</v>
      </c>
      <c r="E214" t="s">
        <v>4356</v>
      </c>
      <c r="F214" t="s">
        <v>4510</v>
      </c>
      <c r="G214" t="s">
        <v>4677</v>
      </c>
      <c r="H214" t="s">
        <v>1768</v>
      </c>
      <c r="I214">
        <v>11237</v>
      </c>
      <c r="J214" t="s">
        <v>2002</v>
      </c>
      <c r="K214" t="s">
        <v>2003</v>
      </c>
      <c r="O214" t="s">
        <v>2442</v>
      </c>
      <c r="Q214" t="s">
        <v>2002</v>
      </c>
      <c r="T214">
        <v>850</v>
      </c>
      <c r="W214" t="s">
        <v>2670</v>
      </c>
      <c r="Y214" t="s">
        <v>5285</v>
      </c>
      <c r="Z214">
        <v>8</v>
      </c>
      <c r="AA214" t="s">
        <v>3783</v>
      </c>
      <c r="AC214">
        <v>32</v>
      </c>
      <c r="AD214">
        <v>2</v>
      </c>
      <c r="AE214">
        <v>2</v>
      </c>
      <c r="AF214">
        <v>26</v>
      </c>
      <c r="AI214" t="s">
        <v>3809</v>
      </c>
      <c r="AJ214">
        <v>6396</v>
      </c>
      <c r="AP214">
        <v>0</v>
      </c>
      <c r="AR214" t="s">
        <v>5409</v>
      </c>
      <c r="AS214" t="s">
        <v>4210</v>
      </c>
      <c r="AT214" t="s">
        <v>4219</v>
      </c>
    </row>
    <row r="215" spans="1:46">
      <c r="A215" s="1">
        <f>HYPERLINK("https://lsnyc.legalserver.org/matter/dynamic-profile/view/1861154","18-1861154")</f>
        <v>0</v>
      </c>
      <c r="B215" t="s">
        <v>68</v>
      </c>
      <c r="C215" t="s">
        <v>4246</v>
      </c>
      <c r="E215" t="s">
        <v>4357</v>
      </c>
      <c r="F215" t="s">
        <v>4511</v>
      </c>
      <c r="G215" t="s">
        <v>4678</v>
      </c>
      <c r="H215" t="s">
        <v>4776</v>
      </c>
      <c r="I215">
        <v>11212</v>
      </c>
      <c r="J215" t="s">
        <v>2003</v>
      </c>
      <c r="K215" t="s">
        <v>2004</v>
      </c>
      <c r="M215" t="s">
        <v>2027</v>
      </c>
      <c r="T215">
        <v>48</v>
      </c>
      <c r="U215" t="s">
        <v>2499</v>
      </c>
      <c r="W215" t="s">
        <v>5045</v>
      </c>
      <c r="Y215" t="s">
        <v>5286</v>
      </c>
      <c r="Z215">
        <v>43</v>
      </c>
      <c r="AA215" t="s">
        <v>3783</v>
      </c>
      <c r="AB215" t="s">
        <v>3793</v>
      </c>
      <c r="AC215">
        <v>9</v>
      </c>
      <c r="AD215">
        <v>1</v>
      </c>
      <c r="AE215">
        <v>0</v>
      </c>
      <c r="AF215">
        <v>76.11</v>
      </c>
      <c r="AI215" t="s">
        <v>3810</v>
      </c>
      <c r="AJ215">
        <v>9240</v>
      </c>
      <c r="AP215">
        <v>1.75</v>
      </c>
      <c r="AQ215" t="s">
        <v>5405</v>
      </c>
      <c r="AR215" t="s">
        <v>4204</v>
      </c>
      <c r="AS215" t="s">
        <v>4210</v>
      </c>
      <c r="AT215" t="s">
        <v>4219</v>
      </c>
    </row>
    <row r="216" spans="1:46">
      <c r="A216" s="1">
        <f>HYPERLINK("https://lsnyc.legalserver.org/matter/dynamic-profile/view/0826379","17-0826379")</f>
        <v>0</v>
      </c>
      <c r="B216" t="s">
        <v>68</v>
      </c>
      <c r="C216" t="s">
        <v>4247</v>
      </c>
      <c r="E216" t="s">
        <v>4358</v>
      </c>
      <c r="F216" t="s">
        <v>4512</v>
      </c>
      <c r="G216" t="s">
        <v>4679</v>
      </c>
      <c r="H216" t="s">
        <v>1777</v>
      </c>
      <c r="I216">
        <v>11207</v>
      </c>
      <c r="J216" t="s">
        <v>2002</v>
      </c>
      <c r="K216" t="s">
        <v>2004</v>
      </c>
      <c r="O216" t="s">
        <v>2439</v>
      </c>
      <c r="Q216" t="s">
        <v>2003</v>
      </c>
      <c r="T216">
        <v>1650</v>
      </c>
      <c r="U216" t="s">
        <v>2497</v>
      </c>
      <c r="W216" t="s">
        <v>5046</v>
      </c>
      <c r="Y216" t="s">
        <v>5287</v>
      </c>
      <c r="Z216">
        <v>5</v>
      </c>
      <c r="AA216" t="s">
        <v>2156</v>
      </c>
      <c r="AB216" t="s">
        <v>3793</v>
      </c>
      <c r="AC216">
        <v>10</v>
      </c>
      <c r="AD216">
        <v>4</v>
      </c>
      <c r="AE216">
        <v>3</v>
      </c>
      <c r="AF216">
        <v>81.84</v>
      </c>
      <c r="AI216" t="s">
        <v>3809</v>
      </c>
      <c r="AJ216">
        <v>30394</v>
      </c>
      <c r="AP216">
        <v>0.2</v>
      </c>
      <c r="AQ216" t="s">
        <v>5406</v>
      </c>
      <c r="AR216" t="s">
        <v>4185</v>
      </c>
      <c r="AS216" t="s">
        <v>4210</v>
      </c>
      <c r="AT216" t="s">
        <v>4219</v>
      </c>
    </row>
    <row r="217" spans="1:46">
      <c r="A217" s="1">
        <f>HYPERLINK("https://lsnyc.legalserver.org/matter/dynamic-profile/view/1877280","18-1877280")</f>
        <v>0</v>
      </c>
      <c r="B217" t="s">
        <v>68</v>
      </c>
      <c r="C217" t="s">
        <v>81</v>
      </c>
      <c r="E217" t="s">
        <v>1075</v>
      </c>
      <c r="F217" t="s">
        <v>406</v>
      </c>
      <c r="G217" t="s">
        <v>4680</v>
      </c>
      <c r="H217" t="s">
        <v>1856</v>
      </c>
      <c r="I217">
        <v>11207</v>
      </c>
      <c r="J217" t="s">
        <v>2003</v>
      </c>
      <c r="K217" t="s">
        <v>2004</v>
      </c>
      <c r="N217" t="s">
        <v>2027</v>
      </c>
      <c r="O217" t="s">
        <v>2436</v>
      </c>
      <c r="Q217" t="s">
        <v>2003</v>
      </c>
      <c r="T217">
        <v>1050.19</v>
      </c>
      <c r="U217" t="s">
        <v>2499</v>
      </c>
      <c r="W217" t="s">
        <v>5047</v>
      </c>
      <c r="Y217" t="s">
        <v>5288</v>
      </c>
      <c r="Z217">
        <v>66</v>
      </c>
      <c r="AA217" t="s">
        <v>3783</v>
      </c>
      <c r="AB217" t="s">
        <v>3793</v>
      </c>
      <c r="AC217">
        <v>14</v>
      </c>
      <c r="AD217">
        <v>1</v>
      </c>
      <c r="AE217">
        <v>0</v>
      </c>
      <c r="AF217">
        <v>98.84999999999999</v>
      </c>
      <c r="AI217" t="s">
        <v>3809</v>
      </c>
      <c r="AJ217">
        <v>12000</v>
      </c>
      <c r="AP217">
        <v>1.7</v>
      </c>
      <c r="AQ217" t="s">
        <v>122</v>
      </c>
      <c r="AR217" t="s">
        <v>4185</v>
      </c>
      <c r="AS217" t="s">
        <v>4210</v>
      </c>
      <c r="AT217" t="s">
        <v>4219</v>
      </c>
    </row>
    <row r="218" spans="1:46">
      <c r="A218" s="1">
        <f>HYPERLINK("https://lsnyc.legalserver.org/matter/dynamic-profile/view/1895283","19-1895283")</f>
        <v>0</v>
      </c>
      <c r="B218" t="s">
        <v>68</v>
      </c>
      <c r="C218" t="s">
        <v>283</v>
      </c>
      <c r="E218" t="s">
        <v>501</v>
      </c>
      <c r="F218" t="s">
        <v>993</v>
      </c>
      <c r="G218" t="s">
        <v>1480</v>
      </c>
      <c r="H218" t="s">
        <v>1737</v>
      </c>
      <c r="I218">
        <v>11212</v>
      </c>
      <c r="J218" t="s">
        <v>2002</v>
      </c>
      <c r="K218" t="s">
        <v>2003</v>
      </c>
      <c r="L218" t="s">
        <v>2005</v>
      </c>
      <c r="M218" t="s">
        <v>2310</v>
      </c>
      <c r="N218" t="s">
        <v>2419</v>
      </c>
      <c r="O218" t="s">
        <v>2436</v>
      </c>
      <c r="Q218" t="s">
        <v>2002</v>
      </c>
      <c r="R218" t="s">
        <v>2454</v>
      </c>
      <c r="T218">
        <v>1326</v>
      </c>
      <c r="U218" t="s">
        <v>2495</v>
      </c>
      <c r="W218" t="s">
        <v>2711</v>
      </c>
      <c r="Z218">
        <v>16</v>
      </c>
      <c r="AA218" t="s">
        <v>3783</v>
      </c>
      <c r="AB218" t="s">
        <v>3795</v>
      </c>
      <c r="AC218">
        <v>3</v>
      </c>
      <c r="AD218">
        <v>1</v>
      </c>
      <c r="AE218">
        <v>1</v>
      </c>
      <c r="AF218">
        <v>116.88</v>
      </c>
      <c r="AI218" t="s">
        <v>3809</v>
      </c>
      <c r="AJ218">
        <v>19764</v>
      </c>
      <c r="AP218">
        <v>2.6</v>
      </c>
      <c r="AQ218" t="s">
        <v>258</v>
      </c>
      <c r="AR218" t="s">
        <v>49</v>
      </c>
      <c r="AS218" t="s">
        <v>4217</v>
      </c>
      <c r="AT218" t="s">
        <v>4219</v>
      </c>
    </row>
    <row r="219" spans="1:46">
      <c r="A219" s="1">
        <f>HYPERLINK("https://lsnyc.legalserver.org/matter/dynamic-profile/view/0826416","17-0826416")</f>
        <v>0</v>
      </c>
      <c r="B219" t="s">
        <v>68</v>
      </c>
      <c r="C219" t="s">
        <v>4247</v>
      </c>
      <c r="E219" t="s">
        <v>443</v>
      </c>
      <c r="F219" t="s">
        <v>4513</v>
      </c>
      <c r="G219" t="s">
        <v>4681</v>
      </c>
      <c r="H219" t="s">
        <v>1768</v>
      </c>
      <c r="I219">
        <v>11207</v>
      </c>
      <c r="J219" t="s">
        <v>2002</v>
      </c>
      <c r="K219" t="s">
        <v>2004</v>
      </c>
      <c r="O219" t="s">
        <v>2436</v>
      </c>
      <c r="Q219" t="s">
        <v>2450</v>
      </c>
      <c r="T219">
        <v>900</v>
      </c>
      <c r="U219" t="s">
        <v>2494</v>
      </c>
      <c r="W219" t="s">
        <v>5048</v>
      </c>
      <c r="X219">
        <v>6515564</v>
      </c>
      <c r="Y219" t="s">
        <v>5289</v>
      </c>
      <c r="Z219">
        <v>6</v>
      </c>
      <c r="AB219" t="s">
        <v>3795</v>
      </c>
      <c r="AC219">
        <v>6</v>
      </c>
      <c r="AD219">
        <v>1</v>
      </c>
      <c r="AE219">
        <v>1</v>
      </c>
      <c r="AF219">
        <v>136.01</v>
      </c>
      <c r="AI219" t="s">
        <v>3809</v>
      </c>
      <c r="AJ219">
        <v>22088</v>
      </c>
      <c r="AP219">
        <v>1</v>
      </c>
      <c r="AQ219" t="s">
        <v>4247</v>
      </c>
      <c r="AR219" t="s">
        <v>5413</v>
      </c>
      <c r="AS219" t="s">
        <v>4210</v>
      </c>
      <c r="AT219" t="s">
        <v>4219</v>
      </c>
    </row>
    <row r="220" spans="1:46">
      <c r="A220" s="1">
        <f>HYPERLINK("https://lsnyc.legalserver.org/matter/dynamic-profile/view/1895292","19-1895292")</f>
        <v>0</v>
      </c>
      <c r="B220" t="s">
        <v>68</v>
      </c>
      <c r="C220" t="s">
        <v>76</v>
      </c>
      <c r="E220" t="s">
        <v>544</v>
      </c>
      <c r="F220" t="s">
        <v>4514</v>
      </c>
      <c r="G220" t="s">
        <v>1503</v>
      </c>
      <c r="H220" t="s">
        <v>1754</v>
      </c>
      <c r="I220">
        <v>11212</v>
      </c>
      <c r="J220" t="s">
        <v>2003</v>
      </c>
      <c r="K220" t="s">
        <v>2003</v>
      </c>
      <c r="N220" t="s">
        <v>2416</v>
      </c>
      <c r="Q220" t="s">
        <v>2002</v>
      </c>
      <c r="T220">
        <v>663</v>
      </c>
      <c r="U220" t="s">
        <v>2495</v>
      </c>
      <c r="W220" t="s">
        <v>5049</v>
      </c>
      <c r="Z220">
        <v>0</v>
      </c>
      <c r="AC220">
        <v>25</v>
      </c>
      <c r="AD220">
        <v>3</v>
      </c>
      <c r="AE220">
        <v>0</v>
      </c>
      <c r="AF220">
        <v>150.02</v>
      </c>
      <c r="AI220" t="s">
        <v>3809</v>
      </c>
      <c r="AJ220">
        <v>32000</v>
      </c>
      <c r="AP220">
        <v>11.5</v>
      </c>
      <c r="AQ220" t="s">
        <v>4167</v>
      </c>
      <c r="AR220" t="s">
        <v>49</v>
      </c>
      <c r="AS220" t="s">
        <v>4210</v>
      </c>
      <c r="AT220" t="s">
        <v>4219</v>
      </c>
    </row>
    <row r="221" spans="1:46">
      <c r="A221" s="1">
        <f>HYPERLINK("https://lsnyc.legalserver.org/matter/dynamic-profile/view/1869101","18-1869101")</f>
        <v>0</v>
      </c>
      <c r="B221" t="s">
        <v>68</v>
      </c>
      <c r="C221" t="s">
        <v>79</v>
      </c>
      <c r="D221" t="s">
        <v>322</v>
      </c>
      <c r="E221" t="s">
        <v>4359</v>
      </c>
      <c r="F221" t="s">
        <v>1309</v>
      </c>
      <c r="G221" t="s">
        <v>4682</v>
      </c>
      <c r="H221" t="s">
        <v>4777</v>
      </c>
      <c r="I221">
        <v>11208</v>
      </c>
      <c r="J221" t="s">
        <v>2003</v>
      </c>
      <c r="K221" t="s">
        <v>2004</v>
      </c>
      <c r="N221" t="s">
        <v>2027</v>
      </c>
      <c r="O221" t="s">
        <v>2439</v>
      </c>
      <c r="P221" t="s">
        <v>2444</v>
      </c>
      <c r="T221">
        <v>1340</v>
      </c>
      <c r="U221" t="s">
        <v>2508</v>
      </c>
      <c r="V221" t="s">
        <v>2515</v>
      </c>
      <c r="W221" t="s">
        <v>5050</v>
      </c>
      <c r="Y221" t="s">
        <v>5290</v>
      </c>
      <c r="Z221">
        <v>33</v>
      </c>
      <c r="AA221" t="s">
        <v>3783</v>
      </c>
      <c r="AB221" t="s">
        <v>3793</v>
      </c>
      <c r="AC221">
        <v>10</v>
      </c>
      <c r="AD221">
        <v>1</v>
      </c>
      <c r="AE221">
        <v>0</v>
      </c>
      <c r="AF221">
        <v>190.77</v>
      </c>
      <c r="AI221" t="s">
        <v>3809</v>
      </c>
      <c r="AJ221">
        <v>23160</v>
      </c>
      <c r="AP221">
        <v>0.5</v>
      </c>
      <c r="AQ221" t="s">
        <v>79</v>
      </c>
      <c r="AR221" t="s">
        <v>4191</v>
      </c>
      <c r="AS221" t="s">
        <v>4210</v>
      </c>
      <c r="AT221" t="s">
        <v>4219</v>
      </c>
    </row>
    <row r="222" spans="1:46">
      <c r="A222" s="1">
        <f>HYPERLINK("https://lsnyc.legalserver.org/matter/dynamic-profile/view/1866220","18-1866220")</f>
        <v>0</v>
      </c>
      <c r="B222" t="s">
        <v>68</v>
      </c>
      <c r="C222" t="s">
        <v>281</v>
      </c>
      <c r="E222" t="s">
        <v>4360</v>
      </c>
      <c r="F222" t="s">
        <v>4515</v>
      </c>
      <c r="G222" t="s">
        <v>4683</v>
      </c>
      <c r="I222">
        <v>11207</v>
      </c>
      <c r="J222" t="s">
        <v>2003</v>
      </c>
      <c r="K222" t="s">
        <v>2004</v>
      </c>
      <c r="M222" t="s">
        <v>2027</v>
      </c>
      <c r="N222" t="s">
        <v>2027</v>
      </c>
      <c r="Q222" t="s">
        <v>2450</v>
      </c>
      <c r="T222">
        <v>930</v>
      </c>
      <c r="W222" t="s">
        <v>5051</v>
      </c>
      <c r="Y222" t="s">
        <v>5291</v>
      </c>
      <c r="Z222">
        <v>7</v>
      </c>
      <c r="AA222" t="s">
        <v>2156</v>
      </c>
      <c r="AB222" t="s">
        <v>2006</v>
      </c>
      <c r="AC222">
        <v>0</v>
      </c>
      <c r="AD222">
        <v>1</v>
      </c>
      <c r="AE222">
        <v>0</v>
      </c>
      <c r="AF222">
        <v>257</v>
      </c>
      <c r="AI222" t="s">
        <v>3809</v>
      </c>
      <c r="AJ222">
        <v>31200</v>
      </c>
      <c r="AP222">
        <v>0.5</v>
      </c>
      <c r="AQ222" t="s">
        <v>281</v>
      </c>
      <c r="AR222" t="s">
        <v>4204</v>
      </c>
      <c r="AS222" t="s">
        <v>4210</v>
      </c>
      <c r="AT222" t="s">
        <v>4219</v>
      </c>
    </row>
    <row r="223" spans="1:46">
      <c r="A223" s="1">
        <f>HYPERLINK("https://lsnyc.legalserver.org/matter/dynamic-profile/view/1900688","19-1900688")</f>
        <v>0</v>
      </c>
      <c r="B223" t="s">
        <v>68</v>
      </c>
      <c r="C223" t="s">
        <v>258</v>
      </c>
      <c r="E223" t="s">
        <v>765</v>
      </c>
      <c r="F223" t="s">
        <v>1273</v>
      </c>
      <c r="G223" t="s">
        <v>1540</v>
      </c>
      <c r="H223" t="s">
        <v>1817</v>
      </c>
      <c r="I223">
        <v>11213</v>
      </c>
      <c r="J223" t="s">
        <v>2002</v>
      </c>
      <c r="K223" t="s">
        <v>2004</v>
      </c>
      <c r="L223" t="s">
        <v>2005</v>
      </c>
      <c r="N223" t="s">
        <v>2027</v>
      </c>
      <c r="O223" t="s">
        <v>2440</v>
      </c>
      <c r="Q223" t="s">
        <v>2002</v>
      </c>
      <c r="R223" t="s">
        <v>2451</v>
      </c>
      <c r="T223">
        <v>1169.88</v>
      </c>
      <c r="U223" t="s">
        <v>2496</v>
      </c>
      <c r="W223" t="s">
        <v>3047</v>
      </c>
      <c r="Y223" t="s">
        <v>3680</v>
      </c>
      <c r="Z223">
        <v>35</v>
      </c>
      <c r="AA223" t="s">
        <v>3783</v>
      </c>
      <c r="AB223" t="s">
        <v>2006</v>
      </c>
      <c r="AC223">
        <v>5</v>
      </c>
      <c r="AD223">
        <v>2</v>
      </c>
      <c r="AE223">
        <v>0</v>
      </c>
      <c r="AF223">
        <v>425.78</v>
      </c>
      <c r="AI223" t="s">
        <v>3809</v>
      </c>
      <c r="AJ223">
        <v>72000</v>
      </c>
      <c r="AK223" t="s">
        <v>5384</v>
      </c>
      <c r="AP223">
        <v>0</v>
      </c>
      <c r="AR223" t="s">
        <v>4185</v>
      </c>
      <c r="AS223" t="s">
        <v>4210</v>
      </c>
      <c r="AT223" t="s">
        <v>4219</v>
      </c>
    </row>
    <row r="224" spans="1:46">
      <c r="A224" s="1">
        <f>HYPERLINK("https://lsnyc.legalserver.org/matter/dynamic-profile/view/1900712","19-1900712")</f>
        <v>0</v>
      </c>
      <c r="B224" t="s">
        <v>68</v>
      </c>
      <c r="C224" t="s">
        <v>258</v>
      </c>
      <c r="E224" t="s">
        <v>574</v>
      </c>
      <c r="F224" t="s">
        <v>396</v>
      </c>
      <c r="G224" t="s">
        <v>1643</v>
      </c>
      <c r="H224" t="s">
        <v>1971</v>
      </c>
      <c r="I224">
        <v>11213</v>
      </c>
      <c r="J224" t="s">
        <v>2002</v>
      </c>
      <c r="K224" t="s">
        <v>2004</v>
      </c>
      <c r="L224" t="s">
        <v>2005</v>
      </c>
      <c r="N224" t="s">
        <v>2027</v>
      </c>
      <c r="O224" t="s">
        <v>2440</v>
      </c>
      <c r="Q224" t="s">
        <v>2002</v>
      </c>
      <c r="R224" t="s">
        <v>2451</v>
      </c>
      <c r="T224">
        <v>1197</v>
      </c>
      <c r="U224" t="s">
        <v>2496</v>
      </c>
      <c r="W224" t="s">
        <v>3050</v>
      </c>
      <c r="X224" t="s">
        <v>2006</v>
      </c>
      <c r="Y224" t="s">
        <v>3681</v>
      </c>
      <c r="Z224">
        <v>34</v>
      </c>
      <c r="AA224" t="s">
        <v>3783</v>
      </c>
      <c r="AB224" t="s">
        <v>2006</v>
      </c>
      <c r="AC224">
        <v>7</v>
      </c>
      <c r="AD224">
        <v>3</v>
      </c>
      <c r="AE224">
        <v>0</v>
      </c>
      <c r="AF224">
        <v>445.62</v>
      </c>
      <c r="AI224" t="s">
        <v>3809</v>
      </c>
      <c r="AJ224">
        <v>95050.08</v>
      </c>
      <c r="AK224" t="s">
        <v>5385</v>
      </c>
      <c r="AP224">
        <v>0</v>
      </c>
      <c r="AR224" t="s">
        <v>4185</v>
      </c>
      <c r="AS224" t="s">
        <v>4210</v>
      </c>
      <c r="AT224" t="s">
        <v>4219</v>
      </c>
    </row>
    <row r="225" spans="1:46">
      <c r="A225" s="1">
        <f>HYPERLINK("https://lsnyc.legalserver.org/matter/dynamic-profile/view/1900809","19-1900809")</f>
        <v>0</v>
      </c>
      <c r="B225" t="s">
        <v>68</v>
      </c>
      <c r="C225" t="s">
        <v>262</v>
      </c>
      <c r="E225" t="s">
        <v>760</v>
      </c>
      <c r="F225" t="s">
        <v>1245</v>
      </c>
      <c r="G225" t="s">
        <v>1643</v>
      </c>
      <c r="H225" t="s">
        <v>1752</v>
      </c>
      <c r="I225">
        <v>11213</v>
      </c>
      <c r="J225" t="s">
        <v>2002</v>
      </c>
      <c r="K225" t="s">
        <v>2004</v>
      </c>
      <c r="L225" t="s">
        <v>2005</v>
      </c>
      <c r="N225" t="s">
        <v>2027</v>
      </c>
      <c r="O225" t="s">
        <v>2440</v>
      </c>
      <c r="Q225" t="s">
        <v>2002</v>
      </c>
      <c r="R225" t="s">
        <v>2451</v>
      </c>
      <c r="T225">
        <v>0</v>
      </c>
      <c r="U225" t="s">
        <v>2496</v>
      </c>
      <c r="W225" t="s">
        <v>3042</v>
      </c>
      <c r="X225" t="s">
        <v>2006</v>
      </c>
      <c r="Y225" t="s">
        <v>3677</v>
      </c>
      <c r="Z225">
        <v>34</v>
      </c>
      <c r="AA225" t="s">
        <v>3783</v>
      </c>
      <c r="AB225" t="s">
        <v>2006</v>
      </c>
      <c r="AC225">
        <v>0</v>
      </c>
      <c r="AD225">
        <v>1</v>
      </c>
      <c r="AE225">
        <v>0</v>
      </c>
      <c r="AF225">
        <v>448.36</v>
      </c>
      <c r="AI225" t="s">
        <v>3809</v>
      </c>
      <c r="AJ225">
        <v>56000</v>
      </c>
      <c r="AK225" t="s">
        <v>5386</v>
      </c>
      <c r="AP225">
        <v>0</v>
      </c>
      <c r="AR225" t="s">
        <v>4185</v>
      </c>
      <c r="AS225" t="s">
        <v>4210</v>
      </c>
      <c r="AT225" t="s">
        <v>4219</v>
      </c>
    </row>
    <row r="226" spans="1:46">
      <c r="A226" s="1">
        <f>HYPERLINK("https://lsnyc.legalserver.org/matter/dynamic-profile/view/1881736","18-1881736")</f>
        <v>0</v>
      </c>
      <c r="B226" t="s">
        <v>69</v>
      </c>
      <c r="C226" t="s">
        <v>115</v>
      </c>
      <c r="E226" t="s">
        <v>4361</v>
      </c>
      <c r="F226" t="s">
        <v>4516</v>
      </c>
      <c r="G226" t="s">
        <v>4684</v>
      </c>
      <c r="H226">
        <v>21</v>
      </c>
      <c r="I226">
        <v>11212</v>
      </c>
      <c r="J226" t="s">
        <v>2003</v>
      </c>
      <c r="K226" t="s">
        <v>2003</v>
      </c>
      <c r="L226" t="s">
        <v>2007</v>
      </c>
      <c r="M226" t="s">
        <v>4848</v>
      </c>
      <c r="N226" t="s">
        <v>2415</v>
      </c>
      <c r="O226" t="s">
        <v>2437</v>
      </c>
      <c r="Q226" t="s">
        <v>2003</v>
      </c>
      <c r="R226" t="s">
        <v>2455</v>
      </c>
      <c r="T226">
        <v>1200</v>
      </c>
      <c r="U226" t="s">
        <v>2502</v>
      </c>
      <c r="W226" t="s">
        <v>5052</v>
      </c>
      <c r="X226" t="s">
        <v>5139</v>
      </c>
      <c r="Y226" t="s">
        <v>5292</v>
      </c>
      <c r="Z226">
        <v>23</v>
      </c>
      <c r="AA226" t="s">
        <v>3783</v>
      </c>
      <c r="AB226" t="s">
        <v>3799</v>
      </c>
      <c r="AC226">
        <v>3</v>
      </c>
      <c r="AD226">
        <v>1</v>
      </c>
      <c r="AE226">
        <v>0</v>
      </c>
      <c r="AF226">
        <v>42.83</v>
      </c>
      <c r="AI226" t="s">
        <v>3809</v>
      </c>
      <c r="AJ226">
        <v>5200</v>
      </c>
      <c r="AP226">
        <v>37.4</v>
      </c>
      <c r="AQ226" t="s">
        <v>180</v>
      </c>
      <c r="AR226" t="s">
        <v>4185</v>
      </c>
      <c r="AS226" t="s">
        <v>4210</v>
      </c>
      <c r="AT226" t="s">
        <v>4219</v>
      </c>
    </row>
    <row r="227" spans="1:46">
      <c r="A227" s="1">
        <f>HYPERLINK("https://lsnyc.legalserver.org/matter/dynamic-profile/view/1901929","19-1901929")</f>
        <v>0</v>
      </c>
      <c r="B227" t="s">
        <v>69</v>
      </c>
      <c r="C227" t="s">
        <v>4169</v>
      </c>
      <c r="E227" t="s">
        <v>806</v>
      </c>
      <c r="F227" t="s">
        <v>4503</v>
      </c>
      <c r="G227" t="s">
        <v>4576</v>
      </c>
      <c r="H227" t="s">
        <v>1754</v>
      </c>
      <c r="I227">
        <v>11233</v>
      </c>
      <c r="J227" t="s">
        <v>2003</v>
      </c>
      <c r="K227" t="s">
        <v>2004</v>
      </c>
      <c r="L227" t="s">
        <v>2006</v>
      </c>
      <c r="M227" t="s">
        <v>4849</v>
      </c>
      <c r="N227" t="s">
        <v>2415</v>
      </c>
      <c r="Q227" t="s">
        <v>2003</v>
      </c>
      <c r="R227" t="s">
        <v>2451</v>
      </c>
      <c r="T227">
        <v>1052</v>
      </c>
      <c r="U227" t="s">
        <v>2497</v>
      </c>
      <c r="W227" t="s">
        <v>5032</v>
      </c>
      <c r="X227" t="s">
        <v>2006</v>
      </c>
      <c r="Y227" t="s">
        <v>5275</v>
      </c>
      <c r="Z227">
        <v>12</v>
      </c>
      <c r="AA227" t="s">
        <v>3783</v>
      </c>
      <c r="AB227" t="s">
        <v>2006</v>
      </c>
      <c r="AC227">
        <v>8</v>
      </c>
      <c r="AD227">
        <v>2</v>
      </c>
      <c r="AE227">
        <v>0</v>
      </c>
      <c r="AF227">
        <v>153.76</v>
      </c>
      <c r="AI227" t="s">
        <v>3809</v>
      </c>
      <c r="AJ227">
        <v>26000</v>
      </c>
      <c r="AP227">
        <v>12.2</v>
      </c>
      <c r="AQ227" t="s">
        <v>4171</v>
      </c>
      <c r="AR227" t="s">
        <v>4185</v>
      </c>
      <c r="AS227" t="s">
        <v>4210</v>
      </c>
      <c r="AT227" t="s">
        <v>4219</v>
      </c>
    </row>
    <row r="228" spans="1:46">
      <c r="A228" s="1">
        <f>HYPERLINK("https://lsnyc.legalserver.org/matter/dynamic-profile/view/1902614","19-1902614")</f>
        <v>0</v>
      </c>
      <c r="B228" t="s">
        <v>69</v>
      </c>
      <c r="C228" t="s">
        <v>312</v>
      </c>
      <c r="E228" t="s">
        <v>517</v>
      </c>
      <c r="F228" t="s">
        <v>4517</v>
      </c>
      <c r="G228" t="s">
        <v>4548</v>
      </c>
      <c r="H228" t="s">
        <v>1772</v>
      </c>
      <c r="I228">
        <v>11233</v>
      </c>
      <c r="J228" t="s">
        <v>2004</v>
      </c>
      <c r="K228" t="s">
        <v>2004</v>
      </c>
      <c r="O228" t="s">
        <v>2439</v>
      </c>
      <c r="Q228" t="s">
        <v>2003</v>
      </c>
      <c r="T228">
        <v>1800</v>
      </c>
      <c r="W228" t="s">
        <v>5053</v>
      </c>
      <c r="Y228" t="s">
        <v>5293</v>
      </c>
      <c r="Z228">
        <v>20</v>
      </c>
      <c r="AC228">
        <v>3</v>
      </c>
      <c r="AD228">
        <v>1</v>
      </c>
      <c r="AE228">
        <v>1</v>
      </c>
      <c r="AF228">
        <v>153.76</v>
      </c>
      <c r="AI228" t="s">
        <v>3809</v>
      </c>
      <c r="AJ228">
        <v>26000</v>
      </c>
      <c r="AP228">
        <v>3</v>
      </c>
      <c r="AQ228" t="s">
        <v>323</v>
      </c>
      <c r="AR228" t="s">
        <v>4197</v>
      </c>
      <c r="AS228" t="s">
        <v>4210</v>
      </c>
      <c r="AT228" t="s">
        <v>4219</v>
      </c>
    </row>
    <row r="229" spans="1:46">
      <c r="A229" s="1">
        <f>HYPERLINK("https://lsnyc.legalserver.org/matter/dynamic-profile/view/1881186","18-1881186")</f>
        <v>0</v>
      </c>
      <c r="B229" t="s">
        <v>69</v>
      </c>
      <c r="C229" t="s">
        <v>300</v>
      </c>
      <c r="D229" t="s">
        <v>99</v>
      </c>
      <c r="E229" t="s">
        <v>538</v>
      </c>
      <c r="F229" t="s">
        <v>956</v>
      </c>
      <c r="G229" t="s">
        <v>1561</v>
      </c>
      <c r="H229" t="s">
        <v>1883</v>
      </c>
      <c r="I229">
        <v>11239</v>
      </c>
      <c r="J229" t="s">
        <v>2003</v>
      </c>
      <c r="K229" t="s">
        <v>2003</v>
      </c>
      <c r="M229" t="s">
        <v>4850</v>
      </c>
      <c r="N229" t="s">
        <v>2415</v>
      </c>
      <c r="O229" t="s">
        <v>2436</v>
      </c>
      <c r="P229" t="s">
        <v>2448</v>
      </c>
      <c r="Q229" t="s">
        <v>2003</v>
      </c>
      <c r="R229" t="s">
        <v>2451</v>
      </c>
      <c r="T229">
        <v>897</v>
      </c>
      <c r="U229" t="s">
        <v>2499</v>
      </c>
      <c r="V229" t="s">
        <v>2527</v>
      </c>
      <c r="W229" t="s">
        <v>5054</v>
      </c>
      <c r="X229" t="s">
        <v>5140</v>
      </c>
      <c r="Y229" t="s">
        <v>5294</v>
      </c>
      <c r="Z229">
        <v>160</v>
      </c>
      <c r="AA229" t="s">
        <v>3783</v>
      </c>
      <c r="AB229" t="s">
        <v>3800</v>
      </c>
      <c r="AC229">
        <v>9</v>
      </c>
      <c r="AD229">
        <v>1</v>
      </c>
      <c r="AE229">
        <v>0</v>
      </c>
      <c r="AF229">
        <v>186.33</v>
      </c>
      <c r="AI229" t="s">
        <v>3809</v>
      </c>
      <c r="AJ229">
        <v>22620</v>
      </c>
      <c r="AP229">
        <v>1.7</v>
      </c>
      <c r="AQ229" t="s">
        <v>118</v>
      </c>
      <c r="AR229" t="s">
        <v>4197</v>
      </c>
      <c r="AS229" t="s">
        <v>4210</v>
      </c>
      <c r="AT229" t="s">
        <v>4219</v>
      </c>
    </row>
    <row r="230" spans="1:46">
      <c r="A230" s="1">
        <f>HYPERLINK("https://lsnyc.legalserver.org/matter/dynamic-profile/view/1899803","19-1899803")</f>
        <v>0</v>
      </c>
      <c r="B230" t="s">
        <v>69</v>
      </c>
      <c r="C230" t="s">
        <v>183</v>
      </c>
      <c r="E230" t="s">
        <v>4362</v>
      </c>
      <c r="F230" t="s">
        <v>4461</v>
      </c>
      <c r="G230" t="s">
        <v>4685</v>
      </c>
      <c r="H230" t="s">
        <v>1758</v>
      </c>
      <c r="I230">
        <v>11212</v>
      </c>
      <c r="J230" t="s">
        <v>2003</v>
      </c>
      <c r="K230" t="s">
        <v>2004</v>
      </c>
      <c r="L230" t="s">
        <v>2006</v>
      </c>
      <c r="M230" t="s">
        <v>4851</v>
      </c>
      <c r="N230" t="s">
        <v>2413</v>
      </c>
      <c r="Q230" t="s">
        <v>2003</v>
      </c>
      <c r="R230" t="s">
        <v>2451</v>
      </c>
      <c r="T230">
        <v>2200</v>
      </c>
      <c r="W230" t="s">
        <v>5055</v>
      </c>
      <c r="Y230" t="s">
        <v>5295</v>
      </c>
      <c r="Z230">
        <v>5</v>
      </c>
      <c r="AA230" t="s">
        <v>3784</v>
      </c>
      <c r="AB230" t="s">
        <v>2006</v>
      </c>
      <c r="AC230">
        <v>1</v>
      </c>
      <c r="AD230">
        <v>1</v>
      </c>
      <c r="AE230">
        <v>1</v>
      </c>
      <c r="AF230">
        <v>218.1</v>
      </c>
      <c r="AI230" t="s">
        <v>3809</v>
      </c>
      <c r="AJ230">
        <v>36880</v>
      </c>
      <c r="AP230">
        <v>29.6</v>
      </c>
      <c r="AQ230" t="s">
        <v>3805</v>
      </c>
      <c r="AR230" t="s">
        <v>4196</v>
      </c>
      <c r="AS230" t="s">
        <v>4210</v>
      </c>
      <c r="AT230" t="s">
        <v>4219</v>
      </c>
    </row>
    <row r="231" spans="1:46">
      <c r="A231" s="1">
        <f>HYPERLINK("https://lsnyc.legalserver.org/matter/dynamic-profile/view/1883261","18-1883261")</f>
        <v>0</v>
      </c>
      <c r="B231" t="s">
        <v>69</v>
      </c>
      <c r="C231" t="s">
        <v>119</v>
      </c>
      <c r="D231" t="s">
        <v>99</v>
      </c>
      <c r="E231" t="s">
        <v>4363</v>
      </c>
      <c r="F231" t="s">
        <v>1037</v>
      </c>
      <c r="G231" t="s">
        <v>4686</v>
      </c>
      <c r="H231" t="s">
        <v>1908</v>
      </c>
      <c r="I231">
        <v>11239</v>
      </c>
      <c r="J231" t="s">
        <v>2003</v>
      </c>
      <c r="K231" t="s">
        <v>2002</v>
      </c>
      <c r="M231" t="s">
        <v>2027</v>
      </c>
      <c r="O231" t="s">
        <v>2436</v>
      </c>
      <c r="P231" t="s">
        <v>2443</v>
      </c>
      <c r="Q231" t="s">
        <v>2003</v>
      </c>
      <c r="R231" t="s">
        <v>2451</v>
      </c>
      <c r="T231">
        <v>2300</v>
      </c>
      <c r="U231" t="s">
        <v>2499</v>
      </c>
      <c r="V231" t="s">
        <v>2515</v>
      </c>
      <c r="W231" t="s">
        <v>5056</v>
      </c>
      <c r="X231" t="s">
        <v>2006</v>
      </c>
      <c r="Y231" t="s">
        <v>5296</v>
      </c>
      <c r="Z231">
        <v>152</v>
      </c>
      <c r="AA231" t="s">
        <v>3787</v>
      </c>
      <c r="AB231" t="s">
        <v>3793</v>
      </c>
      <c r="AC231">
        <v>5</v>
      </c>
      <c r="AD231">
        <v>2</v>
      </c>
      <c r="AE231">
        <v>1</v>
      </c>
      <c r="AF231">
        <v>365.74</v>
      </c>
      <c r="AI231" t="s">
        <v>3809</v>
      </c>
      <c r="AJ231">
        <v>76000</v>
      </c>
      <c r="AP231">
        <v>3.8</v>
      </c>
      <c r="AQ231" t="s">
        <v>2465</v>
      </c>
      <c r="AR231" t="s">
        <v>4198</v>
      </c>
      <c r="AS231" t="s">
        <v>4210</v>
      </c>
      <c r="AT231" t="s">
        <v>4219</v>
      </c>
    </row>
    <row r="232" spans="1:46">
      <c r="A232" s="1">
        <f>HYPERLINK("https://lsnyc.legalserver.org/matter/dynamic-profile/view/1883301","18-1883301")</f>
        <v>0</v>
      </c>
      <c r="B232" t="s">
        <v>4185</v>
      </c>
      <c r="C232" t="s">
        <v>119</v>
      </c>
      <c r="D232" t="s">
        <v>125</v>
      </c>
      <c r="E232" t="s">
        <v>443</v>
      </c>
      <c r="F232" t="s">
        <v>885</v>
      </c>
      <c r="G232" t="s">
        <v>4605</v>
      </c>
      <c r="H232">
        <v>3</v>
      </c>
      <c r="I232">
        <v>11233</v>
      </c>
      <c r="J232" t="s">
        <v>2003</v>
      </c>
      <c r="K232" t="s">
        <v>2003</v>
      </c>
      <c r="M232" t="s">
        <v>4852</v>
      </c>
      <c r="N232" t="s">
        <v>2413</v>
      </c>
      <c r="P232" t="s">
        <v>2444</v>
      </c>
      <c r="Q232" t="s">
        <v>2003</v>
      </c>
      <c r="R232" t="s">
        <v>2455</v>
      </c>
      <c r="T232">
        <v>700</v>
      </c>
      <c r="U232" t="s">
        <v>2502</v>
      </c>
      <c r="V232" t="s">
        <v>2515</v>
      </c>
      <c r="W232" t="s">
        <v>4958</v>
      </c>
      <c r="X232" t="s">
        <v>3160</v>
      </c>
      <c r="Y232" t="s">
        <v>5209</v>
      </c>
      <c r="Z232">
        <v>3</v>
      </c>
      <c r="AA232" t="s">
        <v>3784</v>
      </c>
      <c r="AB232" t="s">
        <v>3796</v>
      </c>
      <c r="AC232">
        <v>8</v>
      </c>
      <c r="AD232">
        <v>1</v>
      </c>
      <c r="AE232">
        <v>0</v>
      </c>
      <c r="AF232">
        <v>0</v>
      </c>
      <c r="AI232" t="s">
        <v>3809</v>
      </c>
      <c r="AJ232">
        <v>0</v>
      </c>
      <c r="AP232">
        <v>0.2</v>
      </c>
      <c r="AQ232" t="s">
        <v>125</v>
      </c>
      <c r="AR232" t="s">
        <v>4198</v>
      </c>
      <c r="AS232" t="s">
        <v>4210</v>
      </c>
      <c r="AT232" t="s">
        <v>4219</v>
      </c>
    </row>
    <row r="233" spans="1:46">
      <c r="A233" s="1">
        <f>HYPERLINK("https://lsnyc.legalserver.org/matter/dynamic-profile/view/1875805","18-1875805")</f>
        <v>0</v>
      </c>
      <c r="B233" t="s">
        <v>4185</v>
      </c>
      <c r="C233" t="s">
        <v>202</v>
      </c>
      <c r="D233" t="s">
        <v>282</v>
      </c>
      <c r="E233" t="s">
        <v>4364</v>
      </c>
      <c r="F233" t="s">
        <v>352</v>
      </c>
      <c r="G233" t="s">
        <v>4687</v>
      </c>
      <c r="H233">
        <v>1</v>
      </c>
      <c r="I233">
        <v>11212</v>
      </c>
      <c r="J233" t="s">
        <v>2003</v>
      </c>
      <c r="K233" t="s">
        <v>2003</v>
      </c>
      <c r="P233" t="s">
        <v>2443</v>
      </c>
      <c r="T233">
        <v>875</v>
      </c>
      <c r="U233" t="s">
        <v>2495</v>
      </c>
      <c r="V233" t="s">
        <v>2513</v>
      </c>
      <c r="W233" t="s">
        <v>2902</v>
      </c>
      <c r="Z233">
        <v>0</v>
      </c>
      <c r="AA233" t="s">
        <v>3784</v>
      </c>
      <c r="AC233">
        <v>0</v>
      </c>
      <c r="AD233">
        <v>1</v>
      </c>
      <c r="AE233">
        <v>0</v>
      </c>
      <c r="AF233">
        <v>0</v>
      </c>
      <c r="AI233" t="s">
        <v>3809</v>
      </c>
      <c r="AJ233">
        <v>0</v>
      </c>
      <c r="AP233">
        <v>1.55</v>
      </c>
      <c r="AQ233" t="s">
        <v>282</v>
      </c>
      <c r="AR233" t="s">
        <v>4207</v>
      </c>
      <c r="AS233" t="s">
        <v>4210</v>
      </c>
      <c r="AT233" t="s">
        <v>4219</v>
      </c>
    </row>
    <row r="234" spans="1:46">
      <c r="A234" s="1">
        <f>HYPERLINK("https://lsnyc.legalserver.org/matter/dynamic-profile/view/1884562","18-1884562")</f>
        <v>0</v>
      </c>
      <c r="B234" t="s">
        <v>4185</v>
      </c>
      <c r="C234" t="s">
        <v>230</v>
      </c>
      <c r="D234" t="s">
        <v>130</v>
      </c>
      <c r="E234" t="s">
        <v>4365</v>
      </c>
      <c r="F234" t="s">
        <v>1168</v>
      </c>
      <c r="G234" t="s">
        <v>1712</v>
      </c>
      <c r="H234" t="s">
        <v>4778</v>
      </c>
      <c r="I234">
        <v>11208</v>
      </c>
      <c r="J234" t="s">
        <v>2003</v>
      </c>
      <c r="K234" t="s">
        <v>2003</v>
      </c>
      <c r="M234" t="s">
        <v>2027</v>
      </c>
      <c r="N234" t="s">
        <v>4879</v>
      </c>
      <c r="O234" t="s">
        <v>2439</v>
      </c>
      <c r="P234" t="s">
        <v>2444</v>
      </c>
      <c r="Q234" t="s">
        <v>2003</v>
      </c>
      <c r="R234" t="s">
        <v>2451</v>
      </c>
      <c r="T234">
        <v>1761</v>
      </c>
      <c r="U234" t="s">
        <v>2502</v>
      </c>
      <c r="V234" t="s">
        <v>2515</v>
      </c>
      <c r="W234" t="s">
        <v>5057</v>
      </c>
      <c r="X234" t="s">
        <v>5141</v>
      </c>
      <c r="Y234" t="s">
        <v>5297</v>
      </c>
      <c r="Z234">
        <v>0</v>
      </c>
      <c r="AA234" t="s">
        <v>3787</v>
      </c>
      <c r="AB234" t="s">
        <v>3793</v>
      </c>
      <c r="AC234">
        <v>16</v>
      </c>
      <c r="AD234">
        <v>2</v>
      </c>
      <c r="AE234">
        <v>1</v>
      </c>
      <c r="AF234">
        <v>0</v>
      </c>
      <c r="AI234" t="s">
        <v>3809</v>
      </c>
      <c r="AJ234">
        <v>0</v>
      </c>
      <c r="AP234">
        <v>0.2</v>
      </c>
      <c r="AQ234" t="s">
        <v>130</v>
      </c>
      <c r="AR234" t="s">
        <v>4185</v>
      </c>
      <c r="AS234" t="s">
        <v>4210</v>
      </c>
      <c r="AT234" t="s">
        <v>4219</v>
      </c>
    </row>
    <row r="235" spans="1:46">
      <c r="A235" s="1">
        <f>HYPERLINK("https://lsnyc.legalserver.org/matter/dynamic-profile/view/1880173","18-1880173")</f>
        <v>0</v>
      </c>
      <c r="B235" t="s">
        <v>4185</v>
      </c>
      <c r="C235" t="s">
        <v>114</v>
      </c>
      <c r="D235" t="s">
        <v>96</v>
      </c>
      <c r="E235" t="s">
        <v>4366</v>
      </c>
      <c r="F235" t="s">
        <v>4518</v>
      </c>
      <c r="G235" t="s">
        <v>4688</v>
      </c>
      <c r="H235" t="s">
        <v>1758</v>
      </c>
      <c r="I235">
        <v>11212</v>
      </c>
      <c r="J235" t="s">
        <v>2003</v>
      </c>
      <c r="K235" t="s">
        <v>2003</v>
      </c>
      <c r="M235" t="s">
        <v>4853</v>
      </c>
      <c r="N235" t="s">
        <v>2413</v>
      </c>
      <c r="P235" t="s">
        <v>2444</v>
      </c>
      <c r="Q235" t="s">
        <v>2003</v>
      </c>
      <c r="R235" t="s">
        <v>2451</v>
      </c>
      <c r="T235">
        <v>1956</v>
      </c>
      <c r="V235" t="s">
        <v>2515</v>
      </c>
      <c r="W235" t="s">
        <v>5058</v>
      </c>
      <c r="Y235" t="s">
        <v>5298</v>
      </c>
      <c r="Z235">
        <v>2</v>
      </c>
      <c r="AB235" t="s">
        <v>3796</v>
      </c>
      <c r="AC235">
        <v>2</v>
      </c>
      <c r="AD235">
        <v>1</v>
      </c>
      <c r="AE235">
        <v>4</v>
      </c>
      <c r="AF235">
        <v>0.53</v>
      </c>
      <c r="AI235" t="s">
        <v>3809</v>
      </c>
      <c r="AJ235">
        <v>156</v>
      </c>
      <c r="AP235">
        <v>0.9</v>
      </c>
      <c r="AQ235" t="s">
        <v>114</v>
      </c>
      <c r="AR235" t="s">
        <v>4197</v>
      </c>
      <c r="AS235" t="s">
        <v>4210</v>
      </c>
      <c r="AT235" t="s">
        <v>4219</v>
      </c>
    </row>
    <row r="236" spans="1:46">
      <c r="A236" s="1">
        <f>HYPERLINK("https://lsnyc.legalserver.org/matter/dynamic-profile/view/1877005","18-1877005")</f>
        <v>0</v>
      </c>
      <c r="B236" t="s">
        <v>4185</v>
      </c>
      <c r="C236" t="s">
        <v>175</v>
      </c>
      <c r="D236" t="s">
        <v>111</v>
      </c>
      <c r="E236" t="s">
        <v>4299</v>
      </c>
      <c r="F236" t="s">
        <v>4457</v>
      </c>
      <c r="G236" t="s">
        <v>4610</v>
      </c>
      <c r="H236" t="s">
        <v>1837</v>
      </c>
      <c r="I236">
        <v>11212</v>
      </c>
      <c r="J236" t="s">
        <v>2003</v>
      </c>
      <c r="K236" t="s">
        <v>2003</v>
      </c>
      <c r="N236" t="s">
        <v>2027</v>
      </c>
      <c r="O236" t="s">
        <v>2439</v>
      </c>
      <c r="P236" t="s">
        <v>2444</v>
      </c>
      <c r="Q236" t="s">
        <v>2003</v>
      </c>
      <c r="T236">
        <v>625</v>
      </c>
      <c r="V236" t="s">
        <v>2515</v>
      </c>
      <c r="W236" t="s">
        <v>4964</v>
      </c>
      <c r="Z236">
        <v>2</v>
      </c>
      <c r="AA236" t="s">
        <v>2156</v>
      </c>
      <c r="AB236" t="s">
        <v>2006</v>
      </c>
      <c r="AC236">
        <v>0</v>
      </c>
      <c r="AD236">
        <v>1</v>
      </c>
      <c r="AE236">
        <v>1</v>
      </c>
      <c r="AF236">
        <v>14.37</v>
      </c>
      <c r="AI236" t="s">
        <v>3809</v>
      </c>
      <c r="AJ236">
        <v>2366</v>
      </c>
      <c r="AK236" t="s">
        <v>5387</v>
      </c>
      <c r="AP236">
        <v>0.5</v>
      </c>
      <c r="AQ236" t="s">
        <v>175</v>
      </c>
      <c r="AR236" t="s">
        <v>4187</v>
      </c>
      <c r="AS236" t="s">
        <v>4210</v>
      </c>
      <c r="AT236" t="s">
        <v>4219</v>
      </c>
    </row>
    <row r="237" spans="1:46">
      <c r="A237" s="1">
        <f>HYPERLINK("https://lsnyc.legalserver.org/matter/dynamic-profile/view/1873079","18-1873079")</f>
        <v>0</v>
      </c>
      <c r="B237" t="s">
        <v>4185</v>
      </c>
      <c r="C237" t="s">
        <v>151</v>
      </c>
      <c r="D237" t="s">
        <v>282</v>
      </c>
      <c r="E237" t="s">
        <v>4367</v>
      </c>
      <c r="F237" t="s">
        <v>4519</v>
      </c>
      <c r="G237" t="s">
        <v>4689</v>
      </c>
      <c r="H237" t="s">
        <v>1989</v>
      </c>
      <c r="I237">
        <v>11207</v>
      </c>
      <c r="J237" t="s">
        <v>2003</v>
      </c>
      <c r="K237" t="s">
        <v>2003</v>
      </c>
      <c r="N237" t="s">
        <v>2027</v>
      </c>
      <c r="O237" t="s">
        <v>2439</v>
      </c>
      <c r="P237" t="s">
        <v>2444</v>
      </c>
      <c r="Q237" t="s">
        <v>2003</v>
      </c>
      <c r="T237">
        <v>600</v>
      </c>
      <c r="U237" t="s">
        <v>2508</v>
      </c>
      <c r="V237" t="s">
        <v>2515</v>
      </c>
      <c r="W237" t="s">
        <v>5059</v>
      </c>
      <c r="X237" t="s">
        <v>5142</v>
      </c>
      <c r="Y237" t="s">
        <v>5299</v>
      </c>
      <c r="Z237">
        <v>2</v>
      </c>
      <c r="AA237" t="s">
        <v>3784</v>
      </c>
      <c r="AB237" t="s">
        <v>2006</v>
      </c>
      <c r="AC237">
        <v>17</v>
      </c>
      <c r="AD237">
        <v>1</v>
      </c>
      <c r="AE237">
        <v>0</v>
      </c>
      <c r="AF237">
        <v>18.09</v>
      </c>
      <c r="AI237" t="s">
        <v>3809</v>
      </c>
      <c r="AJ237">
        <v>2196</v>
      </c>
      <c r="AP237">
        <v>1</v>
      </c>
      <c r="AQ237" t="s">
        <v>282</v>
      </c>
      <c r="AR237" t="s">
        <v>4187</v>
      </c>
      <c r="AS237" t="s">
        <v>4210</v>
      </c>
      <c r="AT237" t="s">
        <v>4219</v>
      </c>
    </row>
    <row r="238" spans="1:46">
      <c r="A238" s="1">
        <f>HYPERLINK("https://lsnyc.legalserver.org/matter/dynamic-profile/view/1880622","18-1880622")</f>
        <v>0</v>
      </c>
      <c r="B238" t="s">
        <v>4185</v>
      </c>
      <c r="C238" t="s">
        <v>295</v>
      </c>
      <c r="D238" t="s">
        <v>230</v>
      </c>
      <c r="E238" t="s">
        <v>4368</v>
      </c>
      <c r="F238" t="s">
        <v>4520</v>
      </c>
      <c r="G238" t="s">
        <v>4690</v>
      </c>
      <c r="H238">
        <v>2</v>
      </c>
      <c r="I238">
        <v>11207</v>
      </c>
      <c r="J238" t="s">
        <v>2003</v>
      </c>
      <c r="K238" t="s">
        <v>2003</v>
      </c>
      <c r="N238" t="s">
        <v>2027</v>
      </c>
      <c r="O238" t="s">
        <v>2439</v>
      </c>
      <c r="P238" t="s">
        <v>2443</v>
      </c>
      <c r="Q238" t="s">
        <v>2003</v>
      </c>
      <c r="R238" t="s">
        <v>2451</v>
      </c>
      <c r="T238">
        <v>1213</v>
      </c>
      <c r="V238" t="s">
        <v>2518</v>
      </c>
      <c r="W238" t="s">
        <v>5060</v>
      </c>
      <c r="X238" t="s">
        <v>3160</v>
      </c>
      <c r="Y238" t="s">
        <v>5300</v>
      </c>
      <c r="Z238">
        <v>3</v>
      </c>
      <c r="AA238" t="s">
        <v>3784</v>
      </c>
      <c r="AB238" t="s">
        <v>3799</v>
      </c>
      <c r="AC238">
        <v>8</v>
      </c>
      <c r="AD238">
        <v>1</v>
      </c>
      <c r="AE238">
        <v>0</v>
      </c>
      <c r="AF238">
        <v>18.09</v>
      </c>
      <c r="AI238" t="s">
        <v>3809</v>
      </c>
      <c r="AJ238">
        <v>2196</v>
      </c>
      <c r="AP238">
        <v>3.7</v>
      </c>
      <c r="AQ238" t="s">
        <v>230</v>
      </c>
      <c r="AR238" t="s">
        <v>4192</v>
      </c>
      <c r="AS238" t="s">
        <v>4210</v>
      </c>
      <c r="AT238" t="s">
        <v>4219</v>
      </c>
    </row>
    <row r="239" spans="1:46">
      <c r="A239" s="1">
        <f>HYPERLINK("https://lsnyc.legalserver.org/matter/dynamic-profile/view/1879422","18-1879422")</f>
        <v>0</v>
      </c>
      <c r="B239" t="s">
        <v>4185</v>
      </c>
      <c r="C239" t="s">
        <v>239</v>
      </c>
      <c r="D239" t="s">
        <v>282</v>
      </c>
      <c r="E239" t="s">
        <v>4369</v>
      </c>
      <c r="F239" t="s">
        <v>4521</v>
      </c>
      <c r="G239" t="s">
        <v>4691</v>
      </c>
      <c r="H239">
        <v>1</v>
      </c>
      <c r="I239">
        <v>11233</v>
      </c>
      <c r="J239" t="s">
        <v>2003</v>
      </c>
      <c r="K239" t="s">
        <v>2003</v>
      </c>
      <c r="N239" t="s">
        <v>2413</v>
      </c>
      <c r="O239" t="s">
        <v>2439</v>
      </c>
      <c r="P239" t="s">
        <v>2444</v>
      </c>
      <c r="T239">
        <v>400</v>
      </c>
      <c r="U239" t="s">
        <v>2499</v>
      </c>
      <c r="V239" t="s">
        <v>2515</v>
      </c>
      <c r="W239" t="s">
        <v>5061</v>
      </c>
      <c r="Y239" t="s">
        <v>5301</v>
      </c>
      <c r="Z239">
        <v>4</v>
      </c>
      <c r="AA239" t="s">
        <v>3784</v>
      </c>
      <c r="AC239">
        <v>10</v>
      </c>
      <c r="AD239">
        <v>1</v>
      </c>
      <c r="AE239">
        <v>0</v>
      </c>
      <c r="AF239">
        <v>19.18</v>
      </c>
      <c r="AI239" t="s">
        <v>3809</v>
      </c>
      <c r="AJ239">
        <v>2328</v>
      </c>
      <c r="AP239">
        <v>0.75</v>
      </c>
      <c r="AQ239" t="s">
        <v>282</v>
      </c>
      <c r="AR239" t="s">
        <v>4187</v>
      </c>
      <c r="AS239" t="s">
        <v>4210</v>
      </c>
      <c r="AT239" t="s">
        <v>4219</v>
      </c>
    </row>
    <row r="240" spans="1:46">
      <c r="A240" s="1">
        <f>HYPERLINK("https://lsnyc.legalserver.org/matter/dynamic-profile/view/1873159","18-1873159")</f>
        <v>0</v>
      </c>
      <c r="B240" t="s">
        <v>4185</v>
      </c>
      <c r="C240" t="s">
        <v>2476</v>
      </c>
      <c r="D240" t="s">
        <v>2476</v>
      </c>
      <c r="E240" t="s">
        <v>4370</v>
      </c>
      <c r="F240" t="s">
        <v>551</v>
      </c>
      <c r="G240" t="s">
        <v>4692</v>
      </c>
      <c r="H240" t="s">
        <v>4779</v>
      </c>
      <c r="I240">
        <v>11212</v>
      </c>
      <c r="J240" t="s">
        <v>2003</v>
      </c>
      <c r="K240" t="s">
        <v>2003</v>
      </c>
      <c r="M240" t="s">
        <v>2027</v>
      </c>
      <c r="N240" t="s">
        <v>2413</v>
      </c>
      <c r="O240" t="s">
        <v>2439</v>
      </c>
      <c r="P240" t="s">
        <v>2444</v>
      </c>
      <c r="Q240" t="s">
        <v>2003</v>
      </c>
      <c r="T240">
        <v>693</v>
      </c>
      <c r="U240" t="s">
        <v>2502</v>
      </c>
      <c r="V240" t="s">
        <v>2515</v>
      </c>
      <c r="W240" t="s">
        <v>5062</v>
      </c>
      <c r="X240" t="s">
        <v>2006</v>
      </c>
      <c r="Y240" t="s">
        <v>5302</v>
      </c>
      <c r="Z240">
        <v>2</v>
      </c>
      <c r="AA240" t="s">
        <v>3784</v>
      </c>
      <c r="AB240" t="s">
        <v>2006</v>
      </c>
      <c r="AC240">
        <v>0</v>
      </c>
      <c r="AD240">
        <v>1</v>
      </c>
      <c r="AE240">
        <v>0</v>
      </c>
      <c r="AF240">
        <v>19.77</v>
      </c>
      <c r="AI240" t="s">
        <v>3809</v>
      </c>
      <c r="AJ240">
        <v>2400</v>
      </c>
      <c r="AP240">
        <v>0.6</v>
      </c>
      <c r="AQ240" t="s">
        <v>2476</v>
      </c>
      <c r="AR240" t="s">
        <v>4198</v>
      </c>
      <c r="AS240" t="s">
        <v>4210</v>
      </c>
      <c r="AT240" t="s">
        <v>4219</v>
      </c>
    </row>
    <row r="241" spans="1:46">
      <c r="A241" s="1">
        <f>HYPERLINK("https://lsnyc.legalserver.org/matter/dynamic-profile/view/1878641","18-1878641")</f>
        <v>0</v>
      </c>
      <c r="B241" t="s">
        <v>4185</v>
      </c>
      <c r="C241" t="s">
        <v>192</v>
      </c>
      <c r="D241" t="s">
        <v>317</v>
      </c>
      <c r="E241" t="s">
        <v>4371</v>
      </c>
      <c r="F241" t="s">
        <v>1066</v>
      </c>
      <c r="G241" t="s">
        <v>4693</v>
      </c>
      <c r="H241" t="s">
        <v>1735</v>
      </c>
      <c r="I241">
        <v>11233</v>
      </c>
      <c r="J241" t="s">
        <v>2003</v>
      </c>
      <c r="K241" t="s">
        <v>2003</v>
      </c>
      <c r="N241" t="s">
        <v>2419</v>
      </c>
      <c r="O241" t="s">
        <v>2439</v>
      </c>
      <c r="P241" t="s">
        <v>2444</v>
      </c>
      <c r="Q241" t="s">
        <v>2003</v>
      </c>
      <c r="T241">
        <v>1515</v>
      </c>
      <c r="U241" t="s">
        <v>2502</v>
      </c>
      <c r="V241" t="s">
        <v>2515</v>
      </c>
      <c r="W241" t="s">
        <v>5063</v>
      </c>
      <c r="Z241">
        <v>6</v>
      </c>
      <c r="AA241" t="s">
        <v>2156</v>
      </c>
      <c r="AB241" t="s">
        <v>3796</v>
      </c>
      <c r="AC241">
        <v>4</v>
      </c>
      <c r="AD241">
        <v>1</v>
      </c>
      <c r="AE241">
        <v>1</v>
      </c>
      <c r="AF241">
        <v>20.41</v>
      </c>
      <c r="AI241" t="s">
        <v>3809</v>
      </c>
      <c r="AJ241">
        <v>3360</v>
      </c>
      <c r="AP241">
        <v>0.66</v>
      </c>
      <c r="AQ241" t="s">
        <v>192</v>
      </c>
      <c r="AR241" t="s">
        <v>4195</v>
      </c>
      <c r="AS241" t="s">
        <v>4210</v>
      </c>
      <c r="AT241" t="s">
        <v>4219</v>
      </c>
    </row>
    <row r="242" spans="1:46">
      <c r="A242" s="1">
        <f>HYPERLINK("https://lsnyc.legalserver.org/matter/dynamic-profile/view/1871200","18-1871200")</f>
        <v>0</v>
      </c>
      <c r="B242" t="s">
        <v>4185</v>
      </c>
      <c r="C242" t="s">
        <v>186</v>
      </c>
      <c r="D242" t="s">
        <v>316</v>
      </c>
      <c r="E242" t="s">
        <v>4372</v>
      </c>
      <c r="F242" t="s">
        <v>4522</v>
      </c>
      <c r="G242" t="s">
        <v>4694</v>
      </c>
      <c r="H242" t="s">
        <v>1743</v>
      </c>
      <c r="I242">
        <v>11212</v>
      </c>
      <c r="J242" t="s">
        <v>2003</v>
      </c>
      <c r="K242" t="s">
        <v>2004</v>
      </c>
      <c r="N242" t="s">
        <v>2495</v>
      </c>
      <c r="O242" t="s">
        <v>2439</v>
      </c>
      <c r="P242" t="s">
        <v>2444</v>
      </c>
      <c r="Q242" t="s">
        <v>2003</v>
      </c>
      <c r="T242">
        <v>3000</v>
      </c>
      <c r="U242" t="s">
        <v>2495</v>
      </c>
      <c r="V242" t="s">
        <v>2515</v>
      </c>
      <c r="W242" t="s">
        <v>5064</v>
      </c>
      <c r="Z242">
        <v>37</v>
      </c>
      <c r="AB242" t="s">
        <v>3793</v>
      </c>
      <c r="AC242">
        <v>6</v>
      </c>
      <c r="AD242">
        <v>2</v>
      </c>
      <c r="AE242">
        <v>8</v>
      </c>
      <c r="AF242">
        <v>26.5</v>
      </c>
      <c r="AI242" t="s">
        <v>3809</v>
      </c>
      <c r="AJ242">
        <v>13520</v>
      </c>
      <c r="AP242">
        <v>0.58</v>
      </c>
      <c r="AQ242" t="s">
        <v>186</v>
      </c>
      <c r="AR242" t="s">
        <v>4195</v>
      </c>
      <c r="AS242" t="s">
        <v>4210</v>
      </c>
      <c r="AT242" t="s">
        <v>4219</v>
      </c>
    </row>
    <row r="243" spans="1:46">
      <c r="A243" s="1">
        <f>HYPERLINK("https://lsnyc.legalserver.org/matter/dynamic-profile/view/1873002","18-1873002")</f>
        <v>0</v>
      </c>
      <c r="B243" t="s">
        <v>4185</v>
      </c>
      <c r="C243" t="s">
        <v>151</v>
      </c>
      <c r="D243" t="s">
        <v>282</v>
      </c>
      <c r="E243" t="s">
        <v>498</v>
      </c>
      <c r="F243" t="s">
        <v>4523</v>
      </c>
      <c r="G243" t="s">
        <v>1674</v>
      </c>
      <c r="H243" t="s">
        <v>1772</v>
      </c>
      <c r="I243">
        <v>11239</v>
      </c>
      <c r="J243" t="s">
        <v>2003</v>
      </c>
      <c r="K243" t="s">
        <v>2003</v>
      </c>
      <c r="N243" t="s">
        <v>2027</v>
      </c>
      <c r="P243" t="s">
        <v>2444</v>
      </c>
      <c r="Q243" t="s">
        <v>2003</v>
      </c>
      <c r="T243">
        <v>320</v>
      </c>
      <c r="V243" t="s">
        <v>2515</v>
      </c>
      <c r="W243" t="s">
        <v>5065</v>
      </c>
      <c r="Y243" t="s">
        <v>5303</v>
      </c>
      <c r="Z243">
        <v>1168</v>
      </c>
      <c r="AA243" t="s">
        <v>3792</v>
      </c>
      <c r="AB243" t="s">
        <v>2006</v>
      </c>
      <c r="AC243">
        <v>15</v>
      </c>
      <c r="AD243">
        <v>1</v>
      </c>
      <c r="AE243">
        <v>0</v>
      </c>
      <c r="AF243">
        <v>34.6</v>
      </c>
      <c r="AI243" t="s">
        <v>3809</v>
      </c>
      <c r="AJ243">
        <v>4200</v>
      </c>
      <c r="AP243">
        <v>1.25</v>
      </c>
      <c r="AQ243" t="s">
        <v>282</v>
      </c>
      <c r="AR243" t="s">
        <v>4192</v>
      </c>
      <c r="AS243" t="s">
        <v>4210</v>
      </c>
      <c r="AT243" t="s">
        <v>4219</v>
      </c>
    </row>
    <row r="244" spans="1:46">
      <c r="A244" s="1">
        <f>HYPERLINK("https://lsnyc.legalserver.org/matter/dynamic-profile/view/1881430","18-1881430")</f>
        <v>0</v>
      </c>
      <c r="B244" t="s">
        <v>4185</v>
      </c>
      <c r="C244" t="s">
        <v>154</v>
      </c>
      <c r="D244" t="s">
        <v>230</v>
      </c>
      <c r="E244" t="s">
        <v>427</v>
      </c>
      <c r="F244" t="s">
        <v>4524</v>
      </c>
      <c r="G244" t="s">
        <v>4695</v>
      </c>
      <c r="H244" t="s">
        <v>4780</v>
      </c>
      <c r="I244">
        <v>11239</v>
      </c>
      <c r="J244" t="s">
        <v>2003</v>
      </c>
      <c r="K244" t="s">
        <v>2003</v>
      </c>
      <c r="M244" t="s">
        <v>2027</v>
      </c>
      <c r="N244" t="s">
        <v>2435</v>
      </c>
      <c r="P244" t="s">
        <v>2444</v>
      </c>
      <c r="Q244" t="s">
        <v>2003</v>
      </c>
      <c r="T244">
        <v>1466</v>
      </c>
      <c r="U244" t="s">
        <v>2501</v>
      </c>
      <c r="V244" t="s">
        <v>2515</v>
      </c>
      <c r="W244" t="s">
        <v>5066</v>
      </c>
      <c r="Z244">
        <v>192</v>
      </c>
      <c r="AA244" t="s">
        <v>3783</v>
      </c>
      <c r="AB244" t="s">
        <v>3793</v>
      </c>
      <c r="AC244">
        <v>2</v>
      </c>
      <c r="AD244">
        <v>2</v>
      </c>
      <c r="AE244">
        <v>0</v>
      </c>
      <c r="AF244">
        <v>47.39</v>
      </c>
      <c r="AI244" t="s">
        <v>3809</v>
      </c>
      <c r="AJ244">
        <v>7800</v>
      </c>
      <c r="AP244">
        <v>3.5</v>
      </c>
      <c r="AQ244" t="s">
        <v>230</v>
      </c>
      <c r="AR244" t="s">
        <v>4207</v>
      </c>
      <c r="AS244" t="s">
        <v>4210</v>
      </c>
      <c r="AT244" t="s">
        <v>4219</v>
      </c>
    </row>
    <row r="245" spans="1:46">
      <c r="A245" s="1">
        <f>HYPERLINK("https://lsnyc.legalserver.org/matter/dynamic-profile/view/1897059","19-1897059")</f>
        <v>0</v>
      </c>
      <c r="B245" t="s">
        <v>4185</v>
      </c>
      <c r="C245" t="s">
        <v>106</v>
      </c>
      <c r="D245" t="s">
        <v>330</v>
      </c>
      <c r="E245" t="s">
        <v>657</v>
      </c>
      <c r="F245" t="s">
        <v>4525</v>
      </c>
      <c r="G245" t="s">
        <v>4664</v>
      </c>
      <c r="H245" t="s">
        <v>1791</v>
      </c>
      <c r="I245">
        <v>11233</v>
      </c>
      <c r="J245" t="s">
        <v>2002</v>
      </c>
      <c r="K245" t="s">
        <v>2002</v>
      </c>
      <c r="L245" t="s">
        <v>2007</v>
      </c>
      <c r="M245" t="s">
        <v>4854</v>
      </c>
      <c r="N245" t="s">
        <v>2415</v>
      </c>
      <c r="O245" t="s">
        <v>2436</v>
      </c>
      <c r="P245" t="s">
        <v>2443</v>
      </c>
      <c r="Q245" t="s">
        <v>2003</v>
      </c>
      <c r="R245" t="s">
        <v>2451</v>
      </c>
      <c r="T245">
        <v>1343.5</v>
      </c>
      <c r="U245" t="s">
        <v>2512</v>
      </c>
      <c r="V245" t="s">
        <v>2515</v>
      </c>
      <c r="W245" t="s">
        <v>5067</v>
      </c>
      <c r="X245" t="s">
        <v>5143</v>
      </c>
      <c r="Y245" t="s">
        <v>5304</v>
      </c>
      <c r="Z245">
        <v>13</v>
      </c>
      <c r="AA245" t="s">
        <v>3783</v>
      </c>
      <c r="AB245" t="s">
        <v>3793</v>
      </c>
      <c r="AC245">
        <v>10</v>
      </c>
      <c r="AD245">
        <v>1</v>
      </c>
      <c r="AE245">
        <v>2</v>
      </c>
      <c r="AF245">
        <v>47.59</v>
      </c>
      <c r="AI245" t="s">
        <v>3809</v>
      </c>
      <c r="AJ245">
        <v>10152</v>
      </c>
      <c r="AK245" t="s">
        <v>5388</v>
      </c>
      <c r="AP245">
        <v>0.25</v>
      </c>
      <c r="AQ245" t="s">
        <v>330</v>
      </c>
      <c r="AR245" t="s">
        <v>4185</v>
      </c>
      <c r="AS245" t="s">
        <v>4210</v>
      </c>
      <c r="AT245" t="s">
        <v>4219</v>
      </c>
    </row>
    <row r="246" spans="1:46">
      <c r="A246" s="1">
        <f>HYPERLINK("https://lsnyc.legalserver.org/matter/dynamic-profile/view/1872806","18-1872806")</f>
        <v>0</v>
      </c>
      <c r="B246" t="s">
        <v>4185</v>
      </c>
      <c r="C246" t="s">
        <v>203</v>
      </c>
      <c r="D246" t="s">
        <v>316</v>
      </c>
      <c r="E246" t="s">
        <v>598</v>
      </c>
      <c r="F246" t="s">
        <v>493</v>
      </c>
      <c r="G246" t="s">
        <v>4696</v>
      </c>
      <c r="H246" t="s">
        <v>1768</v>
      </c>
      <c r="I246">
        <v>11208</v>
      </c>
      <c r="J246" t="s">
        <v>2003</v>
      </c>
      <c r="K246" t="s">
        <v>2003</v>
      </c>
      <c r="M246" t="s">
        <v>2027</v>
      </c>
      <c r="O246" t="s">
        <v>2439</v>
      </c>
      <c r="P246" t="s">
        <v>2444</v>
      </c>
      <c r="Q246" t="s">
        <v>2003</v>
      </c>
      <c r="T246">
        <v>270</v>
      </c>
      <c r="U246" t="s">
        <v>2496</v>
      </c>
      <c r="V246" t="s">
        <v>2515</v>
      </c>
      <c r="W246" t="s">
        <v>5068</v>
      </c>
      <c r="Y246" t="s">
        <v>5305</v>
      </c>
      <c r="Z246">
        <v>6</v>
      </c>
      <c r="AA246" t="s">
        <v>5349</v>
      </c>
      <c r="AB246" t="s">
        <v>3793</v>
      </c>
      <c r="AC246">
        <v>7</v>
      </c>
      <c r="AD246">
        <v>1</v>
      </c>
      <c r="AE246">
        <v>0</v>
      </c>
      <c r="AF246">
        <v>69.19</v>
      </c>
      <c r="AI246" t="s">
        <v>3809</v>
      </c>
      <c r="AJ246">
        <v>8400</v>
      </c>
      <c r="AP246">
        <v>1</v>
      </c>
      <c r="AQ246" t="s">
        <v>203</v>
      </c>
      <c r="AR246" t="s">
        <v>4194</v>
      </c>
      <c r="AS246" t="s">
        <v>4210</v>
      </c>
      <c r="AT246" t="s">
        <v>4219</v>
      </c>
    </row>
    <row r="247" spans="1:46">
      <c r="A247" s="1">
        <f>HYPERLINK("https://lsnyc.legalserver.org/matter/dynamic-profile/view/1871495","18-1871495")</f>
        <v>0</v>
      </c>
      <c r="B247" t="s">
        <v>4185</v>
      </c>
      <c r="C247" t="s">
        <v>4248</v>
      </c>
      <c r="D247" t="s">
        <v>203</v>
      </c>
      <c r="E247" t="s">
        <v>4296</v>
      </c>
      <c r="F247" t="s">
        <v>4526</v>
      </c>
      <c r="G247" t="s">
        <v>4697</v>
      </c>
      <c r="H247">
        <v>3</v>
      </c>
      <c r="I247">
        <v>11233</v>
      </c>
      <c r="J247" t="s">
        <v>2003</v>
      </c>
      <c r="K247" t="s">
        <v>2003</v>
      </c>
      <c r="M247" t="s">
        <v>2027</v>
      </c>
      <c r="N247" t="s">
        <v>2414</v>
      </c>
      <c r="P247" t="s">
        <v>2444</v>
      </c>
      <c r="Q247" t="s">
        <v>2003</v>
      </c>
      <c r="T247">
        <v>400</v>
      </c>
      <c r="U247" t="s">
        <v>2508</v>
      </c>
      <c r="V247" t="s">
        <v>2515</v>
      </c>
      <c r="W247" t="s">
        <v>5069</v>
      </c>
      <c r="X247" t="s">
        <v>3160</v>
      </c>
      <c r="Y247" t="s">
        <v>5306</v>
      </c>
      <c r="Z247">
        <v>4</v>
      </c>
      <c r="AA247" t="s">
        <v>3784</v>
      </c>
      <c r="AC247">
        <v>2</v>
      </c>
      <c r="AD247">
        <v>1</v>
      </c>
      <c r="AE247">
        <v>0</v>
      </c>
      <c r="AF247">
        <v>72.45</v>
      </c>
      <c r="AI247" t="s">
        <v>3809</v>
      </c>
      <c r="AJ247">
        <v>8796</v>
      </c>
      <c r="AP247">
        <v>1</v>
      </c>
      <c r="AQ247" t="s">
        <v>4248</v>
      </c>
      <c r="AR247" t="s">
        <v>4205</v>
      </c>
      <c r="AS247" t="s">
        <v>4210</v>
      </c>
      <c r="AT247" t="s">
        <v>4219</v>
      </c>
    </row>
    <row r="248" spans="1:46">
      <c r="A248" s="1">
        <f>HYPERLINK("https://lsnyc.legalserver.org/matter/dynamic-profile/view/1881612","18-1881612")</f>
        <v>0</v>
      </c>
      <c r="B248" t="s">
        <v>4185</v>
      </c>
      <c r="C248" t="s">
        <v>94</v>
      </c>
      <c r="D248" t="s">
        <v>96</v>
      </c>
      <c r="E248" t="s">
        <v>4373</v>
      </c>
      <c r="F248" t="s">
        <v>4527</v>
      </c>
      <c r="G248" t="s">
        <v>4698</v>
      </c>
      <c r="H248" t="s">
        <v>1772</v>
      </c>
      <c r="I248">
        <v>11233</v>
      </c>
      <c r="J248" t="s">
        <v>2003</v>
      </c>
      <c r="K248" t="s">
        <v>2003</v>
      </c>
      <c r="M248" t="s">
        <v>2027</v>
      </c>
      <c r="N248" t="s">
        <v>2027</v>
      </c>
      <c r="O248" t="s">
        <v>2439</v>
      </c>
      <c r="P248" t="s">
        <v>2444</v>
      </c>
      <c r="Q248" t="s">
        <v>2003</v>
      </c>
      <c r="T248">
        <v>1424</v>
      </c>
      <c r="U248" t="s">
        <v>2497</v>
      </c>
      <c r="V248" t="s">
        <v>2515</v>
      </c>
      <c r="W248" t="s">
        <v>5070</v>
      </c>
      <c r="Y248" t="s">
        <v>5307</v>
      </c>
      <c r="Z248">
        <v>77</v>
      </c>
      <c r="AA248" t="s">
        <v>5349</v>
      </c>
      <c r="AB248" t="s">
        <v>3793</v>
      </c>
      <c r="AC248">
        <v>1</v>
      </c>
      <c r="AD248">
        <v>1</v>
      </c>
      <c r="AE248">
        <v>0</v>
      </c>
      <c r="AF248">
        <v>74.14</v>
      </c>
      <c r="AI248" t="s">
        <v>3809</v>
      </c>
      <c r="AJ248">
        <v>9000</v>
      </c>
      <c r="AP248">
        <v>0.5</v>
      </c>
      <c r="AQ248" t="s">
        <v>94</v>
      </c>
      <c r="AR248" t="s">
        <v>4195</v>
      </c>
      <c r="AS248" t="s">
        <v>4210</v>
      </c>
      <c r="AT248" t="s">
        <v>4219</v>
      </c>
    </row>
    <row r="249" spans="1:46">
      <c r="A249" s="1">
        <f>HYPERLINK("https://lsnyc.legalserver.org/matter/dynamic-profile/view/1879834","18-1879834")</f>
        <v>0</v>
      </c>
      <c r="B249" t="s">
        <v>4185</v>
      </c>
      <c r="C249" t="s">
        <v>112</v>
      </c>
      <c r="D249" t="s">
        <v>121</v>
      </c>
      <c r="E249" t="s">
        <v>347</v>
      </c>
      <c r="F249" t="s">
        <v>4528</v>
      </c>
      <c r="G249" t="s">
        <v>1651</v>
      </c>
      <c r="H249" t="s">
        <v>1768</v>
      </c>
      <c r="I249">
        <v>11207</v>
      </c>
      <c r="J249" t="s">
        <v>2004</v>
      </c>
      <c r="K249" t="s">
        <v>2004</v>
      </c>
      <c r="M249" t="s">
        <v>4855</v>
      </c>
      <c r="N249" t="s">
        <v>2415</v>
      </c>
      <c r="P249" t="s">
        <v>2444</v>
      </c>
      <c r="Q249" t="s">
        <v>2003</v>
      </c>
      <c r="T249">
        <v>225</v>
      </c>
      <c r="U249" t="s">
        <v>2508</v>
      </c>
      <c r="V249" t="s">
        <v>2515</v>
      </c>
      <c r="W249" t="s">
        <v>5071</v>
      </c>
      <c r="Y249" t="s">
        <v>5308</v>
      </c>
      <c r="Z249">
        <v>6</v>
      </c>
      <c r="AC249">
        <v>3</v>
      </c>
      <c r="AD249">
        <v>1</v>
      </c>
      <c r="AE249">
        <v>0</v>
      </c>
      <c r="AF249">
        <v>74.14</v>
      </c>
      <c r="AI249" t="s">
        <v>3809</v>
      </c>
      <c r="AJ249">
        <v>9000</v>
      </c>
      <c r="AP249">
        <v>1</v>
      </c>
      <c r="AQ249" t="s">
        <v>112</v>
      </c>
      <c r="AR249" t="s">
        <v>4205</v>
      </c>
      <c r="AS249" t="s">
        <v>4210</v>
      </c>
      <c r="AT249" t="s">
        <v>4219</v>
      </c>
    </row>
    <row r="250" spans="1:46">
      <c r="A250" s="1">
        <f>HYPERLINK("https://lsnyc.legalserver.org/matter/dynamic-profile/view/1864193","18-1864193")</f>
        <v>0</v>
      </c>
      <c r="B250" t="s">
        <v>4185</v>
      </c>
      <c r="C250" t="s">
        <v>176</v>
      </c>
      <c r="D250" t="s">
        <v>128</v>
      </c>
      <c r="E250" t="s">
        <v>4374</v>
      </c>
      <c r="F250" t="s">
        <v>1161</v>
      </c>
      <c r="G250" t="s">
        <v>4699</v>
      </c>
      <c r="H250">
        <v>2</v>
      </c>
      <c r="I250">
        <v>11233</v>
      </c>
      <c r="J250" t="s">
        <v>2003</v>
      </c>
      <c r="K250" t="s">
        <v>2003</v>
      </c>
      <c r="M250" t="s">
        <v>4856</v>
      </c>
      <c r="N250" t="s">
        <v>2415</v>
      </c>
      <c r="O250" t="s">
        <v>2442</v>
      </c>
      <c r="P250" t="s">
        <v>2444</v>
      </c>
      <c r="Q250" t="s">
        <v>2003</v>
      </c>
      <c r="T250">
        <v>2100</v>
      </c>
      <c r="U250" t="s">
        <v>2499</v>
      </c>
      <c r="V250" t="s">
        <v>2515</v>
      </c>
      <c r="W250" t="s">
        <v>5072</v>
      </c>
      <c r="Y250" t="s">
        <v>5309</v>
      </c>
      <c r="Z250">
        <v>2</v>
      </c>
      <c r="AA250" t="s">
        <v>3784</v>
      </c>
      <c r="AC250">
        <v>3</v>
      </c>
      <c r="AD250">
        <v>4</v>
      </c>
      <c r="AE250">
        <v>0</v>
      </c>
      <c r="AF250">
        <v>76.48999999999999</v>
      </c>
      <c r="AI250" t="s">
        <v>3809</v>
      </c>
      <c r="AJ250">
        <v>19200</v>
      </c>
      <c r="AK250" t="s">
        <v>5389</v>
      </c>
      <c r="AP250">
        <v>0.01</v>
      </c>
      <c r="AQ250" t="s">
        <v>157</v>
      </c>
      <c r="AR250" t="s">
        <v>5409</v>
      </c>
      <c r="AS250" t="s">
        <v>4210</v>
      </c>
      <c r="AT250" t="s">
        <v>4219</v>
      </c>
    </row>
    <row r="251" spans="1:46">
      <c r="A251" s="1">
        <f>HYPERLINK("https://lsnyc.legalserver.org/matter/dynamic-profile/view/1888922","19-1888922")</f>
        <v>0</v>
      </c>
      <c r="B251" t="s">
        <v>4185</v>
      </c>
      <c r="C251" t="s">
        <v>289</v>
      </c>
      <c r="D251" t="s">
        <v>257</v>
      </c>
      <c r="E251" t="s">
        <v>4375</v>
      </c>
      <c r="F251" t="s">
        <v>4415</v>
      </c>
      <c r="G251" t="s">
        <v>4700</v>
      </c>
      <c r="H251" t="s">
        <v>4770</v>
      </c>
      <c r="I251">
        <v>11208</v>
      </c>
      <c r="J251" t="s">
        <v>2003</v>
      </c>
      <c r="K251" t="s">
        <v>2003</v>
      </c>
      <c r="M251" t="s">
        <v>2156</v>
      </c>
      <c r="N251" t="s">
        <v>2413</v>
      </c>
      <c r="O251" t="s">
        <v>2439</v>
      </c>
      <c r="P251" t="s">
        <v>2444</v>
      </c>
      <c r="Q251" t="s">
        <v>2003</v>
      </c>
      <c r="R251" t="s">
        <v>2451</v>
      </c>
      <c r="T251">
        <v>650</v>
      </c>
      <c r="U251" t="s">
        <v>2509</v>
      </c>
      <c r="V251" t="s">
        <v>2515</v>
      </c>
      <c r="W251" t="s">
        <v>4900</v>
      </c>
      <c r="Z251">
        <v>2</v>
      </c>
      <c r="AA251" t="s">
        <v>3784</v>
      </c>
      <c r="AB251" t="s">
        <v>2006</v>
      </c>
      <c r="AC251">
        <v>2</v>
      </c>
      <c r="AD251">
        <v>1</v>
      </c>
      <c r="AE251">
        <v>0</v>
      </c>
      <c r="AF251">
        <v>79.06999999999999</v>
      </c>
      <c r="AI251" t="s">
        <v>3809</v>
      </c>
      <c r="AJ251">
        <v>9876</v>
      </c>
      <c r="AK251" t="s">
        <v>5390</v>
      </c>
      <c r="AP251">
        <v>0.8</v>
      </c>
      <c r="AQ251" t="s">
        <v>262</v>
      </c>
      <c r="AR251" t="s">
        <v>4198</v>
      </c>
      <c r="AS251" t="s">
        <v>4210</v>
      </c>
      <c r="AT251" t="s">
        <v>4219</v>
      </c>
    </row>
    <row r="252" spans="1:46">
      <c r="A252" s="1">
        <f>HYPERLINK("https://lsnyc.legalserver.org/matter/dynamic-profile/view/1888445","19-1888445")</f>
        <v>0</v>
      </c>
      <c r="B252" t="s">
        <v>4185</v>
      </c>
      <c r="C252" t="s">
        <v>159</v>
      </c>
      <c r="E252" t="s">
        <v>4329</v>
      </c>
      <c r="F252" t="s">
        <v>1045</v>
      </c>
      <c r="G252" t="s">
        <v>4701</v>
      </c>
      <c r="I252">
        <v>11212</v>
      </c>
      <c r="J252" t="s">
        <v>2003</v>
      </c>
      <c r="K252" t="s">
        <v>2003</v>
      </c>
      <c r="N252" t="s">
        <v>2027</v>
      </c>
      <c r="Q252" t="s">
        <v>2003</v>
      </c>
      <c r="R252" t="s">
        <v>2451</v>
      </c>
      <c r="T252">
        <v>530</v>
      </c>
      <c r="U252" t="s">
        <v>2495</v>
      </c>
      <c r="W252" t="s">
        <v>5073</v>
      </c>
      <c r="Y252" t="s">
        <v>5310</v>
      </c>
      <c r="Z252">
        <v>0</v>
      </c>
      <c r="AA252" t="s">
        <v>3784</v>
      </c>
      <c r="AB252" t="s">
        <v>2006</v>
      </c>
      <c r="AC252">
        <v>2</v>
      </c>
      <c r="AD252">
        <v>1</v>
      </c>
      <c r="AE252">
        <v>0</v>
      </c>
      <c r="AF252">
        <v>79.08</v>
      </c>
      <c r="AI252" t="s">
        <v>3809</v>
      </c>
      <c r="AJ252">
        <v>9600</v>
      </c>
      <c r="AP252">
        <v>0.5</v>
      </c>
      <c r="AQ252" t="s">
        <v>159</v>
      </c>
      <c r="AR252" t="s">
        <v>4195</v>
      </c>
      <c r="AS252" t="s">
        <v>4210</v>
      </c>
      <c r="AT252" t="s">
        <v>4219</v>
      </c>
    </row>
    <row r="253" spans="1:46">
      <c r="A253" s="1">
        <f>HYPERLINK("https://lsnyc.legalserver.org/matter/dynamic-profile/view/1887223","19-1887223")</f>
        <v>0</v>
      </c>
      <c r="B253" t="s">
        <v>4185</v>
      </c>
      <c r="C253" t="s">
        <v>2491</v>
      </c>
      <c r="D253" t="s">
        <v>2491</v>
      </c>
      <c r="E253" t="s">
        <v>4376</v>
      </c>
      <c r="F253" t="s">
        <v>428</v>
      </c>
      <c r="G253" t="s">
        <v>4702</v>
      </c>
      <c r="H253" t="s">
        <v>1989</v>
      </c>
      <c r="I253">
        <v>11207</v>
      </c>
      <c r="J253" t="s">
        <v>2003</v>
      </c>
      <c r="K253" t="s">
        <v>2003</v>
      </c>
      <c r="M253" t="s">
        <v>4857</v>
      </c>
      <c r="N253" t="s">
        <v>2414</v>
      </c>
      <c r="O253" t="s">
        <v>2439</v>
      </c>
      <c r="P253" t="s">
        <v>2444</v>
      </c>
      <c r="Q253" t="s">
        <v>2003</v>
      </c>
      <c r="R253" t="s">
        <v>2451</v>
      </c>
      <c r="T253">
        <v>1800</v>
      </c>
      <c r="U253" t="s">
        <v>2512</v>
      </c>
      <c r="V253" t="s">
        <v>2515</v>
      </c>
      <c r="W253" t="s">
        <v>5074</v>
      </c>
      <c r="X253" t="s">
        <v>3160</v>
      </c>
      <c r="Y253" t="s">
        <v>5311</v>
      </c>
      <c r="Z253">
        <v>3</v>
      </c>
      <c r="AA253" t="s">
        <v>3784</v>
      </c>
      <c r="AB253" t="s">
        <v>3795</v>
      </c>
      <c r="AC253">
        <v>1</v>
      </c>
      <c r="AD253">
        <v>1</v>
      </c>
      <c r="AE253">
        <v>4</v>
      </c>
      <c r="AF253">
        <v>79.73999999999999</v>
      </c>
      <c r="AI253" t="s">
        <v>3809</v>
      </c>
      <c r="AJ253">
        <v>23460</v>
      </c>
      <c r="AP253">
        <v>0.6</v>
      </c>
      <c r="AQ253" t="s">
        <v>2491</v>
      </c>
      <c r="AR253" t="s">
        <v>4198</v>
      </c>
      <c r="AS253" t="s">
        <v>4210</v>
      </c>
      <c r="AT253" t="s">
        <v>4219</v>
      </c>
    </row>
    <row r="254" spans="1:46">
      <c r="A254" s="1">
        <f>HYPERLINK("https://lsnyc.legalserver.org/matter/dynamic-profile/view/1901353","19-1901353")</f>
        <v>0</v>
      </c>
      <c r="B254" t="s">
        <v>4185</v>
      </c>
      <c r="C254" t="s">
        <v>260</v>
      </c>
      <c r="D254" t="s">
        <v>163</v>
      </c>
      <c r="E254" t="s">
        <v>4377</v>
      </c>
      <c r="F254" t="s">
        <v>1005</v>
      </c>
      <c r="G254" t="s">
        <v>4703</v>
      </c>
      <c r="H254" t="s">
        <v>1794</v>
      </c>
      <c r="I254">
        <v>11233</v>
      </c>
      <c r="J254" t="s">
        <v>2003</v>
      </c>
      <c r="K254" t="s">
        <v>2004</v>
      </c>
      <c r="L254" t="s">
        <v>2006</v>
      </c>
      <c r="M254" t="s">
        <v>4858</v>
      </c>
      <c r="N254" t="s">
        <v>2415</v>
      </c>
      <c r="O254" t="s">
        <v>2439</v>
      </c>
      <c r="P254" t="s">
        <v>2444</v>
      </c>
      <c r="Q254" t="s">
        <v>2003</v>
      </c>
      <c r="R254" t="s">
        <v>2451</v>
      </c>
      <c r="T254">
        <v>1030.12</v>
      </c>
      <c r="U254" t="s">
        <v>2499</v>
      </c>
      <c r="V254" t="s">
        <v>2515</v>
      </c>
      <c r="W254" t="s">
        <v>5075</v>
      </c>
      <c r="X254" t="s">
        <v>2006</v>
      </c>
      <c r="Y254" t="s">
        <v>5312</v>
      </c>
      <c r="Z254">
        <v>60</v>
      </c>
      <c r="AA254" t="s">
        <v>2156</v>
      </c>
      <c r="AB254" t="s">
        <v>2006</v>
      </c>
      <c r="AC254">
        <v>4</v>
      </c>
      <c r="AD254">
        <v>2</v>
      </c>
      <c r="AE254">
        <v>0</v>
      </c>
      <c r="AF254">
        <v>80.76000000000001</v>
      </c>
      <c r="AI254" t="s">
        <v>3809</v>
      </c>
      <c r="AJ254">
        <v>13656</v>
      </c>
      <c r="AK254" t="s">
        <v>5391</v>
      </c>
      <c r="AP254">
        <v>0.5</v>
      </c>
      <c r="AQ254" t="s">
        <v>260</v>
      </c>
      <c r="AR254" t="s">
        <v>4187</v>
      </c>
      <c r="AS254" t="s">
        <v>4210</v>
      </c>
      <c r="AT254" t="s">
        <v>4219</v>
      </c>
    </row>
    <row r="255" spans="1:46">
      <c r="A255" s="1">
        <f>HYPERLINK("https://lsnyc.legalserver.org/matter/dynamic-profile/view/1892266","19-1892266")</f>
        <v>0</v>
      </c>
      <c r="B255" t="s">
        <v>4185</v>
      </c>
      <c r="C255" t="s">
        <v>282</v>
      </c>
      <c r="D255" t="s">
        <v>168</v>
      </c>
      <c r="E255" t="s">
        <v>4378</v>
      </c>
      <c r="F255" t="s">
        <v>4529</v>
      </c>
      <c r="G255" t="s">
        <v>4704</v>
      </c>
      <c r="H255">
        <v>2</v>
      </c>
      <c r="I255">
        <v>11208</v>
      </c>
      <c r="J255" t="s">
        <v>2003</v>
      </c>
      <c r="K255" t="s">
        <v>2003</v>
      </c>
      <c r="M255" t="s">
        <v>4859</v>
      </c>
      <c r="N255" t="s">
        <v>2413</v>
      </c>
      <c r="P255" t="s">
        <v>2444</v>
      </c>
      <c r="Q255" t="s">
        <v>2003</v>
      </c>
      <c r="R255" t="s">
        <v>2451</v>
      </c>
      <c r="T255">
        <v>1756</v>
      </c>
      <c r="V255" t="s">
        <v>2515</v>
      </c>
      <c r="W255" t="s">
        <v>5076</v>
      </c>
      <c r="Y255" t="s">
        <v>5313</v>
      </c>
      <c r="Z255">
        <v>3</v>
      </c>
      <c r="AA255" t="s">
        <v>3784</v>
      </c>
      <c r="AB255" t="s">
        <v>3793</v>
      </c>
      <c r="AC255">
        <v>13</v>
      </c>
      <c r="AD255">
        <v>2</v>
      </c>
      <c r="AE255">
        <v>0</v>
      </c>
      <c r="AF255">
        <v>80.83</v>
      </c>
      <c r="AI255" t="s">
        <v>3809</v>
      </c>
      <c r="AJ255">
        <v>13668</v>
      </c>
      <c r="AP255">
        <v>1.25</v>
      </c>
      <c r="AQ255" t="s">
        <v>168</v>
      </c>
      <c r="AR255" t="s">
        <v>4197</v>
      </c>
      <c r="AS255" t="s">
        <v>4210</v>
      </c>
      <c r="AT255" t="s">
        <v>4219</v>
      </c>
    </row>
    <row r="256" spans="1:46">
      <c r="A256" s="1">
        <f>HYPERLINK("https://lsnyc.legalserver.org/matter/dynamic-profile/view/1875148","18-1875148")</f>
        <v>0</v>
      </c>
      <c r="B256" t="s">
        <v>4185</v>
      </c>
      <c r="C256" t="s">
        <v>217</v>
      </c>
      <c r="D256" t="s">
        <v>114</v>
      </c>
      <c r="E256" t="s">
        <v>4379</v>
      </c>
      <c r="F256" t="s">
        <v>888</v>
      </c>
      <c r="G256" t="s">
        <v>4705</v>
      </c>
      <c r="H256">
        <v>4</v>
      </c>
      <c r="I256">
        <v>11233</v>
      </c>
      <c r="J256" t="s">
        <v>2003</v>
      </c>
      <c r="K256" t="s">
        <v>2003</v>
      </c>
      <c r="P256" t="s">
        <v>2444</v>
      </c>
      <c r="T256">
        <v>1834</v>
      </c>
      <c r="U256" t="s">
        <v>2508</v>
      </c>
      <c r="V256" t="s">
        <v>2515</v>
      </c>
      <c r="W256" t="s">
        <v>5077</v>
      </c>
      <c r="Y256" t="s">
        <v>5314</v>
      </c>
      <c r="Z256">
        <v>7</v>
      </c>
      <c r="AA256" t="s">
        <v>3787</v>
      </c>
      <c r="AB256" t="s">
        <v>3793</v>
      </c>
      <c r="AC256">
        <v>10</v>
      </c>
      <c r="AD256">
        <v>1</v>
      </c>
      <c r="AE256">
        <v>0</v>
      </c>
      <c r="AF256">
        <v>82.04000000000001</v>
      </c>
      <c r="AI256" t="s">
        <v>3809</v>
      </c>
      <c r="AJ256">
        <v>9960</v>
      </c>
      <c r="AP256">
        <v>1.5</v>
      </c>
      <c r="AQ256" t="s">
        <v>114</v>
      </c>
      <c r="AR256" t="s">
        <v>4194</v>
      </c>
      <c r="AS256" t="s">
        <v>4210</v>
      </c>
      <c r="AT256" t="s">
        <v>4219</v>
      </c>
    </row>
    <row r="257" spans="1:46">
      <c r="A257" s="1">
        <f>HYPERLINK("https://lsnyc.legalserver.org/matter/dynamic-profile/view/1899550","19-1899550")</f>
        <v>0</v>
      </c>
      <c r="B257" t="s">
        <v>4185</v>
      </c>
      <c r="C257" t="s">
        <v>148</v>
      </c>
      <c r="D257" t="s">
        <v>183</v>
      </c>
      <c r="E257" t="s">
        <v>4380</v>
      </c>
      <c r="F257" t="s">
        <v>962</v>
      </c>
      <c r="G257" t="s">
        <v>4596</v>
      </c>
      <c r="H257" t="s">
        <v>1739</v>
      </c>
      <c r="I257">
        <v>11233</v>
      </c>
      <c r="J257" t="s">
        <v>2003</v>
      </c>
      <c r="K257" t="s">
        <v>2004</v>
      </c>
      <c r="L257" t="s">
        <v>2006</v>
      </c>
      <c r="N257" t="s">
        <v>2027</v>
      </c>
      <c r="P257" t="s">
        <v>2444</v>
      </c>
      <c r="Q257" t="s">
        <v>2003</v>
      </c>
      <c r="R257" t="s">
        <v>2451</v>
      </c>
      <c r="T257">
        <v>650</v>
      </c>
      <c r="V257" t="s">
        <v>2515</v>
      </c>
      <c r="W257" t="s">
        <v>5078</v>
      </c>
      <c r="Y257" t="s">
        <v>5315</v>
      </c>
      <c r="Z257">
        <v>12</v>
      </c>
      <c r="AA257" t="s">
        <v>3783</v>
      </c>
      <c r="AB257" t="s">
        <v>2006</v>
      </c>
      <c r="AC257">
        <v>2</v>
      </c>
      <c r="AD257">
        <v>1</v>
      </c>
      <c r="AE257">
        <v>0</v>
      </c>
      <c r="AF257">
        <v>82.23999999999999</v>
      </c>
      <c r="AI257" t="s">
        <v>3809</v>
      </c>
      <c r="AJ257">
        <v>10272</v>
      </c>
      <c r="AK257" t="s">
        <v>5392</v>
      </c>
      <c r="AP257">
        <v>1.25</v>
      </c>
      <c r="AQ257" t="s">
        <v>183</v>
      </c>
      <c r="AR257" t="s">
        <v>4192</v>
      </c>
      <c r="AS257" t="s">
        <v>4210</v>
      </c>
      <c r="AT257" t="s">
        <v>4219</v>
      </c>
    </row>
    <row r="258" spans="1:46">
      <c r="A258" s="1">
        <f>HYPERLINK("https://lsnyc.legalserver.org/matter/dynamic-profile/view/1875856","18-1875856")</f>
        <v>0</v>
      </c>
      <c r="B258" t="s">
        <v>4185</v>
      </c>
      <c r="C258" t="s">
        <v>202</v>
      </c>
      <c r="D258" t="s">
        <v>83</v>
      </c>
      <c r="E258" t="s">
        <v>4381</v>
      </c>
      <c r="F258" t="s">
        <v>4530</v>
      </c>
      <c r="G258" t="s">
        <v>4706</v>
      </c>
      <c r="H258" t="s">
        <v>1849</v>
      </c>
      <c r="I258">
        <v>11208</v>
      </c>
      <c r="J258" t="s">
        <v>2003</v>
      </c>
      <c r="K258" t="s">
        <v>2003</v>
      </c>
      <c r="N258" t="s">
        <v>2027</v>
      </c>
      <c r="O258" t="s">
        <v>2439</v>
      </c>
      <c r="P258" t="s">
        <v>2444</v>
      </c>
      <c r="T258">
        <v>1000</v>
      </c>
      <c r="U258" t="s">
        <v>2508</v>
      </c>
      <c r="V258" t="s">
        <v>2515</v>
      </c>
      <c r="W258" t="s">
        <v>5079</v>
      </c>
      <c r="X258" t="s">
        <v>5144</v>
      </c>
      <c r="Y258" t="s">
        <v>5316</v>
      </c>
      <c r="Z258">
        <v>6</v>
      </c>
      <c r="AB258" t="s">
        <v>3798</v>
      </c>
      <c r="AC258">
        <v>10</v>
      </c>
      <c r="AD258">
        <v>1</v>
      </c>
      <c r="AE258">
        <v>0</v>
      </c>
      <c r="AF258">
        <v>82.64</v>
      </c>
      <c r="AI258" t="s">
        <v>3809</v>
      </c>
      <c r="AJ258">
        <v>10032</v>
      </c>
      <c r="AK258" t="s">
        <v>5393</v>
      </c>
      <c r="AP258">
        <v>0.25</v>
      </c>
      <c r="AQ258" t="s">
        <v>83</v>
      </c>
      <c r="AR258" t="s">
        <v>4193</v>
      </c>
      <c r="AS258" t="s">
        <v>4210</v>
      </c>
      <c r="AT258" t="s">
        <v>4219</v>
      </c>
    </row>
    <row r="259" spans="1:46">
      <c r="A259" s="1">
        <f>HYPERLINK("https://lsnyc.legalserver.org/matter/dynamic-profile/view/1873765","18-1873765")</f>
        <v>0</v>
      </c>
      <c r="B259" t="s">
        <v>4185</v>
      </c>
      <c r="C259" t="s">
        <v>316</v>
      </c>
      <c r="D259" t="s">
        <v>282</v>
      </c>
      <c r="E259" t="s">
        <v>4382</v>
      </c>
      <c r="F259" t="s">
        <v>4531</v>
      </c>
      <c r="G259" t="s">
        <v>4707</v>
      </c>
      <c r="H259">
        <v>10</v>
      </c>
      <c r="I259">
        <v>11208</v>
      </c>
      <c r="J259" t="s">
        <v>2003</v>
      </c>
      <c r="K259" t="s">
        <v>2003</v>
      </c>
      <c r="M259" t="s">
        <v>2027</v>
      </c>
      <c r="N259" t="s">
        <v>2413</v>
      </c>
      <c r="O259" t="s">
        <v>2439</v>
      </c>
      <c r="P259" t="s">
        <v>2444</v>
      </c>
      <c r="Q259" t="s">
        <v>2003</v>
      </c>
      <c r="T259">
        <v>0</v>
      </c>
      <c r="U259" t="s">
        <v>2508</v>
      </c>
      <c r="V259" t="s">
        <v>2515</v>
      </c>
      <c r="W259" t="s">
        <v>5080</v>
      </c>
      <c r="X259" t="s">
        <v>2156</v>
      </c>
      <c r="Y259" t="s">
        <v>5317</v>
      </c>
      <c r="Z259">
        <v>2</v>
      </c>
      <c r="AA259" t="s">
        <v>2156</v>
      </c>
      <c r="AB259" t="s">
        <v>2006</v>
      </c>
      <c r="AC259">
        <v>10</v>
      </c>
      <c r="AD259">
        <v>1</v>
      </c>
      <c r="AE259">
        <v>0</v>
      </c>
      <c r="AF259">
        <v>84.70999999999999</v>
      </c>
      <c r="AI259" t="s">
        <v>3809</v>
      </c>
      <c r="AJ259">
        <v>10284</v>
      </c>
      <c r="AP259">
        <v>0.85</v>
      </c>
      <c r="AQ259" t="s">
        <v>282</v>
      </c>
      <c r="AR259" t="s">
        <v>4198</v>
      </c>
      <c r="AS259" t="s">
        <v>4210</v>
      </c>
      <c r="AT259" t="s">
        <v>4219</v>
      </c>
    </row>
    <row r="260" spans="1:46">
      <c r="A260" s="1">
        <f>HYPERLINK("https://lsnyc.legalserver.org/matter/dynamic-profile/view/1879336","18-1879336")</f>
        <v>0</v>
      </c>
      <c r="B260" t="s">
        <v>4185</v>
      </c>
      <c r="C260" t="s">
        <v>239</v>
      </c>
      <c r="D260" t="s">
        <v>154</v>
      </c>
      <c r="E260" t="s">
        <v>484</v>
      </c>
      <c r="F260" t="s">
        <v>1086</v>
      </c>
      <c r="G260" t="s">
        <v>4708</v>
      </c>
      <c r="H260" t="s">
        <v>1787</v>
      </c>
      <c r="I260">
        <v>11207</v>
      </c>
      <c r="J260" t="s">
        <v>2003</v>
      </c>
      <c r="K260" t="s">
        <v>2003</v>
      </c>
      <c r="N260" t="s">
        <v>2027</v>
      </c>
      <c r="O260" t="s">
        <v>2439</v>
      </c>
      <c r="P260" t="s">
        <v>2444</v>
      </c>
      <c r="Q260" t="s">
        <v>2003</v>
      </c>
      <c r="T260">
        <v>1700</v>
      </c>
      <c r="V260" t="s">
        <v>2515</v>
      </c>
      <c r="W260" t="s">
        <v>5081</v>
      </c>
      <c r="X260" t="s">
        <v>3160</v>
      </c>
      <c r="Y260" t="s">
        <v>5318</v>
      </c>
      <c r="Z260">
        <v>2</v>
      </c>
      <c r="AA260" t="s">
        <v>3784</v>
      </c>
      <c r="AB260" t="s">
        <v>3796</v>
      </c>
      <c r="AC260">
        <v>15</v>
      </c>
      <c r="AD260">
        <v>1</v>
      </c>
      <c r="AE260">
        <v>2</v>
      </c>
      <c r="AF260">
        <v>97.13</v>
      </c>
      <c r="AI260" t="s">
        <v>3809</v>
      </c>
      <c r="AJ260">
        <v>20184</v>
      </c>
      <c r="AP260">
        <v>0.6</v>
      </c>
      <c r="AQ260" t="s">
        <v>121</v>
      </c>
      <c r="AR260" t="s">
        <v>4191</v>
      </c>
      <c r="AS260" t="s">
        <v>4210</v>
      </c>
      <c r="AT260" t="s">
        <v>4219</v>
      </c>
    </row>
    <row r="261" spans="1:46">
      <c r="A261" s="1">
        <f>HYPERLINK("https://lsnyc.legalserver.org/matter/dynamic-profile/view/1882587","18-1882587")</f>
        <v>0</v>
      </c>
      <c r="B261" t="s">
        <v>4185</v>
      </c>
      <c r="C261" t="s">
        <v>286</v>
      </c>
      <c r="E261" t="s">
        <v>4383</v>
      </c>
      <c r="F261" t="s">
        <v>4532</v>
      </c>
      <c r="G261" t="s">
        <v>4709</v>
      </c>
      <c r="H261" t="s">
        <v>1741</v>
      </c>
      <c r="I261">
        <v>11233</v>
      </c>
      <c r="J261" t="s">
        <v>2003</v>
      </c>
      <c r="K261" t="s">
        <v>2003</v>
      </c>
      <c r="N261" t="s">
        <v>2027</v>
      </c>
      <c r="O261" t="s">
        <v>2439</v>
      </c>
      <c r="Q261" t="s">
        <v>2003</v>
      </c>
      <c r="R261" t="s">
        <v>2451</v>
      </c>
      <c r="T261">
        <v>750</v>
      </c>
      <c r="U261" t="s">
        <v>2499</v>
      </c>
      <c r="W261" t="s">
        <v>2712</v>
      </c>
      <c r="X261" t="s">
        <v>3160</v>
      </c>
      <c r="Y261" t="s">
        <v>5319</v>
      </c>
      <c r="Z261">
        <v>3</v>
      </c>
      <c r="AA261" t="s">
        <v>3784</v>
      </c>
      <c r="AB261" t="s">
        <v>2006</v>
      </c>
      <c r="AC261">
        <v>3</v>
      </c>
      <c r="AD261">
        <v>2</v>
      </c>
      <c r="AE261">
        <v>2</v>
      </c>
      <c r="AF261">
        <v>102.79</v>
      </c>
      <c r="AI261" t="s">
        <v>3809</v>
      </c>
      <c r="AJ261">
        <v>25800</v>
      </c>
      <c r="AP261">
        <v>0.6</v>
      </c>
      <c r="AQ261" t="s">
        <v>262</v>
      </c>
      <c r="AR261" t="s">
        <v>4187</v>
      </c>
      <c r="AS261" t="s">
        <v>4210</v>
      </c>
      <c r="AT261" t="s">
        <v>4219</v>
      </c>
    </row>
    <row r="262" spans="1:46">
      <c r="A262" s="1">
        <f>HYPERLINK("https://lsnyc.legalserver.org/matter/dynamic-profile/view/1882338","18-1882338")</f>
        <v>0</v>
      </c>
      <c r="B262" t="s">
        <v>4185</v>
      </c>
      <c r="C262" t="s">
        <v>123</v>
      </c>
      <c r="D262" t="s">
        <v>286</v>
      </c>
      <c r="E262" t="s">
        <v>368</v>
      </c>
      <c r="F262" t="s">
        <v>943</v>
      </c>
      <c r="G262" t="s">
        <v>4710</v>
      </c>
      <c r="H262" t="s">
        <v>1918</v>
      </c>
      <c r="I262">
        <v>11207</v>
      </c>
      <c r="J262" t="s">
        <v>2003</v>
      </c>
      <c r="K262" t="s">
        <v>2003</v>
      </c>
      <c r="M262" t="s">
        <v>4860</v>
      </c>
      <c r="N262" t="s">
        <v>2415</v>
      </c>
      <c r="P262" t="s">
        <v>2444</v>
      </c>
      <c r="Q262" t="s">
        <v>2003</v>
      </c>
      <c r="R262" t="s">
        <v>2451</v>
      </c>
      <c r="T262">
        <v>555</v>
      </c>
      <c r="U262" t="s">
        <v>2494</v>
      </c>
      <c r="V262" t="s">
        <v>2515</v>
      </c>
      <c r="W262" t="s">
        <v>5082</v>
      </c>
      <c r="X262" t="s">
        <v>2006</v>
      </c>
      <c r="Y262" t="s">
        <v>5320</v>
      </c>
      <c r="Z262">
        <v>0</v>
      </c>
      <c r="AA262" t="s">
        <v>3788</v>
      </c>
      <c r="AB262" t="s">
        <v>3793</v>
      </c>
      <c r="AC262">
        <v>45</v>
      </c>
      <c r="AD262">
        <v>3</v>
      </c>
      <c r="AE262">
        <v>0</v>
      </c>
      <c r="AF262">
        <v>107.32</v>
      </c>
      <c r="AI262" t="s">
        <v>3809</v>
      </c>
      <c r="AJ262">
        <v>22302</v>
      </c>
      <c r="AP262">
        <v>0.25</v>
      </c>
      <c r="AQ262" t="s">
        <v>286</v>
      </c>
      <c r="AR262" t="s">
        <v>4185</v>
      </c>
      <c r="AS262" t="s">
        <v>4210</v>
      </c>
      <c r="AT262" t="s">
        <v>4219</v>
      </c>
    </row>
    <row r="263" spans="1:46">
      <c r="A263" s="1">
        <f>HYPERLINK("https://lsnyc.legalserver.org/matter/dynamic-profile/view/1886992","19-1886992")</f>
        <v>0</v>
      </c>
      <c r="B263" t="s">
        <v>4185</v>
      </c>
      <c r="C263" t="s">
        <v>135</v>
      </c>
      <c r="D263" t="s">
        <v>166</v>
      </c>
      <c r="E263" t="s">
        <v>4384</v>
      </c>
      <c r="F263" t="s">
        <v>1005</v>
      </c>
      <c r="G263" t="s">
        <v>4651</v>
      </c>
      <c r="H263" t="s">
        <v>4781</v>
      </c>
      <c r="I263">
        <v>11233</v>
      </c>
      <c r="J263" t="s">
        <v>2003</v>
      </c>
      <c r="K263" t="s">
        <v>2003</v>
      </c>
      <c r="M263" t="s">
        <v>4861</v>
      </c>
      <c r="N263" t="s">
        <v>2415</v>
      </c>
      <c r="P263" t="s">
        <v>2444</v>
      </c>
      <c r="Q263" t="s">
        <v>2003</v>
      </c>
      <c r="R263" t="s">
        <v>2454</v>
      </c>
      <c r="T263">
        <v>2162</v>
      </c>
      <c r="U263" t="s">
        <v>2501</v>
      </c>
      <c r="V263" t="s">
        <v>2515</v>
      </c>
      <c r="W263" t="s">
        <v>5083</v>
      </c>
      <c r="Y263" t="s">
        <v>5321</v>
      </c>
      <c r="Z263">
        <v>287</v>
      </c>
      <c r="AA263" t="s">
        <v>2156</v>
      </c>
      <c r="AB263" t="s">
        <v>3793</v>
      </c>
      <c r="AC263">
        <v>8</v>
      </c>
      <c r="AD263">
        <v>2</v>
      </c>
      <c r="AE263">
        <v>2</v>
      </c>
      <c r="AF263">
        <v>109.8</v>
      </c>
      <c r="AI263" t="s">
        <v>3809</v>
      </c>
      <c r="AJ263">
        <v>27560</v>
      </c>
      <c r="AP263">
        <v>0.5</v>
      </c>
      <c r="AQ263" t="s">
        <v>135</v>
      </c>
      <c r="AR263" t="s">
        <v>4191</v>
      </c>
      <c r="AS263" t="s">
        <v>4210</v>
      </c>
      <c r="AT263" t="s">
        <v>4219</v>
      </c>
    </row>
    <row r="264" spans="1:46">
      <c r="A264" s="1">
        <f>HYPERLINK("https://lsnyc.legalserver.org/matter/dynamic-profile/view/1882493","18-1882493")</f>
        <v>0</v>
      </c>
      <c r="B264" t="s">
        <v>4185</v>
      </c>
      <c r="C264" t="s">
        <v>127</v>
      </c>
      <c r="D264" t="s">
        <v>288</v>
      </c>
      <c r="E264" t="s">
        <v>820</v>
      </c>
      <c r="F264" t="s">
        <v>1324</v>
      </c>
      <c r="G264" t="s">
        <v>1700</v>
      </c>
      <c r="H264" t="s">
        <v>4782</v>
      </c>
      <c r="I264">
        <v>11207</v>
      </c>
      <c r="J264" t="s">
        <v>2003</v>
      </c>
      <c r="K264" t="s">
        <v>2003</v>
      </c>
      <c r="M264" t="s">
        <v>2027</v>
      </c>
      <c r="N264" t="s">
        <v>2415</v>
      </c>
      <c r="P264" t="s">
        <v>2444</v>
      </c>
      <c r="Q264" t="s">
        <v>2003</v>
      </c>
      <c r="T264">
        <v>864.49</v>
      </c>
      <c r="U264" t="s">
        <v>2499</v>
      </c>
      <c r="V264" t="s">
        <v>2515</v>
      </c>
      <c r="W264" t="s">
        <v>3116</v>
      </c>
      <c r="X264" t="s">
        <v>2006</v>
      </c>
      <c r="Y264" t="s">
        <v>5322</v>
      </c>
      <c r="Z264">
        <v>150</v>
      </c>
      <c r="AA264" t="s">
        <v>2156</v>
      </c>
      <c r="AB264" t="s">
        <v>2006</v>
      </c>
      <c r="AC264">
        <v>1</v>
      </c>
      <c r="AD264">
        <v>1</v>
      </c>
      <c r="AE264">
        <v>0</v>
      </c>
      <c r="AF264">
        <v>112.65</v>
      </c>
      <c r="AI264" t="s">
        <v>3809</v>
      </c>
      <c r="AJ264">
        <v>13676</v>
      </c>
      <c r="AP264">
        <v>0.3</v>
      </c>
      <c r="AQ264" t="s">
        <v>127</v>
      </c>
      <c r="AR264" t="s">
        <v>4204</v>
      </c>
      <c r="AS264" t="s">
        <v>4210</v>
      </c>
      <c r="AT264" t="s">
        <v>4219</v>
      </c>
    </row>
    <row r="265" spans="1:46">
      <c r="A265" s="1">
        <f>HYPERLINK("https://lsnyc.legalserver.org/matter/dynamic-profile/view/1874459","18-1874459")</f>
        <v>0</v>
      </c>
      <c r="B265" t="s">
        <v>4185</v>
      </c>
      <c r="C265" t="s">
        <v>201</v>
      </c>
      <c r="D265" t="s">
        <v>152</v>
      </c>
      <c r="E265" t="s">
        <v>4385</v>
      </c>
      <c r="F265" t="s">
        <v>4533</v>
      </c>
      <c r="G265" t="s">
        <v>4711</v>
      </c>
      <c r="H265">
        <v>1</v>
      </c>
      <c r="I265">
        <v>11207</v>
      </c>
      <c r="J265" t="s">
        <v>2003</v>
      </c>
      <c r="K265" t="s">
        <v>2003</v>
      </c>
      <c r="M265" t="s">
        <v>4862</v>
      </c>
      <c r="N265" t="s">
        <v>2415</v>
      </c>
      <c r="P265" t="s">
        <v>2444</v>
      </c>
      <c r="T265">
        <v>1700</v>
      </c>
      <c r="U265" t="s">
        <v>2508</v>
      </c>
      <c r="V265" t="s">
        <v>2515</v>
      </c>
      <c r="W265" t="s">
        <v>5084</v>
      </c>
      <c r="Y265" t="s">
        <v>5323</v>
      </c>
      <c r="Z265">
        <v>3</v>
      </c>
      <c r="AC265">
        <v>8</v>
      </c>
      <c r="AD265">
        <v>1</v>
      </c>
      <c r="AE265">
        <v>0</v>
      </c>
      <c r="AF265">
        <v>112.69</v>
      </c>
      <c r="AI265" t="s">
        <v>3809</v>
      </c>
      <c r="AJ265">
        <v>13680</v>
      </c>
      <c r="AP265">
        <v>1</v>
      </c>
      <c r="AQ265" t="s">
        <v>201</v>
      </c>
      <c r="AR265" t="s">
        <v>4205</v>
      </c>
      <c r="AS265" t="s">
        <v>4210</v>
      </c>
      <c r="AT265" t="s">
        <v>4219</v>
      </c>
    </row>
    <row r="266" spans="1:46">
      <c r="A266" s="1">
        <f>HYPERLINK("https://lsnyc.legalserver.org/matter/dynamic-profile/view/1902047","19-1902047")</f>
        <v>0</v>
      </c>
      <c r="B266" t="s">
        <v>4185</v>
      </c>
      <c r="C266" t="s">
        <v>158</v>
      </c>
      <c r="E266" t="s">
        <v>4386</v>
      </c>
      <c r="F266" t="s">
        <v>4534</v>
      </c>
      <c r="G266" t="s">
        <v>4712</v>
      </c>
      <c r="H266" t="s">
        <v>1764</v>
      </c>
      <c r="I266">
        <v>11233</v>
      </c>
      <c r="J266" t="s">
        <v>2003</v>
      </c>
      <c r="K266" t="s">
        <v>2004</v>
      </c>
      <c r="L266" t="s">
        <v>2006</v>
      </c>
      <c r="N266" t="s">
        <v>2027</v>
      </c>
      <c r="Q266" t="s">
        <v>2003</v>
      </c>
      <c r="R266" t="s">
        <v>2451</v>
      </c>
      <c r="T266">
        <v>1135</v>
      </c>
      <c r="U266" t="s">
        <v>2495</v>
      </c>
      <c r="W266" t="s">
        <v>5085</v>
      </c>
      <c r="X266" t="s">
        <v>3163</v>
      </c>
      <c r="Y266" t="s">
        <v>5324</v>
      </c>
      <c r="Z266">
        <v>70</v>
      </c>
      <c r="AA266" t="s">
        <v>3788</v>
      </c>
      <c r="AB266" t="s">
        <v>2006</v>
      </c>
      <c r="AC266">
        <v>14</v>
      </c>
      <c r="AD266">
        <v>1</v>
      </c>
      <c r="AE266">
        <v>1</v>
      </c>
      <c r="AF266">
        <v>133.91</v>
      </c>
      <c r="AI266" t="s">
        <v>3809</v>
      </c>
      <c r="AJ266">
        <v>22644</v>
      </c>
      <c r="AP266">
        <v>0.5</v>
      </c>
      <c r="AQ266" t="s">
        <v>158</v>
      </c>
      <c r="AR266" t="s">
        <v>4196</v>
      </c>
      <c r="AS266" t="s">
        <v>4210</v>
      </c>
      <c r="AT266" t="s">
        <v>4219</v>
      </c>
    </row>
    <row r="267" spans="1:46">
      <c r="A267" s="1">
        <f>HYPERLINK("https://lsnyc.legalserver.org/matter/dynamic-profile/view/1900090","19-1900090")</f>
        <v>0</v>
      </c>
      <c r="B267" t="s">
        <v>4185</v>
      </c>
      <c r="C267" t="s">
        <v>279</v>
      </c>
      <c r="D267" t="s">
        <v>323</v>
      </c>
      <c r="E267" t="s">
        <v>4387</v>
      </c>
      <c r="F267" t="s">
        <v>1046</v>
      </c>
      <c r="G267" t="s">
        <v>4713</v>
      </c>
      <c r="H267" t="s">
        <v>1752</v>
      </c>
      <c r="I267">
        <v>11207</v>
      </c>
      <c r="J267" t="s">
        <v>2003</v>
      </c>
      <c r="K267" t="s">
        <v>2004</v>
      </c>
      <c r="L267" t="s">
        <v>2006</v>
      </c>
      <c r="M267" t="s">
        <v>2132</v>
      </c>
      <c r="N267" t="s">
        <v>2413</v>
      </c>
      <c r="O267" t="s">
        <v>2439</v>
      </c>
      <c r="P267" t="s">
        <v>2444</v>
      </c>
      <c r="Q267" t="s">
        <v>2003</v>
      </c>
      <c r="R267" t="s">
        <v>2451</v>
      </c>
      <c r="T267">
        <v>1100</v>
      </c>
      <c r="U267" t="s">
        <v>2512</v>
      </c>
      <c r="V267" t="s">
        <v>2515</v>
      </c>
      <c r="W267" t="s">
        <v>5086</v>
      </c>
      <c r="X267" t="s">
        <v>2058</v>
      </c>
      <c r="Y267" t="s">
        <v>5325</v>
      </c>
      <c r="Z267">
        <v>3</v>
      </c>
      <c r="AA267" t="s">
        <v>2156</v>
      </c>
      <c r="AB267" t="s">
        <v>2006</v>
      </c>
      <c r="AC267">
        <v>14</v>
      </c>
      <c r="AD267">
        <v>1</v>
      </c>
      <c r="AE267">
        <v>0</v>
      </c>
      <c r="AF267">
        <v>153.72</v>
      </c>
      <c r="AI267" t="s">
        <v>3809</v>
      </c>
      <c r="AJ267">
        <v>19200</v>
      </c>
      <c r="AP267">
        <v>0.5</v>
      </c>
      <c r="AQ267" t="s">
        <v>279</v>
      </c>
      <c r="AR267" t="s">
        <v>4187</v>
      </c>
      <c r="AS267" t="s">
        <v>4210</v>
      </c>
      <c r="AT267" t="s">
        <v>4219</v>
      </c>
    </row>
    <row r="268" spans="1:46">
      <c r="A268" s="1">
        <f>HYPERLINK("https://lsnyc.legalserver.org/matter/dynamic-profile/view/1867637","18-1867637")</f>
        <v>0</v>
      </c>
      <c r="B268" t="s">
        <v>4185</v>
      </c>
      <c r="C268" t="s">
        <v>4249</v>
      </c>
      <c r="D268" t="s">
        <v>195</v>
      </c>
      <c r="E268" t="s">
        <v>609</v>
      </c>
      <c r="F268" t="s">
        <v>934</v>
      </c>
      <c r="G268" t="s">
        <v>4714</v>
      </c>
      <c r="H268" t="s">
        <v>1748</v>
      </c>
      <c r="I268">
        <v>11207</v>
      </c>
      <c r="J268" t="s">
        <v>2004</v>
      </c>
      <c r="K268" t="s">
        <v>2004</v>
      </c>
      <c r="M268" t="s">
        <v>4863</v>
      </c>
      <c r="N268" t="s">
        <v>2415</v>
      </c>
      <c r="P268" t="s">
        <v>2444</v>
      </c>
      <c r="T268">
        <v>1820</v>
      </c>
      <c r="U268" t="s">
        <v>2495</v>
      </c>
      <c r="V268" t="s">
        <v>2515</v>
      </c>
      <c r="W268" t="s">
        <v>5087</v>
      </c>
      <c r="Y268" t="s">
        <v>5326</v>
      </c>
      <c r="Z268">
        <v>4</v>
      </c>
      <c r="AA268" t="s">
        <v>3783</v>
      </c>
      <c r="AB268" t="s">
        <v>3793</v>
      </c>
      <c r="AC268">
        <v>7</v>
      </c>
      <c r="AD268">
        <v>2</v>
      </c>
      <c r="AE268">
        <v>0</v>
      </c>
      <c r="AF268">
        <v>154.09</v>
      </c>
      <c r="AI268" t="s">
        <v>3809</v>
      </c>
      <c r="AJ268">
        <v>25364</v>
      </c>
      <c r="AP268">
        <v>1</v>
      </c>
      <c r="AQ268" t="s">
        <v>4249</v>
      </c>
      <c r="AR268" t="s">
        <v>4207</v>
      </c>
      <c r="AS268" t="s">
        <v>4210</v>
      </c>
      <c r="AT268" t="s">
        <v>4219</v>
      </c>
    </row>
    <row r="269" spans="1:46">
      <c r="A269" s="1">
        <f>HYPERLINK("https://lsnyc.legalserver.org/matter/dynamic-profile/view/1880252","18-1880252")</f>
        <v>0</v>
      </c>
      <c r="B269" t="s">
        <v>4185</v>
      </c>
      <c r="C269" t="s">
        <v>114</v>
      </c>
      <c r="D269" t="s">
        <v>317</v>
      </c>
      <c r="E269" t="s">
        <v>517</v>
      </c>
      <c r="F269" t="s">
        <v>428</v>
      </c>
      <c r="G269" t="s">
        <v>4715</v>
      </c>
      <c r="H269">
        <v>7</v>
      </c>
      <c r="I269">
        <v>11233</v>
      </c>
      <c r="J269" t="s">
        <v>2003</v>
      </c>
      <c r="K269" t="s">
        <v>2003</v>
      </c>
      <c r="M269" t="s">
        <v>4864</v>
      </c>
      <c r="N269" t="s">
        <v>2415</v>
      </c>
      <c r="O269" t="s">
        <v>2439</v>
      </c>
      <c r="P269" t="s">
        <v>2444</v>
      </c>
      <c r="Q269" t="s">
        <v>2003</v>
      </c>
      <c r="R269" t="s">
        <v>2451</v>
      </c>
      <c r="T269">
        <v>2245</v>
      </c>
      <c r="U269" t="s">
        <v>2502</v>
      </c>
      <c r="V269" t="s">
        <v>2515</v>
      </c>
      <c r="W269" t="s">
        <v>5088</v>
      </c>
      <c r="Y269" t="s">
        <v>5327</v>
      </c>
      <c r="Z269">
        <v>8</v>
      </c>
      <c r="AA269" t="s">
        <v>3783</v>
      </c>
      <c r="AC269">
        <v>1</v>
      </c>
      <c r="AD269">
        <v>1</v>
      </c>
      <c r="AE269">
        <v>0</v>
      </c>
      <c r="AF269">
        <v>156.18</v>
      </c>
      <c r="AI269" t="s">
        <v>3809</v>
      </c>
      <c r="AJ269">
        <v>18960</v>
      </c>
      <c r="AP269">
        <v>0.6</v>
      </c>
      <c r="AQ269" t="s">
        <v>295</v>
      </c>
      <c r="AR269" t="s">
        <v>4204</v>
      </c>
      <c r="AS269" t="s">
        <v>4210</v>
      </c>
      <c r="AT269" t="s">
        <v>4219</v>
      </c>
    </row>
    <row r="270" spans="1:46">
      <c r="A270" s="1">
        <f>HYPERLINK("https://lsnyc.legalserver.org/matter/dynamic-profile/view/1885346","18-1885346")</f>
        <v>0</v>
      </c>
      <c r="B270" t="s">
        <v>4185</v>
      </c>
      <c r="C270" t="s">
        <v>137</v>
      </c>
      <c r="D270" t="s">
        <v>99</v>
      </c>
      <c r="E270" t="s">
        <v>4388</v>
      </c>
      <c r="F270" t="s">
        <v>4535</v>
      </c>
      <c r="G270" t="s">
        <v>4716</v>
      </c>
      <c r="H270" t="s">
        <v>1837</v>
      </c>
      <c r="I270">
        <v>11208</v>
      </c>
      <c r="J270" t="s">
        <v>2003</v>
      </c>
      <c r="K270" t="s">
        <v>2003</v>
      </c>
      <c r="M270" t="s">
        <v>4865</v>
      </c>
      <c r="N270" t="s">
        <v>2413</v>
      </c>
      <c r="P270" t="s">
        <v>2444</v>
      </c>
      <c r="Q270" t="s">
        <v>2003</v>
      </c>
      <c r="T270">
        <v>620</v>
      </c>
      <c r="U270" t="s">
        <v>2495</v>
      </c>
      <c r="V270" t="s">
        <v>2515</v>
      </c>
      <c r="W270" t="s">
        <v>5089</v>
      </c>
      <c r="Y270" t="s">
        <v>5328</v>
      </c>
      <c r="Z270">
        <v>3</v>
      </c>
      <c r="AA270" t="s">
        <v>2156</v>
      </c>
      <c r="AB270" t="s">
        <v>2006</v>
      </c>
      <c r="AC270">
        <v>2</v>
      </c>
      <c r="AD270">
        <v>1</v>
      </c>
      <c r="AE270">
        <v>1</v>
      </c>
      <c r="AF270">
        <v>157.96</v>
      </c>
      <c r="AI270" t="s">
        <v>3809</v>
      </c>
      <c r="AJ270">
        <v>26000</v>
      </c>
      <c r="AP270">
        <v>0.5</v>
      </c>
      <c r="AQ270" t="s">
        <v>137</v>
      </c>
      <c r="AR270" t="s">
        <v>4195</v>
      </c>
      <c r="AS270" t="s">
        <v>4210</v>
      </c>
      <c r="AT270" t="s">
        <v>4219</v>
      </c>
    </row>
    <row r="271" spans="1:46">
      <c r="A271" s="1">
        <f>HYPERLINK("https://lsnyc.legalserver.org/matter/dynamic-profile/view/1902336","19-1902336")</f>
        <v>0</v>
      </c>
      <c r="B271" t="s">
        <v>4185</v>
      </c>
      <c r="C271" t="s">
        <v>254</v>
      </c>
      <c r="E271" t="s">
        <v>4389</v>
      </c>
      <c r="F271" t="s">
        <v>888</v>
      </c>
      <c r="G271" t="s">
        <v>4717</v>
      </c>
      <c r="H271">
        <v>1</v>
      </c>
      <c r="I271">
        <v>11233</v>
      </c>
      <c r="J271" t="s">
        <v>2003</v>
      </c>
      <c r="K271" t="s">
        <v>2004</v>
      </c>
      <c r="L271" t="s">
        <v>2006</v>
      </c>
      <c r="M271" t="s">
        <v>2132</v>
      </c>
      <c r="N271" t="s">
        <v>2027</v>
      </c>
      <c r="Q271" t="s">
        <v>2003</v>
      </c>
      <c r="R271" t="s">
        <v>2451</v>
      </c>
      <c r="T271">
        <v>1300</v>
      </c>
      <c r="U271" t="s">
        <v>2499</v>
      </c>
      <c r="W271" t="s">
        <v>5090</v>
      </c>
      <c r="X271" t="s">
        <v>3163</v>
      </c>
      <c r="Y271" t="s">
        <v>5329</v>
      </c>
      <c r="Z271">
        <v>3</v>
      </c>
      <c r="AA271" t="s">
        <v>3784</v>
      </c>
      <c r="AB271" t="s">
        <v>2006</v>
      </c>
      <c r="AC271">
        <v>9</v>
      </c>
      <c r="AD271">
        <v>2</v>
      </c>
      <c r="AE271">
        <v>0</v>
      </c>
      <c r="AF271">
        <v>159.67</v>
      </c>
      <c r="AI271" t="s">
        <v>3809</v>
      </c>
      <c r="AJ271">
        <v>27000</v>
      </c>
      <c r="AP271">
        <v>1</v>
      </c>
      <c r="AQ271" t="s">
        <v>254</v>
      </c>
      <c r="AR271" t="s">
        <v>4197</v>
      </c>
      <c r="AS271" t="s">
        <v>4210</v>
      </c>
      <c r="AT271" t="s">
        <v>4219</v>
      </c>
    </row>
    <row r="272" spans="1:46">
      <c r="A272" s="1">
        <f>HYPERLINK("https://lsnyc.legalserver.org/matter/dynamic-profile/view/1869769","18-1869769")</f>
        <v>0</v>
      </c>
      <c r="B272" t="s">
        <v>4185</v>
      </c>
      <c r="C272" t="s">
        <v>4238</v>
      </c>
      <c r="D272" t="s">
        <v>195</v>
      </c>
      <c r="E272" t="s">
        <v>4390</v>
      </c>
      <c r="F272" t="s">
        <v>4536</v>
      </c>
      <c r="G272" t="s">
        <v>4718</v>
      </c>
      <c r="H272" t="s">
        <v>1989</v>
      </c>
      <c r="I272">
        <v>11233</v>
      </c>
      <c r="J272" t="s">
        <v>2004</v>
      </c>
      <c r="K272" t="s">
        <v>2004</v>
      </c>
      <c r="N272" t="s">
        <v>2027</v>
      </c>
      <c r="P272" t="s">
        <v>2444</v>
      </c>
      <c r="Q272" t="s">
        <v>2003</v>
      </c>
      <c r="T272">
        <v>1600</v>
      </c>
      <c r="V272" t="s">
        <v>2515</v>
      </c>
      <c r="W272" t="s">
        <v>5091</v>
      </c>
      <c r="Y272" t="s">
        <v>5330</v>
      </c>
      <c r="Z272">
        <v>2</v>
      </c>
      <c r="AA272" t="s">
        <v>2156</v>
      </c>
      <c r="AB272" t="s">
        <v>2006</v>
      </c>
      <c r="AC272">
        <v>7</v>
      </c>
      <c r="AD272">
        <v>2</v>
      </c>
      <c r="AE272">
        <v>0</v>
      </c>
      <c r="AF272">
        <v>177.7</v>
      </c>
      <c r="AI272" t="s">
        <v>3810</v>
      </c>
      <c r="AJ272">
        <v>29250</v>
      </c>
      <c r="AP272">
        <v>1.1</v>
      </c>
      <c r="AQ272" t="s">
        <v>304</v>
      </c>
      <c r="AR272" t="s">
        <v>4187</v>
      </c>
      <c r="AS272" t="s">
        <v>4210</v>
      </c>
      <c r="AT272" t="s">
        <v>4219</v>
      </c>
    </row>
    <row r="273" spans="1:46">
      <c r="A273" s="1">
        <f>HYPERLINK("https://lsnyc.legalserver.org/matter/dynamic-profile/view/1880366","18-1880366")</f>
        <v>0</v>
      </c>
      <c r="B273" t="s">
        <v>4185</v>
      </c>
      <c r="C273" t="s">
        <v>113</v>
      </c>
      <c r="D273" t="s">
        <v>83</v>
      </c>
      <c r="E273" t="s">
        <v>4391</v>
      </c>
      <c r="F273" t="s">
        <v>551</v>
      </c>
      <c r="G273" t="s">
        <v>4719</v>
      </c>
      <c r="H273" t="s">
        <v>4783</v>
      </c>
      <c r="I273">
        <v>11212</v>
      </c>
      <c r="J273" t="s">
        <v>2003</v>
      </c>
      <c r="K273" t="s">
        <v>2003</v>
      </c>
      <c r="M273" t="s">
        <v>4866</v>
      </c>
      <c r="N273" t="s">
        <v>2415</v>
      </c>
      <c r="P273" t="s">
        <v>2444</v>
      </c>
      <c r="Q273" t="s">
        <v>2003</v>
      </c>
      <c r="R273" t="s">
        <v>2451</v>
      </c>
      <c r="T273">
        <v>929</v>
      </c>
      <c r="U273" t="s">
        <v>2497</v>
      </c>
      <c r="V273" t="s">
        <v>2515</v>
      </c>
      <c r="W273" t="s">
        <v>5084</v>
      </c>
      <c r="X273" t="s">
        <v>2006</v>
      </c>
      <c r="Y273" t="s">
        <v>5331</v>
      </c>
      <c r="Z273">
        <v>39</v>
      </c>
      <c r="AA273" t="s">
        <v>3783</v>
      </c>
      <c r="AB273" t="s">
        <v>2006</v>
      </c>
      <c r="AC273">
        <v>12</v>
      </c>
      <c r="AD273">
        <v>2</v>
      </c>
      <c r="AE273">
        <v>1</v>
      </c>
      <c r="AF273">
        <v>187.68</v>
      </c>
      <c r="AI273" t="s">
        <v>3809</v>
      </c>
      <c r="AJ273">
        <v>39000</v>
      </c>
      <c r="AK273" t="s">
        <v>5394</v>
      </c>
      <c r="AP273">
        <v>0.25</v>
      </c>
      <c r="AQ273" t="s">
        <v>83</v>
      </c>
      <c r="AR273" t="s">
        <v>4185</v>
      </c>
      <c r="AS273" t="s">
        <v>4210</v>
      </c>
      <c r="AT273" t="s">
        <v>4219</v>
      </c>
    </row>
    <row r="274" spans="1:46">
      <c r="A274" s="1">
        <f>HYPERLINK("https://lsnyc.legalserver.org/matter/dynamic-profile/view/1870792","18-1870792")</f>
        <v>0</v>
      </c>
      <c r="B274" t="s">
        <v>4185</v>
      </c>
      <c r="C274" t="s">
        <v>211</v>
      </c>
      <c r="D274" t="s">
        <v>316</v>
      </c>
      <c r="E274" t="s">
        <v>366</v>
      </c>
      <c r="F274" t="s">
        <v>4537</v>
      </c>
      <c r="G274" t="s">
        <v>4720</v>
      </c>
      <c r="H274" t="s">
        <v>1752</v>
      </c>
      <c r="I274">
        <v>11207</v>
      </c>
      <c r="J274" t="s">
        <v>2003</v>
      </c>
      <c r="K274" t="s">
        <v>2004</v>
      </c>
      <c r="M274" t="s">
        <v>4867</v>
      </c>
      <c r="N274" t="s">
        <v>2413</v>
      </c>
      <c r="O274" t="s">
        <v>2439</v>
      </c>
      <c r="P274" t="s">
        <v>2444</v>
      </c>
      <c r="Q274" t="s">
        <v>2003</v>
      </c>
      <c r="T274">
        <v>1700</v>
      </c>
      <c r="U274" t="s">
        <v>2499</v>
      </c>
      <c r="V274" t="s">
        <v>2515</v>
      </c>
      <c r="W274" t="s">
        <v>5092</v>
      </c>
      <c r="X274" t="s">
        <v>2006</v>
      </c>
      <c r="Y274" t="s">
        <v>5332</v>
      </c>
      <c r="Z274">
        <v>2</v>
      </c>
      <c r="AA274" t="s">
        <v>3784</v>
      </c>
      <c r="AB274" t="s">
        <v>2006</v>
      </c>
      <c r="AC274">
        <v>1</v>
      </c>
      <c r="AD274">
        <v>1</v>
      </c>
      <c r="AE274">
        <v>2</v>
      </c>
      <c r="AF274">
        <v>187.68</v>
      </c>
      <c r="AI274" t="s">
        <v>3809</v>
      </c>
      <c r="AJ274">
        <v>39000</v>
      </c>
      <c r="AP274">
        <v>0.6</v>
      </c>
      <c r="AQ274" t="s">
        <v>211</v>
      </c>
      <c r="AR274" t="s">
        <v>4196</v>
      </c>
      <c r="AS274" t="s">
        <v>4210</v>
      </c>
      <c r="AT274" t="s">
        <v>4219</v>
      </c>
    </row>
    <row r="275" spans="1:46">
      <c r="A275" s="1">
        <f>HYPERLINK("https://lsnyc.legalserver.org/matter/dynamic-profile/view/1879071","18-1879071")</f>
        <v>0</v>
      </c>
      <c r="B275" t="s">
        <v>4185</v>
      </c>
      <c r="C275" t="s">
        <v>194</v>
      </c>
      <c r="D275" t="s">
        <v>154</v>
      </c>
      <c r="E275" t="s">
        <v>4392</v>
      </c>
      <c r="F275" t="s">
        <v>4538</v>
      </c>
      <c r="G275" t="s">
        <v>4721</v>
      </c>
      <c r="H275" t="s">
        <v>4784</v>
      </c>
      <c r="I275">
        <v>11208</v>
      </c>
      <c r="J275" t="s">
        <v>2003</v>
      </c>
      <c r="K275" t="s">
        <v>2003</v>
      </c>
      <c r="M275" t="s">
        <v>4868</v>
      </c>
      <c r="N275" t="s">
        <v>2413</v>
      </c>
      <c r="O275" t="s">
        <v>2439</v>
      </c>
      <c r="P275" t="s">
        <v>2444</v>
      </c>
      <c r="Q275" t="s">
        <v>2003</v>
      </c>
      <c r="T275">
        <v>1500</v>
      </c>
      <c r="U275" t="s">
        <v>2512</v>
      </c>
      <c r="V275" t="s">
        <v>2515</v>
      </c>
      <c r="W275" t="s">
        <v>5093</v>
      </c>
      <c r="Y275" t="s">
        <v>5333</v>
      </c>
      <c r="Z275">
        <v>1100</v>
      </c>
      <c r="AA275" t="s">
        <v>3783</v>
      </c>
      <c r="AC275">
        <v>50</v>
      </c>
      <c r="AD275">
        <v>1</v>
      </c>
      <c r="AE275">
        <v>0</v>
      </c>
      <c r="AF275">
        <v>187.81</v>
      </c>
      <c r="AI275" t="s">
        <v>3809</v>
      </c>
      <c r="AJ275">
        <v>22800</v>
      </c>
      <c r="AP275">
        <v>1</v>
      </c>
      <c r="AQ275" t="s">
        <v>194</v>
      </c>
      <c r="AR275" t="s">
        <v>4194</v>
      </c>
      <c r="AS275" t="s">
        <v>4210</v>
      </c>
      <c r="AT275" t="s">
        <v>4219</v>
      </c>
    </row>
    <row r="276" spans="1:46">
      <c r="A276" s="1">
        <f>HYPERLINK("https://lsnyc.legalserver.org/matter/dynamic-profile/view/1871740","18-1871740")</f>
        <v>0</v>
      </c>
      <c r="B276" t="s">
        <v>4185</v>
      </c>
      <c r="C276" t="s">
        <v>187</v>
      </c>
      <c r="D276" t="s">
        <v>316</v>
      </c>
      <c r="E276" t="s">
        <v>4393</v>
      </c>
      <c r="F276" t="s">
        <v>4539</v>
      </c>
      <c r="G276" t="s">
        <v>4722</v>
      </c>
      <c r="H276" t="s">
        <v>1858</v>
      </c>
      <c r="I276">
        <v>11208</v>
      </c>
      <c r="J276" t="s">
        <v>2003</v>
      </c>
      <c r="K276" t="s">
        <v>2003</v>
      </c>
      <c r="M276" t="s">
        <v>2131</v>
      </c>
      <c r="O276" t="s">
        <v>2439</v>
      </c>
      <c r="P276" t="s">
        <v>2444</v>
      </c>
      <c r="Q276" t="s">
        <v>2003</v>
      </c>
      <c r="T276">
        <v>2900</v>
      </c>
      <c r="U276" t="s">
        <v>2495</v>
      </c>
      <c r="V276" t="s">
        <v>2515</v>
      </c>
      <c r="W276" t="s">
        <v>5094</v>
      </c>
      <c r="X276" t="s">
        <v>2006</v>
      </c>
      <c r="Y276" t="s">
        <v>5334</v>
      </c>
      <c r="Z276">
        <v>2</v>
      </c>
      <c r="AA276" t="s">
        <v>3784</v>
      </c>
      <c r="AB276" t="s">
        <v>2006</v>
      </c>
      <c r="AC276">
        <v>0</v>
      </c>
      <c r="AD276">
        <v>1</v>
      </c>
      <c r="AE276">
        <v>0</v>
      </c>
      <c r="AF276">
        <v>192.75</v>
      </c>
      <c r="AI276" t="s">
        <v>3809</v>
      </c>
      <c r="AJ276">
        <v>23400</v>
      </c>
      <c r="AP276">
        <v>0.5</v>
      </c>
      <c r="AQ276" t="s">
        <v>187</v>
      </c>
      <c r="AR276" t="s">
        <v>4191</v>
      </c>
      <c r="AS276" t="s">
        <v>4210</v>
      </c>
      <c r="AT276" t="s">
        <v>4219</v>
      </c>
    </row>
    <row r="277" spans="1:46">
      <c r="A277" s="1">
        <f>HYPERLINK("https://lsnyc.legalserver.org/matter/dynamic-profile/view/1877306","18-1877306")</f>
        <v>0</v>
      </c>
      <c r="B277" t="s">
        <v>4185</v>
      </c>
      <c r="C277" t="s">
        <v>199</v>
      </c>
      <c r="D277" t="s">
        <v>195</v>
      </c>
      <c r="E277" t="s">
        <v>4394</v>
      </c>
      <c r="F277" t="s">
        <v>851</v>
      </c>
      <c r="G277" t="s">
        <v>4723</v>
      </c>
      <c r="H277">
        <v>2</v>
      </c>
      <c r="I277">
        <v>11208</v>
      </c>
      <c r="J277" t="s">
        <v>2003</v>
      </c>
      <c r="K277" t="s">
        <v>2003</v>
      </c>
      <c r="M277" t="s">
        <v>4869</v>
      </c>
      <c r="N277" t="s">
        <v>2413</v>
      </c>
      <c r="P277" t="s">
        <v>2444</v>
      </c>
      <c r="T277">
        <v>0</v>
      </c>
      <c r="U277" t="s">
        <v>2499</v>
      </c>
      <c r="V277" t="s">
        <v>2515</v>
      </c>
      <c r="W277" t="s">
        <v>5095</v>
      </c>
      <c r="Y277" t="s">
        <v>5335</v>
      </c>
      <c r="Z277">
        <v>2</v>
      </c>
      <c r="AB277" t="s">
        <v>2006</v>
      </c>
      <c r="AC277">
        <v>2</v>
      </c>
      <c r="AD277">
        <v>2</v>
      </c>
      <c r="AE277">
        <v>1</v>
      </c>
      <c r="AF277">
        <v>204.04</v>
      </c>
      <c r="AI277" t="s">
        <v>3809</v>
      </c>
      <c r="AJ277">
        <v>42400</v>
      </c>
      <c r="AP277">
        <v>0.6</v>
      </c>
      <c r="AQ277" t="s">
        <v>199</v>
      </c>
      <c r="AR277" t="s">
        <v>4198</v>
      </c>
      <c r="AS277" t="s">
        <v>4210</v>
      </c>
      <c r="AT277" t="s">
        <v>4219</v>
      </c>
    </row>
    <row r="278" spans="1:46">
      <c r="A278" s="1">
        <f>HYPERLINK("https://lsnyc.legalserver.org/matter/dynamic-profile/view/1885500","18-1885500")</f>
        <v>0</v>
      </c>
      <c r="B278" t="s">
        <v>4185</v>
      </c>
      <c r="C278" t="s">
        <v>124</v>
      </c>
      <c r="D278" t="s">
        <v>131</v>
      </c>
      <c r="E278" t="s">
        <v>4255</v>
      </c>
      <c r="F278" t="s">
        <v>4406</v>
      </c>
      <c r="G278" t="s">
        <v>4548</v>
      </c>
      <c r="H278" t="s">
        <v>1791</v>
      </c>
      <c r="I278">
        <v>11233</v>
      </c>
      <c r="J278" t="s">
        <v>2003</v>
      </c>
      <c r="K278" t="s">
        <v>2003</v>
      </c>
      <c r="N278" t="s">
        <v>2422</v>
      </c>
      <c r="O278" t="s">
        <v>2439</v>
      </c>
      <c r="P278" t="s">
        <v>2444</v>
      </c>
      <c r="Q278" t="s">
        <v>2003</v>
      </c>
      <c r="R278" t="s">
        <v>2451</v>
      </c>
      <c r="T278">
        <v>1645</v>
      </c>
      <c r="U278" t="s">
        <v>2502</v>
      </c>
      <c r="V278" t="s">
        <v>2515</v>
      </c>
      <c r="W278" t="s">
        <v>4889</v>
      </c>
      <c r="X278" t="s">
        <v>2006</v>
      </c>
      <c r="Y278" t="s">
        <v>5148</v>
      </c>
      <c r="Z278">
        <v>25</v>
      </c>
      <c r="AA278" t="s">
        <v>3783</v>
      </c>
      <c r="AB278" t="s">
        <v>3793</v>
      </c>
      <c r="AC278">
        <v>4</v>
      </c>
      <c r="AD278">
        <v>1</v>
      </c>
      <c r="AE278">
        <v>1</v>
      </c>
      <c r="AF278">
        <v>211.25</v>
      </c>
      <c r="AI278" t="s">
        <v>3809</v>
      </c>
      <c r="AJ278">
        <v>34772</v>
      </c>
      <c r="AP278">
        <v>0.25</v>
      </c>
      <c r="AQ278" t="s">
        <v>131</v>
      </c>
      <c r="AR278" t="s">
        <v>4185</v>
      </c>
      <c r="AS278" t="s">
        <v>4210</v>
      </c>
      <c r="AT278" t="s">
        <v>4219</v>
      </c>
    </row>
    <row r="279" spans="1:46">
      <c r="A279" s="1">
        <f>HYPERLINK("https://lsnyc.legalserver.org/matter/dynamic-profile/view/1882616","18-1882616")</f>
        <v>0</v>
      </c>
      <c r="B279" t="s">
        <v>4185</v>
      </c>
      <c r="C279" t="s">
        <v>286</v>
      </c>
      <c r="D279" t="s">
        <v>236</v>
      </c>
      <c r="E279" t="s">
        <v>4395</v>
      </c>
      <c r="F279" t="s">
        <v>938</v>
      </c>
      <c r="G279" t="s">
        <v>4724</v>
      </c>
      <c r="H279" t="s">
        <v>1778</v>
      </c>
      <c r="I279">
        <v>11208</v>
      </c>
      <c r="J279" t="s">
        <v>2003</v>
      </c>
      <c r="K279" t="s">
        <v>2003</v>
      </c>
      <c r="M279" t="s">
        <v>4870</v>
      </c>
      <c r="N279" t="s">
        <v>2413</v>
      </c>
      <c r="O279" t="s">
        <v>2439</v>
      </c>
      <c r="P279" t="s">
        <v>2444</v>
      </c>
      <c r="Q279" t="s">
        <v>2003</v>
      </c>
      <c r="R279" t="s">
        <v>2451</v>
      </c>
      <c r="T279">
        <v>0</v>
      </c>
      <c r="U279" t="s">
        <v>2501</v>
      </c>
      <c r="V279" t="s">
        <v>2515</v>
      </c>
      <c r="W279" t="s">
        <v>5096</v>
      </c>
      <c r="X279" t="s">
        <v>2006</v>
      </c>
      <c r="Y279" t="s">
        <v>5336</v>
      </c>
      <c r="Z279">
        <v>2</v>
      </c>
      <c r="AA279" t="s">
        <v>3784</v>
      </c>
      <c r="AB279" t="s">
        <v>2006</v>
      </c>
      <c r="AC279">
        <v>12</v>
      </c>
      <c r="AD279">
        <v>1</v>
      </c>
      <c r="AE279">
        <v>1</v>
      </c>
      <c r="AF279">
        <v>236.94</v>
      </c>
      <c r="AI279" t="s">
        <v>3809</v>
      </c>
      <c r="AJ279">
        <v>39000</v>
      </c>
      <c r="AK279" t="s">
        <v>5395</v>
      </c>
      <c r="AP279">
        <v>0.5</v>
      </c>
      <c r="AQ279" t="s">
        <v>286</v>
      </c>
      <c r="AR279" t="s">
        <v>4204</v>
      </c>
      <c r="AS279" t="s">
        <v>4210</v>
      </c>
      <c r="AT279" t="s">
        <v>4219</v>
      </c>
    </row>
    <row r="280" spans="1:46">
      <c r="A280" s="1">
        <f>HYPERLINK("https://lsnyc.legalserver.org/matter/dynamic-profile/view/1901109","19-1901109")</f>
        <v>0</v>
      </c>
      <c r="B280" t="s">
        <v>4185</v>
      </c>
      <c r="C280" t="s">
        <v>171</v>
      </c>
      <c r="D280" t="s">
        <v>2492</v>
      </c>
      <c r="E280" t="s">
        <v>766</v>
      </c>
      <c r="F280" t="s">
        <v>4487</v>
      </c>
      <c r="G280" t="s">
        <v>4649</v>
      </c>
      <c r="H280" t="s">
        <v>1748</v>
      </c>
      <c r="I280">
        <v>11207</v>
      </c>
      <c r="J280" t="s">
        <v>2003</v>
      </c>
      <c r="K280" t="s">
        <v>2004</v>
      </c>
      <c r="L280" t="s">
        <v>2006</v>
      </c>
      <c r="N280" t="s">
        <v>2027</v>
      </c>
      <c r="O280" t="s">
        <v>2439</v>
      </c>
      <c r="P280" t="s">
        <v>2444</v>
      </c>
      <c r="Q280" t="s">
        <v>2003</v>
      </c>
      <c r="R280" t="s">
        <v>2451</v>
      </c>
      <c r="T280">
        <v>850</v>
      </c>
      <c r="V280" t="s">
        <v>2515</v>
      </c>
      <c r="W280" t="s">
        <v>5005</v>
      </c>
      <c r="Z280">
        <v>8</v>
      </c>
      <c r="AA280" t="s">
        <v>3783</v>
      </c>
      <c r="AB280" t="s">
        <v>2006</v>
      </c>
      <c r="AC280">
        <v>1</v>
      </c>
      <c r="AD280">
        <v>1</v>
      </c>
      <c r="AE280">
        <v>0</v>
      </c>
      <c r="AF280">
        <v>240.19</v>
      </c>
      <c r="AI280" t="s">
        <v>3809</v>
      </c>
      <c r="AJ280">
        <v>30000</v>
      </c>
      <c r="AK280" t="s">
        <v>5396</v>
      </c>
      <c r="AP280">
        <v>0.9</v>
      </c>
      <c r="AQ280" t="s">
        <v>2492</v>
      </c>
      <c r="AR280" t="s">
        <v>4187</v>
      </c>
      <c r="AS280" t="s">
        <v>4210</v>
      </c>
      <c r="AT280" t="s">
        <v>4219</v>
      </c>
    </row>
    <row r="281" spans="1:46">
      <c r="A281" s="1">
        <f>HYPERLINK("https://lsnyc.legalserver.org/matter/dynamic-profile/view/1869657","18-1869657")</f>
        <v>0</v>
      </c>
      <c r="B281" t="s">
        <v>4185</v>
      </c>
      <c r="C281" t="s">
        <v>4250</v>
      </c>
      <c r="D281" t="s">
        <v>195</v>
      </c>
      <c r="E281" t="s">
        <v>619</v>
      </c>
      <c r="F281" t="s">
        <v>925</v>
      </c>
      <c r="G281" t="s">
        <v>4725</v>
      </c>
      <c r="H281">
        <v>3</v>
      </c>
      <c r="I281">
        <v>11233</v>
      </c>
      <c r="J281" t="s">
        <v>2003</v>
      </c>
      <c r="K281" t="s">
        <v>2004</v>
      </c>
      <c r="M281" t="s">
        <v>2027</v>
      </c>
      <c r="N281" t="s">
        <v>2413</v>
      </c>
      <c r="O281" t="s">
        <v>2439</v>
      </c>
      <c r="P281" t="s">
        <v>2444</v>
      </c>
      <c r="Q281" t="s">
        <v>2450</v>
      </c>
      <c r="T281">
        <v>1725</v>
      </c>
      <c r="U281" t="s">
        <v>2509</v>
      </c>
      <c r="V281" t="s">
        <v>2515</v>
      </c>
      <c r="W281" t="s">
        <v>5097</v>
      </c>
      <c r="Y281" t="s">
        <v>5337</v>
      </c>
      <c r="Z281">
        <v>3</v>
      </c>
      <c r="AA281" t="s">
        <v>3784</v>
      </c>
      <c r="AB281" t="s">
        <v>2006</v>
      </c>
      <c r="AC281">
        <v>4</v>
      </c>
      <c r="AD281">
        <v>2</v>
      </c>
      <c r="AE281">
        <v>0</v>
      </c>
      <c r="AF281">
        <v>300.12</v>
      </c>
      <c r="AI281" t="s">
        <v>3809</v>
      </c>
      <c r="AJ281">
        <v>49400</v>
      </c>
      <c r="AP281">
        <v>1.5</v>
      </c>
      <c r="AQ281" t="s">
        <v>4238</v>
      </c>
      <c r="AR281" t="s">
        <v>4192</v>
      </c>
      <c r="AS281" t="s">
        <v>4210</v>
      </c>
      <c r="AT281" t="s">
        <v>4219</v>
      </c>
    </row>
    <row r="282" spans="1:46">
      <c r="A282" s="1">
        <f>HYPERLINK("https://lsnyc.legalserver.org/matter/dynamic-profile/view/1903001","19-1903001")</f>
        <v>0</v>
      </c>
      <c r="B282" t="s">
        <v>70</v>
      </c>
      <c r="C282" t="s">
        <v>327</v>
      </c>
      <c r="E282" t="s">
        <v>4396</v>
      </c>
      <c r="F282" t="s">
        <v>4534</v>
      </c>
      <c r="G282" t="s">
        <v>4726</v>
      </c>
      <c r="H282" t="s">
        <v>1742</v>
      </c>
      <c r="I282">
        <v>11212</v>
      </c>
      <c r="J282" t="s">
        <v>2003</v>
      </c>
      <c r="K282" t="s">
        <v>2004</v>
      </c>
      <c r="M282" t="s">
        <v>4871</v>
      </c>
      <c r="N282" t="s">
        <v>2415</v>
      </c>
      <c r="Q282" t="s">
        <v>2003</v>
      </c>
      <c r="T282">
        <v>1534</v>
      </c>
      <c r="U282" t="s">
        <v>2497</v>
      </c>
      <c r="W282" t="s">
        <v>5098</v>
      </c>
      <c r="X282">
        <v>9407455</v>
      </c>
      <c r="Y282" t="s">
        <v>5338</v>
      </c>
      <c r="Z282">
        <v>21</v>
      </c>
      <c r="AA282" t="s">
        <v>3783</v>
      </c>
      <c r="AB282" t="s">
        <v>3795</v>
      </c>
      <c r="AC282">
        <v>9</v>
      </c>
      <c r="AD282">
        <v>1</v>
      </c>
      <c r="AE282">
        <v>2</v>
      </c>
      <c r="AF282">
        <v>0</v>
      </c>
      <c r="AI282" t="s">
        <v>3809</v>
      </c>
      <c r="AJ282">
        <v>0</v>
      </c>
      <c r="AP282">
        <v>10.25</v>
      </c>
      <c r="AQ282" t="s">
        <v>321</v>
      </c>
      <c r="AR282" t="s">
        <v>49</v>
      </c>
      <c r="AS282" t="s">
        <v>4210</v>
      </c>
      <c r="AT282" t="s">
        <v>4219</v>
      </c>
    </row>
    <row r="283" spans="1:46">
      <c r="A283" s="1">
        <f>HYPERLINK("https://lsnyc.legalserver.org/matter/dynamic-profile/view/1889277","19-1889277")</f>
        <v>0</v>
      </c>
      <c r="B283" t="s">
        <v>70</v>
      </c>
      <c r="C283" t="s">
        <v>134</v>
      </c>
      <c r="E283" t="s">
        <v>583</v>
      </c>
      <c r="F283" t="s">
        <v>511</v>
      </c>
      <c r="G283" t="s">
        <v>4727</v>
      </c>
      <c r="H283">
        <v>3</v>
      </c>
      <c r="I283">
        <v>11207</v>
      </c>
      <c r="J283" t="s">
        <v>2003</v>
      </c>
      <c r="K283" t="s">
        <v>2003</v>
      </c>
      <c r="M283" t="s">
        <v>4872</v>
      </c>
      <c r="N283" t="s">
        <v>2415</v>
      </c>
      <c r="Q283" t="s">
        <v>2003</v>
      </c>
      <c r="T283">
        <v>2600</v>
      </c>
      <c r="U283" t="s">
        <v>2495</v>
      </c>
      <c r="W283" t="s">
        <v>5099</v>
      </c>
      <c r="Y283" t="s">
        <v>5339</v>
      </c>
      <c r="Z283">
        <v>3</v>
      </c>
      <c r="AA283" t="s">
        <v>3784</v>
      </c>
      <c r="AB283" t="s">
        <v>2006</v>
      </c>
      <c r="AC283">
        <v>0</v>
      </c>
      <c r="AD283">
        <v>1</v>
      </c>
      <c r="AE283">
        <v>1</v>
      </c>
      <c r="AF283">
        <v>0</v>
      </c>
      <c r="AI283" t="s">
        <v>3809</v>
      </c>
      <c r="AJ283">
        <v>0</v>
      </c>
      <c r="AP283">
        <v>2.25</v>
      </c>
      <c r="AQ283" t="s">
        <v>274</v>
      </c>
      <c r="AR283" t="s">
        <v>4207</v>
      </c>
      <c r="AS283" t="s">
        <v>4210</v>
      </c>
      <c r="AT283" t="s">
        <v>4219</v>
      </c>
    </row>
    <row r="284" spans="1:46">
      <c r="A284" s="1">
        <f>HYPERLINK("https://lsnyc.legalserver.org/matter/dynamic-profile/view/1897018","19-1897018")</f>
        <v>0</v>
      </c>
      <c r="B284" t="s">
        <v>70</v>
      </c>
      <c r="C284" t="s">
        <v>106</v>
      </c>
      <c r="E284" t="s">
        <v>4397</v>
      </c>
      <c r="F284" t="s">
        <v>4413</v>
      </c>
      <c r="G284" t="s">
        <v>4728</v>
      </c>
      <c r="H284" t="s">
        <v>1985</v>
      </c>
      <c r="I284">
        <v>11217</v>
      </c>
      <c r="J284" t="s">
        <v>2003</v>
      </c>
      <c r="K284" t="s">
        <v>2003</v>
      </c>
      <c r="M284" t="s">
        <v>2132</v>
      </c>
      <c r="N284" t="s">
        <v>2419</v>
      </c>
      <c r="O284" t="s">
        <v>2436</v>
      </c>
      <c r="Q284" t="s">
        <v>2003</v>
      </c>
      <c r="R284" t="s">
        <v>2451</v>
      </c>
      <c r="T284">
        <v>2019.37</v>
      </c>
      <c r="U284" t="s">
        <v>2506</v>
      </c>
      <c r="W284" t="s">
        <v>5100</v>
      </c>
      <c r="Y284" t="s">
        <v>5340</v>
      </c>
      <c r="Z284">
        <v>0</v>
      </c>
      <c r="AA284" t="s">
        <v>3783</v>
      </c>
      <c r="AB284" t="s">
        <v>3794</v>
      </c>
      <c r="AC284">
        <v>2</v>
      </c>
      <c r="AD284">
        <v>1</v>
      </c>
      <c r="AE284">
        <v>2</v>
      </c>
      <c r="AF284">
        <v>39.38</v>
      </c>
      <c r="AI284" t="s">
        <v>3809</v>
      </c>
      <c r="AJ284">
        <v>8400</v>
      </c>
      <c r="AP284">
        <v>3.7</v>
      </c>
      <c r="AQ284" t="s">
        <v>310</v>
      </c>
      <c r="AR284" t="s">
        <v>4185</v>
      </c>
      <c r="AS284" t="s">
        <v>4210</v>
      </c>
      <c r="AT284" t="s">
        <v>4219</v>
      </c>
    </row>
    <row r="285" spans="1:46">
      <c r="A285" s="1">
        <f>HYPERLINK("https://lsnyc.legalserver.org/matter/dynamic-profile/view/1901745","19-1901745")</f>
        <v>0</v>
      </c>
      <c r="B285" t="s">
        <v>70</v>
      </c>
      <c r="C285" t="s">
        <v>172</v>
      </c>
      <c r="E285" t="s">
        <v>4398</v>
      </c>
      <c r="F285" t="s">
        <v>4540</v>
      </c>
      <c r="G285" t="s">
        <v>4729</v>
      </c>
      <c r="H285" t="s">
        <v>1738</v>
      </c>
      <c r="I285">
        <v>11233</v>
      </c>
      <c r="J285" t="s">
        <v>2003</v>
      </c>
      <c r="K285" t="s">
        <v>2004</v>
      </c>
      <c r="L285" t="s">
        <v>2006</v>
      </c>
      <c r="M285" t="s">
        <v>4873</v>
      </c>
      <c r="N285" t="s">
        <v>2415</v>
      </c>
      <c r="Q285" t="s">
        <v>2003</v>
      </c>
      <c r="R285" t="s">
        <v>2451</v>
      </c>
      <c r="T285">
        <v>1032</v>
      </c>
      <c r="W285" t="s">
        <v>5101</v>
      </c>
      <c r="X285" t="s">
        <v>2058</v>
      </c>
      <c r="Y285" t="s">
        <v>5341</v>
      </c>
      <c r="Z285">
        <v>6</v>
      </c>
      <c r="AA285" t="s">
        <v>3783</v>
      </c>
      <c r="AB285" t="s">
        <v>2006</v>
      </c>
      <c r="AC285">
        <v>3</v>
      </c>
      <c r="AD285">
        <v>1</v>
      </c>
      <c r="AE285">
        <v>0</v>
      </c>
      <c r="AF285">
        <v>134.51</v>
      </c>
      <c r="AI285" t="s">
        <v>3809</v>
      </c>
      <c r="AJ285">
        <v>16800</v>
      </c>
      <c r="AP285">
        <v>5.5</v>
      </c>
      <c r="AQ285" t="s">
        <v>330</v>
      </c>
      <c r="AR285" t="s">
        <v>4197</v>
      </c>
      <c r="AS285" t="s">
        <v>4210</v>
      </c>
      <c r="AT285" t="s">
        <v>4219</v>
      </c>
    </row>
    <row r="286" spans="1:46">
      <c r="A286" s="1">
        <f>HYPERLINK("https://lsnyc.legalserver.org/matter/dynamic-profile/view/1893741","19-1893741")</f>
        <v>0</v>
      </c>
      <c r="B286" t="s">
        <v>70</v>
      </c>
      <c r="C286" t="s">
        <v>142</v>
      </c>
      <c r="E286" t="s">
        <v>4270</v>
      </c>
      <c r="F286" t="s">
        <v>1328</v>
      </c>
      <c r="G286" t="s">
        <v>4730</v>
      </c>
      <c r="H286" t="s">
        <v>1745</v>
      </c>
      <c r="I286">
        <v>11233</v>
      </c>
      <c r="J286" t="s">
        <v>2003</v>
      </c>
      <c r="K286" t="s">
        <v>2003</v>
      </c>
      <c r="M286" t="s">
        <v>4874</v>
      </c>
      <c r="N286" t="s">
        <v>2413</v>
      </c>
      <c r="Q286" t="s">
        <v>2003</v>
      </c>
      <c r="R286" t="s">
        <v>2451</v>
      </c>
      <c r="T286">
        <v>1100</v>
      </c>
      <c r="W286" t="s">
        <v>5102</v>
      </c>
      <c r="X286" t="s">
        <v>2058</v>
      </c>
      <c r="Y286" t="s">
        <v>5342</v>
      </c>
      <c r="Z286">
        <v>3</v>
      </c>
      <c r="AA286" t="s">
        <v>3784</v>
      </c>
      <c r="AB286" t="s">
        <v>2006</v>
      </c>
      <c r="AC286">
        <v>13</v>
      </c>
      <c r="AD286">
        <v>3</v>
      </c>
      <c r="AE286">
        <v>0</v>
      </c>
      <c r="AF286">
        <v>201.59</v>
      </c>
      <c r="AI286" t="s">
        <v>3809</v>
      </c>
      <c r="AJ286">
        <v>43000</v>
      </c>
      <c r="AP286">
        <v>0</v>
      </c>
      <c r="AR286" t="s">
        <v>4185</v>
      </c>
      <c r="AS286" t="s">
        <v>4210</v>
      </c>
      <c r="AT286" t="s">
        <v>4219</v>
      </c>
    </row>
    <row r="287" spans="1:46">
      <c r="A287" s="1">
        <f>HYPERLINK("https://lsnyc.legalserver.org/matter/dynamic-profile/view/1885503","18-1885503")</f>
        <v>0</v>
      </c>
      <c r="B287" t="s">
        <v>70</v>
      </c>
      <c r="C287" t="s">
        <v>124</v>
      </c>
      <c r="D287" t="s">
        <v>124</v>
      </c>
      <c r="E287" t="s">
        <v>512</v>
      </c>
      <c r="F287" t="s">
        <v>1315</v>
      </c>
      <c r="G287" t="s">
        <v>1502</v>
      </c>
      <c r="H287">
        <v>15</v>
      </c>
      <c r="I287">
        <v>11212</v>
      </c>
      <c r="J287" t="s">
        <v>2002</v>
      </c>
      <c r="K287" t="s">
        <v>2004</v>
      </c>
      <c r="O287" t="s">
        <v>2436</v>
      </c>
      <c r="P287" t="s">
        <v>2443</v>
      </c>
      <c r="T287">
        <v>0</v>
      </c>
      <c r="V287" t="s">
        <v>2524</v>
      </c>
      <c r="W287" t="s">
        <v>2561</v>
      </c>
      <c r="Z287">
        <v>0</v>
      </c>
      <c r="AC287">
        <v>0</v>
      </c>
      <c r="AD287">
        <v>1</v>
      </c>
      <c r="AE287">
        <v>0</v>
      </c>
      <c r="AF287">
        <v>205.93</v>
      </c>
      <c r="AI287" t="s">
        <v>3809</v>
      </c>
      <c r="AJ287">
        <v>24999.96</v>
      </c>
      <c r="AP287">
        <v>0.25</v>
      </c>
      <c r="AQ287" t="s">
        <v>124</v>
      </c>
      <c r="AR287" t="s">
        <v>70</v>
      </c>
      <c r="AS287" t="s">
        <v>4214</v>
      </c>
      <c r="AT287" t="s">
        <v>4219</v>
      </c>
    </row>
    <row r="288" spans="1:46">
      <c r="A288" s="1">
        <f>HYPERLINK("https://lsnyc.legalserver.org/matter/dynamic-profile/view/1884544","18-1884544")</f>
        <v>0</v>
      </c>
      <c r="B288" t="s">
        <v>70</v>
      </c>
      <c r="C288" t="s">
        <v>230</v>
      </c>
      <c r="E288" t="s">
        <v>4399</v>
      </c>
      <c r="F288" t="s">
        <v>1081</v>
      </c>
      <c r="G288" t="s">
        <v>4638</v>
      </c>
      <c r="H288" t="s">
        <v>1804</v>
      </c>
      <c r="I288">
        <v>11212</v>
      </c>
      <c r="J288" t="s">
        <v>2003</v>
      </c>
      <c r="K288" t="s">
        <v>2003</v>
      </c>
      <c r="L288" t="s">
        <v>2007</v>
      </c>
      <c r="M288" t="s">
        <v>4875</v>
      </c>
      <c r="N288" t="s">
        <v>2415</v>
      </c>
      <c r="O288" t="s">
        <v>2439</v>
      </c>
      <c r="Q288" t="s">
        <v>2003</v>
      </c>
      <c r="R288" t="s">
        <v>2451</v>
      </c>
      <c r="T288">
        <v>1039</v>
      </c>
      <c r="U288" t="s">
        <v>2495</v>
      </c>
      <c r="W288" t="s">
        <v>5103</v>
      </c>
      <c r="X288" t="s">
        <v>5145</v>
      </c>
      <c r="Y288" t="s">
        <v>5343</v>
      </c>
      <c r="Z288">
        <v>31</v>
      </c>
      <c r="AA288" t="s">
        <v>3783</v>
      </c>
      <c r="AB288" t="s">
        <v>2006</v>
      </c>
      <c r="AC288">
        <v>3</v>
      </c>
      <c r="AD288">
        <v>1</v>
      </c>
      <c r="AE288">
        <v>1</v>
      </c>
      <c r="AF288">
        <v>263.11</v>
      </c>
      <c r="AI288" t="s">
        <v>3809</v>
      </c>
      <c r="AJ288">
        <v>43308</v>
      </c>
      <c r="AP288">
        <v>2.1</v>
      </c>
      <c r="AQ288" t="s">
        <v>268</v>
      </c>
      <c r="AR288" t="s">
        <v>4196</v>
      </c>
      <c r="AS288" t="s">
        <v>4210</v>
      </c>
      <c r="AT288" t="s">
        <v>4219</v>
      </c>
    </row>
    <row r="289" spans="1:46">
      <c r="A289" s="1">
        <f>HYPERLINK("https://lsnyc.legalserver.org/matter/dynamic-profile/view/1896517","19-1896517")</f>
        <v>0</v>
      </c>
      <c r="B289" t="s">
        <v>71</v>
      </c>
      <c r="C289" t="s">
        <v>168</v>
      </c>
      <c r="E289" t="s">
        <v>504</v>
      </c>
      <c r="F289" t="s">
        <v>351</v>
      </c>
      <c r="G289" t="s">
        <v>1645</v>
      </c>
      <c r="H289" t="s">
        <v>1739</v>
      </c>
      <c r="I289">
        <v>11213</v>
      </c>
      <c r="J289" t="s">
        <v>2002</v>
      </c>
      <c r="K289" t="s">
        <v>2002</v>
      </c>
      <c r="M289" t="s">
        <v>4876</v>
      </c>
      <c r="N289" t="s">
        <v>2415</v>
      </c>
      <c r="Q289" t="s">
        <v>2003</v>
      </c>
      <c r="R289" t="s">
        <v>2451</v>
      </c>
      <c r="T289">
        <v>0</v>
      </c>
      <c r="W289" t="s">
        <v>4985</v>
      </c>
      <c r="Z289">
        <v>0</v>
      </c>
      <c r="AC289">
        <v>0</v>
      </c>
      <c r="AD289">
        <v>1</v>
      </c>
      <c r="AE289">
        <v>0</v>
      </c>
      <c r="AF289">
        <v>0</v>
      </c>
      <c r="AI289" t="s">
        <v>3809</v>
      </c>
      <c r="AJ289">
        <v>0</v>
      </c>
      <c r="AP289">
        <v>28.65</v>
      </c>
      <c r="AQ289" t="s">
        <v>163</v>
      </c>
      <c r="AR289" t="s">
        <v>4185</v>
      </c>
      <c r="AS289" t="s">
        <v>4210</v>
      </c>
      <c r="AT289" t="s">
        <v>4219</v>
      </c>
    </row>
    <row r="290" spans="1:46">
      <c r="A290" s="1">
        <f>HYPERLINK("https://lsnyc.legalserver.org/matter/dynamic-profile/view/1885830","18-1885830")</f>
        <v>0</v>
      </c>
      <c r="B290" t="s">
        <v>71</v>
      </c>
      <c r="C290" t="s">
        <v>317</v>
      </c>
      <c r="D290" t="s">
        <v>242</v>
      </c>
      <c r="E290" t="s">
        <v>382</v>
      </c>
      <c r="F290" t="s">
        <v>4541</v>
      </c>
      <c r="G290" t="s">
        <v>1643</v>
      </c>
      <c r="H290" t="s">
        <v>1944</v>
      </c>
      <c r="I290">
        <v>11213</v>
      </c>
      <c r="J290" t="s">
        <v>2003</v>
      </c>
      <c r="K290" t="s">
        <v>2004</v>
      </c>
      <c r="O290" t="s">
        <v>2439</v>
      </c>
      <c r="P290" t="s">
        <v>2444</v>
      </c>
      <c r="T290">
        <v>0</v>
      </c>
      <c r="V290" t="s">
        <v>2515</v>
      </c>
      <c r="W290" t="s">
        <v>5104</v>
      </c>
      <c r="Y290" t="s">
        <v>5344</v>
      </c>
      <c r="Z290">
        <v>0</v>
      </c>
      <c r="AC290">
        <v>30</v>
      </c>
      <c r="AD290">
        <v>1</v>
      </c>
      <c r="AE290">
        <v>0</v>
      </c>
      <c r="AF290">
        <v>0</v>
      </c>
      <c r="AI290" t="s">
        <v>3809</v>
      </c>
      <c r="AJ290">
        <v>0</v>
      </c>
      <c r="AP290">
        <v>0.25</v>
      </c>
      <c r="AQ290" t="s">
        <v>129</v>
      </c>
      <c r="AR290" t="s">
        <v>71</v>
      </c>
      <c r="AS290" t="s">
        <v>4210</v>
      </c>
      <c r="AT290" t="s">
        <v>4219</v>
      </c>
    </row>
    <row r="291" spans="1:46">
      <c r="A291" s="1">
        <f>HYPERLINK("https://lsnyc.legalserver.org/matter/dynamic-profile/view/1896325","19-1896325")</f>
        <v>0</v>
      </c>
      <c r="B291" t="s">
        <v>71</v>
      </c>
      <c r="C291" t="s">
        <v>102</v>
      </c>
      <c r="E291" t="s">
        <v>427</v>
      </c>
      <c r="F291" t="s">
        <v>936</v>
      </c>
      <c r="G291" t="s">
        <v>1435</v>
      </c>
      <c r="H291" t="s">
        <v>1778</v>
      </c>
      <c r="I291">
        <v>11208</v>
      </c>
      <c r="J291" t="s">
        <v>2003</v>
      </c>
      <c r="K291" t="s">
        <v>2003</v>
      </c>
      <c r="M291" t="s">
        <v>2090</v>
      </c>
      <c r="N291" t="s">
        <v>2413</v>
      </c>
      <c r="Q291" t="s">
        <v>2003</v>
      </c>
      <c r="T291">
        <v>1297</v>
      </c>
      <c r="W291" t="s">
        <v>2624</v>
      </c>
      <c r="Y291" t="s">
        <v>3394</v>
      </c>
      <c r="Z291">
        <v>2</v>
      </c>
      <c r="AA291" t="s">
        <v>3784</v>
      </c>
      <c r="AB291" t="s">
        <v>3793</v>
      </c>
      <c r="AC291">
        <v>12</v>
      </c>
      <c r="AD291">
        <v>1</v>
      </c>
      <c r="AE291">
        <v>2</v>
      </c>
      <c r="AF291">
        <v>14.14</v>
      </c>
      <c r="AI291" t="s">
        <v>3809</v>
      </c>
      <c r="AJ291">
        <v>3016</v>
      </c>
      <c r="AP291">
        <v>0.5</v>
      </c>
      <c r="AQ291" t="s">
        <v>170</v>
      </c>
      <c r="AR291" t="s">
        <v>49</v>
      </c>
      <c r="AS291" t="s">
        <v>4210</v>
      </c>
      <c r="AT291" t="s">
        <v>4219</v>
      </c>
    </row>
    <row r="292" spans="1:46">
      <c r="A292" s="1">
        <f>HYPERLINK("https://lsnyc.legalserver.org/matter/dynamic-profile/view/1885519","18-1885519")</f>
        <v>0</v>
      </c>
      <c r="B292" t="s">
        <v>71</v>
      </c>
      <c r="C292" t="s">
        <v>267</v>
      </c>
      <c r="E292" t="s">
        <v>843</v>
      </c>
      <c r="F292" t="s">
        <v>902</v>
      </c>
      <c r="G292" t="s">
        <v>4731</v>
      </c>
      <c r="H292" t="s">
        <v>1748</v>
      </c>
      <c r="I292">
        <v>11207</v>
      </c>
      <c r="J292" t="s">
        <v>2004</v>
      </c>
      <c r="K292" t="s">
        <v>2004</v>
      </c>
      <c r="O292" t="s">
        <v>2437</v>
      </c>
      <c r="T292">
        <v>0</v>
      </c>
      <c r="W292" t="s">
        <v>3151</v>
      </c>
      <c r="Y292" t="s">
        <v>3777</v>
      </c>
      <c r="Z292">
        <v>0</v>
      </c>
      <c r="AC292">
        <v>0</v>
      </c>
      <c r="AD292">
        <v>2</v>
      </c>
      <c r="AE292">
        <v>1</v>
      </c>
      <c r="AF292">
        <v>17.32</v>
      </c>
      <c r="AI292" t="s">
        <v>3809</v>
      </c>
      <c r="AJ292">
        <v>3600</v>
      </c>
      <c r="AP292">
        <v>22.25</v>
      </c>
      <c r="AQ292" t="s">
        <v>323</v>
      </c>
      <c r="AR292" t="s">
        <v>71</v>
      </c>
      <c r="AS292" t="s">
        <v>4210</v>
      </c>
      <c r="AT292" t="s">
        <v>4219</v>
      </c>
    </row>
    <row r="293" spans="1:46">
      <c r="A293" s="1">
        <f>HYPERLINK("https://lsnyc.legalserver.org/matter/dynamic-profile/view/1866695","18-1866695")</f>
        <v>0</v>
      </c>
      <c r="B293" t="s">
        <v>71</v>
      </c>
      <c r="C293" t="s">
        <v>213</v>
      </c>
      <c r="D293" t="s">
        <v>217</v>
      </c>
      <c r="E293" t="s">
        <v>4400</v>
      </c>
      <c r="F293" t="s">
        <v>4542</v>
      </c>
      <c r="G293" t="s">
        <v>4732</v>
      </c>
      <c r="H293" t="s">
        <v>1790</v>
      </c>
      <c r="I293">
        <v>11212</v>
      </c>
      <c r="J293" t="s">
        <v>2003</v>
      </c>
      <c r="K293" t="s">
        <v>2004</v>
      </c>
      <c r="M293" t="s">
        <v>3163</v>
      </c>
      <c r="O293" t="s">
        <v>2439</v>
      </c>
      <c r="P293" t="s">
        <v>2444</v>
      </c>
      <c r="Q293" t="s">
        <v>2003</v>
      </c>
      <c r="T293">
        <v>1445</v>
      </c>
      <c r="V293" t="s">
        <v>2515</v>
      </c>
      <c r="W293" t="s">
        <v>5105</v>
      </c>
      <c r="X293" t="s">
        <v>3208</v>
      </c>
      <c r="Y293" t="s">
        <v>5345</v>
      </c>
      <c r="Z293">
        <v>385</v>
      </c>
      <c r="AA293" t="s">
        <v>3783</v>
      </c>
      <c r="AB293" t="s">
        <v>3793</v>
      </c>
      <c r="AC293">
        <v>10</v>
      </c>
      <c r="AD293">
        <v>3</v>
      </c>
      <c r="AE293">
        <v>1</v>
      </c>
      <c r="AF293">
        <v>34.84</v>
      </c>
      <c r="AI293" t="s">
        <v>3809</v>
      </c>
      <c r="AJ293">
        <v>8744.4</v>
      </c>
      <c r="AK293" t="s">
        <v>5397</v>
      </c>
      <c r="AP293">
        <v>4.75</v>
      </c>
      <c r="AQ293" t="s">
        <v>217</v>
      </c>
      <c r="AR293" t="s">
        <v>4192</v>
      </c>
      <c r="AS293" t="s">
        <v>4210</v>
      </c>
      <c r="AT293" t="s">
        <v>4219</v>
      </c>
    </row>
    <row r="294" spans="1:46">
      <c r="A294" s="1">
        <f>HYPERLINK("https://lsnyc.legalserver.org/matter/dynamic-profile/view/1898171","19-1898171")</f>
        <v>0</v>
      </c>
      <c r="B294" t="s">
        <v>71</v>
      </c>
      <c r="C294" t="s">
        <v>4172</v>
      </c>
      <c r="E294" t="s">
        <v>4401</v>
      </c>
      <c r="F294" t="s">
        <v>972</v>
      </c>
      <c r="G294" t="s">
        <v>1540</v>
      </c>
      <c r="H294" t="s">
        <v>1765</v>
      </c>
      <c r="I294">
        <v>11213</v>
      </c>
      <c r="J294" t="s">
        <v>2002</v>
      </c>
      <c r="K294" t="s">
        <v>2002</v>
      </c>
      <c r="N294" t="s">
        <v>2424</v>
      </c>
      <c r="O294" t="s">
        <v>2441</v>
      </c>
      <c r="Q294" t="s">
        <v>2002</v>
      </c>
      <c r="R294" t="s">
        <v>2451</v>
      </c>
      <c r="T294">
        <v>0</v>
      </c>
      <c r="W294" t="s">
        <v>5106</v>
      </c>
      <c r="Z294">
        <v>0</v>
      </c>
      <c r="AC294">
        <v>0</v>
      </c>
      <c r="AD294">
        <v>3</v>
      </c>
      <c r="AE294">
        <v>1</v>
      </c>
      <c r="AF294">
        <v>75.5</v>
      </c>
      <c r="AI294" t="s">
        <v>3809</v>
      </c>
      <c r="AJ294">
        <v>19440</v>
      </c>
      <c r="AP294">
        <v>1.6</v>
      </c>
      <c r="AQ294" t="s">
        <v>107</v>
      </c>
      <c r="AR294" t="s">
        <v>4185</v>
      </c>
      <c r="AS294" t="s">
        <v>4210</v>
      </c>
      <c r="AT294" t="s">
        <v>4219</v>
      </c>
    </row>
    <row r="295" spans="1:46">
      <c r="A295" s="1">
        <f>HYPERLINK("https://lsnyc.legalserver.org/matter/dynamic-profile/view/1901141","19-1901141")</f>
        <v>0</v>
      </c>
      <c r="B295" t="s">
        <v>71</v>
      </c>
      <c r="C295" t="s">
        <v>171</v>
      </c>
      <c r="E295" t="s">
        <v>771</v>
      </c>
      <c r="F295" t="s">
        <v>956</v>
      </c>
      <c r="G295" t="s">
        <v>4733</v>
      </c>
      <c r="H295" t="s">
        <v>4785</v>
      </c>
      <c r="I295">
        <v>11212</v>
      </c>
      <c r="J295" t="s">
        <v>2004</v>
      </c>
      <c r="K295" t="s">
        <v>2004</v>
      </c>
      <c r="N295" t="s">
        <v>2415</v>
      </c>
      <c r="O295" t="s">
        <v>2442</v>
      </c>
      <c r="Q295" t="s">
        <v>2003</v>
      </c>
      <c r="T295">
        <v>247</v>
      </c>
      <c r="W295" t="s">
        <v>5107</v>
      </c>
      <c r="Z295">
        <v>0</v>
      </c>
      <c r="AB295" t="s">
        <v>3793</v>
      </c>
      <c r="AC295">
        <v>0</v>
      </c>
      <c r="AD295">
        <v>1</v>
      </c>
      <c r="AE295">
        <v>0</v>
      </c>
      <c r="AF295">
        <v>76.86</v>
      </c>
      <c r="AI295" t="s">
        <v>3809</v>
      </c>
      <c r="AJ295">
        <v>9600</v>
      </c>
      <c r="AP295">
        <v>2.05</v>
      </c>
      <c r="AQ295" t="s">
        <v>4169</v>
      </c>
      <c r="AR295" t="s">
        <v>71</v>
      </c>
      <c r="AS295" t="s">
        <v>4210</v>
      </c>
      <c r="AT295" t="s">
        <v>4219</v>
      </c>
    </row>
    <row r="296" spans="1:46">
      <c r="A296" s="1">
        <f>HYPERLINK("https://lsnyc.legalserver.org/matter/dynamic-profile/view/1896825","19-1896825")</f>
        <v>0</v>
      </c>
      <c r="B296" t="s">
        <v>71</v>
      </c>
      <c r="C296" t="s">
        <v>196</v>
      </c>
      <c r="E296" t="s">
        <v>4399</v>
      </c>
      <c r="F296" t="s">
        <v>893</v>
      </c>
      <c r="G296" t="s">
        <v>4734</v>
      </c>
      <c r="H296">
        <v>1</v>
      </c>
      <c r="I296">
        <v>11208</v>
      </c>
      <c r="J296" t="s">
        <v>2003</v>
      </c>
      <c r="K296" t="s">
        <v>2003</v>
      </c>
      <c r="L296" t="s">
        <v>2006</v>
      </c>
      <c r="M296" t="s">
        <v>4877</v>
      </c>
      <c r="N296" t="s">
        <v>2413</v>
      </c>
      <c r="O296" t="s">
        <v>2442</v>
      </c>
      <c r="Q296" t="s">
        <v>2003</v>
      </c>
      <c r="R296" t="s">
        <v>2451</v>
      </c>
      <c r="T296">
        <v>1550</v>
      </c>
      <c r="U296" t="s">
        <v>2512</v>
      </c>
      <c r="W296" t="s">
        <v>5108</v>
      </c>
      <c r="X296" t="s">
        <v>3208</v>
      </c>
      <c r="Y296" t="s">
        <v>5346</v>
      </c>
      <c r="Z296">
        <v>2</v>
      </c>
      <c r="AA296" t="s">
        <v>3784</v>
      </c>
      <c r="AB296" t="s">
        <v>2006</v>
      </c>
      <c r="AC296">
        <v>5</v>
      </c>
      <c r="AD296">
        <v>5</v>
      </c>
      <c r="AE296">
        <v>1</v>
      </c>
      <c r="AF296">
        <v>99.73999999999999</v>
      </c>
      <c r="AI296" t="s">
        <v>3809</v>
      </c>
      <c r="AJ296">
        <v>34500</v>
      </c>
      <c r="AP296">
        <v>2.5</v>
      </c>
      <c r="AQ296" t="s">
        <v>319</v>
      </c>
      <c r="AR296" t="s">
        <v>4185</v>
      </c>
      <c r="AS296" t="s">
        <v>4210</v>
      </c>
      <c r="AT296" t="s">
        <v>4219</v>
      </c>
    </row>
    <row r="297" spans="1:46">
      <c r="A297" s="1">
        <f>HYPERLINK("https://lsnyc.legalserver.org/matter/dynamic-profile/view/1851721","17-1851721")</f>
        <v>0</v>
      </c>
      <c r="B297" t="s">
        <v>71</v>
      </c>
      <c r="C297" t="s">
        <v>4251</v>
      </c>
      <c r="D297" t="s">
        <v>111</v>
      </c>
      <c r="E297" t="s">
        <v>4402</v>
      </c>
      <c r="F297" t="s">
        <v>4543</v>
      </c>
      <c r="G297" t="s">
        <v>4735</v>
      </c>
      <c r="H297" t="s">
        <v>1735</v>
      </c>
      <c r="I297">
        <v>11208</v>
      </c>
      <c r="J297" t="s">
        <v>2002</v>
      </c>
      <c r="K297" t="s">
        <v>2002</v>
      </c>
      <c r="M297" t="s">
        <v>2156</v>
      </c>
      <c r="N297" t="s">
        <v>2413</v>
      </c>
      <c r="O297" t="s">
        <v>2439</v>
      </c>
      <c r="P297" t="s">
        <v>2444</v>
      </c>
      <c r="Q297" t="s">
        <v>2002</v>
      </c>
      <c r="T297">
        <v>0</v>
      </c>
      <c r="U297" t="s">
        <v>2494</v>
      </c>
      <c r="V297" t="s">
        <v>2516</v>
      </c>
      <c r="W297" t="s">
        <v>5109</v>
      </c>
      <c r="X297" t="s">
        <v>2058</v>
      </c>
      <c r="Z297">
        <v>0</v>
      </c>
      <c r="AA297" t="s">
        <v>2156</v>
      </c>
      <c r="AB297" t="s">
        <v>2006</v>
      </c>
      <c r="AC297">
        <v>1</v>
      </c>
      <c r="AD297">
        <v>3</v>
      </c>
      <c r="AE297">
        <v>0</v>
      </c>
      <c r="AF297">
        <v>117.53</v>
      </c>
      <c r="AI297" t="s">
        <v>3809</v>
      </c>
      <c r="AJ297">
        <v>24000</v>
      </c>
      <c r="AP297">
        <v>1.03</v>
      </c>
      <c r="AQ297" t="s">
        <v>111</v>
      </c>
      <c r="AR297" t="s">
        <v>4185</v>
      </c>
      <c r="AS297" t="s">
        <v>4210</v>
      </c>
      <c r="AT297" t="s">
        <v>4219</v>
      </c>
    </row>
    <row r="298" spans="1:46">
      <c r="A298" s="1">
        <f>HYPERLINK("https://lsnyc.legalserver.org/matter/dynamic-profile/view/1868060","18-1868060")</f>
        <v>0</v>
      </c>
      <c r="B298" t="s">
        <v>71</v>
      </c>
      <c r="C298" t="s">
        <v>4252</v>
      </c>
      <c r="D298" t="s">
        <v>91</v>
      </c>
      <c r="E298" t="s">
        <v>400</v>
      </c>
      <c r="F298" t="s">
        <v>4544</v>
      </c>
      <c r="G298" t="s">
        <v>4736</v>
      </c>
      <c r="H298" t="s">
        <v>1758</v>
      </c>
      <c r="I298">
        <v>11208</v>
      </c>
      <c r="J298" t="s">
        <v>2003</v>
      </c>
      <c r="K298" t="s">
        <v>2004</v>
      </c>
      <c r="M298" t="s">
        <v>4878</v>
      </c>
      <c r="N298" t="s">
        <v>2415</v>
      </c>
      <c r="O298" t="s">
        <v>2439</v>
      </c>
      <c r="P298" t="s">
        <v>2444</v>
      </c>
      <c r="Q298" t="s">
        <v>2003</v>
      </c>
      <c r="T298">
        <v>650</v>
      </c>
      <c r="V298" t="s">
        <v>2515</v>
      </c>
      <c r="W298" t="s">
        <v>5110</v>
      </c>
      <c r="Y298" t="s">
        <v>5347</v>
      </c>
      <c r="Z298">
        <v>6</v>
      </c>
      <c r="AA298" t="s">
        <v>3783</v>
      </c>
      <c r="AB298" t="s">
        <v>2006</v>
      </c>
      <c r="AC298">
        <v>0</v>
      </c>
      <c r="AD298">
        <v>1</v>
      </c>
      <c r="AE298">
        <v>0</v>
      </c>
      <c r="AF298">
        <v>167.05</v>
      </c>
      <c r="AI298" t="s">
        <v>3809</v>
      </c>
      <c r="AJ298">
        <v>20280</v>
      </c>
      <c r="AP298">
        <v>5.19</v>
      </c>
      <c r="AQ298" t="s">
        <v>216</v>
      </c>
      <c r="AR298" t="s">
        <v>4195</v>
      </c>
      <c r="AS298" t="s">
        <v>4210</v>
      </c>
      <c r="AT298" t="s">
        <v>4219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Eligibility Date </vt:lpstr>
      <vt:lpstr>no 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2019-07-23T18:13:16Z</dcterms:created>
  <dcterms:modified xsi:type="dcterms:W3CDTF">2019-07-23T18:13:16Z</dcterms:modified>
</cp:coreProperties>
</file>