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" sheetId="1" r:id="rId1"/>
    <sheet name="Cases Summary" sheetId="2" r:id="rId2"/>
    <sheet name="Needs Release Summary" sheetId="3" r:id="rId3"/>
    <sheet name="Income Verified Summary" sheetId="4" r:id="rId4"/>
    <sheet name="Eligibility Date Summary" sheetId="5" r:id="rId5"/>
    <sheet name="SSA PA Summary" sheetId="6" r:id="rId6"/>
  </sheets>
  <calcPr calcId="124519" fullCalcOnLoad="1"/>
</workbook>
</file>

<file path=xl/sharedStrings.xml><?xml version="1.0" encoding="utf-8"?>
<sst xmlns="http://schemas.openxmlformats.org/spreadsheetml/2006/main" count="8114" uniqueCount="18">
  <si>
    <t>Case #</t>
  </si>
  <si>
    <t>Assigned Branch/CC</t>
  </si>
  <si>
    <t>Needs Release?</t>
  </si>
  <si>
    <t>Eligibility Date in Current Fiscal Year?</t>
  </si>
  <si>
    <t>Income Verified?</t>
  </si>
  <si>
    <t>Needs SSN or PA#?</t>
  </si>
  <si>
    <t>Any Problems?</t>
  </si>
  <si>
    <t>QLS</t>
  </si>
  <si>
    <t>BkLS</t>
  </si>
  <si>
    <t>BxLS</t>
  </si>
  <si>
    <t>SILS</t>
  </si>
  <si>
    <t>MLS</t>
  </si>
  <si>
    <t>Needs HRA Release</t>
  </si>
  <si>
    <t>Wrong Fiscal Year</t>
  </si>
  <si>
    <t>Needs Income Verified</t>
  </si>
  <si>
    <t>Needs SSN or PA#</t>
  </si>
  <si>
    <t>No Problems</t>
  </si>
  <si>
    <t>Case Has Problems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</si>
</sst>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02"/>
  <sheetViews>
    <sheetView tabSelected="1" workbookViewId="0"/>
  </sheetViews>
  <sheetFormatPr defaultRowHeight="15"/>
  <cols>
    <col min="1" max="1" width="20.7109375" style="1" customWidth="1"/>
    <col min="2" max="7" width="20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f>HYPERLINK("https://cms.ls-nyc.org/matter/dynamic-profile/view/1873909","18-1873909")</f>
        <v>0</v>
      </c>
      <c r="B2" t="s">
        <v>7</v>
      </c>
      <c r="G2" t="s">
        <v>16</v>
      </c>
    </row>
    <row r="3" spans="1:7">
      <c r="A3" s="1">
        <f>HYPERLINK("https://cms.ls-nyc.org/matter/dynamic-profile/view/1873379","18-1873379")</f>
        <v>0</v>
      </c>
      <c r="B3" t="s">
        <v>7</v>
      </c>
      <c r="G3" t="s">
        <v>16</v>
      </c>
    </row>
    <row r="4" spans="1:7">
      <c r="A4" s="1">
        <f>HYPERLINK("https://cms.ls-nyc.org/matter/dynamic-profile/view/1875591","18-1875591")</f>
        <v>0</v>
      </c>
      <c r="B4" t="s">
        <v>7</v>
      </c>
      <c r="G4" t="s">
        <v>16</v>
      </c>
    </row>
    <row r="5" spans="1:7">
      <c r="A5" s="1">
        <f>HYPERLINK("https://cms.ls-nyc.org/matter/dynamic-profile/view/1896146","19-1896146")</f>
        <v>0</v>
      </c>
      <c r="B5" t="s">
        <v>7</v>
      </c>
      <c r="G5" t="s">
        <v>16</v>
      </c>
    </row>
    <row r="6" spans="1:7">
      <c r="A6" s="1">
        <f>HYPERLINK("https://cms.ls-nyc.org/matter/dynamic-profile/view/1894699","19-1894699")</f>
        <v>0</v>
      </c>
      <c r="B6" t="s">
        <v>7</v>
      </c>
      <c r="G6" t="s">
        <v>16</v>
      </c>
    </row>
    <row r="7" spans="1:7">
      <c r="A7" s="1">
        <f>HYPERLINK("https://cms.ls-nyc.org/matter/dynamic-profile/view/1874432","18-1874432")</f>
        <v>0</v>
      </c>
      <c r="B7" t="s">
        <v>7</v>
      </c>
      <c r="G7" t="s">
        <v>16</v>
      </c>
    </row>
    <row r="8" spans="1:7">
      <c r="A8" s="1">
        <f>HYPERLINK("https://cms.ls-nyc.org/matter/dynamic-profile/view/1874602","18-1874602")</f>
        <v>0</v>
      </c>
      <c r="B8" t="s">
        <v>7</v>
      </c>
      <c r="G8" t="s">
        <v>16</v>
      </c>
    </row>
    <row r="9" spans="1:7">
      <c r="A9" s="1">
        <f>HYPERLINK("https://cms.ls-nyc.org/matter/dynamic-profile/view/1876892","18-1876892")</f>
        <v>0</v>
      </c>
      <c r="B9" t="s">
        <v>7</v>
      </c>
      <c r="G9" t="s">
        <v>16</v>
      </c>
    </row>
    <row r="10" spans="1:7">
      <c r="A10" s="1">
        <f>HYPERLINK("https://cms.ls-nyc.org/matter/dynamic-profile/view/1879490","18-1879490")</f>
        <v>0</v>
      </c>
      <c r="B10" t="s">
        <v>7</v>
      </c>
      <c r="G10" t="s">
        <v>16</v>
      </c>
    </row>
    <row r="11" spans="1:7">
      <c r="A11" s="1">
        <f>HYPERLINK("https://cms.ls-nyc.org/matter/dynamic-profile/view/1881279","18-1881279")</f>
        <v>0</v>
      </c>
      <c r="B11" t="s">
        <v>7</v>
      </c>
      <c r="G11" t="s">
        <v>16</v>
      </c>
    </row>
    <row r="12" spans="1:7">
      <c r="A12" s="1">
        <f>HYPERLINK("https://cms.ls-nyc.org/matter/dynamic-profile/view/1900415","19-1900415")</f>
        <v>0</v>
      </c>
      <c r="B12" t="s">
        <v>7</v>
      </c>
      <c r="G12" t="s">
        <v>16</v>
      </c>
    </row>
    <row r="13" spans="1:7">
      <c r="A13" s="1">
        <f>HYPERLINK("https://cms.ls-nyc.org/matter/dynamic-profile/view/1872513","18-1872513")</f>
        <v>0</v>
      </c>
      <c r="B13" t="s">
        <v>7</v>
      </c>
      <c r="G13" t="s">
        <v>16</v>
      </c>
    </row>
    <row r="14" spans="1:7">
      <c r="A14" s="1">
        <f>HYPERLINK("https://cms.ls-nyc.org/matter/dynamic-profile/view/1876639","18-1876639")</f>
        <v>0</v>
      </c>
      <c r="B14" t="s">
        <v>7</v>
      </c>
      <c r="G14" t="s">
        <v>16</v>
      </c>
    </row>
    <row r="15" spans="1:7">
      <c r="A15" s="1">
        <f>HYPERLINK("https://cms.ls-nyc.org/matter/dynamic-profile/view/1877969","18-1877969")</f>
        <v>0</v>
      </c>
      <c r="B15" t="s">
        <v>7</v>
      </c>
      <c r="G15" t="s">
        <v>16</v>
      </c>
    </row>
    <row r="16" spans="1:7">
      <c r="A16" s="1">
        <f>HYPERLINK("https://cms.ls-nyc.org/matter/dynamic-profile/view/1880061","18-1880061")</f>
        <v>0</v>
      </c>
      <c r="B16" t="s">
        <v>7</v>
      </c>
      <c r="G16" t="s">
        <v>16</v>
      </c>
    </row>
    <row r="17" spans="1:7">
      <c r="A17" s="1">
        <f>HYPERLINK("https://cms.ls-nyc.org/matter/dynamic-profile/view/1882891","18-1882891")</f>
        <v>0</v>
      </c>
      <c r="B17" t="s">
        <v>7</v>
      </c>
      <c r="G17" t="s">
        <v>16</v>
      </c>
    </row>
    <row r="18" spans="1:7">
      <c r="A18" s="1">
        <f>HYPERLINK("https://cms.ls-nyc.org/matter/dynamic-profile/view/1895286","19-1895286")</f>
        <v>0</v>
      </c>
      <c r="B18" t="s">
        <v>7</v>
      </c>
      <c r="G18" t="s">
        <v>16</v>
      </c>
    </row>
    <row r="19" spans="1:7">
      <c r="A19" s="1">
        <f>HYPERLINK("https://cms.ls-nyc.org/matter/dynamic-profile/view/1878223","18-1878223")</f>
        <v>0</v>
      </c>
      <c r="B19" t="s">
        <v>7</v>
      </c>
      <c r="G19" t="s">
        <v>16</v>
      </c>
    </row>
    <row r="20" spans="1:7">
      <c r="A20" s="1">
        <f>HYPERLINK("https://cms.ls-nyc.org/matter/dynamic-profile/view/1879295","18-1879295")</f>
        <v>0</v>
      </c>
      <c r="B20" t="s">
        <v>7</v>
      </c>
      <c r="G20" t="s">
        <v>16</v>
      </c>
    </row>
    <row r="21" spans="1:7">
      <c r="A21" s="1">
        <f>HYPERLINK("https://cms.ls-nyc.org/matter/dynamic-profile/view/1881240","18-1881240")</f>
        <v>0</v>
      </c>
      <c r="B21" t="s">
        <v>7</v>
      </c>
      <c r="G21" t="s">
        <v>16</v>
      </c>
    </row>
    <row r="22" spans="1:7">
      <c r="A22" s="1">
        <f>HYPERLINK("https://cms.ls-nyc.org/matter/dynamic-profile/view/1885385","18-1885385")</f>
        <v>0</v>
      </c>
      <c r="B22" t="s">
        <v>7</v>
      </c>
      <c r="G22" t="s">
        <v>16</v>
      </c>
    </row>
    <row r="23" spans="1:7">
      <c r="A23" s="1">
        <f>HYPERLINK("https://cms.ls-nyc.org/matter/dynamic-profile/view/1890870","19-1890870")</f>
        <v>0</v>
      </c>
      <c r="B23" t="s">
        <v>7</v>
      </c>
      <c r="G23" t="s">
        <v>16</v>
      </c>
    </row>
    <row r="24" spans="1:7">
      <c r="A24" s="1">
        <f>HYPERLINK("https://cms.ls-nyc.org/matter/dynamic-profile/view/1895111","19-1895111")</f>
        <v>0</v>
      </c>
      <c r="B24" t="s">
        <v>7</v>
      </c>
      <c r="G24" t="s">
        <v>16</v>
      </c>
    </row>
    <row r="25" spans="1:7">
      <c r="A25" s="1">
        <f>HYPERLINK("https://cms.ls-nyc.org/matter/dynamic-profile/view/1876299","18-1876299")</f>
        <v>0</v>
      </c>
      <c r="B25" t="s">
        <v>7</v>
      </c>
      <c r="G25" t="s">
        <v>16</v>
      </c>
    </row>
    <row r="26" spans="1:7">
      <c r="A26" s="1">
        <f>HYPERLINK("https://cms.ls-nyc.org/matter/dynamic-profile/view/1880080","18-1880080")</f>
        <v>0</v>
      </c>
      <c r="B26" t="s">
        <v>7</v>
      </c>
      <c r="G26" t="s">
        <v>16</v>
      </c>
    </row>
    <row r="27" spans="1:7">
      <c r="A27" s="1">
        <f>HYPERLINK("https://cms.ls-nyc.org/matter/dynamic-profile/view/1899083","19-1899083")</f>
        <v>0</v>
      </c>
      <c r="B27" t="s">
        <v>7</v>
      </c>
      <c r="E27" t="s">
        <v>14</v>
      </c>
      <c r="F27" t="s">
        <v>15</v>
      </c>
      <c r="G27" t="s">
        <v>17</v>
      </c>
    </row>
    <row r="28" spans="1:7">
      <c r="A28" s="1">
        <f>HYPERLINK("https://cms.ls-nyc.org/matter/dynamic-profile/view/1878169","18-1878169")</f>
        <v>0</v>
      </c>
      <c r="B28" t="s">
        <v>7</v>
      </c>
      <c r="G28" t="s">
        <v>16</v>
      </c>
    </row>
    <row r="29" spans="1:7">
      <c r="A29" s="1">
        <f>HYPERLINK("https://cms.ls-nyc.org/matter/dynamic-profile/view/1880726","18-1880726")</f>
        <v>0</v>
      </c>
      <c r="B29" t="s">
        <v>7</v>
      </c>
      <c r="G29" t="s">
        <v>16</v>
      </c>
    </row>
    <row r="30" spans="1:7">
      <c r="A30" s="1">
        <f>HYPERLINK("https://cms.ls-nyc.org/matter/dynamic-profile/view/1898480","19-1898480")</f>
        <v>0</v>
      </c>
      <c r="B30" t="s">
        <v>7</v>
      </c>
      <c r="F30" t="s">
        <v>15</v>
      </c>
      <c r="G30" t="s">
        <v>17</v>
      </c>
    </row>
    <row r="31" spans="1:7">
      <c r="A31" s="1">
        <f>HYPERLINK("https://cms.ls-nyc.org/matter/dynamic-profile/view/1881948","18-1881948")</f>
        <v>0</v>
      </c>
      <c r="B31" t="s">
        <v>7</v>
      </c>
      <c r="G31" t="s">
        <v>16</v>
      </c>
    </row>
    <row r="32" spans="1:7">
      <c r="A32" s="1">
        <f>HYPERLINK("https://cms.ls-nyc.org/matter/dynamic-profile/view/1889192","19-1889192")</f>
        <v>0</v>
      </c>
      <c r="B32" t="s">
        <v>7</v>
      </c>
      <c r="F32" t="s">
        <v>15</v>
      </c>
      <c r="G32" t="s">
        <v>17</v>
      </c>
    </row>
    <row r="33" spans="1:7">
      <c r="A33" s="1">
        <f>HYPERLINK("https://cms.ls-nyc.org/matter/dynamic-profile/view/1900668","19-1900668")</f>
        <v>0</v>
      </c>
      <c r="B33" t="s">
        <v>7</v>
      </c>
      <c r="E33" t="s">
        <v>14</v>
      </c>
      <c r="G33" t="s">
        <v>17</v>
      </c>
    </row>
    <row r="34" spans="1:7">
      <c r="A34" s="1">
        <f>HYPERLINK("https://cms.ls-nyc.org/matter/dynamic-profile/view/1889305","19-1889305")</f>
        <v>0</v>
      </c>
      <c r="B34" t="s">
        <v>7</v>
      </c>
      <c r="G34" t="s">
        <v>16</v>
      </c>
    </row>
    <row r="35" spans="1:7">
      <c r="A35" s="1">
        <f>HYPERLINK("https://cms.ls-nyc.org/matter/dynamic-profile/view/1885383","18-1885383")</f>
        <v>0</v>
      </c>
      <c r="B35" t="s">
        <v>7</v>
      </c>
      <c r="G35" t="s">
        <v>16</v>
      </c>
    </row>
    <row r="36" spans="1:7">
      <c r="A36" s="1">
        <f>HYPERLINK("https://cms.ls-nyc.org/matter/dynamic-profile/view/1880749","18-1880749")</f>
        <v>0</v>
      </c>
      <c r="B36" t="s">
        <v>7</v>
      </c>
      <c r="G36" t="s">
        <v>16</v>
      </c>
    </row>
    <row r="37" spans="1:7">
      <c r="A37" s="1">
        <f>HYPERLINK("https://cms.ls-nyc.org/matter/dynamic-profile/view/1875022","18-1875022")</f>
        <v>0</v>
      </c>
      <c r="B37" t="s">
        <v>7</v>
      </c>
      <c r="G37" t="s">
        <v>16</v>
      </c>
    </row>
    <row r="38" spans="1:7">
      <c r="A38" s="1">
        <f>HYPERLINK("https://cms.ls-nyc.org/matter/dynamic-profile/view/1897809","19-1897809")</f>
        <v>0</v>
      </c>
      <c r="B38" t="s">
        <v>7</v>
      </c>
      <c r="G38" t="s">
        <v>16</v>
      </c>
    </row>
    <row r="39" spans="1:7">
      <c r="A39" s="1">
        <f>HYPERLINK("https://cms.ls-nyc.org/matter/dynamic-profile/view/1895654","19-1895654")</f>
        <v>0</v>
      </c>
      <c r="B39" t="s">
        <v>7</v>
      </c>
      <c r="F39" t="s">
        <v>15</v>
      </c>
      <c r="G39" t="s">
        <v>17</v>
      </c>
    </row>
    <row r="40" spans="1:7">
      <c r="A40" s="1">
        <f>HYPERLINK("https://cms.ls-nyc.org/matter/dynamic-profile/view/1897717","19-1897717")</f>
        <v>0</v>
      </c>
      <c r="B40" t="s">
        <v>7</v>
      </c>
      <c r="F40" t="s">
        <v>15</v>
      </c>
      <c r="G40" t="s">
        <v>17</v>
      </c>
    </row>
    <row r="41" spans="1:7">
      <c r="A41" s="1">
        <f>HYPERLINK("https://cms.ls-nyc.org/matter/dynamic-profile/view/1897710","19-1897710")</f>
        <v>0</v>
      </c>
      <c r="B41" t="s">
        <v>7</v>
      </c>
      <c r="G41" t="s">
        <v>16</v>
      </c>
    </row>
    <row r="42" spans="1:7">
      <c r="A42" s="1">
        <f>HYPERLINK("https://cms.ls-nyc.org/matter/dynamic-profile/view/1900065","19-1900065")</f>
        <v>0</v>
      </c>
      <c r="B42" t="s">
        <v>7</v>
      </c>
      <c r="E42" t="s">
        <v>14</v>
      </c>
      <c r="G42" t="s">
        <v>17</v>
      </c>
    </row>
    <row r="43" spans="1:7">
      <c r="A43" s="1">
        <f>HYPERLINK("https://cms.ls-nyc.org/matter/dynamic-profile/view/1885643","18-1885643")</f>
        <v>0</v>
      </c>
      <c r="B43" t="s">
        <v>7</v>
      </c>
      <c r="G43" t="s">
        <v>16</v>
      </c>
    </row>
    <row r="44" spans="1:7">
      <c r="A44" s="1">
        <f>HYPERLINK("https://cms.ls-nyc.org/matter/dynamic-profile/view/1887322","19-1887322")</f>
        <v>0</v>
      </c>
      <c r="B44" t="s">
        <v>7</v>
      </c>
      <c r="F44" t="s">
        <v>15</v>
      </c>
      <c r="G44" t="s">
        <v>17</v>
      </c>
    </row>
    <row r="45" spans="1:7">
      <c r="A45" s="1">
        <f>HYPERLINK("https://cms.ls-nyc.org/matter/dynamic-profile/view/1897042","19-1897042")</f>
        <v>0</v>
      </c>
      <c r="B45" t="s">
        <v>7</v>
      </c>
      <c r="F45" t="s">
        <v>15</v>
      </c>
      <c r="G45" t="s">
        <v>17</v>
      </c>
    </row>
    <row r="46" spans="1:7">
      <c r="A46" s="1">
        <f>HYPERLINK("https://cms.ls-nyc.org/matter/dynamic-profile/view/1900061","19-1900061")</f>
        <v>0</v>
      </c>
      <c r="B46" t="s">
        <v>7</v>
      </c>
      <c r="E46" t="s">
        <v>14</v>
      </c>
      <c r="G46" t="s">
        <v>17</v>
      </c>
    </row>
    <row r="47" spans="1:7">
      <c r="A47" s="1">
        <f>HYPERLINK("https://cms.ls-nyc.org/matter/dynamic-profile/view/1898361","19-1898361")</f>
        <v>0</v>
      </c>
      <c r="B47" t="s">
        <v>7</v>
      </c>
      <c r="F47" t="s">
        <v>15</v>
      </c>
      <c r="G47" t="s">
        <v>17</v>
      </c>
    </row>
    <row r="48" spans="1:7">
      <c r="A48" s="1">
        <f>HYPERLINK("https://cms.ls-nyc.org/matter/dynamic-profile/view/1875677","18-1875677")</f>
        <v>0</v>
      </c>
      <c r="B48" t="s">
        <v>7</v>
      </c>
      <c r="G48" t="s">
        <v>16</v>
      </c>
    </row>
    <row r="49" spans="1:7">
      <c r="A49" s="1">
        <f>HYPERLINK("https://cms.ls-nyc.org/matter/dynamic-profile/view/1898356","19-1898356")</f>
        <v>0</v>
      </c>
      <c r="B49" t="s">
        <v>7</v>
      </c>
      <c r="F49" t="s">
        <v>15</v>
      </c>
      <c r="G49" t="s">
        <v>17</v>
      </c>
    </row>
    <row r="50" spans="1:7">
      <c r="A50" s="1">
        <f>HYPERLINK("https://cms.ls-nyc.org/matter/dynamic-profile/view/1885022","18-1885022")</f>
        <v>0</v>
      </c>
      <c r="B50" t="s">
        <v>7</v>
      </c>
      <c r="G50" t="s">
        <v>16</v>
      </c>
    </row>
    <row r="51" spans="1:7">
      <c r="A51" s="1">
        <f>HYPERLINK("https://cms.ls-nyc.org/matter/dynamic-profile/view/1895982","19-1895982")</f>
        <v>0</v>
      </c>
      <c r="B51" t="s">
        <v>7</v>
      </c>
      <c r="G51" t="s">
        <v>16</v>
      </c>
    </row>
    <row r="52" spans="1:7">
      <c r="A52" s="1">
        <f>HYPERLINK("https://cms.ls-nyc.org/matter/dynamic-profile/view/1873866","18-1873866")</f>
        <v>0</v>
      </c>
      <c r="B52" t="s">
        <v>7</v>
      </c>
      <c r="G52" t="s">
        <v>16</v>
      </c>
    </row>
    <row r="53" spans="1:7">
      <c r="A53" s="1">
        <f>HYPERLINK("https://cms.ls-nyc.org/matter/dynamic-profile/view/1879889","18-1879889")</f>
        <v>0</v>
      </c>
      <c r="B53" t="s">
        <v>7</v>
      </c>
      <c r="G53" t="s">
        <v>16</v>
      </c>
    </row>
    <row r="54" spans="1:7">
      <c r="A54" s="1">
        <f>HYPERLINK("https://cms.ls-nyc.org/matter/dynamic-profile/view/1887079","19-1887079")</f>
        <v>0</v>
      </c>
      <c r="B54" t="s">
        <v>7</v>
      </c>
      <c r="G54" t="s">
        <v>16</v>
      </c>
    </row>
    <row r="55" spans="1:7">
      <c r="A55" s="1">
        <f>HYPERLINK("https://cms.ls-nyc.org/matter/dynamic-profile/view/1877054","18-1877054")</f>
        <v>0</v>
      </c>
      <c r="B55" t="s">
        <v>7</v>
      </c>
      <c r="G55" t="s">
        <v>16</v>
      </c>
    </row>
    <row r="56" spans="1:7">
      <c r="A56" s="1">
        <f>HYPERLINK("https://cms.ls-nyc.org/matter/dynamic-profile/view/1877165","18-1877165")</f>
        <v>0</v>
      </c>
      <c r="B56" t="s">
        <v>7</v>
      </c>
      <c r="G56" t="s">
        <v>16</v>
      </c>
    </row>
    <row r="57" spans="1:7">
      <c r="A57" s="1">
        <f>HYPERLINK("https://cms.ls-nyc.org/matter/dynamic-profile/view/1874841","18-1874841")</f>
        <v>0</v>
      </c>
      <c r="B57" t="s">
        <v>7</v>
      </c>
      <c r="G57" t="s">
        <v>16</v>
      </c>
    </row>
    <row r="58" spans="1:7">
      <c r="A58" s="1">
        <f>HYPERLINK("https://cms.ls-nyc.org/matter/dynamic-profile/view/1879361","18-1879361")</f>
        <v>0</v>
      </c>
      <c r="B58" t="s">
        <v>8</v>
      </c>
      <c r="G58" t="s">
        <v>16</v>
      </c>
    </row>
    <row r="59" spans="1:7">
      <c r="A59" s="1">
        <f>HYPERLINK("https://cms.ls-nyc.org/matter/dynamic-profile/view/1893845","19-1893845")</f>
        <v>0</v>
      </c>
      <c r="B59" t="s">
        <v>8</v>
      </c>
      <c r="F59" t="s">
        <v>15</v>
      </c>
      <c r="G59" t="s">
        <v>17</v>
      </c>
    </row>
    <row r="60" spans="1:7">
      <c r="A60" s="1">
        <f>HYPERLINK("https://cms.ls-nyc.org/matter/dynamic-profile/view/1899041","19-1899041")</f>
        <v>0</v>
      </c>
      <c r="B60" t="s">
        <v>8</v>
      </c>
      <c r="E60" t="s">
        <v>14</v>
      </c>
      <c r="G60" t="s">
        <v>17</v>
      </c>
    </row>
    <row r="61" spans="1:7">
      <c r="A61" s="1">
        <f>HYPERLINK("https://cms.ls-nyc.org/matter/dynamic-profile/view/1892533","19-1892533")</f>
        <v>0</v>
      </c>
      <c r="B61" t="s">
        <v>8</v>
      </c>
      <c r="C61" t="s">
        <v>12</v>
      </c>
      <c r="E61" t="s">
        <v>14</v>
      </c>
      <c r="G61" t="s">
        <v>17</v>
      </c>
    </row>
    <row r="62" spans="1:7">
      <c r="A62" s="1">
        <f>HYPERLINK("https://cms.ls-nyc.org/matter/dynamic-profile/view/1879962","18-1879962")</f>
        <v>0</v>
      </c>
      <c r="B62" t="s">
        <v>8</v>
      </c>
      <c r="E62" t="s">
        <v>14</v>
      </c>
      <c r="G62" t="s">
        <v>17</v>
      </c>
    </row>
    <row r="63" spans="1:7">
      <c r="A63" s="1">
        <f>HYPERLINK("https://cms.ls-nyc.org/matter/dynamic-profile/view/1891491","19-1891491")</f>
        <v>0</v>
      </c>
      <c r="B63" t="s">
        <v>8</v>
      </c>
      <c r="E63" t="s">
        <v>14</v>
      </c>
      <c r="F63" t="s">
        <v>15</v>
      </c>
      <c r="G63" t="s">
        <v>17</v>
      </c>
    </row>
    <row r="64" spans="1:7">
      <c r="A64" s="1">
        <f>HYPERLINK("https://cms.ls-nyc.org/matter/dynamic-profile/view/1891507","19-1891507")</f>
        <v>0</v>
      </c>
      <c r="B64" t="s">
        <v>8</v>
      </c>
      <c r="E64" t="s">
        <v>14</v>
      </c>
      <c r="F64" t="s">
        <v>15</v>
      </c>
      <c r="G64" t="s">
        <v>17</v>
      </c>
    </row>
    <row r="65" spans="1:7">
      <c r="A65" s="1">
        <f>HYPERLINK("https://cms.ls-nyc.org/matter/dynamic-profile/view/1891531","19-1891531")</f>
        <v>0</v>
      </c>
      <c r="B65" t="s">
        <v>8</v>
      </c>
      <c r="E65" t="s">
        <v>14</v>
      </c>
      <c r="F65" t="s">
        <v>15</v>
      </c>
      <c r="G65" t="s">
        <v>17</v>
      </c>
    </row>
    <row r="66" spans="1:7">
      <c r="A66" s="1">
        <f>HYPERLINK("https://cms.ls-nyc.org/matter/dynamic-profile/view/1892512","19-1892512")</f>
        <v>0</v>
      </c>
      <c r="B66" t="s">
        <v>8</v>
      </c>
      <c r="E66" t="s">
        <v>14</v>
      </c>
      <c r="F66" t="s">
        <v>15</v>
      </c>
      <c r="G66" t="s">
        <v>17</v>
      </c>
    </row>
    <row r="67" spans="1:7">
      <c r="A67" s="1">
        <f>HYPERLINK("https://cms.ls-nyc.org/matter/dynamic-profile/view/1897167","19-1897167")</f>
        <v>0</v>
      </c>
      <c r="B67" t="s">
        <v>8</v>
      </c>
      <c r="E67" t="s">
        <v>14</v>
      </c>
      <c r="F67" t="s">
        <v>15</v>
      </c>
      <c r="G67" t="s">
        <v>17</v>
      </c>
    </row>
    <row r="68" spans="1:7">
      <c r="A68" s="1">
        <f>HYPERLINK("https://cms.ls-nyc.org/matter/dynamic-profile/view/1897185","19-1897185")</f>
        <v>0</v>
      </c>
      <c r="B68" t="s">
        <v>8</v>
      </c>
      <c r="E68" t="s">
        <v>14</v>
      </c>
      <c r="F68" t="s">
        <v>15</v>
      </c>
      <c r="G68" t="s">
        <v>17</v>
      </c>
    </row>
    <row r="69" spans="1:7">
      <c r="A69" s="1">
        <f>HYPERLINK("https://cms.ls-nyc.org/matter/dynamic-profile/view/1897195","19-1897195")</f>
        <v>0</v>
      </c>
      <c r="B69" t="s">
        <v>8</v>
      </c>
      <c r="E69" t="s">
        <v>14</v>
      </c>
      <c r="F69" t="s">
        <v>15</v>
      </c>
      <c r="G69" t="s">
        <v>17</v>
      </c>
    </row>
    <row r="70" spans="1:7">
      <c r="A70" s="1">
        <f>HYPERLINK("https://cms.ls-nyc.org/matter/dynamic-profile/view/1897528","19-1897528")</f>
        <v>0</v>
      </c>
      <c r="B70" t="s">
        <v>8</v>
      </c>
      <c r="E70" t="s">
        <v>14</v>
      </c>
      <c r="F70" t="s">
        <v>15</v>
      </c>
      <c r="G70" t="s">
        <v>17</v>
      </c>
    </row>
    <row r="71" spans="1:7">
      <c r="A71" s="1">
        <f>HYPERLINK("https://cms.ls-nyc.org/matter/dynamic-profile/view/1875859","18-1875859")</f>
        <v>0</v>
      </c>
      <c r="B71" t="s">
        <v>8</v>
      </c>
      <c r="G71" t="s">
        <v>16</v>
      </c>
    </row>
    <row r="72" spans="1:7">
      <c r="A72" s="1">
        <f>HYPERLINK("https://cms.ls-nyc.org/matter/dynamic-profile/view/1878761","18-1878761")</f>
        <v>0</v>
      </c>
      <c r="B72" t="s">
        <v>8</v>
      </c>
      <c r="G72" t="s">
        <v>16</v>
      </c>
    </row>
    <row r="73" spans="1:7">
      <c r="A73" s="1">
        <f>HYPERLINK("https://cms.ls-nyc.org/matter/dynamic-profile/view/1882574","18-1882574")</f>
        <v>0</v>
      </c>
      <c r="B73" t="s">
        <v>8</v>
      </c>
      <c r="G73" t="s">
        <v>16</v>
      </c>
    </row>
    <row r="74" spans="1:7">
      <c r="A74" s="1">
        <f>HYPERLINK("https://cms.ls-nyc.org/matter/dynamic-profile/view/1887122","19-1887122")</f>
        <v>0</v>
      </c>
      <c r="B74" t="s">
        <v>8</v>
      </c>
      <c r="G74" t="s">
        <v>16</v>
      </c>
    </row>
    <row r="75" spans="1:7">
      <c r="A75" s="1">
        <f>HYPERLINK("https://cms.ls-nyc.org/matter/dynamic-profile/view/1888792","19-1888792")</f>
        <v>0</v>
      </c>
      <c r="B75" t="s">
        <v>8</v>
      </c>
      <c r="G75" t="s">
        <v>16</v>
      </c>
    </row>
    <row r="76" spans="1:7">
      <c r="A76" s="1">
        <f>HYPERLINK("https://cms.ls-nyc.org/matter/dynamic-profile/view/1889595","19-1889595")</f>
        <v>0</v>
      </c>
      <c r="B76" t="s">
        <v>8</v>
      </c>
      <c r="G76" t="s">
        <v>16</v>
      </c>
    </row>
    <row r="77" spans="1:7">
      <c r="A77" s="1">
        <f>HYPERLINK("https://cms.ls-nyc.org/matter/dynamic-profile/view/1889808","19-1889808")</f>
        <v>0</v>
      </c>
      <c r="B77" t="s">
        <v>8</v>
      </c>
      <c r="G77" t="s">
        <v>16</v>
      </c>
    </row>
    <row r="78" spans="1:7">
      <c r="A78" s="1">
        <f>HYPERLINK("https://cms.ls-nyc.org/matter/dynamic-profile/view/1891366","19-1891366")</f>
        <v>0</v>
      </c>
      <c r="B78" t="s">
        <v>8</v>
      </c>
      <c r="F78" t="s">
        <v>15</v>
      </c>
      <c r="G78" t="s">
        <v>17</v>
      </c>
    </row>
    <row r="79" spans="1:7">
      <c r="A79" s="1">
        <f>HYPERLINK("https://cms.ls-nyc.org/matter/dynamic-profile/view/1869462","18-1869462")</f>
        <v>0</v>
      </c>
      <c r="B79" t="s">
        <v>8</v>
      </c>
      <c r="D79" t="s">
        <v>13</v>
      </c>
      <c r="G79" t="s">
        <v>17</v>
      </c>
    </row>
    <row r="80" spans="1:7">
      <c r="A80" s="1">
        <f>HYPERLINK("https://cms.ls-nyc.org/matter/dynamic-profile/view/1891494","19-1891494")</f>
        <v>0</v>
      </c>
      <c r="B80" t="s">
        <v>8</v>
      </c>
      <c r="E80" t="s">
        <v>14</v>
      </c>
      <c r="F80" t="s">
        <v>15</v>
      </c>
      <c r="G80" t="s">
        <v>17</v>
      </c>
    </row>
    <row r="81" spans="1:7">
      <c r="A81" s="1">
        <f>HYPERLINK("https://cms.ls-nyc.org/matter/dynamic-profile/view/1891511","19-1891511")</f>
        <v>0</v>
      </c>
      <c r="B81" t="s">
        <v>8</v>
      </c>
      <c r="E81" t="s">
        <v>14</v>
      </c>
      <c r="F81" t="s">
        <v>15</v>
      </c>
      <c r="G81" t="s">
        <v>17</v>
      </c>
    </row>
    <row r="82" spans="1:7">
      <c r="A82" s="1">
        <f>HYPERLINK("https://cms.ls-nyc.org/matter/dynamic-profile/view/1891534","19-1891534")</f>
        <v>0</v>
      </c>
      <c r="B82" t="s">
        <v>8</v>
      </c>
      <c r="E82" t="s">
        <v>14</v>
      </c>
      <c r="F82" t="s">
        <v>15</v>
      </c>
      <c r="G82" t="s">
        <v>17</v>
      </c>
    </row>
    <row r="83" spans="1:7">
      <c r="A83" s="1">
        <f>HYPERLINK("https://cms.ls-nyc.org/matter/dynamic-profile/view/1892517","19-1892517")</f>
        <v>0</v>
      </c>
      <c r="B83" t="s">
        <v>8</v>
      </c>
      <c r="E83" t="s">
        <v>14</v>
      </c>
      <c r="F83" t="s">
        <v>15</v>
      </c>
      <c r="G83" t="s">
        <v>17</v>
      </c>
    </row>
    <row r="84" spans="1:7">
      <c r="A84" s="1">
        <f>HYPERLINK("https://cms.ls-nyc.org/matter/dynamic-profile/view/1897171","19-1897171")</f>
        <v>0</v>
      </c>
      <c r="B84" t="s">
        <v>8</v>
      </c>
      <c r="E84" t="s">
        <v>14</v>
      </c>
      <c r="F84" t="s">
        <v>15</v>
      </c>
      <c r="G84" t="s">
        <v>17</v>
      </c>
    </row>
    <row r="85" spans="1:7">
      <c r="A85" s="1">
        <f>HYPERLINK("https://cms.ls-nyc.org/matter/dynamic-profile/view/1897190","19-1897190")</f>
        <v>0</v>
      </c>
      <c r="B85" t="s">
        <v>8</v>
      </c>
      <c r="E85" t="s">
        <v>14</v>
      </c>
      <c r="F85" t="s">
        <v>15</v>
      </c>
      <c r="G85" t="s">
        <v>17</v>
      </c>
    </row>
    <row r="86" spans="1:7">
      <c r="A86" s="1">
        <f>HYPERLINK("https://cms.ls-nyc.org/matter/dynamic-profile/view/1897201","19-1897201")</f>
        <v>0</v>
      </c>
      <c r="B86" t="s">
        <v>8</v>
      </c>
      <c r="E86" t="s">
        <v>14</v>
      </c>
      <c r="F86" t="s">
        <v>15</v>
      </c>
      <c r="G86" t="s">
        <v>17</v>
      </c>
    </row>
    <row r="87" spans="1:7">
      <c r="A87" s="1">
        <f>HYPERLINK("https://cms.ls-nyc.org/matter/dynamic-profile/view/1897530","19-1897530")</f>
        <v>0</v>
      </c>
      <c r="B87" t="s">
        <v>8</v>
      </c>
      <c r="E87" t="s">
        <v>14</v>
      </c>
      <c r="F87" t="s">
        <v>15</v>
      </c>
      <c r="G87" t="s">
        <v>17</v>
      </c>
    </row>
    <row r="88" spans="1:7">
      <c r="A88" s="1">
        <f>HYPERLINK("https://cms.ls-nyc.org/matter/dynamic-profile/view/1873124","18-1873124")</f>
        <v>0</v>
      </c>
      <c r="B88" t="s">
        <v>8</v>
      </c>
      <c r="G88" t="s">
        <v>16</v>
      </c>
    </row>
    <row r="89" spans="1:7">
      <c r="A89" s="1">
        <f>HYPERLINK("https://cms.ls-nyc.org/matter/dynamic-profile/view/1876969","18-1876969")</f>
        <v>0</v>
      </c>
      <c r="B89" t="s">
        <v>8</v>
      </c>
      <c r="G89" t="s">
        <v>16</v>
      </c>
    </row>
    <row r="90" spans="1:7">
      <c r="A90" s="1">
        <f>HYPERLINK("https://cms.ls-nyc.org/matter/dynamic-profile/view/1877819","18-1877819")</f>
        <v>0</v>
      </c>
      <c r="B90" t="s">
        <v>8</v>
      </c>
      <c r="G90" t="s">
        <v>16</v>
      </c>
    </row>
    <row r="91" spans="1:7">
      <c r="A91" s="1">
        <f>HYPERLINK("https://cms.ls-nyc.org/matter/dynamic-profile/view/1877823","18-1877823")</f>
        <v>0</v>
      </c>
      <c r="B91" t="s">
        <v>8</v>
      </c>
      <c r="G91" t="s">
        <v>16</v>
      </c>
    </row>
    <row r="92" spans="1:7">
      <c r="A92" s="1">
        <f>HYPERLINK("https://cms.ls-nyc.org/matter/dynamic-profile/view/1888395","19-1888395")</f>
        <v>0</v>
      </c>
      <c r="B92" t="s">
        <v>8</v>
      </c>
      <c r="G92" t="s">
        <v>16</v>
      </c>
    </row>
    <row r="93" spans="1:7">
      <c r="A93" s="1">
        <f>HYPERLINK("https://cms.ls-nyc.org/matter/dynamic-profile/view/1893152","19-1893152")</f>
        <v>0</v>
      </c>
      <c r="B93" t="s">
        <v>8</v>
      </c>
      <c r="G93" t="s">
        <v>16</v>
      </c>
    </row>
    <row r="94" spans="1:7">
      <c r="A94" s="1">
        <f>HYPERLINK("https://cms.ls-nyc.org/matter/dynamic-profile/view/1898924","19-1898924")</f>
        <v>0</v>
      </c>
      <c r="B94" t="s">
        <v>8</v>
      </c>
      <c r="G94" t="s">
        <v>16</v>
      </c>
    </row>
    <row r="95" spans="1:7">
      <c r="A95" s="1">
        <f>HYPERLINK("https://cms.ls-nyc.org/matter/dynamic-profile/view/1875110","18-1875110")</f>
        <v>0</v>
      </c>
      <c r="B95" t="s">
        <v>8</v>
      </c>
      <c r="G95" t="s">
        <v>16</v>
      </c>
    </row>
    <row r="96" spans="1:7">
      <c r="A96" s="1">
        <f>HYPERLINK("https://cms.ls-nyc.org/matter/dynamic-profile/view/1882667","18-1882667")</f>
        <v>0</v>
      </c>
      <c r="B96" t="s">
        <v>8</v>
      </c>
      <c r="G96" t="s">
        <v>16</v>
      </c>
    </row>
    <row r="97" spans="1:7">
      <c r="A97" s="1">
        <f>HYPERLINK("https://cms.ls-nyc.org/matter/dynamic-profile/view/1884282","18-1884282")</f>
        <v>0</v>
      </c>
      <c r="B97" t="s">
        <v>8</v>
      </c>
      <c r="C97" t="s">
        <v>12</v>
      </c>
      <c r="E97" t="s">
        <v>14</v>
      </c>
      <c r="G97" t="s">
        <v>17</v>
      </c>
    </row>
    <row r="98" spans="1:7">
      <c r="A98" s="1">
        <f>HYPERLINK("https://cms.ls-nyc.org/matter/dynamic-profile/view/1881592","18-1881592")</f>
        <v>0</v>
      </c>
      <c r="B98" t="s">
        <v>8</v>
      </c>
      <c r="F98" t="s">
        <v>15</v>
      </c>
      <c r="G98" t="s">
        <v>17</v>
      </c>
    </row>
    <row r="99" spans="1:7">
      <c r="A99" s="1">
        <f>HYPERLINK("https://cms.ls-nyc.org/matter/dynamic-profile/view/1881619","18-1881619")</f>
        <v>0</v>
      </c>
      <c r="B99" t="s">
        <v>8</v>
      </c>
      <c r="E99" t="s">
        <v>14</v>
      </c>
      <c r="F99" t="s">
        <v>15</v>
      </c>
      <c r="G99" t="s">
        <v>17</v>
      </c>
    </row>
    <row r="100" spans="1:7">
      <c r="A100" s="1">
        <f>HYPERLINK("https://cms.ls-nyc.org/matter/dynamic-profile/view/1881626","18-1881626")</f>
        <v>0</v>
      </c>
      <c r="B100" t="s">
        <v>8</v>
      </c>
      <c r="C100" t="s">
        <v>12</v>
      </c>
      <c r="E100" t="s">
        <v>14</v>
      </c>
      <c r="F100" t="s">
        <v>15</v>
      </c>
      <c r="G100" t="s">
        <v>17</v>
      </c>
    </row>
    <row r="101" spans="1:7">
      <c r="A101" s="1">
        <f>HYPERLINK("https://cms.ls-nyc.org/matter/dynamic-profile/view/1879947","18-1879947")</f>
        <v>0</v>
      </c>
      <c r="B101" t="s">
        <v>8</v>
      </c>
      <c r="F101" t="s">
        <v>15</v>
      </c>
      <c r="G101" t="s">
        <v>17</v>
      </c>
    </row>
    <row r="102" spans="1:7">
      <c r="A102" s="1">
        <f>HYPERLINK("https://cms.ls-nyc.org/matter/dynamic-profile/view/1878570","18-1878570")</f>
        <v>0</v>
      </c>
      <c r="B102" t="s">
        <v>8</v>
      </c>
      <c r="E102" t="s">
        <v>14</v>
      </c>
      <c r="G102" t="s">
        <v>17</v>
      </c>
    </row>
    <row r="103" spans="1:7">
      <c r="A103" s="1">
        <f>HYPERLINK("https://cms.ls-nyc.org/matter/dynamic-profile/view/1884078","18-1884078")</f>
        <v>0</v>
      </c>
      <c r="B103" t="s">
        <v>8</v>
      </c>
      <c r="C103" t="s">
        <v>12</v>
      </c>
      <c r="F103" t="s">
        <v>15</v>
      </c>
      <c r="G103" t="s">
        <v>17</v>
      </c>
    </row>
    <row r="104" spans="1:7">
      <c r="A104" s="1">
        <f>HYPERLINK("https://cms.ls-nyc.org/matter/dynamic-profile/view/1889282","19-1889282")</f>
        <v>0</v>
      </c>
      <c r="B104" t="s">
        <v>8</v>
      </c>
      <c r="C104" t="s">
        <v>12</v>
      </c>
      <c r="F104" t="s">
        <v>15</v>
      </c>
      <c r="G104" t="s">
        <v>17</v>
      </c>
    </row>
    <row r="105" spans="1:7">
      <c r="A105" s="1">
        <f>HYPERLINK("https://cms.ls-nyc.org/matter/dynamic-profile/view/1889338","19-1889338")</f>
        <v>0</v>
      </c>
      <c r="B105" t="s">
        <v>8</v>
      </c>
      <c r="C105" t="s">
        <v>12</v>
      </c>
      <c r="F105" t="s">
        <v>15</v>
      </c>
      <c r="G105" t="s">
        <v>17</v>
      </c>
    </row>
    <row r="106" spans="1:7">
      <c r="A106" s="1">
        <f>HYPERLINK("https://cms.ls-nyc.org/matter/dynamic-profile/view/1889346","19-1889346")</f>
        <v>0</v>
      </c>
      <c r="B106" t="s">
        <v>8</v>
      </c>
      <c r="C106" t="s">
        <v>12</v>
      </c>
      <c r="F106" t="s">
        <v>15</v>
      </c>
      <c r="G106" t="s">
        <v>17</v>
      </c>
    </row>
    <row r="107" spans="1:7">
      <c r="A107" s="1">
        <f>HYPERLINK("https://cms.ls-nyc.org/matter/dynamic-profile/view/1875936","18-1875936")</f>
        <v>0</v>
      </c>
      <c r="B107" t="s">
        <v>8</v>
      </c>
      <c r="G107" t="s">
        <v>16</v>
      </c>
    </row>
    <row r="108" spans="1:7">
      <c r="A108" s="1">
        <f>HYPERLINK("https://cms.ls-nyc.org/matter/dynamic-profile/view/1896386","19-1896386")</f>
        <v>0</v>
      </c>
      <c r="B108" t="s">
        <v>8</v>
      </c>
      <c r="E108" t="s">
        <v>14</v>
      </c>
      <c r="F108" t="s">
        <v>15</v>
      </c>
      <c r="G108" t="s">
        <v>17</v>
      </c>
    </row>
    <row r="109" spans="1:7">
      <c r="A109" s="1">
        <f>HYPERLINK("https://cms.ls-nyc.org/matter/dynamic-profile/view/1879880","18-1879880")</f>
        <v>0</v>
      </c>
      <c r="B109" t="s">
        <v>8</v>
      </c>
      <c r="G109" t="s">
        <v>16</v>
      </c>
    </row>
    <row r="110" spans="1:7">
      <c r="A110" s="1">
        <f>HYPERLINK("https://cms.ls-nyc.org/matter/dynamic-profile/view/1870934","18-1870934")</f>
        <v>0</v>
      </c>
      <c r="B110" t="s">
        <v>8</v>
      </c>
      <c r="G110" t="s">
        <v>16</v>
      </c>
    </row>
    <row r="111" spans="1:7">
      <c r="A111" s="1">
        <f>HYPERLINK("https://cms.ls-nyc.org/matter/dynamic-profile/view/1872177","18-1872177")</f>
        <v>0</v>
      </c>
      <c r="B111" t="s">
        <v>8</v>
      </c>
      <c r="G111" t="s">
        <v>16</v>
      </c>
    </row>
    <row r="112" spans="1:7">
      <c r="A112" s="1">
        <f>HYPERLINK("https://cms.ls-nyc.org/matter/dynamic-profile/view/1877972","18-1877972")</f>
        <v>0</v>
      </c>
      <c r="B112" t="s">
        <v>8</v>
      </c>
      <c r="G112" t="s">
        <v>16</v>
      </c>
    </row>
    <row r="113" spans="1:7">
      <c r="A113" s="1">
        <f>HYPERLINK("https://cms.ls-nyc.org/matter/dynamic-profile/view/1883811","18-1883811")</f>
        <v>0</v>
      </c>
      <c r="B113" t="s">
        <v>8</v>
      </c>
      <c r="G113" t="s">
        <v>16</v>
      </c>
    </row>
    <row r="114" spans="1:7">
      <c r="A114" s="1">
        <f>HYPERLINK("https://cms.ls-nyc.org/matter/dynamic-profile/view/1888436","19-1888436")</f>
        <v>0</v>
      </c>
      <c r="B114" t="s">
        <v>8</v>
      </c>
      <c r="G114" t="s">
        <v>16</v>
      </c>
    </row>
    <row r="115" spans="1:7">
      <c r="A115" s="1">
        <f>HYPERLINK("https://cms.ls-nyc.org/matter/dynamic-profile/view/1880403","18-1880403")</f>
        <v>0</v>
      </c>
      <c r="B115" t="s">
        <v>8</v>
      </c>
      <c r="E115" t="s">
        <v>14</v>
      </c>
      <c r="F115" t="s">
        <v>15</v>
      </c>
      <c r="G115" t="s">
        <v>17</v>
      </c>
    </row>
    <row r="116" spans="1:7">
      <c r="A116" s="1">
        <f>HYPERLINK("https://cms.ls-nyc.org/matter/dynamic-profile/view/1880405","18-1880405")</f>
        <v>0</v>
      </c>
      <c r="B116" t="s">
        <v>8</v>
      </c>
      <c r="E116" t="s">
        <v>14</v>
      </c>
      <c r="F116" t="s">
        <v>15</v>
      </c>
      <c r="G116" t="s">
        <v>17</v>
      </c>
    </row>
    <row r="117" spans="1:7">
      <c r="A117" s="1">
        <f>HYPERLINK("https://cms.ls-nyc.org/matter/dynamic-profile/view/1863481","18-1863481")</f>
        <v>0</v>
      </c>
      <c r="B117" t="s">
        <v>8</v>
      </c>
      <c r="F117" t="s">
        <v>15</v>
      </c>
      <c r="G117" t="s">
        <v>17</v>
      </c>
    </row>
    <row r="118" spans="1:7">
      <c r="A118" s="1">
        <f>HYPERLINK("https://cms.ls-nyc.org/matter/dynamic-profile/view/1881285","18-1881285")</f>
        <v>0</v>
      </c>
      <c r="B118" t="s">
        <v>8</v>
      </c>
      <c r="C118" t="s">
        <v>12</v>
      </c>
      <c r="E118" t="s">
        <v>14</v>
      </c>
      <c r="G118" t="s">
        <v>17</v>
      </c>
    </row>
    <row r="119" spans="1:7">
      <c r="A119" s="1">
        <f>HYPERLINK("https://cms.ls-nyc.org/matter/dynamic-profile/view/1887085","19-1887085")</f>
        <v>0</v>
      </c>
      <c r="B119" t="s">
        <v>8</v>
      </c>
      <c r="C119" t="s">
        <v>12</v>
      </c>
      <c r="F119" t="s">
        <v>15</v>
      </c>
      <c r="G119" t="s">
        <v>17</v>
      </c>
    </row>
    <row r="120" spans="1:7">
      <c r="A120" s="1">
        <f>HYPERLINK("https://cms.ls-nyc.org/matter/dynamic-profile/view/1895026","19-1895026")</f>
        <v>0</v>
      </c>
      <c r="B120" t="s">
        <v>8</v>
      </c>
      <c r="F120" t="s">
        <v>15</v>
      </c>
      <c r="G120" t="s">
        <v>17</v>
      </c>
    </row>
    <row r="121" spans="1:7">
      <c r="A121" s="1">
        <f>HYPERLINK("https://cms.ls-nyc.org/matter/dynamic-profile/view/1898773","19-1898773")</f>
        <v>0</v>
      </c>
      <c r="B121" t="s">
        <v>8</v>
      </c>
      <c r="F121" t="s">
        <v>15</v>
      </c>
      <c r="G121" t="s">
        <v>17</v>
      </c>
    </row>
    <row r="122" spans="1:7">
      <c r="A122" s="1">
        <f>HYPERLINK("https://cms.ls-nyc.org/matter/dynamic-profile/view/1887838","19-1887838")</f>
        <v>0</v>
      </c>
      <c r="B122" t="s">
        <v>8</v>
      </c>
      <c r="G122" t="s">
        <v>16</v>
      </c>
    </row>
    <row r="123" spans="1:7">
      <c r="A123" s="1">
        <f>HYPERLINK("https://cms.ls-nyc.org/matter/dynamic-profile/view/1870234","18-1870234")</f>
        <v>0</v>
      </c>
      <c r="B123" t="s">
        <v>8</v>
      </c>
      <c r="F123" t="s">
        <v>15</v>
      </c>
      <c r="G123" t="s">
        <v>17</v>
      </c>
    </row>
    <row r="124" spans="1:7">
      <c r="A124" s="1">
        <f>HYPERLINK("https://cms.ls-nyc.org/matter/dynamic-profile/view/1876016","18-1876016")</f>
        <v>0</v>
      </c>
      <c r="B124" t="s">
        <v>8</v>
      </c>
      <c r="G124" t="s">
        <v>16</v>
      </c>
    </row>
    <row r="125" spans="1:7">
      <c r="A125" s="1">
        <f>HYPERLINK("https://cms.ls-nyc.org/matter/dynamic-profile/view/1880673","18-1880673")</f>
        <v>0</v>
      </c>
      <c r="B125" t="s">
        <v>8</v>
      </c>
      <c r="G125" t="s">
        <v>16</v>
      </c>
    </row>
    <row r="126" spans="1:7">
      <c r="A126" s="1">
        <f>HYPERLINK("https://cms.ls-nyc.org/matter/dynamic-profile/view/1899996","19-1899996")</f>
        <v>0</v>
      </c>
      <c r="B126" t="s">
        <v>8</v>
      </c>
      <c r="E126" t="s">
        <v>14</v>
      </c>
      <c r="F126" t="s">
        <v>15</v>
      </c>
      <c r="G126" t="s">
        <v>17</v>
      </c>
    </row>
    <row r="127" spans="1:7">
      <c r="A127" s="1">
        <f>HYPERLINK("https://cms.ls-nyc.org/matter/dynamic-profile/view/1893268","19-1893268")</f>
        <v>0</v>
      </c>
      <c r="B127" t="s">
        <v>8</v>
      </c>
      <c r="G127" t="s">
        <v>16</v>
      </c>
    </row>
    <row r="128" spans="1:7">
      <c r="A128" s="1">
        <f>HYPERLINK("https://cms.ls-nyc.org/matter/dynamic-profile/view/1896213","19-1896213")</f>
        <v>0</v>
      </c>
      <c r="B128" t="s">
        <v>8</v>
      </c>
      <c r="C128" t="s">
        <v>12</v>
      </c>
      <c r="E128" t="s">
        <v>14</v>
      </c>
      <c r="G128" t="s">
        <v>17</v>
      </c>
    </row>
    <row r="129" spans="1:7">
      <c r="A129" s="1">
        <f>HYPERLINK("https://cms.ls-nyc.org/matter/dynamic-profile/view/1895823","19-1895823")</f>
        <v>0</v>
      </c>
      <c r="B129" t="s">
        <v>8</v>
      </c>
      <c r="C129" t="s">
        <v>12</v>
      </c>
      <c r="E129" t="s">
        <v>14</v>
      </c>
      <c r="G129" t="s">
        <v>17</v>
      </c>
    </row>
    <row r="130" spans="1:7">
      <c r="A130" s="1">
        <f>HYPERLINK("https://cms.ls-nyc.org/matter/dynamic-profile/view/1895830","19-1895830")</f>
        <v>0</v>
      </c>
      <c r="B130" t="s">
        <v>8</v>
      </c>
      <c r="C130" t="s">
        <v>12</v>
      </c>
      <c r="E130" t="s">
        <v>14</v>
      </c>
      <c r="G130" t="s">
        <v>17</v>
      </c>
    </row>
    <row r="131" spans="1:7">
      <c r="A131" s="1">
        <f>HYPERLINK("https://cms.ls-nyc.org/matter/dynamic-profile/view/1899775","19-1899775")</f>
        <v>0</v>
      </c>
      <c r="B131" t="s">
        <v>8</v>
      </c>
      <c r="E131" t="s">
        <v>14</v>
      </c>
      <c r="G131" t="s">
        <v>17</v>
      </c>
    </row>
    <row r="132" spans="1:7">
      <c r="A132" s="1">
        <f>HYPERLINK("https://cms.ls-nyc.org/matter/dynamic-profile/view/1899781","19-1899781")</f>
        <v>0</v>
      </c>
      <c r="B132" t="s">
        <v>8</v>
      </c>
      <c r="E132" t="s">
        <v>14</v>
      </c>
      <c r="G132" t="s">
        <v>17</v>
      </c>
    </row>
    <row r="133" spans="1:7">
      <c r="A133" s="1">
        <f>HYPERLINK("https://cms.ls-nyc.org/matter/dynamic-profile/view/1899784","19-1899784")</f>
        <v>0</v>
      </c>
      <c r="B133" t="s">
        <v>8</v>
      </c>
      <c r="E133" t="s">
        <v>14</v>
      </c>
      <c r="G133" t="s">
        <v>17</v>
      </c>
    </row>
    <row r="134" spans="1:7">
      <c r="A134" s="1">
        <f>HYPERLINK("https://cms.ls-nyc.org/matter/dynamic-profile/view/1899785","19-1899785")</f>
        <v>0</v>
      </c>
      <c r="B134" t="s">
        <v>8</v>
      </c>
      <c r="E134" t="s">
        <v>14</v>
      </c>
      <c r="G134" t="s">
        <v>17</v>
      </c>
    </row>
    <row r="135" spans="1:7">
      <c r="A135" s="1">
        <f>HYPERLINK("https://cms.ls-nyc.org/matter/dynamic-profile/view/1899835","19-1899835")</f>
        <v>0</v>
      </c>
      <c r="B135" t="s">
        <v>8</v>
      </c>
      <c r="E135" t="s">
        <v>14</v>
      </c>
      <c r="G135" t="s">
        <v>17</v>
      </c>
    </row>
    <row r="136" spans="1:7">
      <c r="A136" s="1">
        <f>HYPERLINK("https://cms.ls-nyc.org/matter/dynamic-profile/view/1899861","19-1899861")</f>
        <v>0</v>
      </c>
      <c r="B136" t="s">
        <v>8</v>
      </c>
      <c r="E136" t="s">
        <v>14</v>
      </c>
      <c r="G136" t="s">
        <v>17</v>
      </c>
    </row>
    <row r="137" spans="1:7">
      <c r="A137" s="1">
        <f>HYPERLINK("https://cms.ls-nyc.org/matter/dynamic-profile/view/1896031","19-1896031")</f>
        <v>0</v>
      </c>
      <c r="B137" t="s">
        <v>8</v>
      </c>
      <c r="G137" t="s">
        <v>16</v>
      </c>
    </row>
    <row r="138" spans="1:7">
      <c r="A138" s="1">
        <f>HYPERLINK("https://cms.ls-nyc.org/matter/dynamic-profile/view/1891794","19-1891794")</f>
        <v>0</v>
      </c>
      <c r="B138" t="s">
        <v>8</v>
      </c>
      <c r="G138" t="s">
        <v>16</v>
      </c>
    </row>
    <row r="139" spans="1:7">
      <c r="A139" s="1">
        <f>HYPERLINK("https://cms.ls-nyc.org/matter/dynamic-profile/view/1892535","19-1892535")</f>
        <v>0</v>
      </c>
      <c r="B139" t="s">
        <v>8</v>
      </c>
      <c r="C139" t="s">
        <v>12</v>
      </c>
      <c r="E139" t="s">
        <v>14</v>
      </c>
      <c r="G139" t="s">
        <v>17</v>
      </c>
    </row>
    <row r="140" spans="1:7">
      <c r="A140" s="1">
        <f>HYPERLINK("https://cms.ls-nyc.org/matter/dynamic-profile/view/1893304","19-1893304")</f>
        <v>0</v>
      </c>
      <c r="B140" t="s">
        <v>8</v>
      </c>
      <c r="F140" t="s">
        <v>15</v>
      </c>
      <c r="G140" t="s">
        <v>17</v>
      </c>
    </row>
    <row r="141" spans="1:7">
      <c r="A141" s="1">
        <f>HYPERLINK("https://cms.ls-nyc.org/matter/dynamic-profile/view/1872878","18-1872878")</f>
        <v>0</v>
      </c>
      <c r="B141" t="s">
        <v>8</v>
      </c>
      <c r="G141" t="s">
        <v>16</v>
      </c>
    </row>
    <row r="142" spans="1:7">
      <c r="A142" s="1">
        <f>HYPERLINK("https://cms.ls-nyc.org/matter/dynamic-profile/view/1883452","18-1883452")</f>
        <v>0</v>
      </c>
      <c r="B142" t="s">
        <v>8</v>
      </c>
      <c r="G142" t="s">
        <v>16</v>
      </c>
    </row>
    <row r="143" spans="1:7">
      <c r="A143" s="1">
        <f>HYPERLINK("https://cms.ls-nyc.org/matter/dynamic-profile/view/1893301","19-1893301")</f>
        <v>0</v>
      </c>
      <c r="B143" t="s">
        <v>8</v>
      </c>
      <c r="F143" t="s">
        <v>15</v>
      </c>
      <c r="G143" t="s">
        <v>17</v>
      </c>
    </row>
    <row r="144" spans="1:7">
      <c r="A144" s="1">
        <f>HYPERLINK("https://cms.ls-nyc.org/matter/dynamic-profile/view/1870843","18-1870843")</f>
        <v>0</v>
      </c>
      <c r="B144" t="s">
        <v>8</v>
      </c>
      <c r="D144" t="s">
        <v>13</v>
      </c>
      <c r="G144" t="s">
        <v>17</v>
      </c>
    </row>
    <row r="145" spans="1:7">
      <c r="A145" s="1">
        <f>HYPERLINK("https://cms.ls-nyc.org/matter/dynamic-profile/view/1893309","19-1893309")</f>
        <v>0</v>
      </c>
      <c r="B145" t="s">
        <v>8</v>
      </c>
      <c r="F145" t="s">
        <v>15</v>
      </c>
      <c r="G145" t="s">
        <v>17</v>
      </c>
    </row>
    <row r="146" spans="1:7">
      <c r="A146" s="1">
        <f>HYPERLINK("https://cms.ls-nyc.org/matter/dynamic-profile/view/1889769","19-1889769")</f>
        <v>0</v>
      </c>
      <c r="B146" t="s">
        <v>8</v>
      </c>
      <c r="G146" t="s">
        <v>16</v>
      </c>
    </row>
    <row r="147" spans="1:7">
      <c r="A147" s="1">
        <f>HYPERLINK("https://cms.ls-nyc.org/matter/dynamic-profile/view/1895178","19-1895178")</f>
        <v>0</v>
      </c>
      <c r="B147" t="s">
        <v>8</v>
      </c>
      <c r="G147" t="s">
        <v>16</v>
      </c>
    </row>
    <row r="148" spans="1:7">
      <c r="A148" s="1">
        <f>HYPERLINK("https://cms.ls-nyc.org/matter/dynamic-profile/view/1895289","19-1895289")</f>
        <v>0</v>
      </c>
      <c r="B148" t="s">
        <v>8</v>
      </c>
      <c r="G148" t="s">
        <v>16</v>
      </c>
    </row>
    <row r="149" spans="1:7">
      <c r="A149" s="1">
        <f>HYPERLINK("https://cms.ls-nyc.org/matter/dynamic-profile/view/1901085","19-1901085")</f>
        <v>0</v>
      </c>
      <c r="B149" t="s">
        <v>8</v>
      </c>
      <c r="G149" t="s">
        <v>16</v>
      </c>
    </row>
    <row r="150" spans="1:7">
      <c r="A150" s="1">
        <f>HYPERLINK("https://cms.ls-nyc.org/matter/dynamic-profile/view/1879820","18-1879820")</f>
        <v>0</v>
      </c>
      <c r="B150" t="s">
        <v>8</v>
      </c>
      <c r="F150" t="s">
        <v>15</v>
      </c>
      <c r="G150" t="s">
        <v>17</v>
      </c>
    </row>
    <row r="151" spans="1:7">
      <c r="A151" s="1">
        <f>HYPERLINK("https://cms.ls-nyc.org/matter/dynamic-profile/view/1895816","19-1895816")</f>
        <v>0</v>
      </c>
      <c r="B151" t="s">
        <v>8</v>
      </c>
      <c r="C151" t="s">
        <v>12</v>
      </c>
      <c r="E151" t="s">
        <v>14</v>
      </c>
      <c r="G151" t="s">
        <v>17</v>
      </c>
    </row>
    <row r="152" spans="1:7">
      <c r="A152" s="1">
        <f>HYPERLINK("https://cms.ls-nyc.org/matter/dynamic-profile/view/1886104","18-1886104")</f>
        <v>0</v>
      </c>
      <c r="B152" t="s">
        <v>8</v>
      </c>
      <c r="G152" t="s">
        <v>16</v>
      </c>
    </row>
    <row r="153" spans="1:7">
      <c r="A153" s="1">
        <f>HYPERLINK("https://cms.ls-nyc.org/matter/dynamic-profile/view/1866809","18-1866809")</f>
        <v>0</v>
      </c>
      <c r="B153" t="s">
        <v>8</v>
      </c>
      <c r="G153" t="s">
        <v>16</v>
      </c>
    </row>
    <row r="154" spans="1:7">
      <c r="A154" s="1">
        <f>HYPERLINK("https://cms.ls-nyc.org/matter/dynamic-profile/view/1871051","18-1871051")</f>
        <v>0</v>
      </c>
      <c r="B154" t="s">
        <v>8</v>
      </c>
      <c r="G154" t="s">
        <v>16</v>
      </c>
    </row>
    <row r="155" spans="1:7">
      <c r="A155" s="1">
        <f>HYPERLINK("https://cms.ls-nyc.org/matter/dynamic-profile/view/1882823","18-1882823")</f>
        <v>0</v>
      </c>
      <c r="B155" t="s">
        <v>8</v>
      </c>
      <c r="G155" t="s">
        <v>16</v>
      </c>
    </row>
    <row r="156" spans="1:7">
      <c r="A156" s="1">
        <f>HYPERLINK("https://cms.ls-nyc.org/matter/dynamic-profile/view/1892003","19-1892003")</f>
        <v>0</v>
      </c>
      <c r="B156" t="s">
        <v>8</v>
      </c>
      <c r="G156" t="s">
        <v>16</v>
      </c>
    </row>
    <row r="157" spans="1:7">
      <c r="A157" s="1">
        <f>HYPERLINK("https://cms.ls-nyc.org/matter/dynamic-profile/view/1889315","19-1889315")</f>
        <v>0</v>
      </c>
      <c r="B157" t="s">
        <v>8</v>
      </c>
      <c r="G157" t="s">
        <v>16</v>
      </c>
    </row>
    <row r="158" spans="1:7">
      <c r="A158" s="1">
        <f>HYPERLINK("https://cms.ls-nyc.org/matter/dynamic-profile/view/1890391","19-1890391")</f>
        <v>0</v>
      </c>
      <c r="B158" t="s">
        <v>8</v>
      </c>
      <c r="G158" t="s">
        <v>16</v>
      </c>
    </row>
    <row r="159" spans="1:7">
      <c r="A159" s="1">
        <f>HYPERLINK("https://cms.ls-nyc.org/matter/dynamic-profile/view/1883185","18-1883185")</f>
        <v>0</v>
      </c>
      <c r="B159" t="s">
        <v>8</v>
      </c>
      <c r="G159" t="s">
        <v>16</v>
      </c>
    </row>
    <row r="160" spans="1:7">
      <c r="A160" s="1">
        <f>HYPERLINK("https://cms.ls-nyc.org/matter/dynamic-profile/view/1893101","19-1893101")</f>
        <v>0</v>
      </c>
      <c r="B160" t="s">
        <v>8</v>
      </c>
      <c r="E160" t="s">
        <v>14</v>
      </c>
      <c r="F160" t="s">
        <v>15</v>
      </c>
      <c r="G160" t="s">
        <v>17</v>
      </c>
    </row>
    <row r="161" spans="1:7">
      <c r="A161" s="1">
        <f>HYPERLINK("https://cms.ls-nyc.org/matter/dynamic-profile/view/1875938","18-1875938")</f>
        <v>0</v>
      </c>
      <c r="B161" t="s">
        <v>8</v>
      </c>
      <c r="G161" t="s">
        <v>16</v>
      </c>
    </row>
    <row r="162" spans="1:7">
      <c r="A162" s="1">
        <f>HYPERLINK("https://cms.ls-nyc.org/matter/dynamic-profile/view/1880901","18-1880901")</f>
        <v>0</v>
      </c>
      <c r="B162" t="s">
        <v>8</v>
      </c>
      <c r="G162" t="s">
        <v>16</v>
      </c>
    </row>
    <row r="163" spans="1:7">
      <c r="A163" s="1">
        <f>HYPERLINK("https://cms.ls-nyc.org/matter/dynamic-profile/view/1896403","19-1896403")</f>
        <v>0</v>
      </c>
      <c r="B163" t="s">
        <v>8</v>
      </c>
      <c r="G163" t="s">
        <v>16</v>
      </c>
    </row>
    <row r="164" spans="1:7">
      <c r="A164" s="1">
        <f>HYPERLINK("https://cms.ls-nyc.org/matter/dynamic-profile/view/1894214","19-1894214")</f>
        <v>0</v>
      </c>
      <c r="B164" t="s">
        <v>8</v>
      </c>
      <c r="F164" t="s">
        <v>15</v>
      </c>
      <c r="G164" t="s">
        <v>17</v>
      </c>
    </row>
    <row r="165" spans="1:7">
      <c r="A165" s="1">
        <f>HYPERLINK("https://cms.ls-nyc.org/matter/dynamic-profile/view/1899697","19-1899697")</f>
        <v>0</v>
      </c>
      <c r="B165" t="s">
        <v>8</v>
      </c>
      <c r="C165" t="s">
        <v>12</v>
      </c>
      <c r="E165" t="s">
        <v>14</v>
      </c>
      <c r="F165" t="s">
        <v>15</v>
      </c>
      <c r="G165" t="s">
        <v>17</v>
      </c>
    </row>
    <row r="166" spans="1:7">
      <c r="A166" s="1">
        <f>HYPERLINK("https://cms.ls-nyc.org/matter/dynamic-profile/view/1893914","19-1893914")</f>
        <v>0</v>
      </c>
      <c r="B166" t="s">
        <v>8</v>
      </c>
      <c r="C166" t="s">
        <v>12</v>
      </c>
      <c r="E166" t="s">
        <v>14</v>
      </c>
      <c r="G166" t="s">
        <v>17</v>
      </c>
    </row>
    <row r="167" spans="1:7">
      <c r="A167" s="1">
        <f>HYPERLINK("https://cms.ls-nyc.org/matter/dynamic-profile/view/1889349","19-1889349")</f>
        <v>0</v>
      </c>
      <c r="B167" t="s">
        <v>8</v>
      </c>
      <c r="G167" t="s">
        <v>16</v>
      </c>
    </row>
    <row r="168" spans="1:7">
      <c r="A168" s="1">
        <f>HYPERLINK("https://cms.ls-nyc.org/matter/dynamic-profile/view/1876469","18-1876469")</f>
        <v>0</v>
      </c>
      <c r="B168" t="s">
        <v>8</v>
      </c>
      <c r="G168" t="s">
        <v>16</v>
      </c>
    </row>
    <row r="169" spans="1:7">
      <c r="A169" s="1">
        <f>HYPERLINK("https://cms.ls-nyc.org/matter/dynamic-profile/view/1892536","19-1892536")</f>
        <v>0</v>
      </c>
      <c r="B169" t="s">
        <v>8</v>
      </c>
      <c r="C169" t="s">
        <v>12</v>
      </c>
      <c r="E169" t="s">
        <v>14</v>
      </c>
      <c r="G169" t="s">
        <v>17</v>
      </c>
    </row>
    <row r="170" spans="1:7">
      <c r="A170" s="1">
        <f>HYPERLINK("https://cms.ls-nyc.org/matter/dynamic-profile/view/1893757","19-1893757")</f>
        <v>0</v>
      </c>
      <c r="B170" t="s">
        <v>8</v>
      </c>
      <c r="C170" t="s">
        <v>12</v>
      </c>
      <c r="E170" t="s">
        <v>14</v>
      </c>
      <c r="G170" t="s">
        <v>17</v>
      </c>
    </row>
    <row r="171" spans="1:7">
      <c r="A171" s="1">
        <f>HYPERLINK("https://cms.ls-nyc.org/matter/dynamic-profile/view/1896003","19-1896003")</f>
        <v>0</v>
      </c>
      <c r="B171" t="s">
        <v>7</v>
      </c>
      <c r="G171" t="s">
        <v>16</v>
      </c>
    </row>
    <row r="172" spans="1:7">
      <c r="A172" s="1">
        <f>HYPERLINK("https://cms.ls-nyc.org/matter/dynamic-profile/view/1873972","18-1873972")</f>
        <v>0</v>
      </c>
      <c r="B172" t="s">
        <v>7</v>
      </c>
      <c r="G172" t="s">
        <v>16</v>
      </c>
    </row>
    <row r="173" spans="1:7">
      <c r="A173" s="1">
        <f>HYPERLINK("https://cms.ls-nyc.org/matter/dynamic-profile/view/1892386","19-1892386")</f>
        <v>0</v>
      </c>
      <c r="B173" t="s">
        <v>7</v>
      </c>
      <c r="F173" t="s">
        <v>15</v>
      </c>
      <c r="G173" t="s">
        <v>17</v>
      </c>
    </row>
    <row r="174" spans="1:7">
      <c r="A174" s="1">
        <f>HYPERLINK("https://cms.ls-nyc.org/matter/dynamic-profile/view/1891492","19-1891492")</f>
        <v>0</v>
      </c>
      <c r="B174" t="s">
        <v>7</v>
      </c>
      <c r="G174" t="s">
        <v>16</v>
      </c>
    </row>
    <row r="175" spans="1:7">
      <c r="A175" s="1">
        <f>HYPERLINK("https://cms.ls-nyc.org/matter/dynamic-profile/view/1888625","19-1888625")</f>
        <v>0</v>
      </c>
      <c r="B175" t="s">
        <v>7</v>
      </c>
      <c r="G175" t="s">
        <v>16</v>
      </c>
    </row>
    <row r="176" spans="1:7">
      <c r="A176" s="1">
        <f>HYPERLINK("https://cms.ls-nyc.org/matter/dynamic-profile/view/1873975","18-1873975")</f>
        <v>0</v>
      </c>
      <c r="B176" t="s">
        <v>7</v>
      </c>
      <c r="G176" t="s">
        <v>16</v>
      </c>
    </row>
    <row r="177" spans="1:7">
      <c r="A177" s="1">
        <f>HYPERLINK("https://cms.ls-nyc.org/matter/dynamic-profile/view/1888545","19-1888545")</f>
        <v>0</v>
      </c>
      <c r="B177" t="s">
        <v>7</v>
      </c>
      <c r="G177" t="s">
        <v>16</v>
      </c>
    </row>
    <row r="178" spans="1:7">
      <c r="A178" s="1">
        <f>HYPERLINK("https://cms.ls-nyc.org/matter/dynamic-profile/view/1890884","19-1890884")</f>
        <v>0</v>
      </c>
      <c r="B178" t="s">
        <v>7</v>
      </c>
      <c r="G178" t="s">
        <v>16</v>
      </c>
    </row>
    <row r="179" spans="1:7">
      <c r="A179" s="1">
        <f>HYPERLINK("https://cms.ls-nyc.org/matter/dynamic-profile/view/1876282","18-1876282")</f>
        <v>0</v>
      </c>
      <c r="B179" t="s">
        <v>7</v>
      </c>
      <c r="G179" t="s">
        <v>16</v>
      </c>
    </row>
    <row r="180" spans="1:7">
      <c r="A180" s="1">
        <f>HYPERLINK("https://cms.ls-nyc.org/matter/dynamic-profile/view/1887450","19-1887450")</f>
        <v>0</v>
      </c>
      <c r="B180" t="s">
        <v>7</v>
      </c>
      <c r="G180" t="s">
        <v>16</v>
      </c>
    </row>
    <row r="181" spans="1:7">
      <c r="A181" s="1">
        <f>HYPERLINK("https://cms.ls-nyc.org/matter/dynamic-profile/view/1900499","19-1900499")</f>
        <v>0</v>
      </c>
      <c r="B181" t="s">
        <v>7</v>
      </c>
      <c r="E181" t="s">
        <v>14</v>
      </c>
      <c r="G181" t="s">
        <v>17</v>
      </c>
    </row>
    <row r="182" spans="1:7">
      <c r="A182" s="1">
        <f>HYPERLINK("https://cms.ls-nyc.org/matter/dynamic-profile/view/1875678","18-1875678")</f>
        <v>0</v>
      </c>
      <c r="B182" t="s">
        <v>9</v>
      </c>
      <c r="G182" t="s">
        <v>16</v>
      </c>
    </row>
    <row r="183" spans="1:7">
      <c r="A183" s="1">
        <f>HYPERLINK("https://cms.ls-nyc.org/matter/dynamic-profile/view/1875674","18-1875674")</f>
        <v>0</v>
      </c>
      <c r="B183" t="s">
        <v>9</v>
      </c>
      <c r="G183" t="s">
        <v>16</v>
      </c>
    </row>
    <row r="184" spans="1:7">
      <c r="A184" s="1">
        <f>HYPERLINK("https://cms.ls-nyc.org/matter/dynamic-profile/view/1894599","19-1894599")</f>
        <v>0</v>
      </c>
      <c r="B184" t="s">
        <v>9</v>
      </c>
      <c r="G184" t="s">
        <v>16</v>
      </c>
    </row>
    <row r="185" spans="1:7">
      <c r="A185" s="1">
        <f>HYPERLINK("https://cms.ls-nyc.org/matter/dynamic-profile/view/1895116","19-1895116")</f>
        <v>0</v>
      </c>
      <c r="B185" t="s">
        <v>9</v>
      </c>
      <c r="G185" t="s">
        <v>16</v>
      </c>
    </row>
    <row r="186" spans="1:7">
      <c r="A186" s="1">
        <f>HYPERLINK("https://cms.ls-nyc.org/matter/dynamic-profile/view/1885322","18-1885322")</f>
        <v>0</v>
      </c>
      <c r="B186" t="s">
        <v>9</v>
      </c>
      <c r="F186" t="s">
        <v>15</v>
      </c>
      <c r="G186" t="s">
        <v>17</v>
      </c>
    </row>
    <row r="187" spans="1:7">
      <c r="A187" s="1">
        <f>HYPERLINK("https://cms.ls-nyc.org/matter/dynamic-profile/view/1871332","18-1871332")</f>
        <v>0</v>
      </c>
      <c r="B187" t="s">
        <v>9</v>
      </c>
      <c r="E187" t="s">
        <v>14</v>
      </c>
      <c r="G187" t="s">
        <v>17</v>
      </c>
    </row>
    <row r="188" spans="1:7">
      <c r="A188" s="1">
        <f>HYPERLINK("https://cms.ls-nyc.org/matter/dynamic-profile/view/1898191","19-1898191")</f>
        <v>0</v>
      </c>
      <c r="B188" t="s">
        <v>9</v>
      </c>
      <c r="G188" t="s">
        <v>16</v>
      </c>
    </row>
    <row r="189" spans="1:7">
      <c r="A189" s="1">
        <f>HYPERLINK("https://cms.ls-nyc.org/matter/dynamic-profile/view/1876939","18-1876939")</f>
        <v>0</v>
      </c>
      <c r="B189" t="s">
        <v>9</v>
      </c>
      <c r="G189" t="s">
        <v>16</v>
      </c>
    </row>
    <row r="190" spans="1:7">
      <c r="A190" s="1">
        <f>HYPERLINK("https://cms.ls-nyc.org/matter/dynamic-profile/view/1885679","18-1885679")</f>
        <v>0</v>
      </c>
      <c r="B190" t="s">
        <v>9</v>
      </c>
      <c r="G190" t="s">
        <v>16</v>
      </c>
    </row>
    <row r="191" spans="1:7">
      <c r="A191" s="1">
        <f>HYPERLINK("https://cms.ls-nyc.org/matter/dynamic-profile/view/1885683","18-1885683")</f>
        <v>0</v>
      </c>
      <c r="B191" t="s">
        <v>9</v>
      </c>
      <c r="G191" t="s">
        <v>16</v>
      </c>
    </row>
    <row r="192" spans="1:7">
      <c r="A192" s="1">
        <f>HYPERLINK("https://cms.ls-nyc.org/matter/dynamic-profile/view/1871917","18-1871917")</f>
        <v>0</v>
      </c>
      <c r="B192" t="s">
        <v>9</v>
      </c>
      <c r="F192" t="s">
        <v>15</v>
      </c>
      <c r="G192" t="s">
        <v>17</v>
      </c>
    </row>
    <row r="193" spans="1:7">
      <c r="A193" s="1">
        <f>HYPERLINK("https://cms.ls-nyc.org/matter/dynamic-profile/view/1880802","18-1880802")</f>
        <v>0</v>
      </c>
      <c r="B193" t="s">
        <v>9</v>
      </c>
      <c r="G193" t="s">
        <v>16</v>
      </c>
    </row>
    <row r="194" spans="1:7">
      <c r="A194" s="1">
        <f>HYPERLINK("https://cms.ls-nyc.org/matter/dynamic-profile/view/1884474","18-1884474")</f>
        <v>0</v>
      </c>
      <c r="B194" t="s">
        <v>9</v>
      </c>
      <c r="G194" t="s">
        <v>16</v>
      </c>
    </row>
    <row r="195" spans="1:7">
      <c r="A195" s="1">
        <f>HYPERLINK("https://cms.ls-nyc.org/matter/dynamic-profile/view/1893733","19-1893733")</f>
        <v>0</v>
      </c>
      <c r="B195" t="s">
        <v>9</v>
      </c>
      <c r="G195" t="s">
        <v>16</v>
      </c>
    </row>
    <row r="196" spans="1:7">
      <c r="A196" s="1">
        <f>HYPERLINK("https://cms.ls-nyc.org/matter/dynamic-profile/view/1888503","19-1888503")</f>
        <v>0</v>
      </c>
      <c r="B196" t="s">
        <v>9</v>
      </c>
      <c r="G196" t="s">
        <v>16</v>
      </c>
    </row>
    <row r="197" spans="1:7">
      <c r="A197" s="1">
        <f>HYPERLINK("https://cms.ls-nyc.org/matter/dynamic-profile/view/1886582","18-1886582")</f>
        <v>0</v>
      </c>
      <c r="B197" t="s">
        <v>9</v>
      </c>
      <c r="G197" t="s">
        <v>16</v>
      </c>
    </row>
    <row r="198" spans="1:7">
      <c r="A198" s="1">
        <f>HYPERLINK("https://cms.ls-nyc.org/matter/dynamic-profile/view/1882654","18-1882654")</f>
        <v>0</v>
      </c>
      <c r="B198" t="s">
        <v>9</v>
      </c>
      <c r="G198" t="s">
        <v>16</v>
      </c>
    </row>
    <row r="199" spans="1:7">
      <c r="A199" s="1">
        <f>HYPERLINK("https://cms.ls-nyc.org/matter/dynamic-profile/view/1882688","18-1882688")</f>
        <v>0</v>
      </c>
      <c r="B199" t="s">
        <v>9</v>
      </c>
      <c r="G199" t="s">
        <v>16</v>
      </c>
    </row>
    <row r="200" spans="1:7">
      <c r="A200" s="1">
        <f>HYPERLINK("https://cms.ls-nyc.org/matter/dynamic-profile/view/1882734","18-1882734")</f>
        <v>0</v>
      </c>
      <c r="B200" t="s">
        <v>9</v>
      </c>
      <c r="G200" t="s">
        <v>16</v>
      </c>
    </row>
    <row r="201" spans="1:7">
      <c r="A201" s="1">
        <f>HYPERLINK("https://cms.ls-nyc.org/matter/dynamic-profile/view/1897359","19-1897359")</f>
        <v>0</v>
      </c>
      <c r="B201" t="s">
        <v>9</v>
      </c>
      <c r="G201" t="s">
        <v>16</v>
      </c>
    </row>
    <row r="202" spans="1:7">
      <c r="A202" s="1">
        <f>HYPERLINK("https://cms.ls-nyc.org/matter/dynamic-profile/view/0824075","17-0824075")</f>
        <v>0</v>
      </c>
      <c r="B202" t="s">
        <v>9</v>
      </c>
      <c r="E202" t="s">
        <v>14</v>
      </c>
      <c r="F202" t="s">
        <v>15</v>
      </c>
      <c r="G202" t="s">
        <v>17</v>
      </c>
    </row>
    <row r="203" spans="1:7">
      <c r="A203" s="1">
        <f>HYPERLINK("https://cms.ls-nyc.org/matter/dynamic-profile/view/1862841","18-1862841")</f>
        <v>0</v>
      </c>
      <c r="B203" t="s">
        <v>9</v>
      </c>
      <c r="E203" t="s">
        <v>14</v>
      </c>
      <c r="F203" t="s">
        <v>15</v>
      </c>
      <c r="G203" t="s">
        <v>17</v>
      </c>
    </row>
    <row r="204" spans="1:7">
      <c r="A204" s="1">
        <f>HYPERLINK("https://cms.ls-nyc.org/matter/dynamic-profile/view/1882097","18-1882097")</f>
        <v>0</v>
      </c>
      <c r="B204" t="s">
        <v>9</v>
      </c>
      <c r="G204" t="s">
        <v>16</v>
      </c>
    </row>
    <row r="205" spans="1:7">
      <c r="A205" s="1">
        <f>HYPERLINK("https://cms.ls-nyc.org/matter/dynamic-profile/view/1882687","18-1882687")</f>
        <v>0</v>
      </c>
      <c r="B205" t="s">
        <v>9</v>
      </c>
      <c r="G205" t="s">
        <v>16</v>
      </c>
    </row>
    <row r="206" spans="1:7">
      <c r="A206" s="1">
        <f>HYPERLINK("https://cms.ls-nyc.org/matter/dynamic-profile/view/1882733","18-1882733")</f>
        <v>0</v>
      </c>
      <c r="B206" t="s">
        <v>9</v>
      </c>
      <c r="G206" t="s">
        <v>16</v>
      </c>
    </row>
    <row r="207" spans="1:7">
      <c r="A207" s="1">
        <f>HYPERLINK("https://cms.ls-nyc.org/matter/dynamic-profile/view/1886131","18-1886131")</f>
        <v>0</v>
      </c>
      <c r="B207" t="s">
        <v>9</v>
      </c>
      <c r="G207" t="s">
        <v>16</v>
      </c>
    </row>
    <row r="208" spans="1:7">
      <c r="A208" s="1">
        <f>HYPERLINK("https://cms.ls-nyc.org/matter/dynamic-profile/view/1889974","19-1889974")</f>
        <v>0</v>
      </c>
      <c r="B208" t="s">
        <v>9</v>
      </c>
      <c r="G208" t="s">
        <v>16</v>
      </c>
    </row>
    <row r="209" spans="1:7">
      <c r="A209" s="1">
        <f>HYPERLINK("https://cms.ls-nyc.org/matter/dynamic-profile/view/1890025","19-1890025")</f>
        <v>0</v>
      </c>
      <c r="B209" t="s">
        <v>9</v>
      </c>
      <c r="G209" t="s">
        <v>16</v>
      </c>
    </row>
    <row r="210" spans="1:7">
      <c r="A210" s="1">
        <f>HYPERLINK("https://cms.ls-nyc.org/matter/dynamic-profile/view/1873338","18-1873338")</f>
        <v>0</v>
      </c>
      <c r="B210" t="s">
        <v>9</v>
      </c>
      <c r="F210" t="s">
        <v>15</v>
      </c>
      <c r="G210" t="s">
        <v>17</v>
      </c>
    </row>
    <row r="211" spans="1:7">
      <c r="A211" s="1">
        <f>HYPERLINK("https://cms.ls-nyc.org/matter/dynamic-profile/view/1887394","19-1887394")</f>
        <v>0</v>
      </c>
      <c r="B211" t="s">
        <v>9</v>
      </c>
      <c r="G211" t="s">
        <v>16</v>
      </c>
    </row>
    <row r="212" spans="1:7">
      <c r="A212" s="1">
        <f>HYPERLINK("https://cms.ls-nyc.org/matter/dynamic-profile/view/1889950","19-1889950")</f>
        <v>0</v>
      </c>
      <c r="B212" t="s">
        <v>9</v>
      </c>
      <c r="F212" t="s">
        <v>15</v>
      </c>
      <c r="G212" t="s">
        <v>17</v>
      </c>
    </row>
    <row r="213" spans="1:7">
      <c r="A213" s="1">
        <f>HYPERLINK("https://cms.ls-nyc.org/matter/dynamic-profile/view/1890574","19-1890574")</f>
        <v>0</v>
      </c>
      <c r="B213" t="s">
        <v>9</v>
      </c>
      <c r="G213" t="s">
        <v>16</v>
      </c>
    </row>
    <row r="214" spans="1:7">
      <c r="A214" s="1">
        <f>HYPERLINK("https://cms.ls-nyc.org/matter/dynamic-profile/view/1897103","19-1897103")</f>
        <v>0</v>
      </c>
      <c r="B214" t="s">
        <v>9</v>
      </c>
      <c r="G214" t="s">
        <v>16</v>
      </c>
    </row>
    <row r="215" spans="1:7">
      <c r="A215" s="1">
        <f>HYPERLINK("https://cms.ls-nyc.org/matter/dynamic-profile/view/1876436","18-1876436")</f>
        <v>0</v>
      </c>
      <c r="B215" t="s">
        <v>9</v>
      </c>
      <c r="G215" t="s">
        <v>16</v>
      </c>
    </row>
    <row r="216" spans="1:7">
      <c r="A216" s="1">
        <f>HYPERLINK("https://cms.ls-nyc.org/matter/dynamic-profile/view/1879510","18-1879510")</f>
        <v>0</v>
      </c>
      <c r="B216" t="s">
        <v>9</v>
      </c>
      <c r="G216" t="s">
        <v>16</v>
      </c>
    </row>
    <row r="217" spans="1:7">
      <c r="A217" s="1">
        <f>HYPERLINK("https://cms.ls-nyc.org/matter/dynamic-profile/view/1890570","19-1890570")</f>
        <v>0</v>
      </c>
      <c r="B217" t="s">
        <v>9</v>
      </c>
      <c r="G217" t="s">
        <v>16</v>
      </c>
    </row>
    <row r="218" spans="1:7">
      <c r="A218" s="1">
        <f>HYPERLINK("https://cms.ls-nyc.org/matter/dynamic-profile/view/1877660","18-1877660")</f>
        <v>0</v>
      </c>
      <c r="B218" t="s">
        <v>9</v>
      </c>
      <c r="F218" t="s">
        <v>15</v>
      </c>
      <c r="G218" t="s">
        <v>17</v>
      </c>
    </row>
    <row r="219" spans="1:7">
      <c r="A219" s="1">
        <f>HYPERLINK("https://cms.ls-nyc.org/matter/dynamic-profile/view/1883459","18-1883459")</f>
        <v>0</v>
      </c>
      <c r="B219" t="s">
        <v>9</v>
      </c>
      <c r="G219" t="s">
        <v>16</v>
      </c>
    </row>
    <row r="220" spans="1:7">
      <c r="A220" s="1">
        <f>HYPERLINK("https://cms.ls-nyc.org/matter/dynamic-profile/view/1890563","19-1890563")</f>
        <v>0</v>
      </c>
      <c r="B220" t="s">
        <v>9</v>
      </c>
      <c r="G220" t="s">
        <v>16</v>
      </c>
    </row>
    <row r="221" spans="1:7">
      <c r="A221" s="1">
        <f>HYPERLINK("https://cms.ls-nyc.org/matter/dynamic-profile/view/1869425","18-1869425")</f>
        <v>0</v>
      </c>
      <c r="B221" t="s">
        <v>9</v>
      </c>
      <c r="G221" t="s">
        <v>16</v>
      </c>
    </row>
    <row r="222" spans="1:7">
      <c r="A222" s="1">
        <f>HYPERLINK("https://cms.ls-nyc.org/matter/dynamic-profile/view/1875726","18-1875726")</f>
        <v>0</v>
      </c>
      <c r="B222" t="s">
        <v>9</v>
      </c>
      <c r="G222" t="s">
        <v>16</v>
      </c>
    </row>
    <row r="223" spans="1:7">
      <c r="A223" s="1">
        <f>HYPERLINK("https://cms.ls-nyc.org/matter/dynamic-profile/view/1893016","19-1893016")</f>
        <v>0</v>
      </c>
      <c r="B223" t="s">
        <v>9</v>
      </c>
      <c r="G223" t="s">
        <v>16</v>
      </c>
    </row>
    <row r="224" spans="1:7">
      <c r="A224" s="1">
        <f>HYPERLINK("https://cms.ls-nyc.org/matter/dynamic-profile/view/1894026","19-1894026")</f>
        <v>0</v>
      </c>
      <c r="B224" t="s">
        <v>9</v>
      </c>
      <c r="F224" t="s">
        <v>15</v>
      </c>
      <c r="G224" t="s">
        <v>17</v>
      </c>
    </row>
    <row r="225" spans="1:7">
      <c r="A225" s="1">
        <f>HYPERLINK("https://cms.ls-nyc.org/matter/dynamic-profile/view/1895588","19-1895588")</f>
        <v>0</v>
      </c>
      <c r="B225" t="s">
        <v>9</v>
      </c>
      <c r="F225" t="s">
        <v>15</v>
      </c>
      <c r="G225" t="s">
        <v>17</v>
      </c>
    </row>
    <row r="226" spans="1:7">
      <c r="A226" s="1">
        <f>HYPERLINK("https://cms.ls-nyc.org/matter/dynamic-profile/view/1880340","18-1880340")</f>
        <v>0</v>
      </c>
      <c r="B226" t="s">
        <v>9</v>
      </c>
      <c r="G226" t="s">
        <v>16</v>
      </c>
    </row>
    <row r="227" spans="1:7">
      <c r="A227" s="1">
        <f>HYPERLINK("https://cms.ls-nyc.org/matter/dynamic-profile/view/1881643","18-1881643")</f>
        <v>0</v>
      </c>
      <c r="B227" t="s">
        <v>9</v>
      </c>
      <c r="G227" t="s">
        <v>16</v>
      </c>
    </row>
    <row r="228" spans="1:7">
      <c r="A228" s="1">
        <f>HYPERLINK("https://cms.ls-nyc.org/matter/dynamic-profile/view/1879168","18-1879168")</f>
        <v>0</v>
      </c>
      <c r="B228" t="s">
        <v>9</v>
      </c>
      <c r="G228" t="s">
        <v>16</v>
      </c>
    </row>
    <row r="229" spans="1:7">
      <c r="A229" s="1">
        <f>HYPERLINK("https://cms.ls-nyc.org/matter/dynamic-profile/view/1890692","19-1890692")</f>
        <v>0</v>
      </c>
      <c r="B229" t="s">
        <v>9</v>
      </c>
      <c r="G229" t="s">
        <v>16</v>
      </c>
    </row>
    <row r="230" spans="1:7">
      <c r="A230" s="1">
        <f>HYPERLINK("https://cms.ls-nyc.org/matter/dynamic-profile/view/1880956","18-1880956")</f>
        <v>0</v>
      </c>
      <c r="B230" t="s">
        <v>9</v>
      </c>
      <c r="G230" t="s">
        <v>16</v>
      </c>
    </row>
    <row r="231" spans="1:7">
      <c r="A231" s="1">
        <f>HYPERLINK("https://cms.ls-nyc.org/matter/dynamic-profile/view/1890296","19-1890296")</f>
        <v>0</v>
      </c>
      <c r="B231" t="s">
        <v>9</v>
      </c>
      <c r="F231" t="s">
        <v>15</v>
      </c>
      <c r="G231" t="s">
        <v>17</v>
      </c>
    </row>
    <row r="232" spans="1:7">
      <c r="A232" s="1">
        <f>HYPERLINK("https://cms.ls-nyc.org/matter/dynamic-profile/view/1890375","19-1890375")</f>
        <v>0</v>
      </c>
      <c r="B232" t="s">
        <v>9</v>
      </c>
      <c r="G232" t="s">
        <v>16</v>
      </c>
    </row>
    <row r="233" spans="1:7">
      <c r="A233" s="1">
        <f>HYPERLINK("https://cms.ls-nyc.org/matter/dynamic-profile/view/1893912","19-1893912")</f>
        <v>0</v>
      </c>
      <c r="B233" t="s">
        <v>9</v>
      </c>
      <c r="G233" t="s">
        <v>16</v>
      </c>
    </row>
    <row r="234" spans="1:7">
      <c r="A234" s="1">
        <f>HYPERLINK("https://cms.ls-nyc.org/matter/dynamic-profile/view/1894024","19-1894024")</f>
        <v>0</v>
      </c>
      <c r="B234" t="s">
        <v>9</v>
      </c>
      <c r="F234" t="s">
        <v>15</v>
      </c>
      <c r="G234" t="s">
        <v>17</v>
      </c>
    </row>
    <row r="235" spans="1:7">
      <c r="A235" s="1">
        <f>HYPERLINK("https://cms.ls-nyc.org/matter/dynamic-profile/view/1892240","19-1892240")</f>
        <v>0</v>
      </c>
      <c r="B235" t="s">
        <v>9</v>
      </c>
      <c r="G235" t="s">
        <v>16</v>
      </c>
    </row>
    <row r="236" spans="1:7">
      <c r="A236" s="1">
        <f>HYPERLINK("https://cms.ls-nyc.org/matter/dynamic-profile/view/1881829","18-1881829")</f>
        <v>0</v>
      </c>
      <c r="B236" t="s">
        <v>9</v>
      </c>
      <c r="F236" t="s">
        <v>15</v>
      </c>
      <c r="G236" t="s">
        <v>17</v>
      </c>
    </row>
    <row r="237" spans="1:7">
      <c r="A237" s="1">
        <f>HYPERLINK("https://cms.ls-nyc.org/matter/dynamic-profile/view/1877206","18-1877206")</f>
        <v>0</v>
      </c>
      <c r="B237" t="s">
        <v>9</v>
      </c>
      <c r="G237" t="s">
        <v>16</v>
      </c>
    </row>
    <row r="238" spans="1:7">
      <c r="A238" s="1">
        <f>HYPERLINK("https://cms.ls-nyc.org/matter/dynamic-profile/view/1894846","19-1894846")</f>
        <v>0</v>
      </c>
      <c r="B238" t="s">
        <v>10</v>
      </c>
      <c r="G238" t="s">
        <v>16</v>
      </c>
    </row>
    <row r="239" spans="1:7">
      <c r="A239" s="1">
        <f>HYPERLINK("https://cms.ls-nyc.org/matter/dynamic-profile/view/1893966","19-1893966")</f>
        <v>0</v>
      </c>
      <c r="B239" t="s">
        <v>10</v>
      </c>
      <c r="G239" t="s">
        <v>16</v>
      </c>
    </row>
    <row r="240" spans="1:7">
      <c r="A240" s="1">
        <f>HYPERLINK("https://cms.ls-nyc.org/matter/dynamic-profile/view/1898133","19-1898133")</f>
        <v>0</v>
      </c>
      <c r="B240" t="s">
        <v>10</v>
      </c>
      <c r="G240" t="s">
        <v>16</v>
      </c>
    </row>
    <row r="241" spans="1:7">
      <c r="A241" s="1">
        <f>HYPERLINK("https://cms.ls-nyc.org/matter/dynamic-profile/view/1899275","19-1899275")</f>
        <v>0</v>
      </c>
      <c r="B241" t="s">
        <v>10</v>
      </c>
      <c r="E241" t="s">
        <v>14</v>
      </c>
      <c r="G241" t="s">
        <v>17</v>
      </c>
    </row>
    <row r="242" spans="1:7">
      <c r="A242" s="1">
        <f>HYPERLINK("https://cms.ls-nyc.org/matter/dynamic-profile/view/1897453","19-1897453")</f>
        <v>0</v>
      </c>
      <c r="B242" t="s">
        <v>10</v>
      </c>
      <c r="G242" t="s">
        <v>16</v>
      </c>
    </row>
    <row r="243" spans="1:7">
      <c r="A243" s="1">
        <f>HYPERLINK("https://cms.ls-nyc.org/matter/dynamic-profile/view/1877580","18-1877580")</f>
        <v>0</v>
      </c>
      <c r="B243" t="s">
        <v>10</v>
      </c>
      <c r="G243" t="s">
        <v>16</v>
      </c>
    </row>
    <row r="244" spans="1:7">
      <c r="A244" s="1">
        <f>HYPERLINK("https://cms.ls-nyc.org/matter/dynamic-profile/view/1887529","19-1887529")</f>
        <v>0</v>
      </c>
      <c r="B244" t="s">
        <v>10</v>
      </c>
      <c r="F244" t="s">
        <v>15</v>
      </c>
      <c r="G244" t="s">
        <v>17</v>
      </c>
    </row>
    <row r="245" spans="1:7">
      <c r="A245" s="1">
        <f>HYPERLINK("https://cms.ls-nyc.org/matter/dynamic-profile/view/1873824","18-1873824")</f>
        <v>0</v>
      </c>
      <c r="B245" t="s">
        <v>10</v>
      </c>
      <c r="G245" t="s">
        <v>16</v>
      </c>
    </row>
    <row r="246" spans="1:7">
      <c r="A246" s="1">
        <f>HYPERLINK("https://cms.ls-nyc.org/matter/dynamic-profile/view/1889716","19-1889716")</f>
        <v>0</v>
      </c>
      <c r="B246" t="s">
        <v>10</v>
      </c>
      <c r="G246" t="s">
        <v>16</v>
      </c>
    </row>
    <row r="247" spans="1:7">
      <c r="A247" s="1">
        <f>HYPERLINK("https://cms.ls-nyc.org/matter/dynamic-profile/view/1893767","19-1893767")</f>
        <v>0</v>
      </c>
      <c r="B247" t="s">
        <v>10</v>
      </c>
      <c r="G247" t="s">
        <v>16</v>
      </c>
    </row>
    <row r="248" spans="1:7">
      <c r="A248" s="1">
        <f>HYPERLINK("https://cms.ls-nyc.org/matter/dynamic-profile/view/1889476","19-1889476")</f>
        <v>0</v>
      </c>
      <c r="B248" t="s">
        <v>10</v>
      </c>
      <c r="G248" t="s">
        <v>16</v>
      </c>
    </row>
    <row r="249" spans="1:7">
      <c r="A249" s="1">
        <f>HYPERLINK("https://cms.ls-nyc.org/matter/dynamic-profile/view/1889768","19-1889768")</f>
        <v>0</v>
      </c>
      <c r="B249" t="s">
        <v>10</v>
      </c>
      <c r="G249" t="s">
        <v>16</v>
      </c>
    </row>
    <row r="250" spans="1:7">
      <c r="A250" s="1">
        <f>HYPERLINK("https://cms.ls-nyc.org/matter/dynamic-profile/view/1864428","18-1864428")</f>
        <v>0</v>
      </c>
      <c r="B250" t="s">
        <v>10</v>
      </c>
      <c r="G250" t="s">
        <v>16</v>
      </c>
    </row>
    <row r="251" spans="1:7">
      <c r="A251" s="1">
        <f>HYPERLINK("https://cms.ls-nyc.org/matter/dynamic-profile/view/1887107","19-1887107")</f>
        <v>0</v>
      </c>
      <c r="B251" t="s">
        <v>10</v>
      </c>
      <c r="G251" t="s">
        <v>16</v>
      </c>
    </row>
    <row r="252" spans="1:7">
      <c r="A252" s="1">
        <f>HYPERLINK("https://cms.ls-nyc.org/matter/dynamic-profile/view/1873873","18-1873873")</f>
        <v>0</v>
      </c>
      <c r="B252" t="s">
        <v>10</v>
      </c>
      <c r="C252" t="s">
        <v>12</v>
      </c>
      <c r="E252" t="s">
        <v>14</v>
      </c>
      <c r="G252" t="s">
        <v>17</v>
      </c>
    </row>
    <row r="253" spans="1:7">
      <c r="A253" s="1">
        <f>HYPERLINK("https://cms.ls-nyc.org/matter/dynamic-profile/view/1876566","18-1876566")</f>
        <v>0</v>
      </c>
      <c r="B253" t="s">
        <v>10</v>
      </c>
      <c r="C253" t="s">
        <v>12</v>
      </c>
      <c r="E253" t="s">
        <v>14</v>
      </c>
      <c r="F253" t="s">
        <v>15</v>
      </c>
      <c r="G253" t="s">
        <v>17</v>
      </c>
    </row>
    <row r="254" spans="1:7">
      <c r="A254" s="1">
        <f>HYPERLINK("https://cms.ls-nyc.org/matter/dynamic-profile/view/1881625","18-1881625")</f>
        <v>0</v>
      </c>
      <c r="B254" t="s">
        <v>10</v>
      </c>
      <c r="C254" t="s">
        <v>12</v>
      </c>
      <c r="E254" t="s">
        <v>14</v>
      </c>
      <c r="F254" t="s">
        <v>15</v>
      </c>
      <c r="G254" t="s">
        <v>17</v>
      </c>
    </row>
    <row r="255" spans="1:7">
      <c r="A255" s="1">
        <f>HYPERLINK("https://cms.ls-nyc.org/matter/dynamic-profile/view/1872628","18-1872628")</f>
        <v>0</v>
      </c>
      <c r="B255" t="s">
        <v>10</v>
      </c>
      <c r="G255" t="s">
        <v>16</v>
      </c>
    </row>
    <row r="256" spans="1:7">
      <c r="A256" s="1">
        <f>HYPERLINK("https://cms.ls-nyc.org/matter/dynamic-profile/view/1881536","18-1881536")</f>
        <v>0</v>
      </c>
      <c r="B256" t="s">
        <v>10</v>
      </c>
      <c r="G256" t="s">
        <v>16</v>
      </c>
    </row>
    <row r="257" spans="1:7">
      <c r="A257" s="1">
        <f>HYPERLINK("https://cms.ls-nyc.org/matter/dynamic-profile/view/1882165","18-1882165")</f>
        <v>0</v>
      </c>
      <c r="B257" t="s">
        <v>10</v>
      </c>
      <c r="G257" t="s">
        <v>16</v>
      </c>
    </row>
    <row r="258" spans="1:7">
      <c r="A258" s="1">
        <f>HYPERLINK("https://cms.ls-nyc.org/matter/dynamic-profile/view/1887530","19-1887530")</f>
        <v>0</v>
      </c>
      <c r="B258" t="s">
        <v>10</v>
      </c>
      <c r="G258" t="s">
        <v>16</v>
      </c>
    </row>
    <row r="259" spans="1:7">
      <c r="A259" s="1">
        <f>HYPERLINK("https://cms.ls-nyc.org/matter/dynamic-profile/view/1891236","19-1891236")</f>
        <v>0</v>
      </c>
      <c r="B259" t="s">
        <v>10</v>
      </c>
      <c r="G259" t="s">
        <v>16</v>
      </c>
    </row>
    <row r="260" spans="1:7">
      <c r="A260" s="1">
        <f>HYPERLINK("https://cms.ls-nyc.org/matter/dynamic-profile/view/1898486","19-1898486")</f>
        <v>0</v>
      </c>
      <c r="B260" t="s">
        <v>10</v>
      </c>
      <c r="G260" t="s">
        <v>16</v>
      </c>
    </row>
    <row r="261" spans="1:7">
      <c r="A261" s="1">
        <f>HYPERLINK("https://cms.ls-nyc.org/matter/dynamic-profile/view/1877489","18-1877489")</f>
        <v>0</v>
      </c>
      <c r="B261" t="s">
        <v>11</v>
      </c>
      <c r="G261" t="s">
        <v>16</v>
      </c>
    </row>
    <row r="262" spans="1:7">
      <c r="A262" s="1">
        <f>HYPERLINK("https://cms.ls-nyc.org/matter/dynamic-profile/view/1841872","17-1841872")</f>
        <v>0</v>
      </c>
      <c r="B262" t="s">
        <v>11</v>
      </c>
      <c r="G262" t="s">
        <v>16</v>
      </c>
    </row>
    <row r="263" spans="1:7">
      <c r="A263" s="1">
        <f>HYPERLINK("https://cms.ls-nyc.org/matter/dynamic-profile/view/1878318","18-1878318")</f>
        <v>0</v>
      </c>
      <c r="B263" t="s">
        <v>11</v>
      </c>
      <c r="G263" t="s">
        <v>16</v>
      </c>
    </row>
    <row r="264" spans="1:7">
      <c r="A264" s="1">
        <f>HYPERLINK("https://cms.ls-nyc.org/matter/dynamic-profile/view/1888604","19-1888604")</f>
        <v>0</v>
      </c>
      <c r="B264" t="s">
        <v>11</v>
      </c>
      <c r="G264" t="s">
        <v>16</v>
      </c>
    </row>
    <row r="265" spans="1:7">
      <c r="A265" s="1">
        <f>HYPERLINK("https://cms.ls-nyc.org/matter/dynamic-profile/view/1871563","18-1871563")</f>
        <v>0</v>
      </c>
      <c r="B265" t="s">
        <v>11</v>
      </c>
      <c r="F265" t="s">
        <v>15</v>
      </c>
      <c r="G265" t="s">
        <v>17</v>
      </c>
    </row>
    <row r="266" spans="1:7">
      <c r="A266" s="1">
        <f>HYPERLINK("https://cms.ls-nyc.org/matter/dynamic-profile/view/1896304","19-1896304")</f>
        <v>0</v>
      </c>
      <c r="B266" t="s">
        <v>11</v>
      </c>
      <c r="G266" t="s">
        <v>16</v>
      </c>
    </row>
    <row r="267" spans="1:7">
      <c r="A267" s="1">
        <f>HYPERLINK("https://cms.ls-nyc.org/matter/dynamic-profile/view/1898144","19-1898144")</f>
        <v>0</v>
      </c>
      <c r="B267" t="s">
        <v>11</v>
      </c>
      <c r="G267" t="s">
        <v>16</v>
      </c>
    </row>
    <row r="268" spans="1:7">
      <c r="A268" s="1">
        <f>HYPERLINK("https://cms.ls-nyc.org/matter/dynamic-profile/view/1897898","19-1897898")</f>
        <v>0</v>
      </c>
      <c r="B268" t="s">
        <v>11</v>
      </c>
      <c r="G268" t="s">
        <v>16</v>
      </c>
    </row>
    <row r="269" spans="1:7">
      <c r="A269" s="1">
        <f>HYPERLINK("https://cms.ls-nyc.org/matter/dynamic-profile/view/1876735","18-1876735")</f>
        <v>0</v>
      </c>
      <c r="B269" t="s">
        <v>11</v>
      </c>
      <c r="G269" t="s">
        <v>16</v>
      </c>
    </row>
    <row r="270" spans="1:7">
      <c r="A270" s="1">
        <f>HYPERLINK("https://cms.ls-nyc.org/matter/dynamic-profile/view/1876564","18-1876564")</f>
        <v>0</v>
      </c>
      <c r="B270" t="s">
        <v>11</v>
      </c>
      <c r="F270" t="s">
        <v>15</v>
      </c>
      <c r="G270" t="s">
        <v>17</v>
      </c>
    </row>
    <row r="271" spans="1:7">
      <c r="A271" s="1">
        <f>HYPERLINK("https://cms.ls-nyc.org/matter/dynamic-profile/view/1872486","18-1872486")</f>
        <v>0</v>
      </c>
      <c r="B271" t="s">
        <v>11</v>
      </c>
      <c r="G271" t="s">
        <v>16</v>
      </c>
    </row>
    <row r="272" spans="1:7">
      <c r="A272" s="1">
        <f>HYPERLINK("https://cms.ls-nyc.org/matter/dynamic-profile/view/1876150","18-1876150")</f>
        <v>0</v>
      </c>
      <c r="B272" t="s">
        <v>11</v>
      </c>
      <c r="G272" t="s">
        <v>16</v>
      </c>
    </row>
    <row r="273" spans="1:7">
      <c r="A273" s="1">
        <f>HYPERLINK("https://cms.ls-nyc.org/matter/dynamic-profile/view/1894615","19-1894615")</f>
        <v>0</v>
      </c>
      <c r="B273" t="s">
        <v>11</v>
      </c>
      <c r="G273" t="s">
        <v>16</v>
      </c>
    </row>
    <row r="274" spans="1:7">
      <c r="A274" s="1">
        <f>HYPERLINK("https://cms.ls-nyc.org/matter/dynamic-profile/view/1894249","19-1894249")</f>
        <v>0</v>
      </c>
      <c r="B274" t="s">
        <v>11</v>
      </c>
      <c r="G274" t="s">
        <v>16</v>
      </c>
    </row>
    <row r="275" spans="1:7">
      <c r="A275" s="1">
        <f>HYPERLINK("https://cms.ls-nyc.org/matter/dynamic-profile/view/1874724","18-1874724")</f>
        <v>0</v>
      </c>
      <c r="B275" t="s">
        <v>11</v>
      </c>
      <c r="G275" t="s">
        <v>16</v>
      </c>
    </row>
    <row r="276" spans="1:7">
      <c r="A276" s="1">
        <f>HYPERLINK("https://cms.ls-nyc.org/matter/dynamic-profile/view/1889022","19-1889022")</f>
        <v>0</v>
      </c>
      <c r="B276" t="s">
        <v>11</v>
      </c>
      <c r="G276" t="s">
        <v>16</v>
      </c>
    </row>
    <row r="277" spans="1:7">
      <c r="A277" s="1">
        <f>HYPERLINK("https://cms.ls-nyc.org/matter/dynamic-profile/view/1897787","19-1897787")</f>
        <v>0</v>
      </c>
      <c r="B277" t="s">
        <v>11</v>
      </c>
      <c r="F277" t="s">
        <v>15</v>
      </c>
      <c r="G277" t="s">
        <v>17</v>
      </c>
    </row>
    <row r="278" spans="1:7">
      <c r="A278" s="1">
        <f>HYPERLINK("https://cms.ls-nyc.org/matter/dynamic-profile/view/1883603","18-1883603")</f>
        <v>0</v>
      </c>
      <c r="B278" t="s">
        <v>11</v>
      </c>
      <c r="G278" t="s">
        <v>16</v>
      </c>
    </row>
    <row r="279" spans="1:7">
      <c r="A279" s="1">
        <f>HYPERLINK("https://cms.ls-nyc.org/matter/dynamic-profile/view/1891889","19-1891889")</f>
        <v>0</v>
      </c>
      <c r="B279" t="s">
        <v>11</v>
      </c>
      <c r="G279" t="s">
        <v>16</v>
      </c>
    </row>
    <row r="280" spans="1:7">
      <c r="A280" s="1">
        <f>HYPERLINK("https://cms.ls-nyc.org/matter/dynamic-profile/view/1900732","19-1900732")</f>
        <v>0</v>
      </c>
      <c r="B280" t="s">
        <v>11</v>
      </c>
      <c r="G280" t="s">
        <v>16</v>
      </c>
    </row>
    <row r="281" spans="1:7">
      <c r="A281" s="1">
        <f>HYPERLINK("https://cms.ls-nyc.org/matter/dynamic-profile/view/1900980","19-1900980")</f>
        <v>0</v>
      </c>
      <c r="B281" t="s">
        <v>11</v>
      </c>
      <c r="G281" t="s">
        <v>16</v>
      </c>
    </row>
    <row r="282" spans="1:7">
      <c r="A282" s="1">
        <f>HYPERLINK("https://cms.ls-nyc.org/matter/dynamic-profile/view/1898439","19-1898439")</f>
        <v>0</v>
      </c>
      <c r="B282" t="s">
        <v>11</v>
      </c>
      <c r="G282" t="s">
        <v>16</v>
      </c>
    </row>
    <row r="283" spans="1:7">
      <c r="A283" s="1">
        <f>HYPERLINK("https://cms.ls-nyc.org/matter/dynamic-profile/view/1892542","19-1892542")</f>
        <v>0</v>
      </c>
      <c r="B283" t="s">
        <v>11</v>
      </c>
      <c r="G283" t="s">
        <v>16</v>
      </c>
    </row>
    <row r="284" spans="1:7">
      <c r="A284" s="1">
        <f>HYPERLINK("https://cms.ls-nyc.org/matter/dynamic-profile/view/1893787","19-1893787")</f>
        <v>0</v>
      </c>
      <c r="B284" t="s">
        <v>11</v>
      </c>
      <c r="F284" t="s">
        <v>15</v>
      </c>
      <c r="G284" t="s">
        <v>17</v>
      </c>
    </row>
    <row r="285" spans="1:7">
      <c r="A285" s="1">
        <f>HYPERLINK("https://cms.ls-nyc.org/matter/dynamic-profile/view/1877610","18-1877610")</f>
        <v>0</v>
      </c>
      <c r="B285" t="s">
        <v>11</v>
      </c>
      <c r="G285" t="s">
        <v>16</v>
      </c>
    </row>
    <row r="286" spans="1:7">
      <c r="A286" s="1">
        <f>HYPERLINK("https://cms.ls-nyc.org/matter/dynamic-profile/view/1878287","18-1878287")</f>
        <v>0</v>
      </c>
      <c r="B286" t="s">
        <v>11</v>
      </c>
      <c r="G286" t="s">
        <v>16</v>
      </c>
    </row>
    <row r="287" spans="1:7">
      <c r="A287" s="1">
        <f>HYPERLINK("https://cms.ls-nyc.org/matter/dynamic-profile/view/1894203","19-1894203")</f>
        <v>0</v>
      </c>
      <c r="B287" t="s">
        <v>11</v>
      </c>
      <c r="G287" t="s">
        <v>16</v>
      </c>
    </row>
    <row r="288" spans="1:7">
      <c r="A288" s="1">
        <f>HYPERLINK("https://cms.ls-nyc.org/matter/dynamic-profile/view/1881577","18-1881577")</f>
        <v>0</v>
      </c>
      <c r="B288" t="s">
        <v>11</v>
      </c>
      <c r="G288" t="s">
        <v>16</v>
      </c>
    </row>
    <row r="289" spans="1:7">
      <c r="A289" s="1">
        <f>HYPERLINK("https://cms.ls-nyc.org/matter/dynamic-profile/view/1874185","18-1874185")</f>
        <v>0</v>
      </c>
      <c r="B289" t="s">
        <v>11</v>
      </c>
      <c r="F289" t="s">
        <v>15</v>
      </c>
      <c r="G289" t="s">
        <v>17</v>
      </c>
    </row>
    <row r="290" spans="1:7">
      <c r="A290" s="1">
        <f>HYPERLINK("https://cms.ls-nyc.org/matter/dynamic-profile/view/1878345","18-1878345")</f>
        <v>0</v>
      </c>
      <c r="B290" t="s">
        <v>11</v>
      </c>
      <c r="E290" t="s">
        <v>14</v>
      </c>
      <c r="G290" t="s">
        <v>17</v>
      </c>
    </row>
    <row r="291" spans="1:7">
      <c r="A291" s="1">
        <f>HYPERLINK("https://cms.ls-nyc.org/matter/dynamic-profile/view/1884428","18-1884428")</f>
        <v>0</v>
      </c>
      <c r="B291" t="s">
        <v>11</v>
      </c>
      <c r="G291" t="s">
        <v>16</v>
      </c>
    </row>
    <row r="292" spans="1:7">
      <c r="A292" s="1">
        <f>HYPERLINK("https://cms.ls-nyc.org/matter/dynamic-profile/view/1886406","18-1886406")</f>
        <v>0</v>
      </c>
      <c r="B292" t="s">
        <v>8</v>
      </c>
      <c r="G292" t="s">
        <v>16</v>
      </c>
    </row>
    <row r="293" spans="1:7">
      <c r="A293" s="1">
        <f>HYPERLINK("https://cms.ls-nyc.org/matter/dynamic-profile/view/1894768","19-1894768")</f>
        <v>0</v>
      </c>
      <c r="B293" t="s">
        <v>8</v>
      </c>
      <c r="G293" t="s">
        <v>16</v>
      </c>
    </row>
    <row r="294" spans="1:7">
      <c r="A294" s="1">
        <f>HYPERLINK("https://cms.ls-nyc.org/matter/dynamic-profile/view/1896730","19-1896730")</f>
        <v>0</v>
      </c>
      <c r="B294" t="s">
        <v>8</v>
      </c>
      <c r="G294" t="s">
        <v>16</v>
      </c>
    </row>
    <row r="295" spans="1:7">
      <c r="A295" s="1">
        <f>HYPERLINK("https://cms.ls-nyc.org/matter/dynamic-profile/view/1887144","19-1887144")</f>
        <v>0</v>
      </c>
      <c r="B295" t="s">
        <v>8</v>
      </c>
      <c r="F295" t="s">
        <v>15</v>
      </c>
      <c r="G295" t="s">
        <v>17</v>
      </c>
    </row>
    <row r="296" spans="1:7">
      <c r="A296" s="1">
        <f>HYPERLINK("https://cms.ls-nyc.org/matter/dynamic-profile/view/1880898","18-1880898")</f>
        <v>0</v>
      </c>
      <c r="B296" t="s">
        <v>9</v>
      </c>
      <c r="G296" t="s">
        <v>16</v>
      </c>
    </row>
    <row r="297" spans="1:7">
      <c r="A297" s="1">
        <f>HYPERLINK("https://cms.ls-nyc.org/matter/dynamic-profile/view/1882692","18-1882692")</f>
        <v>0</v>
      </c>
      <c r="B297" t="s">
        <v>8</v>
      </c>
      <c r="G297" t="s">
        <v>16</v>
      </c>
    </row>
    <row r="298" spans="1:7">
      <c r="A298" s="1">
        <f>HYPERLINK("https://cms.ls-nyc.org/matter/dynamic-profile/view/1872015","18-1872015")</f>
        <v>0</v>
      </c>
      <c r="B298" t="s">
        <v>9</v>
      </c>
      <c r="G298" t="s">
        <v>16</v>
      </c>
    </row>
    <row r="299" spans="1:7">
      <c r="A299" s="1">
        <f>HYPERLINK("https://cms.ls-nyc.org/matter/dynamic-profile/view/1886227","18-1886227")</f>
        <v>0</v>
      </c>
      <c r="B299" t="s">
        <v>9</v>
      </c>
      <c r="G299" t="s">
        <v>16</v>
      </c>
    </row>
    <row r="300" spans="1:7">
      <c r="A300" s="1">
        <f>HYPERLINK("https://cms.ls-nyc.org/matter/dynamic-profile/view/1895311","19-1895311")</f>
        <v>0</v>
      </c>
      <c r="B300" t="s">
        <v>8</v>
      </c>
      <c r="G300" t="s">
        <v>16</v>
      </c>
    </row>
    <row r="301" spans="1:7">
      <c r="A301" s="1">
        <f>HYPERLINK("https://cms.ls-nyc.org/matter/dynamic-profile/view/1887906","19-1887906")</f>
        <v>0</v>
      </c>
      <c r="B301" t="s">
        <v>8</v>
      </c>
      <c r="G301" t="s">
        <v>16</v>
      </c>
    </row>
    <row r="302" spans="1:7">
      <c r="A302" s="1">
        <f>HYPERLINK("https://cms.ls-nyc.org/matter/dynamic-profile/view/1886256","18-1886256")</f>
        <v>0</v>
      </c>
      <c r="B302" t="s">
        <v>9</v>
      </c>
      <c r="G302" t="s">
        <v>16</v>
      </c>
    </row>
    <row r="303" spans="1:7">
      <c r="A303" s="1">
        <f>HYPERLINK("https://cms.ls-nyc.org/matter/dynamic-profile/view/1872502","18-1872502")</f>
        <v>0</v>
      </c>
      <c r="B303" t="s">
        <v>11</v>
      </c>
      <c r="F303" t="s">
        <v>15</v>
      </c>
      <c r="G303" t="s">
        <v>17</v>
      </c>
    </row>
    <row r="304" spans="1:7">
      <c r="A304" s="1">
        <f>HYPERLINK("https://cms.ls-nyc.org/matter/dynamic-profile/view/1895282","19-1895282")</f>
        <v>0</v>
      </c>
      <c r="B304" t="s">
        <v>7</v>
      </c>
      <c r="F304" t="s">
        <v>15</v>
      </c>
      <c r="G304" t="s">
        <v>17</v>
      </c>
    </row>
    <row r="305" spans="1:7">
      <c r="A305" s="1">
        <f>HYPERLINK("https://cms.ls-nyc.org/matter/dynamic-profile/view/1880194","18-1880194")</f>
        <v>0</v>
      </c>
      <c r="B305" t="s">
        <v>10</v>
      </c>
      <c r="G305" t="s">
        <v>16</v>
      </c>
    </row>
    <row r="306" spans="1:7">
      <c r="A306" s="1">
        <f>HYPERLINK("https://cms.ls-nyc.org/matter/dynamic-profile/view/1892917","19-1892917")</f>
        <v>0</v>
      </c>
      <c r="B306" t="s">
        <v>8</v>
      </c>
      <c r="G306" t="s">
        <v>16</v>
      </c>
    </row>
    <row r="307" spans="1:7">
      <c r="A307" s="1">
        <f>HYPERLINK("https://cms.ls-nyc.org/matter/dynamic-profile/view/1879764","18-1879764")</f>
        <v>0</v>
      </c>
      <c r="B307" t="s">
        <v>8</v>
      </c>
      <c r="G307" t="s">
        <v>16</v>
      </c>
    </row>
    <row r="308" spans="1:7">
      <c r="A308" s="1">
        <f>HYPERLINK("https://cms.ls-nyc.org/matter/dynamic-profile/view/1894369","19-1894369")</f>
        <v>0</v>
      </c>
      <c r="B308" t="s">
        <v>8</v>
      </c>
      <c r="F308" t="s">
        <v>15</v>
      </c>
      <c r="G308" t="s">
        <v>17</v>
      </c>
    </row>
    <row r="309" spans="1:7">
      <c r="A309" s="1">
        <f>HYPERLINK("https://cms.ls-nyc.org/matter/dynamic-profile/view/1894373","19-1894373")</f>
        <v>0</v>
      </c>
      <c r="B309" t="s">
        <v>8</v>
      </c>
      <c r="F309" t="s">
        <v>15</v>
      </c>
      <c r="G309" t="s">
        <v>17</v>
      </c>
    </row>
    <row r="310" spans="1:7">
      <c r="A310" s="1">
        <f>HYPERLINK("https://cms.ls-nyc.org/matter/dynamic-profile/view/1881125","18-1881125")</f>
        <v>0</v>
      </c>
      <c r="B310" t="s">
        <v>10</v>
      </c>
      <c r="F310" t="s">
        <v>15</v>
      </c>
      <c r="G310" t="s">
        <v>17</v>
      </c>
    </row>
    <row r="311" spans="1:7">
      <c r="A311" s="1">
        <f>HYPERLINK("https://cms.ls-nyc.org/matter/dynamic-profile/view/1888003","19-1888003")</f>
        <v>0</v>
      </c>
      <c r="B311" t="s">
        <v>8</v>
      </c>
      <c r="C311" t="s">
        <v>12</v>
      </c>
      <c r="E311" t="s">
        <v>14</v>
      </c>
      <c r="F311" t="s">
        <v>15</v>
      </c>
      <c r="G311" t="s">
        <v>17</v>
      </c>
    </row>
    <row r="312" spans="1:7">
      <c r="A312" s="1">
        <f>HYPERLINK("https://cms.ls-nyc.org/matter/dynamic-profile/view/1881267","18-1881267")</f>
        <v>0</v>
      </c>
      <c r="B312" t="s">
        <v>8</v>
      </c>
      <c r="F312" t="s">
        <v>15</v>
      </c>
      <c r="G312" t="s">
        <v>17</v>
      </c>
    </row>
    <row r="313" spans="1:7">
      <c r="A313" s="1">
        <f>HYPERLINK("https://cms.ls-nyc.org/matter/dynamic-profile/view/1884239","18-1884239")</f>
        <v>0</v>
      </c>
      <c r="B313" t="s">
        <v>9</v>
      </c>
      <c r="G313" t="s">
        <v>16</v>
      </c>
    </row>
    <row r="314" spans="1:7">
      <c r="A314" s="1">
        <f>HYPERLINK("https://cms.ls-nyc.org/matter/dynamic-profile/view/1891009","19-1891009")</f>
        <v>0</v>
      </c>
      <c r="B314" t="s">
        <v>9</v>
      </c>
      <c r="G314" t="s">
        <v>16</v>
      </c>
    </row>
    <row r="315" spans="1:7">
      <c r="A315" s="1">
        <f>HYPERLINK("https://cms.ls-nyc.org/matter/dynamic-profile/view/1873456","18-1873456")</f>
        <v>0</v>
      </c>
      <c r="B315" t="s">
        <v>8</v>
      </c>
      <c r="G315" t="s">
        <v>16</v>
      </c>
    </row>
    <row r="316" spans="1:7">
      <c r="A316" s="1">
        <f>HYPERLINK("https://cms.ls-nyc.org/matter/dynamic-profile/view/1889626","19-1889626")</f>
        <v>0</v>
      </c>
      <c r="B316" t="s">
        <v>8</v>
      </c>
      <c r="C316" t="s">
        <v>12</v>
      </c>
      <c r="E316" t="s">
        <v>14</v>
      </c>
      <c r="G316" t="s">
        <v>17</v>
      </c>
    </row>
    <row r="317" spans="1:7">
      <c r="A317" s="1">
        <f>HYPERLINK("https://cms.ls-nyc.org/matter/dynamic-profile/view/1891547","19-1891547")</f>
        <v>0</v>
      </c>
      <c r="B317" t="s">
        <v>9</v>
      </c>
      <c r="G317" t="s">
        <v>16</v>
      </c>
    </row>
    <row r="318" spans="1:7">
      <c r="A318" s="1">
        <f>HYPERLINK("https://cms.ls-nyc.org/matter/dynamic-profile/view/1892236","19-1892236")</f>
        <v>0</v>
      </c>
      <c r="B318" t="s">
        <v>9</v>
      </c>
      <c r="F318" t="s">
        <v>15</v>
      </c>
      <c r="G318" t="s">
        <v>17</v>
      </c>
    </row>
    <row r="319" spans="1:7">
      <c r="A319" s="1">
        <f>HYPERLINK("https://cms.ls-nyc.org/matter/dynamic-profile/view/1894548","19-1894548")</f>
        <v>0</v>
      </c>
      <c r="B319" t="s">
        <v>8</v>
      </c>
      <c r="G319" t="s">
        <v>16</v>
      </c>
    </row>
    <row r="320" spans="1:7">
      <c r="A320" s="1">
        <f>HYPERLINK("https://cms.ls-nyc.org/matter/dynamic-profile/view/1882742","18-1882742")</f>
        <v>0</v>
      </c>
      <c r="B320" t="s">
        <v>8</v>
      </c>
      <c r="G320" t="s">
        <v>16</v>
      </c>
    </row>
    <row r="321" spans="1:7">
      <c r="A321" s="1">
        <f>HYPERLINK("https://cms.ls-nyc.org/matter/dynamic-profile/view/1891270","19-1891270")</f>
        <v>0</v>
      </c>
      <c r="B321" t="s">
        <v>8</v>
      </c>
      <c r="G321" t="s">
        <v>16</v>
      </c>
    </row>
    <row r="322" spans="1:7">
      <c r="A322" s="1">
        <f>HYPERLINK("https://cms.ls-nyc.org/matter/dynamic-profile/view/1892732","19-1892732")</f>
        <v>0</v>
      </c>
      <c r="B322" t="s">
        <v>11</v>
      </c>
      <c r="G322" t="s">
        <v>16</v>
      </c>
    </row>
    <row r="323" spans="1:7">
      <c r="A323" s="1">
        <f>HYPERLINK("https://cms.ls-nyc.org/matter/dynamic-profile/view/1884493","18-1884493")</f>
        <v>0</v>
      </c>
      <c r="B323" t="s">
        <v>9</v>
      </c>
      <c r="G323" t="s">
        <v>16</v>
      </c>
    </row>
    <row r="324" spans="1:7">
      <c r="A324" s="1">
        <f>HYPERLINK("https://cms.ls-nyc.org/matter/dynamic-profile/view/1895909","19-1895909")</f>
        <v>0</v>
      </c>
      <c r="B324" t="s">
        <v>9</v>
      </c>
      <c r="G324" t="s">
        <v>16</v>
      </c>
    </row>
    <row r="325" spans="1:7">
      <c r="A325" s="1">
        <f>HYPERLINK("https://cms.ls-nyc.org/matter/dynamic-profile/view/1896904","19-1896904")</f>
        <v>0</v>
      </c>
      <c r="B325" t="s">
        <v>8</v>
      </c>
      <c r="C325" t="s">
        <v>12</v>
      </c>
      <c r="E325" t="s">
        <v>14</v>
      </c>
      <c r="G325" t="s">
        <v>17</v>
      </c>
    </row>
    <row r="326" spans="1:7">
      <c r="A326" s="1">
        <f>HYPERLINK("https://cms.ls-nyc.org/matter/dynamic-profile/view/1874744","18-1874744")</f>
        <v>0</v>
      </c>
      <c r="B326" t="s">
        <v>11</v>
      </c>
      <c r="G326" t="s">
        <v>16</v>
      </c>
    </row>
    <row r="327" spans="1:7">
      <c r="A327" s="1">
        <f>HYPERLINK("https://cms.ls-nyc.org/matter/dynamic-profile/view/1888301","19-1888301")</f>
        <v>0</v>
      </c>
      <c r="B327" t="s">
        <v>10</v>
      </c>
      <c r="G327" t="s">
        <v>16</v>
      </c>
    </row>
    <row r="328" spans="1:7">
      <c r="A328" s="1">
        <f>HYPERLINK("https://cms.ls-nyc.org/matter/dynamic-profile/view/1882716","18-1882716")</f>
        <v>0</v>
      </c>
      <c r="B328" t="s">
        <v>11</v>
      </c>
      <c r="F328" t="s">
        <v>15</v>
      </c>
      <c r="G328" t="s">
        <v>17</v>
      </c>
    </row>
    <row r="329" spans="1:7">
      <c r="A329" s="1">
        <f>HYPERLINK("https://cms.ls-nyc.org/matter/dynamic-profile/view/1890032","19-1890032")</f>
        <v>0</v>
      </c>
      <c r="B329" t="s">
        <v>9</v>
      </c>
      <c r="G329" t="s">
        <v>16</v>
      </c>
    </row>
    <row r="330" spans="1:7">
      <c r="A330" s="1">
        <f>HYPERLINK("https://cms.ls-nyc.org/matter/dynamic-profile/view/1869305","18-1869305")</f>
        <v>0</v>
      </c>
      <c r="B330" t="s">
        <v>8</v>
      </c>
      <c r="G330" t="s">
        <v>16</v>
      </c>
    </row>
    <row r="331" spans="1:7">
      <c r="A331" s="1">
        <f>HYPERLINK("https://cms.ls-nyc.org/matter/dynamic-profile/view/1880957","18-1880957")</f>
        <v>0</v>
      </c>
      <c r="B331" t="s">
        <v>9</v>
      </c>
      <c r="G331" t="s">
        <v>16</v>
      </c>
    </row>
    <row r="332" spans="1:7">
      <c r="A332" s="1">
        <f>HYPERLINK("https://cms.ls-nyc.org/matter/dynamic-profile/view/1887787","19-1887787")</f>
        <v>0</v>
      </c>
      <c r="B332" t="s">
        <v>11</v>
      </c>
      <c r="G332" t="s">
        <v>16</v>
      </c>
    </row>
    <row r="333" spans="1:7">
      <c r="A333" s="1">
        <f>HYPERLINK("https://cms.ls-nyc.org/matter/dynamic-profile/view/1887044","19-1887044")</f>
        <v>0</v>
      </c>
      <c r="B333" t="s">
        <v>9</v>
      </c>
      <c r="G333" t="s">
        <v>16</v>
      </c>
    </row>
    <row r="334" spans="1:7">
      <c r="A334" s="1">
        <f>HYPERLINK("https://cms.ls-nyc.org/matter/dynamic-profile/view/1888474","19-1888474")</f>
        <v>0</v>
      </c>
      <c r="B334" t="s">
        <v>8</v>
      </c>
      <c r="G334" t="s">
        <v>16</v>
      </c>
    </row>
    <row r="335" spans="1:7">
      <c r="A335" s="1">
        <f>HYPERLINK("https://cms.ls-nyc.org/matter/dynamic-profile/view/1875261","18-1875261")</f>
        <v>0</v>
      </c>
      <c r="B335" t="s">
        <v>9</v>
      </c>
      <c r="G335" t="s">
        <v>16</v>
      </c>
    </row>
    <row r="336" spans="1:7">
      <c r="A336" s="1">
        <f>HYPERLINK("https://cms.ls-nyc.org/matter/dynamic-profile/view/1900521","19-1900521")</f>
        <v>0</v>
      </c>
      <c r="B336" t="s">
        <v>11</v>
      </c>
      <c r="G336" t="s">
        <v>16</v>
      </c>
    </row>
    <row r="337" spans="1:7">
      <c r="A337" s="1">
        <f>HYPERLINK("https://cms.ls-nyc.org/matter/dynamic-profile/view/1871483","18-1871483")</f>
        <v>0</v>
      </c>
      <c r="B337" t="s">
        <v>9</v>
      </c>
      <c r="G337" t="s">
        <v>16</v>
      </c>
    </row>
    <row r="338" spans="1:7">
      <c r="A338" s="1">
        <f>HYPERLINK("https://cms.ls-nyc.org/matter/dynamic-profile/view/1895932","19-1895932")</f>
        <v>0</v>
      </c>
      <c r="B338" t="s">
        <v>8</v>
      </c>
      <c r="G338" t="s">
        <v>16</v>
      </c>
    </row>
    <row r="339" spans="1:7">
      <c r="A339" s="1">
        <f>HYPERLINK("https://cms.ls-nyc.org/matter/dynamic-profile/view/1875405","18-1875405")</f>
        <v>0</v>
      </c>
      <c r="B339" t="s">
        <v>9</v>
      </c>
      <c r="G339" t="s">
        <v>16</v>
      </c>
    </row>
    <row r="340" spans="1:7">
      <c r="A340" s="1">
        <f>HYPERLINK("https://cms.ls-nyc.org/matter/dynamic-profile/view/1875244","18-1875244")</f>
        <v>0</v>
      </c>
      <c r="B340" t="s">
        <v>8</v>
      </c>
      <c r="E340" t="s">
        <v>14</v>
      </c>
      <c r="G340" t="s">
        <v>17</v>
      </c>
    </row>
    <row r="341" spans="1:7">
      <c r="A341" s="1">
        <f>HYPERLINK("https://cms.ls-nyc.org/matter/dynamic-profile/view/1882298","18-1882298")</f>
        <v>0</v>
      </c>
      <c r="B341" t="s">
        <v>9</v>
      </c>
      <c r="G341" t="s">
        <v>16</v>
      </c>
    </row>
    <row r="342" spans="1:7">
      <c r="A342" s="1">
        <f>HYPERLINK("https://cms.ls-nyc.org/matter/dynamic-profile/view/1895751","19-1895751")</f>
        <v>0</v>
      </c>
      <c r="B342" t="s">
        <v>7</v>
      </c>
      <c r="G342" t="s">
        <v>16</v>
      </c>
    </row>
    <row r="343" spans="1:7">
      <c r="A343" s="1">
        <f>HYPERLINK("https://cms.ls-nyc.org/matter/dynamic-profile/view/1895768","19-1895768")</f>
        <v>0</v>
      </c>
      <c r="B343" t="s">
        <v>7</v>
      </c>
      <c r="G343" t="s">
        <v>16</v>
      </c>
    </row>
    <row r="344" spans="1:7">
      <c r="A344" s="1">
        <f>HYPERLINK("https://cms.ls-nyc.org/matter/dynamic-profile/view/1886259","18-1886259")</f>
        <v>0</v>
      </c>
      <c r="B344" t="s">
        <v>8</v>
      </c>
      <c r="G344" t="s">
        <v>16</v>
      </c>
    </row>
    <row r="345" spans="1:7">
      <c r="A345" s="1">
        <f>HYPERLINK("https://cms.ls-nyc.org/matter/dynamic-profile/view/1892752","19-1892752")</f>
        <v>0</v>
      </c>
      <c r="B345" t="s">
        <v>8</v>
      </c>
      <c r="C345" t="s">
        <v>12</v>
      </c>
      <c r="E345" t="s">
        <v>14</v>
      </c>
      <c r="G345" t="s">
        <v>17</v>
      </c>
    </row>
    <row r="346" spans="1:7">
      <c r="A346" s="1">
        <f>HYPERLINK("https://cms.ls-nyc.org/matter/dynamic-profile/view/1863697","18-1863697")</f>
        <v>0</v>
      </c>
      <c r="B346" t="s">
        <v>10</v>
      </c>
      <c r="G346" t="s">
        <v>16</v>
      </c>
    </row>
    <row r="347" spans="1:7">
      <c r="A347" s="1">
        <f>HYPERLINK("https://cms.ls-nyc.org/matter/dynamic-profile/view/1876521","18-1876521")</f>
        <v>0</v>
      </c>
      <c r="B347" t="s">
        <v>8</v>
      </c>
      <c r="G347" t="s">
        <v>16</v>
      </c>
    </row>
    <row r="348" spans="1:7">
      <c r="A348" s="1">
        <f>HYPERLINK("https://cms.ls-nyc.org/matter/dynamic-profile/view/1877677","18-1877677")</f>
        <v>0</v>
      </c>
      <c r="B348" t="s">
        <v>9</v>
      </c>
      <c r="G348" t="s">
        <v>16</v>
      </c>
    </row>
    <row r="349" spans="1:7">
      <c r="A349" s="1">
        <f>HYPERLINK("https://cms.ls-nyc.org/matter/dynamic-profile/view/1890990","19-1890990")</f>
        <v>0</v>
      </c>
      <c r="B349" t="s">
        <v>9</v>
      </c>
      <c r="G349" t="s">
        <v>16</v>
      </c>
    </row>
    <row r="350" spans="1:7">
      <c r="A350" s="1">
        <f>HYPERLINK("https://cms.ls-nyc.org/matter/dynamic-profile/view/1873749","18-1873749")</f>
        <v>0</v>
      </c>
      <c r="B350" t="s">
        <v>7</v>
      </c>
      <c r="G350" t="s">
        <v>16</v>
      </c>
    </row>
    <row r="351" spans="1:7">
      <c r="A351" s="1">
        <f>HYPERLINK("https://cms.ls-nyc.org/matter/dynamic-profile/view/1894421","19-1894421")</f>
        <v>0</v>
      </c>
      <c r="B351" t="s">
        <v>10</v>
      </c>
      <c r="F351" t="s">
        <v>15</v>
      </c>
      <c r="G351" t="s">
        <v>17</v>
      </c>
    </row>
    <row r="352" spans="1:7">
      <c r="A352" s="1">
        <f>HYPERLINK("https://cms.ls-nyc.org/matter/dynamic-profile/view/1893711","19-1893711")</f>
        <v>0</v>
      </c>
      <c r="B352" t="s">
        <v>8</v>
      </c>
      <c r="G352" t="s">
        <v>16</v>
      </c>
    </row>
    <row r="353" spans="1:7">
      <c r="A353" s="1">
        <f>HYPERLINK("https://cms.ls-nyc.org/matter/dynamic-profile/view/1883258","18-1883258")</f>
        <v>0</v>
      </c>
      <c r="B353" t="s">
        <v>8</v>
      </c>
      <c r="G353" t="s">
        <v>16</v>
      </c>
    </row>
    <row r="354" spans="1:7">
      <c r="A354" s="1">
        <f>HYPERLINK("https://cms.ls-nyc.org/matter/dynamic-profile/view/1877019","18-1877019")</f>
        <v>0</v>
      </c>
      <c r="B354" t="s">
        <v>11</v>
      </c>
      <c r="E354" t="s">
        <v>14</v>
      </c>
      <c r="G354" t="s">
        <v>17</v>
      </c>
    </row>
    <row r="355" spans="1:7">
      <c r="A355" s="1">
        <f>HYPERLINK("https://cms.ls-nyc.org/matter/dynamic-profile/view/1872924","18-1872924")</f>
        <v>0</v>
      </c>
      <c r="B355" t="s">
        <v>11</v>
      </c>
      <c r="E355" t="s">
        <v>14</v>
      </c>
      <c r="G355" t="s">
        <v>17</v>
      </c>
    </row>
    <row r="356" spans="1:7">
      <c r="A356" s="1">
        <f>HYPERLINK("https://cms.ls-nyc.org/matter/dynamic-profile/view/1897714","19-1897714")</f>
        <v>0</v>
      </c>
      <c r="B356" t="s">
        <v>7</v>
      </c>
      <c r="G356" t="s">
        <v>16</v>
      </c>
    </row>
    <row r="357" spans="1:7">
      <c r="A357" s="1">
        <f>HYPERLINK("https://cms.ls-nyc.org/matter/dynamic-profile/view/1892147","19-1892147")</f>
        <v>0</v>
      </c>
      <c r="B357" t="s">
        <v>8</v>
      </c>
      <c r="G357" t="s">
        <v>16</v>
      </c>
    </row>
    <row r="358" spans="1:7">
      <c r="A358" s="1">
        <f>HYPERLINK("https://cms.ls-nyc.org/matter/dynamic-profile/view/1875333","18-1875333")</f>
        <v>0</v>
      </c>
      <c r="B358" t="s">
        <v>11</v>
      </c>
      <c r="G358" t="s">
        <v>16</v>
      </c>
    </row>
    <row r="359" spans="1:7">
      <c r="A359" s="1">
        <f>HYPERLINK("https://cms.ls-nyc.org/matter/dynamic-profile/view/1896637","19-1896637")</f>
        <v>0</v>
      </c>
      <c r="B359" t="s">
        <v>8</v>
      </c>
      <c r="C359" t="s">
        <v>12</v>
      </c>
      <c r="E359" t="s">
        <v>14</v>
      </c>
      <c r="G359" t="s">
        <v>17</v>
      </c>
    </row>
    <row r="360" spans="1:7">
      <c r="A360" s="1">
        <f>HYPERLINK("https://cms.ls-nyc.org/matter/dynamic-profile/view/1880283","18-1880283")</f>
        <v>0</v>
      </c>
      <c r="B360" t="s">
        <v>8</v>
      </c>
      <c r="G360" t="s">
        <v>16</v>
      </c>
    </row>
    <row r="361" spans="1:7">
      <c r="A361" s="1">
        <f>HYPERLINK("https://cms.ls-nyc.org/matter/dynamic-profile/view/1885698","18-1885698")</f>
        <v>0</v>
      </c>
      <c r="B361" t="s">
        <v>11</v>
      </c>
      <c r="G361" t="s">
        <v>16</v>
      </c>
    </row>
    <row r="362" spans="1:7">
      <c r="A362" s="1">
        <f>HYPERLINK("https://cms.ls-nyc.org/matter/dynamic-profile/view/1881881","18-1881881")</f>
        <v>0</v>
      </c>
      <c r="B362" t="s">
        <v>11</v>
      </c>
      <c r="G362" t="s">
        <v>16</v>
      </c>
    </row>
    <row r="363" spans="1:7">
      <c r="A363" s="1">
        <f>HYPERLINK("https://cms.ls-nyc.org/matter/dynamic-profile/view/1876972","18-1876972")</f>
        <v>0</v>
      </c>
      <c r="B363" t="s">
        <v>11</v>
      </c>
      <c r="G363" t="s">
        <v>16</v>
      </c>
    </row>
    <row r="364" spans="1:7">
      <c r="A364" s="1">
        <f>HYPERLINK("https://cms.ls-nyc.org/matter/dynamic-profile/view/1874522","18-1874522")</f>
        <v>0</v>
      </c>
      <c r="B364" t="s">
        <v>7</v>
      </c>
      <c r="G364" t="s">
        <v>16</v>
      </c>
    </row>
    <row r="365" spans="1:7">
      <c r="A365" s="1">
        <f>HYPERLINK("https://cms.ls-nyc.org/matter/dynamic-profile/view/1880204","18-1880204")</f>
        <v>0</v>
      </c>
      <c r="B365" t="s">
        <v>9</v>
      </c>
      <c r="G365" t="s">
        <v>16</v>
      </c>
    </row>
    <row r="366" spans="1:7">
      <c r="A366" s="1">
        <f>HYPERLINK("https://cms.ls-nyc.org/matter/dynamic-profile/view/1895370","19-1895370")</f>
        <v>0</v>
      </c>
      <c r="B366" t="s">
        <v>8</v>
      </c>
      <c r="G366" t="s">
        <v>16</v>
      </c>
    </row>
    <row r="367" spans="1:7">
      <c r="A367" s="1">
        <f>HYPERLINK("https://cms.ls-nyc.org/matter/dynamic-profile/view/1892268","19-1892268")</f>
        <v>0</v>
      </c>
      <c r="B367" t="s">
        <v>9</v>
      </c>
      <c r="G367" t="s">
        <v>16</v>
      </c>
    </row>
    <row r="368" spans="1:7">
      <c r="A368" s="1">
        <f>HYPERLINK("https://cms.ls-nyc.org/matter/dynamic-profile/view/1874395","18-1874395")</f>
        <v>0</v>
      </c>
      <c r="B368" t="s">
        <v>8</v>
      </c>
      <c r="G368" t="s">
        <v>16</v>
      </c>
    </row>
    <row r="369" spans="1:7">
      <c r="A369" s="1">
        <f>HYPERLINK("https://cms.ls-nyc.org/matter/dynamic-profile/view/1879187","18-1879187")</f>
        <v>0</v>
      </c>
      <c r="B369" t="s">
        <v>9</v>
      </c>
      <c r="G369" t="s">
        <v>16</v>
      </c>
    </row>
    <row r="370" spans="1:7">
      <c r="A370" s="1">
        <f>HYPERLINK("https://cms.ls-nyc.org/matter/dynamic-profile/view/1877271","18-1877271")</f>
        <v>0</v>
      </c>
      <c r="B370" t="s">
        <v>9</v>
      </c>
      <c r="G370" t="s">
        <v>16</v>
      </c>
    </row>
    <row r="371" spans="1:7">
      <c r="A371" s="1">
        <f>HYPERLINK("https://cms.ls-nyc.org/matter/dynamic-profile/view/1896004","19-1896004")</f>
        <v>0</v>
      </c>
      <c r="B371" t="s">
        <v>8</v>
      </c>
      <c r="G371" t="s">
        <v>16</v>
      </c>
    </row>
    <row r="372" spans="1:7">
      <c r="A372" s="1">
        <f>HYPERLINK("https://cms.ls-nyc.org/matter/dynamic-profile/view/1878994","18-1878994")</f>
        <v>0</v>
      </c>
      <c r="B372" t="s">
        <v>8</v>
      </c>
      <c r="G372" t="s">
        <v>16</v>
      </c>
    </row>
    <row r="373" spans="1:7">
      <c r="A373" s="1">
        <f>HYPERLINK("https://cms.ls-nyc.org/matter/dynamic-profile/view/1883535","18-1883535")</f>
        <v>0</v>
      </c>
      <c r="B373" t="s">
        <v>10</v>
      </c>
      <c r="F373" t="s">
        <v>15</v>
      </c>
      <c r="G373" t="s">
        <v>17</v>
      </c>
    </row>
    <row r="374" spans="1:7">
      <c r="A374" s="1">
        <f>HYPERLINK("https://cms.ls-nyc.org/matter/dynamic-profile/view/1878786","18-1878786")</f>
        <v>0</v>
      </c>
      <c r="B374" t="s">
        <v>7</v>
      </c>
      <c r="G374" t="s">
        <v>16</v>
      </c>
    </row>
    <row r="375" spans="1:7">
      <c r="A375" s="1">
        <f>HYPERLINK("https://cms.ls-nyc.org/matter/dynamic-profile/view/1884267","18-1884267")</f>
        <v>0</v>
      </c>
      <c r="B375" t="s">
        <v>8</v>
      </c>
      <c r="G375" t="s">
        <v>16</v>
      </c>
    </row>
    <row r="376" spans="1:7">
      <c r="A376" s="1">
        <f>HYPERLINK("https://cms.ls-nyc.org/matter/dynamic-profile/view/1899115","19-1899115")</f>
        <v>0</v>
      </c>
      <c r="B376" t="s">
        <v>9</v>
      </c>
      <c r="G376" t="s">
        <v>16</v>
      </c>
    </row>
    <row r="377" spans="1:7">
      <c r="A377" s="1">
        <f>HYPERLINK("https://cms.ls-nyc.org/matter/dynamic-profile/view/1879864","18-1879864")</f>
        <v>0</v>
      </c>
      <c r="B377" t="s">
        <v>8</v>
      </c>
      <c r="G377" t="s">
        <v>16</v>
      </c>
    </row>
    <row r="378" spans="1:7">
      <c r="A378" s="1">
        <f>HYPERLINK("https://cms.ls-nyc.org/matter/dynamic-profile/view/1879875","18-1879875")</f>
        <v>0</v>
      </c>
      <c r="B378" t="s">
        <v>8</v>
      </c>
      <c r="G378" t="s">
        <v>16</v>
      </c>
    </row>
    <row r="379" spans="1:7">
      <c r="A379" s="1">
        <f>HYPERLINK("https://cms.ls-nyc.org/matter/dynamic-profile/view/1887398","19-1887398")</f>
        <v>0</v>
      </c>
      <c r="B379" t="s">
        <v>8</v>
      </c>
      <c r="G379" t="s">
        <v>16</v>
      </c>
    </row>
    <row r="380" spans="1:7">
      <c r="A380" s="1">
        <f>HYPERLINK("https://cms.ls-nyc.org/matter/dynamic-profile/view/1894602","19-1894602")</f>
        <v>0</v>
      </c>
      <c r="B380" t="s">
        <v>9</v>
      </c>
      <c r="G380" t="s">
        <v>16</v>
      </c>
    </row>
    <row r="381" spans="1:7">
      <c r="A381" s="1">
        <f>HYPERLINK("https://cms.ls-nyc.org/matter/dynamic-profile/view/1877409","18-1877409")</f>
        <v>0</v>
      </c>
      <c r="B381" t="s">
        <v>9</v>
      </c>
      <c r="G381" t="s">
        <v>16</v>
      </c>
    </row>
    <row r="382" spans="1:7">
      <c r="A382" s="1">
        <f>HYPERLINK("https://cms.ls-nyc.org/matter/dynamic-profile/view/1887017","19-1887017")</f>
        <v>0</v>
      </c>
      <c r="B382" t="s">
        <v>9</v>
      </c>
      <c r="G382" t="s">
        <v>16</v>
      </c>
    </row>
    <row r="383" spans="1:7">
      <c r="A383" s="1">
        <f>HYPERLINK("https://cms.ls-nyc.org/matter/dynamic-profile/view/1883400","18-1883400")</f>
        <v>0</v>
      </c>
      <c r="B383" t="s">
        <v>9</v>
      </c>
      <c r="G383" t="s">
        <v>16</v>
      </c>
    </row>
    <row r="384" spans="1:7">
      <c r="A384" s="1">
        <f>HYPERLINK("https://cms.ls-nyc.org/matter/dynamic-profile/view/1884061","18-1884061")</f>
        <v>0</v>
      </c>
      <c r="B384" t="s">
        <v>9</v>
      </c>
      <c r="G384" t="s">
        <v>16</v>
      </c>
    </row>
    <row r="385" spans="1:7">
      <c r="A385" s="1">
        <f>HYPERLINK("https://cms.ls-nyc.org/matter/dynamic-profile/view/1884779","18-1884779")</f>
        <v>0</v>
      </c>
      <c r="B385" t="s">
        <v>7</v>
      </c>
      <c r="G385" t="s">
        <v>16</v>
      </c>
    </row>
    <row r="386" spans="1:7">
      <c r="A386" s="1">
        <f>HYPERLINK("https://cms.ls-nyc.org/matter/dynamic-profile/view/1874150","18-1874150")</f>
        <v>0</v>
      </c>
      <c r="B386" t="s">
        <v>11</v>
      </c>
      <c r="G386" t="s">
        <v>16</v>
      </c>
    </row>
    <row r="387" spans="1:7">
      <c r="A387" s="1">
        <f>HYPERLINK("https://cms.ls-nyc.org/matter/dynamic-profile/view/1881386","18-1881386")</f>
        <v>0</v>
      </c>
      <c r="B387" t="s">
        <v>8</v>
      </c>
      <c r="G387" t="s">
        <v>16</v>
      </c>
    </row>
    <row r="388" spans="1:7">
      <c r="A388" s="1">
        <f>HYPERLINK("https://cms.ls-nyc.org/matter/dynamic-profile/view/1882893","18-1882893")</f>
        <v>0</v>
      </c>
      <c r="B388" t="s">
        <v>8</v>
      </c>
      <c r="G388" t="s">
        <v>16</v>
      </c>
    </row>
    <row r="389" spans="1:7">
      <c r="A389" s="1">
        <f>HYPERLINK("https://cms.ls-nyc.org/matter/dynamic-profile/view/1869983","18-1869983")</f>
        <v>0</v>
      </c>
      <c r="B389" t="s">
        <v>9</v>
      </c>
      <c r="E389" t="s">
        <v>14</v>
      </c>
      <c r="G389" t="s">
        <v>17</v>
      </c>
    </row>
    <row r="390" spans="1:7">
      <c r="A390" s="1">
        <f>HYPERLINK("https://cms.ls-nyc.org/matter/dynamic-profile/view/1882976","18-1882976")</f>
        <v>0</v>
      </c>
      <c r="B390" t="s">
        <v>8</v>
      </c>
      <c r="F390" t="s">
        <v>15</v>
      </c>
      <c r="G390" t="s">
        <v>17</v>
      </c>
    </row>
    <row r="391" spans="1:7">
      <c r="A391" s="1">
        <f>HYPERLINK("https://cms.ls-nyc.org/matter/dynamic-profile/view/1881509","18-1881509")</f>
        <v>0</v>
      </c>
      <c r="B391" t="s">
        <v>8</v>
      </c>
      <c r="G391" t="s">
        <v>16</v>
      </c>
    </row>
    <row r="392" spans="1:7">
      <c r="A392" s="1">
        <f>HYPERLINK("https://cms.ls-nyc.org/matter/dynamic-profile/view/1870035","18-1870035")</f>
        <v>0</v>
      </c>
      <c r="B392" t="s">
        <v>9</v>
      </c>
      <c r="G392" t="s">
        <v>16</v>
      </c>
    </row>
    <row r="393" spans="1:7">
      <c r="A393" s="1">
        <f>HYPERLINK("https://cms.ls-nyc.org/matter/dynamic-profile/view/1876689","18-1876689")</f>
        <v>0</v>
      </c>
      <c r="B393" t="s">
        <v>9</v>
      </c>
      <c r="F393" t="s">
        <v>15</v>
      </c>
      <c r="G393" t="s">
        <v>17</v>
      </c>
    </row>
    <row r="394" spans="1:7">
      <c r="A394" s="1">
        <f>HYPERLINK("https://cms.ls-nyc.org/matter/dynamic-profile/view/1878211","18-1878211")</f>
        <v>0</v>
      </c>
      <c r="B394" t="s">
        <v>9</v>
      </c>
      <c r="G394" t="s">
        <v>16</v>
      </c>
    </row>
    <row r="395" spans="1:7">
      <c r="A395" s="1">
        <f>HYPERLINK("https://cms.ls-nyc.org/matter/dynamic-profile/view/1878085","18-1878085")</f>
        <v>0</v>
      </c>
      <c r="B395" t="s">
        <v>7</v>
      </c>
      <c r="G395" t="s">
        <v>16</v>
      </c>
    </row>
    <row r="396" spans="1:7">
      <c r="A396" s="1">
        <f>HYPERLINK("https://cms.ls-nyc.org/matter/dynamic-profile/view/1898658","19-1898658")</f>
        <v>0</v>
      </c>
      <c r="B396" t="s">
        <v>7</v>
      </c>
      <c r="G396" t="s">
        <v>16</v>
      </c>
    </row>
    <row r="397" spans="1:7">
      <c r="A397" s="1">
        <f>HYPERLINK("https://cms.ls-nyc.org/matter/dynamic-profile/view/1900400","19-1900400")</f>
        <v>0</v>
      </c>
      <c r="B397" t="s">
        <v>7</v>
      </c>
      <c r="G397" t="s">
        <v>16</v>
      </c>
    </row>
    <row r="398" spans="1:7">
      <c r="A398" s="1">
        <f>HYPERLINK("https://cms.ls-nyc.org/matter/dynamic-profile/view/1896452","19-1896452")</f>
        <v>0</v>
      </c>
      <c r="B398" t="s">
        <v>7</v>
      </c>
      <c r="G398" t="s">
        <v>16</v>
      </c>
    </row>
    <row r="399" spans="1:7">
      <c r="A399" s="1">
        <f>HYPERLINK("https://cms.ls-nyc.org/matter/dynamic-profile/view/1872146","18-1872146")</f>
        <v>0</v>
      </c>
      <c r="B399" t="s">
        <v>9</v>
      </c>
      <c r="G399" t="s">
        <v>16</v>
      </c>
    </row>
    <row r="400" spans="1:7">
      <c r="A400" s="1">
        <f>HYPERLINK("https://cms.ls-nyc.org/matter/dynamic-profile/view/1895722","19-1895722")</f>
        <v>0</v>
      </c>
      <c r="B400" t="s">
        <v>11</v>
      </c>
      <c r="G400" t="s">
        <v>16</v>
      </c>
    </row>
    <row r="401" spans="1:7">
      <c r="A401" s="1">
        <f>HYPERLINK("https://cms.ls-nyc.org/matter/dynamic-profile/view/1884409","18-1884409")</f>
        <v>0</v>
      </c>
      <c r="B401" t="s">
        <v>9</v>
      </c>
      <c r="G401" t="s">
        <v>16</v>
      </c>
    </row>
    <row r="402" spans="1:7">
      <c r="A402" s="1">
        <f>HYPERLINK("https://cms.ls-nyc.org/matter/dynamic-profile/view/1885362","18-1885362")</f>
        <v>0</v>
      </c>
      <c r="B402" t="s">
        <v>11</v>
      </c>
      <c r="F402" t="s">
        <v>15</v>
      </c>
      <c r="G402" t="s">
        <v>17</v>
      </c>
    </row>
    <row r="403" spans="1:7">
      <c r="A403" s="1">
        <f>HYPERLINK("https://cms.ls-nyc.org/matter/dynamic-profile/view/1898332","19-1898332")</f>
        <v>0</v>
      </c>
      <c r="B403" t="s">
        <v>7</v>
      </c>
      <c r="G403" t="s">
        <v>16</v>
      </c>
    </row>
    <row r="404" spans="1:7">
      <c r="A404" s="1">
        <f>HYPERLINK("https://cms.ls-nyc.org/matter/dynamic-profile/view/1893584","19-1893584")</f>
        <v>0</v>
      </c>
      <c r="B404" t="s">
        <v>10</v>
      </c>
      <c r="G404" t="s">
        <v>16</v>
      </c>
    </row>
    <row r="405" spans="1:7">
      <c r="A405" s="1">
        <f>HYPERLINK("https://cms.ls-nyc.org/matter/dynamic-profile/view/1878210","18-1878210")</f>
        <v>0</v>
      </c>
      <c r="B405" t="s">
        <v>9</v>
      </c>
      <c r="G405" t="s">
        <v>16</v>
      </c>
    </row>
    <row r="406" spans="1:7">
      <c r="A406" s="1">
        <f>HYPERLINK("https://cms.ls-nyc.org/matter/dynamic-profile/view/1898006","19-1898006")</f>
        <v>0</v>
      </c>
      <c r="B406" t="s">
        <v>8</v>
      </c>
      <c r="G406" t="s">
        <v>16</v>
      </c>
    </row>
    <row r="407" spans="1:7">
      <c r="A407" s="1">
        <f>HYPERLINK("https://cms.ls-nyc.org/matter/dynamic-profile/view/1874876","18-1874876")</f>
        <v>0</v>
      </c>
      <c r="B407" t="s">
        <v>8</v>
      </c>
      <c r="G407" t="s">
        <v>16</v>
      </c>
    </row>
    <row r="408" spans="1:7">
      <c r="A408" s="1">
        <f>HYPERLINK("https://cms.ls-nyc.org/matter/dynamic-profile/view/1886957","19-1886957")</f>
        <v>0</v>
      </c>
      <c r="B408" t="s">
        <v>8</v>
      </c>
      <c r="G408" t="s">
        <v>16</v>
      </c>
    </row>
    <row r="409" spans="1:7">
      <c r="A409" s="1">
        <f>HYPERLINK("https://cms.ls-nyc.org/matter/dynamic-profile/view/1872111","18-1872111")</f>
        <v>0</v>
      </c>
      <c r="B409" t="s">
        <v>11</v>
      </c>
      <c r="G409" t="s">
        <v>16</v>
      </c>
    </row>
    <row r="410" spans="1:7">
      <c r="A410" s="1">
        <f>HYPERLINK("https://cms.ls-nyc.org/matter/dynamic-profile/view/1884001","18-1884001")</f>
        <v>0</v>
      </c>
      <c r="B410" t="s">
        <v>11</v>
      </c>
      <c r="G410" t="s">
        <v>16</v>
      </c>
    </row>
    <row r="411" spans="1:7">
      <c r="A411" s="1">
        <f>HYPERLINK("https://cms.ls-nyc.org/matter/dynamic-profile/view/1888389","19-1888389")</f>
        <v>0</v>
      </c>
      <c r="B411" t="s">
        <v>7</v>
      </c>
      <c r="G411" t="s">
        <v>16</v>
      </c>
    </row>
    <row r="412" spans="1:7">
      <c r="A412" s="1">
        <f>HYPERLINK("https://cms.ls-nyc.org/matter/dynamic-profile/view/1879340","18-1879340")</f>
        <v>0</v>
      </c>
      <c r="B412" t="s">
        <v>7</v>
      </c>
      <c r="G412" t="s">
        <v>16</v>
      </c>
    </row>
    <row r="413" spans="1:7">
      <c r="A413" s="1">
        <f>HYPERLINK("https://cms.ls-nyc.org/matter/dynamic-profile/view/1889189","19-1889189")</f>
        <v>0</v>
      </c>
      <c r="B413" t="s">
        <v>8</v>
      </c>
      <c r="F413" t="s">
        <v>15</v>
      </c>
      <c r="G413" t="s">
        <v>17</v>
      </c>
    </row>
    <row r="414" spans="1:7">
      <c r="A414" s="1">
        <f>HYPERLINK("https://cms.ls-nyc.org/matter/dynamic-profile/view/1890898","19-1890898")</f>
        <v>0</v>
      </c>
      <c r="B414" t="s">
        <v>8</v>
      </c>
      <c r="G414" t="s">
        <v>16</v>
      </c>
    </row>
    <row r="415" spans="1:7">
      <c r="A415" s="1">
        <f>HYPERLINK("https://cms.ls-nyc.org/matter/dynamic-profile/view/1886102","18-1886102")</f>
        <v>0</v>
      </c>
      <c r="B415" t="s">
        <v>9</v>
      </c>
      <c r="F415" t="s">
        <v>15</v>
      </c>
      <c r="G415" t="s">
        <v>17</v>
      </c>
    </row>
    <row r="416" spans="1:7">
      <c r="A416" s="1">
        <f>HYPERLINK("https://cms.ls-nyc.org/matter/dynamic-profile/view/1882586","18-1882586")</f>
        <v>0</v>
      </c>
      <c r="B416" t="s">
        <v>11</v>
      </c>
      <c r="G416" t="s">
        <v>16</v>
      </c>
    </row>
    <row r="417" spans="1:7">
      <c r="A417" s="1">
        <f>HYPERLINK("https://cms.ls-nyc.org/matter/dynamic-profile/view/1876683","18-1876683")</f>
        <v>0</v>
      </c>
      <c r="B417" t="s">
        <v>9</v>
      </c>
      <c r="F417" t="s">
        <v>15</v>
      </c>
      <c r="G417" t="s">
        <v>17</v>
      </c>
    </row>
    <row r="418" spans="1:7">
      <c r="A418" s="1">
        <f>HYPERLINK("https://cms.ls-nyc.org/matter/dynamic-profile/view/1882501","18-1882501")</f>
        <v>0</v>
      </c>
      <c r="B418" t="s">
        <v>9</v>
      </c>
      <c r="G418" t="s">
        <v>16</v>
      </c>
    </row>
    <row r="419" spans="1:7">
      <c r="A419" s="1">
        <f>HYPERLINK("https://cms.ls-nyc.org/matter/dynamic-profile/view/1873162","18-1873162")</f>
        <v>0</v>
      </c>
      <c r="B419" t="s">
        <v>7</v>
      </c>
      <c r="G419" t="s">
        <v>16</v>
      </c>
    </row>
    <row r="420" spans="1:7">
      <c r="A420" s="1">
        <f>HYPERLINK("https://cms.ls-nyc.org/matter/dynamic-profile/view/1890682","19-1890682")</f>
        <v>0</v>
      </c>
      <c r="B420" t="s">
        <v>11</v>
      </c>
      <c r="G420" t="s">
        <v>16</v>
      </c>
    </row>
    <row r="421" spans="1:7">
      <c r="A421" s="1">
        <f>HYPERLINK("https://cms.ls-nyc.org/matter/dynamic-profile/view/1887420","19-1887420")</f>
        <v>0</v>
      </c>
      <c r="B421" t="s">
        <v>8</v>
      </c>
      <c r="G421" t="s">
        <v>16</v>
      </c>
    </row>
    <row r="422" spans="1:7">
      <c r="A422" s="1">
        <f>HYPERLINK("https://cms.ls-nyc.org/matter/dynamic-profile/view/1897120","19-1897120")</f>
        <v>0</v>
      </c>
      <c r="B422" t="s">
        <v>10</v>
      </c>
      <c r="G422" t="s">
        <v>16</v>
      </c>
    </row>
    <row r="423" spans="1:7">
      <c r="A423" s="1">
        <f>HYPERLINK("https://cms.ls-nyc.org/matter/dynamic-profile/view/1875043","18-1875043")</f>
        <v>0</v>
      </c>
      <c r="B423" t="s">
        <v>7</v>
      </c>
      <c r="G423" t="s">
        <v>16</v>
      </c>
    </row>
    <row r="424" spans="1:7">
      <c r="A424" s="1">
        <f>HYPERLINK("https://cms.ls-nyc.org/matter/dynamic-profile/view/1899975","19-1899975")</f>
        <v>0</v>
      </c>
      <c r="B424" t="s">
        <v>7</v>
      </c>
      <c r="G424" t="s">
        <v>16</v>
      </c>
    </row>
    <row r="425" spans="1:7">
      <c r="A425" s="1">
        <f>HYPERLINK("https://cms.ls-nyc.org/matter/dynamic-profile/view/1880262","18-1880262")</f>
        <v>0</v>
      </c>
      <c r="B425" t="s">
        <v>8</v>
      </c>
      <c r="G425" t="s">
        <v>16</v>
      </c>
    </row>
    <row r="426" spans="1:7">
      <c r="A426" s="1">
        <f>HYPERLINK("https://cms.ls-nyc.org/matter/dynamic-profile/view/1882800","18-1882800")</f>
        <v>0</v>
      </c>
      <c r="B426" t="s">
        <v>8</v>
      </c>
      <c r="G426" t="s">
        <v>16</v>
      </c>
    </row>
    <row r="427" spans="1:7">
      <c r="A427" s="1">
        <f>HYPERLINK("https://cms.ls-nyc.org/matter/dynamic-profile/view/1881030","18-1881030")</f>
        <v>0</v>
      </c>
      <c r="B427" t="s">
        <v>9</v>
      </c>
      <c r="G427" t="s">
        <v>16</v>
      </c>
    </row>
    <row r="428" spans="1:7">
      <c r="A428" s="1">
        <f>HYPERLINK("https://cms.ls-nyc.org/matter/dynamic-profile/view/1877745","18-1877745")</f>
        <v>0</v>
      </c>
      <c r="B428" t="s">
        <v>11</v>
      </c>
      <c r="G428" t="s">
        <v>16</v>
      </c>
    </row>
    <row r="429" spans="1:7">
      <c r="A429" s="1">
        <f>HYPERLINK("https://cms.ls-nyc.org/matter/dynamic-profile/view/1896215","19-1896215")</f>
        <v>0</v>
      </c>
      <c r="B429" t="s">
        <v>9</v>
      </c>
      <c r="G429" t="s">
        <v>16</v>
      </c>
    </row>
    <row r="430" spans="1:7">
      <c r="A430" s="1">
        <f>HYPERLINK("https://cms.ls-nyc.org/matter/dynamic-profile/view/1896214","19-1896214")</f>
        <v>0</v>
      </c>
      <c r="B430" t="s">
        <v>9</v>
      </c>
      <c r="G430" t="s">
        <v>16</v>
      </c>
    </row>
    <row r="431" spans="1:7">
      <c r="A431" s="1">
        <f>HYPERLINK("https://cms.ls-nyc.org/matter/dynamic-profile/view/1899384","19-1899384")</f>
        <v>0</v>
      </c>
      <c r="B431" t="s">
        <v>7</v>
      </c>
      <c r="G431" t="s">
        <v>16</v>
      </c>
    </row>
    <row r="432" spans="1:7">
      <c r="A432" s="1">
        <f>HYPERLINK("https://cms.ls-nyc.org/matter/dynamic-profile/view/1891487","19-1891487")</f>
        <v>0</v>
      </c>
      <c r="B432" t="s">
        <v>10</v>
      </c>
      <c r="G432" t="s">
        <v>16</v>
      </c>
    </row>
    <row r="433" spans="1:7">
      <c r="A433" s="1">
        <f>HYPERLINK("https://cms.ls-nyc.org/matter/dynamic-profile/view/1874133","18-1874133")</f>
        <v>0</v>
      </c>
      <c r="B433" t="s">
        <v>8</v>
      </c>
      <c r="G433" t="s">
        <v>16</v>
      </c>
    </row>
    <row r="434" spans="1:7">
      <c r="A434" s="1">
        <f>HYPERLINK("https://cms.ls-nyc.org/matter/dynamic-profile/view/1886889","19-1886889")</f>
        <v>0</v>
      </c>
      <c r="B434" t="s">
        <v>8</v>
      </c>
      <c r="G434" t="s">
        <v>16</v>
      </c>
    </row>
    <row r="435" spans="1:7">
      <c r="A435" s="1">
        <f>HYPERLINK("https://cms.ls-nyc.org/matter/dynamic-profile/view/1899402","19-1899402")</f>
        <v>0</v>
      </c>
      <c r="B435" t="s">
        <v>7</v>
      </c>
      <c r="E435" t="s">
        <v>14</v>
      </c>
      <c r="G435" t="s">
        <v>17</v>
      </c>
    </row>
    <row r="436" spans="1:7">
      <c r="A436" s="1">
        <f>HYPERLINK("https://cms.ls-nyc.org/matter/dynamic-profile/view/1891258","19-1891258")</f>
        <v>0</v>
      </c>
      <c r="B436" t="s">
        <v>10</v>
      </c>
      <c r="G436" t="s">
        <v>16</v>
      </c>
    </row>
    <row r="437" spans="1:7">
      <c r="A437" s="1">
        <f>HYPERLINK("https://cms.ls-nyc.org/matter/dynamic-profile/view/1889653","19-1889653")</f>
        <v>0</v>
      </c>
      <c r="B437" t="s">
        <v>7</v>
      </c>
      <c r="G437" t="s">
        <v>16</v>
      </c>
    </row>
    <row r="438" spans="1:7">
      <c r="A438" s="1">
        <f>HYPERLINK("https://cms.ls-nyc.org/matter/dynamic-profile/view/1881397","18-1881397")</f>
        <v>0</v>
      </c>
      <c r="B438" t="s">
        <v>11</v>
      </c>
      <c r="G438" t="s">
        <v>16</v>
      </c>
    </row>
    <row r="439" spans="1:7">
      <c r="A439" s="1">
        <f>HYPERLINK("https://cms.ls-nyc.org/matter/dynamic-profile/view/1890777","19-1890777")</f>
        <v>0</v>
      </c>
      <c r="B439" t="s">
        <v>8</v>
      </c>
      <c r="G439" t="s">
        <v>16</v>
      </c>
    </row>
    <row r="440" spans="1:7">
      <c r="A440" s="1">
        <f>HYPERLINK("https://cms.ls-nyc.org/matter/dynamic-profile/view/1882756","18-1882756")</f>
        <v>0</v>
      </c>
      <c r="B440" t="s">
        <v>9</v>
      </c>
      <c r="G440" t="s">
        <v>16</v>
      </c>
    </row>
    <row r="441" spans="1:7">
      <c r="A441" s="1">
        <f>HYPERLINK("https://cms.ls-nyc.org/matter/dynamic-profile/view/1882755","18-1882755")</f>
        <v>0</v>
      </c>
      <c r="B441" t="s">
        <v>9</v>
      </c>
      <c r="G441" t="s">
        <v>16</v>
      </c>
    </row>
    <row r="442" spans="1:7">
      <c r="A442" s="1">
        <f>HYPERLINK("https://cms.ls-nyc.org/matter/dynamic-profile/view/1877025","18-1877025")</f>
        <v>0</v>
      </c>
      <c r="B442" t="s">
        <v>10</v>
      </c>
      <c r="C442" t="s">
        <v>12</v>
      </c>
      <c r="E442" t="s">
        <v>14</v>
      </c>
      <c r="F442" t="s">
        <v>15</v>
      </c>
      <c r="G442" t="s">
        <v>17</v>
      </c>
    </row>
    <row r="443" spans="1:7">
      <c r="A443" s="1">
        <f>HYPERLINK("https://cms.ls-nyc.org/matter/dynamic-profile/view/1900864","19-1900864")</f>
        <v>0</v>
      </c>
      <c r="B443" t="s">
        <v>8</v>
      </c>
      <c r="C443" t="s">
        <v>12</v>
      </c>
      <c r="G443" t="s">
        <v>17</v>
      </c>
    </row>
    <row r="444" spans="1:7">
      <c r="A444" s="1">
        <f>HYPERLINK("https://cms.ls-nyc.org/matter/dynamic-profile/view/1875314","18-1875314")</f>
        <v>0</v>
      </c>
      <c r="B444" t="s">
        <v>8</v>
      </c>
      <c r="G444" t="s">
        <v>16</v>
      </c>
    </row>
    <row r="445" spans="1:7">
      <c r="A445" s="1">
        <f>HYPERLINK("https://cms.ls-nyc.org/matter/dynamic-profile/view/1897598","19-1897598")</f>
        <v>0</v>
      </c>
      <c r="B445" t="s">
        <v>8</v>
      </c>
      <c r="G445" t="s">
        <v>16</v>
      </c>
    </row>
    <row r="446" spans="1:7">
      <c r="A446" s="1">
        <f>HYPERLINK("https://cms.ls-nyc.org/matter/dynamic-profile/view/1894669","19-1894669")</f>
        <v>0</v>
      </c>
      <c r="B446" t="s">
        <v>8</v>
      </c>
      <c r="G446" t="s">
        <v>16</v>
      </c>
    </row>
    <row r="447" spans="1:7">
      <c r="A447" s="1">
        <f>HYPERLINK("https://cms.ls-nyc.org/matter/dynamic-profile/view/1872303","18-1872303")</f>
        <v>0</v>
      </c>
      <c r="B447" t="s">
        <v>7</v>
      </c>
      <c r="G447" t="s">
        <v>16</v>
      </c>
    </row>
    <row r="448" spans="1:7">
      <c r="A448" s="1">
        <f>HYPERLINK("https://cms.ls-nyc.org/matter/dynamic-profile/view/1881968","18-1881968")</f>
        <v>0</v>
      </c>
      <c r="B448" t="s">
        <v>11</v>
      </c>
      <c r="G448" t="s">
        <v>16</v>
      </c>
    </row>
    <row r="449" spans="1:7">
      <c r="A449" s="1">
        <f>HYPERLINK("https://cms.ls-nyc.org/matter/dynamic-profile/view/1893788","19-1893788")</f>
        <v>0</v>
      </c>
      <c r="B449" t="s">
        <v>9</v>
      </c>
      <c r="G449" t="s">
        <v>16</v>
      </c>
    </row>
    <row r="450" spans="1:7">
      <c r="A450" s="1">
        <f>HYPERLINK("https://cms.ls-nyc.org/matter/dynamic-profile/view/1878440","18-1878440")</f>
        <v>0</v>
      </c>
      <c r="B450" t="s">
        <v>8</v>
      </c>
      <c r="G450" t="s">
        <v>16</v>
      </c>
    </row>
    <row r="451" spans="1:7">
      <c r="A451" s="1">
        <f>HYPERLINK("https://cms.ls-nyc.org/matter/dynamic-profile/view/1899222","19-1899222")</f>
        <v>0</v>
      </c>
      <c r="B451" t="s">
        <v>7</v>
      </c>
      <c r="G451" t="s">
        <v>16</v>
      </c>
    </row>
    <row r="452" spans="1:7">
      <c r="A452" s="1">
        <f>HYPERLINK("https://cms.ls-nyc.org/matter/dynamic-profile/view/1877760","18-1877760")</f>
        <v>0</v>
      </c>
      <c r="B452" t="s">
        <v>9</v>
      </c>
      <c r="G452" t="s">
        <v>16</v>
      </c>
    </row>
    <row r="453" spans="1:7">
      <c r="A453" s="1">
        <f>HYPERLINK("https://cms.ls-nyc.org/matter/dynamic-profile/view/1888455","19-1888455")</f>
        <v>0</v>
      </c>
      <c r="B453" t="s">
        <v>9</v>
      </c>
      <c r="G453" t="s">
        <v>16</v>
      </c>
    </row>
    <row r="454" spans="1:7">
      <c r="A454" s="1">
        <f>HYPERLINK("https://cms.ls-nyc.org/matter/dynamic-profile/view/1875020","18-1875020")</f>
        <v>0</v>
      </c>
      <c r="B454" t="s">
        <v>7</v>
      </c>
      <c r="G454" t="s">
        <v>16</v>
      </c>
    </row>
    <row r="455" spans="1:7">
      <c r="A455" s="1">
        <f>HYPERLINK("https://cms.ls-nyc.org/matter/dynamic-profile/view/1885652","18-1885652")</f>
        <v>0</v>
      </c>
      <c r="B455" t="s">
        <v>9</v>
      </c>
      <c r="G455" t="s">
        <v>16</v>
      </c>
    </row>
    <row r="456" spans="1:7">
      <c r="A456" s="1">
        <f>HYPERLINK("https://cms.ls-nyc.org/matter/dynamic-profile/view/1874993","18-1874993")</f>
        <v>0</v>
      </c>
      <c r="B456" t="s">
        <v>9</v>
      </c>
      <c r="G456" t="s">
        <v>16</v>
      </c>
    </row>
    <row r="457" spans="1:7">
      <c r="A457" s="1">
        <f>HYPERLINK("https://cms.ls-nyc.org/matter/dynamic-profile/view/1884197","18-1884197")</f>
        <v>0</v>
      </c>
      <c r="B457" t="s">
        <v>11</v>
      </c>
      <c r="G457" t="s">
        <v>16</v>
      </c>
    </row>
    <row r="458" spans="1:7">
      <c r="A458" s="1">
        <f>HYPERLINK("https://cms.ls-nyc.org/matter/dynamic-profile/view/1899124","19-1899124")</f>
        <v>0</v>
      </c>
      <c r="B458" t="s">
        <v>7</v>
      </c>
      <c r="G458" t="s">
        <v>16</v>
      </c>
    </row>
    <row r="459" spans="1:7">
      <c r="A459" s="1">
        <f>HYPERLINK("https://cms.ls-nyc.org/matter/dynamic-profile/view/1887872","19-1887872")</f>
        <v>0</v>
      </c>
      <c r="B459" t="s">
        <v>8</v>
      </c>
      <c r="G459" t="s">
        <v>16</v>
      </c>
    </row>
    <row r="460" spans="1:7">
      <c r="A460" s="1">
        <f>HYPERLINK("https://cms.ls-nyc.org/matter/dynamic-profile/view/1875112","18-1875112")</f>
        <v>0</v>
      </c>
      <c r="B460" t="s">
        <v>11</v>
      </c>
      <c r="G460" t="s">
        <v>16</v>
      </c>
    </row>
    <row r="461" spans="1:7">
      <c r="A461" s="1">
        <f>HYPERLINK("https://cms.ls-nyc.org/matter/dynamic-profile/view/1876435","18-1876435")</f>
        <v>0</v>
      </c>
      <c r="B461" t="s">
        <v>8</v>
      </c>
      <c r="G461" t="s">
        <v>16</v>
      </c>
    </row>
    <row r="462" spans="1:7">
      <c r="A462" s="1">
        <f>HYPERLINK("https://cms.ls-nyc.org/matter/dynamic-profile/view/1882917","18-1882917")</f>
        <v>0</v>
      </c>
      <c r="B462" t="s">
        <v>7</v>
      </c>
      <c r="G462" t="s">
        <v>16</v>
      </c>
    </row>
    <row r="463" spans="1:7">
      <c r="A463" s="1">
        <f>HYPERLINK("https://cms.ls-nyc.org/matter/dynamic-profile/view/1879768","18-1879768")</f>
        <v>0</v>
      </c>
      <c r="B463" t="s">
        <v>8</v>
      </c>
      <c r="G463" t="s">
        <v>16</v>
      </c>
    </row>
    <row r="464" spans="1:7">
      <c r="A464" s="1">
        <f>HYPERLINK("https://cms.ls-nyc.org/matter/dynamic-profile/view/1879765","18-1879765")</f>
        <v>0</v>
      </c>
      <c r="B464" t="s">
        <v>8</v>
      </c>
      <c r="G464" t="s">
        <v>16</v>
      </c>
    </row>
    <row r="465" spans="1:7">
      <c r="A465" s="1">
        <f>HYPERLINK("https://cms.ls-nyc.org/matter/dynamic-profile/view/1886719","18-1886719")</f>
        <v>0</v>
      </c>
      <c r="B465" t="s">
        <v>9</v>
      </c>
      <c r="F465" t="s">
        <v>15</v>
      </c>
      <c r="G465" t="s">
        <v>17</v>
      </c>
    </row>
    <row r="466" spans="1:7">
      <c r="A466" s="1">
        <f>HYPERLINK("https://cms.ls-nyc.org/matter/dynamic-profile/view/1884762","18-1884762")</f>
        <v>0</v>
      </c>
      <c r="B466" t="s">
        <v>9</v>
      </c>
      <c r="G466" t="s">
        <v>16</v>
      </c>
    </row>
    <row r="467" spans="1:7">
      <c r="A467" s="1">
        <f>HYPERLINK("https://cms.ls-nyc.org/matter/dynamic-profile/view/1877740","18-1877740")</f>
        <v>0</v>
      </c>
      <c r="B467" t="s">
        <v>9</v>
      </c>
      <c r="G467" t="s">
        <v>16</v>
      </c>
    </row>
    <row r="468" spans="1:7">
      <c r="A468" s="1">
        <f>HYPERLINK("https://cms.ls-nyc.org/matter/dynamic-profile/view/1881805","18-1881805")</f>
        <v>0</v>
      </c>
      <c r="B468" t="s">
        <v>9</v>
      </c>
      <c r="G468" t="s">
        <v>16</v>
      </c>
    </row>
    <row r="469" spans="1:7">
      <c r="A469" s="1">
        <f>HYPERLINK("https://cms.ls-nyc.org/matter/dynamic-profile/view/1860498","18-1860498")</f>
        <v>0</v>
      </c>
      <c r="B469" t="s">
        <v>11</v>
      </c>
      <c r="G469" t="s">
        <v>16</v>
      </c>
    </row>
    <row r="470" spans="1:7">
      <c r="A470" s="1">
        <f>HYPERLINK("https://cms.ls-nyc.org/matter/dynamic-profile/view/1892138","19-1892138")</f>
        <v>0</v>
      </c>
      <c r="B470" t="s">
        <v>8</v>
      </c>
      <c r="G470" t="s">
        <v>16</v>
      </c>
    </row>
    <row r="471" spans="1:7">
      <c r="A471" s="1">
        <f>HYPERLINK("https://cms.ls-nyc.org/matter/dynamic-profile/view/1885425","18-1885425")</f>
        <v>0</v>
      </c>
      <c r="B471" t="s">
        <v>7</v>
      </c>
      <c r="G471" t="s">
        <v>16</v>
      </c>
    </row>
    <row r="472" spans="1:7">
      <c r="A472" s="1">
        <f>HYPERLINK("https://cms.ls-nyc.org/matter/dynamic-profile/view/1871552","18-1871552")</f>
        <v>0</v>
      </c>
      <c r="B472" t="s">
        <v>7</v>
      </c>
      <c r="G472" t="s">
        <v>16</v>
      </c>
    </row>
    <row r="473" spans="1:7">
      <c r="A473" s="1">
        <f>HYPERLINK("https://cms.ls-nyc.org/matter/dynamic-profile/view/1874553","18-1874553")</f>
        <v>0</v>
      </c>
      <c r="B473" t="s">
        <v>8</v>
      </c>
      <c r="G473" t="s">
        <v>16</v>
      </c>
    </row>
    <row r="474" spans="1:7">
      <c r="A474" s="1">
        <f>HYPERLINK("https://cms.ls-nyc.org/matter/dynamic-profile/view/1881373","18-1881373")</f>
        <v>0</v>
      </c>
      <c r="B474" t="s">
        <v>7</v>
      </c>
      <c r="G474" t="s">
        <v>16</v>
      </c>
    </row>
    <row r="475" spans="1:7">
      <c r="A475" s="1">
        <f>HYPERLINK("https://cms.ls-nyc.org/matter/dynamic-profile/view/1896526","19-1896526")</f>
        <v>0</v>
      </c>
      <c r="B475" t="s">
        <v>9</v>
      </c>
      <c r="G475" t="s">
        <v>16</v>
      </c>
    </row>
    <row r="476" spans="1:7">
      <c r="A476" s="1">
        <f>HYPERLINK("https://cms.ls-nyc.org/matter/dynamic-profile/view/1887294","19-1887294")</f>
        <v>0</v>
      </c>
      <c r="B476" t="s">
        <v>9</v>
      </c>
      <c r="G476" t="s">
        <v>16</v>
      </c>
    </row>
    <row r="477" spans="1:7">
      <c r="A477" s="1">
        <f>HYPERLINK("https://cms.ls-nyc.org/matter/dynamic-profile/view/1870310","18-1870310")</f>
        <v>0</v>
      </c>
      <c r="B477" t="s">
        <v>11</v>
      </c>
      <c r="G477" t="s">
        <v>16</v>
      </c>
    </row>
    <row r="478" spans="1:7">
      <c r="A478" s="1">
        <f>HYPERLINK("https://cms.ls-nyc.org/matter/dynamic-profile/view/1887728","19-1887728")</f>
        <v>0</v>
      </c>
      <c r="B478" t="s">
        <v>11</v>
      </c>
      <c r="G478" t="s">
        <v>16</v>
      </c>
    </row>
    <row r="479" spans="1:7">
      <c r="A479" s="1">
        <f>HYPERLINK("https://cms.ls-nyc.org/matter/dynamic-profile/view/1880854","18-1880854")</f>
        <v>0</v>
      </c>
      <c r="B479" t="s">
        <v>11</v>
      </c>
      <c r="G479" t="s">
        <v>16</v>
      </c>
    </row>
    <row r="480" spans="1:7">
      <c r="A480" s="1">
        <f>HYPERLINK("https://cms.ls-nyc.org/matter/dynamic-profile/view/1899158","19-1899158")</f>
        <v>0</v>
      </c>
      <c r="B480" t="s">
        <v>9</v>
      </c>
      <c r="F480" t="s">
        <v>15</v>
      </c>
      <c r="G480" t="s">
        <v>17</v>
      </c>
    </row>
    <row r="481" spans="1:7">
      <c r="A481" s="1">
        <f>HYPERLINK("https://cms.ls-nyc.org/matter/dynamic-profile/view/1879466","18-1879466")</f>
        <v>0</v>
      </c>
      <c r="B481" t="s">
        <v>7</v>
      </c>
      <c r="G481" t="s">
        <v>16</v>
      </c>
    </row>
    <row r="482" spans="1:7">
      <c r="A482" s="1">
        <f>HYPERLINK("https://cms.ls-nyc.org/matter/dynamic-profile/view/1881932","18-1881932")</f>
        <v>0</v>
      </c>
      <c r="B482" t="s">
        <v>8</v>
      </c>
      <c r="G482" t="s">
        <v>16</v>
      </c>
    </row>
    <row r="483" spans="1:7">
      <c r="A483" s="1">
        <f>HYPERLINK("https://cms.ls-nyc.org/matter/dynamic-profile/view/1882311","18-1882311")</f>
        <v>0</v>
      </c>
      <c r="B483" t="s">
        <v>8</v>
      </c>
      <c r="G483" t="s">
        <v>16</v>
      </c>
    </row>
    <row r="484" spans="1:7">
      <c r="A484" s="1">
        <f>HYPERLINK("https://cms.ls-nyc.org/matter/dynamic-profile/view/1877877","18-1877877")</f>
        <v>0</v>
      </c>
      <c r="B484" t="s">
        <v>8</v>
      </c>
      <c r="G484" t="s">
        <v>16</v>
      </c>
    </row>
    <row r="485" spans="1:7">
      <c r="A485" s="1">
        <f>HYPERLINK("https://cms.ls-nyc.org/matter/dynamic-profile/view/1885583","18-1885583")</f>
        <v>0</v>
      </c>
      <c r="B485" t="s">
        <v>8</v>
      </c>
      <c r="G485" t="s">
        <v>16</v>
      </c>
    </row>
    <row r="486" spans="1:7">
      <c r="A486" s="1">
        <f>HYPERLINK("https://cms.ls-nyc.org/matter/dynamic-profile/view/1875825","18-1875825")</f>
        <v>0</v>
      </c>
      <c r="B486" t="s">
        <v>8</v>
      </c>
      <c r="G486" t="s">
        <v>16</v>
      </c>
    </row>
    <row r="487" spans="1:7">
      <c r="A487" s="1">
        <f>HYPERLINK("https://cms.ls-nyc.org/matter/dynamic-profile/view/1875756","18-1875756")</f>
        <v>0</v>
      </c>
      <c r="B487" t="s">
        <v>8</v>
      </c>
      <c r="G487" t="s">
        <v>16</v>
      </c>
    </row>
    <row r="488" spans="1:7">
      <c r="A488" s="1">
        <f>HYPERLINK("https://cms.ls-nyc.org/matter/dynamic-profile/view/1892407","19-1892407")</f>
        <v>0</v>
      </c>
      <c r="B488" t="s">
        <v>8</v>
      </c>
      <c r="G488" t="s">
        <v>16</v>
      </c>
    </row>
    <row r="489" spans="1:7">
      <c r="A489" s="1">
        <f>HYPERLINK("https://cms.ls-nyc.org/matter/dynamic-profile/view/1881209","18-1881209")</f>
        <v>0</v>
      </c>
      <c r="B489" t="s">
        <v>9</v>
      </c>
      <c r="G489" t="s">
        <v>16</v>
      </c>
    </row>
    <row r="490" spans="1:7">
      <c r="A490" s="1">
        <f>HYPERLINK("https://cms.ls-nyc.org/matter/dynamic-profile/view/1881190","18-1881190")</f>
        <v>0</v>
      </c>
      <c r="B490" t="s">
        <v>9</v>
      </c>
      <c r="G490" t="s">
        <v>16</v>
      </c>
    </row>
    <row r="491" spans="1:7">
      <c r="A491" s="1">
        <f>HYPERLINK("https://cms.ls-nyc.org/matter/dynamic-profile/view/1882286","18-1882286")</f>
        <v>0</v>
      </c>
      <c r="B491" t="s">
        <v>9</v>
      </c>
      <c r="G491" t="s">
        <v>16</v>
      </c>
    </row>
    <row r="492" spans="1:7">
      <c r="A492" s="1">
        <f>HYPERLINK("https://cms.ls-nyc.org/matter/dynamic-profile/view/1883017","18-1883017")</f>
        <v>0</v>
      </c>
      <c r="B492" t="s">
        <v>7</v>
      </c>
      <c r="G492" t="s">
        <v>16</v>
      </c>
    </row>
    <row r="493" spans="1:7">
      <c r="A493" s="1">
        <f>HYPERLINK("https://cms.ls-nyc.org/matter/dynamic-profile/view/1898695","19-1898695")</f>
        <v>0</v>
      </c>
      <c r="B493" t="s">
        <v>8</v>
      </c>
      <c r="C493" t="s">
        <v>12</v>
      </c>
      <c r="E493" t="s">
        <v>14</v>
      </c>
      <c r="F493" t="s">
        <v>15</v>
      </c>
      <c r="G493" t="s">
        <v>17</v>
      </c>
    </row>
    <row r="494" spans="1:7">
      <c r="A494" s="1">
        <f>HYPERLINK("https://cms.ls-nyc.org/matter/dynamic-profile/view/1887724","19-1887724")</f>
        <v>0</v>
      </c>
      <c r="B494" t="s">
        <v>11</v>
      </c>
      <c r="G494" t="s">
        <v>16</v>
      </c>
    </row>
    <row r="495" spans="1:7">
      <c r="A495" s="1">
        <f>HYPERLINK("https://cms.ls-nyc.org/matter/dynamic-profile/view/1872005","18-1872005")</f>
        <v>0</v>
      </c>
      <c r="B495" t="s">
        <v>9</v>
      </c>
      <c r="G495" t="s">
        <v>16</v>
      </c>
    </row>
    <row r="496" spans="1:7">
      <c r="A496" s="1">
        <f>HYPERLINK("https://cms.ls-nyc.org/matter/dynamic-profile/view/1871030","18-1871030")</f>
        <v>0</v>
      </c>
      <c r="B496" t="s">
        <v>7</v>
      </c>
      <c r="D496" t="s">
        <v>13</v>
      </c>
      <c r="G496" t="s">
        <v>17</v>
      </c>
    </row>
    <row r="497" spans="1:7">
      <c r="A497" s="1">
        <f>HYPERLINK("https://cms.ls-nyc.org/matter/dynamic-profile/view/1875223","18-1875223")</f>
        <v>0</v>
      </c>
      <c r="B497" t="s">
        <v>7</v>
      </c>
      <c r="G497" t="s">
        <v>16</v>
      </c>
    </row>
    <row r="498" spans="1:7">
      <c r="A498" s="1">
        <f>HYPERLINK("https://cms.ls-nyc.org/matter/dynamic-profile/view/1881652","18-1881652")</f>
        <v>0</v>
      </c>
      <c r="B498" t="s">
        <v>11</v>
      </c>
      <c r="E498" t="s">
        <v>14</v>
      </c>
      <c r="G498" t="s">
        <v>17</v>
      </c>
    </row>
    <row r="499" spans="1:7">
      <c r="A499" s="1">
        <f>HYPERLINK("https://cms.ls-nyc.org/matter/dynamic-profile/view/1873954","18-1873954")</f>
        <v>0</v>
      </c>
      <c r="B499" t="s">
        <v>7</v>
      </c>
      <c r="G499" t="s">
        <v>16</v>
      </c>
    </row>
    <row r="500" spans="1:7">
      <c r="A500" s="1">
        <f>HYPERLINK("https://cms.ls-nyc.org/matter/dynamic-profile/view/1889301","19-1889301")</f>
        <v>0</v>
      </c>
      <c r="B500" t="s">
        <v>11</v>
      </c>
      <c r="G500" t="s">
        <v>16</v>
      </c>
    </row>
    <row r="501" spans="1:7">
      <c r="A501" s="1">
        <f>HYPERLINK("https://cms.ls-nyc.org/matter/dynamic-profile/view/1873894","18-1873894")</f>
        <v>0</v>
      </c>
      <c r="B501" t="s">
        <v>9</v>
      </c>
      <c r="G501" t="s">
        <v>16</v>
      </c>
    </row>
    <row r="502" spans="1:7">
      <c r="A502" s="1">
        <f>HYPERLINK("https://cms.ls-nyc.org/matter/dynamic-profile/view/1897307","19-1897307")</f>
        <v>0</v>
      </c>
      <c r="B502" t="s">
        <v>9</v>
      </c>
      <c r="G502" t="s">
        <v>16</v>
      </c>
    </row>
    <row r="503" spans="1:7">
      <c r="A503" s="1">
        <f>HYPERLINK("https://cms.ls-nyc.org/matter/dynamic-profile/view/1891015","19-1891015")</f>
        <v>0</v>
      </c>
      <c r="B503" t="s">
        <v>9</v>
      </c>
      <c r="E503" t="s">
        <v>14</v>
      </c>
      <c r="G503" t="s">
        <v>17</v>
      </c>
    </row>
    <row r="504" spans="1:7">
      <c r="A504" s="1">
        <f>HYPERLINK("https://cms.ls-nyc.org/matter/dynamic-profile/view/1891007","19-1891007")</f>
        <v>0</v>
      </c>
      <c r="B504" t="s">
        <v>9</v>
      </c>
      <c r="E504" t="s">
        <v>14</v>
      </c>
      <c r="G504" t="s">
        <v>17</v>
      </c>
    </row>
    <row r="505" spans="1:7">
      <c r="A505" s="1">
        <f>HYPERLINK("https://cms.ls-nyc.org/matter/dynamic-profile/view/1892807","19-1892807")</f>
        <v>0</v>
      </c>
      <c r="B505" t="s">
        <v>11</v>
      </c>
      <c r="G505" t="s">
        <v>16</v>
      </c>
    </row>
    <row r="506" spans="1:7">
      <c r="A506" s="1">
        <f>HYPERLINK("https://cms.ls-nyc.org/matter/dynamic-profile/view/1879107","18-1879107")</f>
        <v>0</v>
      </c>
      <c r="B506" t="s">
        <v>8</v>
      </c>
      <c r="F506" t="s">
        <v>15</v>
      </c>
      <c r="G506" t="s">
        <v>17</v>
      </c>
    </row>
    <row r="507" spans="1:7">
      <c r="A507" s="1">
        <f>HYPERLINK("https://cms.ls-nyc.org/matter/dynamic-profile/view/1883812","18-1883812")</f>
        <v>0</v>
      </c>
      <c r="B507" t="s">
        <v>10</v>
      </c>
      <c r="G507" t="s">
        <v>16</v>
      </c>
    </row>
    <row r="508" spans="1:7">
      <c r="A508" s="1">
        <f>HYPERLINK("https://cms.ls-nyc.org/matter/dynamic-profile/view/1885067","18-1885067")</f>
        <v>0</v>
      </c>
      <c r="B508" t="s">
        <v>8</v>
      </c>
      <c r="G508" t="s">
        <v>16</v>
      </c>
    </row>
    <row r="509" spans="1:7">
      <c r="A509" s="1">
        <f>HYPERLINK("https://cms.ls-nyc.org/matter/dynamic-profile/view/1871944","18-1871944")</f>
        <v>0</v>
      </c>
      <c r="B509" t="s">
        <v>11</v>
      </c>
      <c r="G509" t="s">
        <v>16</v>
      </c>
    </row>
    <row r="510" spans="1:7">
      <c r="A510" s="1">
        <f>HYPERLINK("https://cms.ls-nyc.org/matter/dynamic-profile/view/1890813","19-1890813")</f>
        <v>0</v>
      </c>
      <c r="B510" t="s">
        <v>8</v>
      </c>
      <c r="C510" t="s">
        <v>12</v>
      </c>
      <c r="F510" t="s">
        <v>15</v>
      </c>
      <c r="G510" t="s">
        <v>17</v>
      </c>
    </row>
    <row r="511" spans="1:7">
      <c r="A511" s="1">
        <f>HYPERLINK("https://cms.ls-nyc.org/matter/dynamic-profile/view/1896204","19-1896204")</f>
        <v>0</v>
      </c>
      <c r="B511" t="s">
        <v>9</v>
      </c>
      <c r="G511" t="s">
        <v>16</v>
      </c>
    </row>
    <row r="512" spans="1:7">
      <c r="A512" s="1">
        <f>HYPERLINK("https://cms.ls-nyc.org/matter/dynamic-profile/view/1896198","19-1896198")</f>
        <v>0</v>
      </c>
      <c r="B512" t="s">
        <v>9</v>
      </c>
      <c r="G512" t="s">
        <v>16</v>
      </c>
    </row>
    <row r="513" spans="1:7">
      <c r="A513" s="1">
        <f>HYPERLINK("https://cms.ls-nyc.org/matter/dynamic-profile/view/1878642","18-1878642")</f>
        <v>0</v>
      </c>
      <c r="B513" t="s">
        <v>7</v>
      </c>
      <c r="G513" t="s">
        <v>16</v>
      </c>
    </row>
    <row r="514" spans="1:7">
      <c r="A514" s="1">
        <f>HYPERLINK("https://cms.ls-nyc.org/matter/dynamic-profile/view/1868626","18-1868626")</f>
        <v>0</v>
      </c>
      <c r="B514" t="s">
        <v>9</v>
      </c>
      <c r="G514" t="s">
        <v>16</v>
      </c>
    </row>
    <row r="515" spans="1:7">
      <c r="A515" s="1">
        <f>HYPERLINK("https://cms.ls-nyc.org/matter/dynamic-profile/view/1874587","18-1874587")</f>
        <v>0</v>
      </c>
      <c r="B515" t="s">
        <v>11</v>
      </c>
      <c r="G515" t="s">
        <v>16</v>
      </c>
    </row>
    <row r="516" spans="1:7">
      <c r="A516" s="1">
        <f>HYPERLINK("https://cms.ls-nyc.org/matter/dynamic-profile/view/1889854","19-1889854")</f>
        <v>0</v>
      </c>
      <c r="B516" t="s">
        <v>9</v>
      </c>
      <c r="G516" t="s">
        <v>16</v>
      </c>
    </row>
    <row r="517" spans="1:7">
      <c r="A517" s="1">
        <f>HYPERLINK("https://cms.ls-nyc.org/matter/dynamic-profile/view/1893642","19-1893642")</f>
        <v>0</v>
      </c>
      <c r="B517" t="s">
        <v>11</v>
      </c>
      <c r="G517" t="s">
        <v>16</v>
      </c>
    </row>
    <row r="518" spans="1:7">
      <c r="A518" s="1">
        <f>HYPERLINK("https://cms.ls-nyc.org/matter/dynamic-profile/view/1894706","19-1894706")</f>
        <v>0</v>
      </c>
      <c r="B518" t="s">
        <v>8</v>
      </c>
      <c r="C518" t="s">
        <v>12</v>
      </c>
      <c r="E518" t="s">
        <v>14</v>
      </c>
      <c r="G518" t="s">
        <v>17</v>
      </c>
    </row>
    <row r="519" spans="1:7">
      <c r="A519" s="1">
        <f>HYPERLINK("https://cms.ls-nyc.org/matter/dynamic-profile/view/1877721","18-1877721")</f>
        <v>0</v>
      </c>
      <c r="B519" t="s">
        <v>8</v>
      </c>
      <c r="G519" t="s">
        <v>16</v>
      </c>
    </row>
    <row r="520" spans="1:7">
      <c r="A520" s="1">
        <f>HYPERLINK("https://cms.ls-nyc.org/matter/dynamic-profile/view/1880921","18-1880921")</f>
        <v>0</v>
      </c>
      <c r="B520" t="s">
        <v>9</v>
      </c>
      <c r="G520" t="s">
        <v>16</v>
      </c>
    </row>
    <row r="521" spans="1:7">
      <c r="A521" s="1">
        <f>HYPERLINK("https://cms.ls-nyc.org/matter/dynamic-profile/view/1878798","18-1878798")</f>
        <v>0</v>
      </c>
      <c r="B521" t="s">
        <v>7</v>
      </c>
      <c r="G521" t="s">
        <v>16</v>
      </c>
    </row>
    <row r="522" spans="1:7">
      <c r="A522" s="1">
        <f>HYPERLINK("https://cms.ls-nyc.org/matter/dynamic-profile/view/1874052","18-1874052")</f>
        <v>0</v>
      </c>
      <c r="B522" t="s">
        <v>10</v>
      </c>
      <c r="G522" t="s">
        <v>16</v>
      </c>
    </row>
    <row r="523" spans="1:7">
      <c r="A523" s="1">
        <f>HYPERLINK("https://cms.ls-nyc.org/matter/dynamic-profile/view/1894184","19-1894184")</f>
        <v>0</v>
      </c>
      <c r="B523" t="s">
        <v>7</v>
      </c>
      <c r="G523" t="s">
        <v>16</v>
      </c>
    </row>
    <row r="524" spans="1:7">
      <c r="A524" s="1">
        <f>HYPERLINK("https://cms.ls-nyc.org/matter/dynamic-profile/view/1880036","18-1880036")</f>
        <v>0</v>
      </c>
      <c r="B524" t="s">
        <v>7</v>
      </c>
      <c r="G524" t="s">
        <v>16</v>
      </c>
    </row>
    <row r="525" spans="1:7">
      <c r="A525" s="1">
        <f>HYPERLINK("https://cms.ls-nyc.org/matter/dynamic-profile/view/1875581","18-1875581")</f>
        <v>0</v>
      </c>
      <c r="B525" t="s">
        <v>8</v>
      </c>
      <c r="G525" t="s">
        <v>16</v>
      </c>
    </row>
    <row r="526" spans="1:7">
      <c r="A526" s="1">
        <f>HYPERLINK("https://cms.ls-nyc.org/matter/dynamic-profile/view/1862877","18-1862877")</f>
        <v>0</v>
      </c>
      <c r="B526" t="s">
        <v>8</v>
      </c>
      <c r="G526" t="s">
        <v>16</v>
      </c>
    </row>
    <row r="527" spans="1:7">
      <c r="A527" s="1">
        <f>HYPERLINK("https://cms.ls-nyc.org/matter/dynamic-profile/view/1897904","19-1897904")</f>
        <v>0</v>
      </c>
      <c r="B527" t="s">
        <v>8</v>
      </c>
      <c r="G527" t="s">
        <v>16</v>
      </c>
    </row>
    <row r="528" spans="1:7">
      <c r="A528" s="1">
        <f>HYPERLINK("https://cms.ls-nyc.org/matter/dynamic-profile/view/1874480","18-1874480")</f>
        <v>0</v>
      </c>
      <c r="B528" t="s">
        <v>7</v>
      </c>
      <c r="G528" t="s">
        <v>16</v>
      </c>
    </row>
    <row r="529" spans="1:7">
      <c r="A529" s="1">
        <f>HYPERLINK("https://cms.ls-nyc.org/matter/dynamic-profile/view/1871997","18-1871997")</f>
        <v>0</v>
      </c>
      <c r="B529" t="s">
        <v>9</v>
      </c>
      <c r="G529" t="s">
        <v>16</v>
      </c>
    </row>
    <row r="530" spans="1:7">
      <c r="A530" s="1">
        <f>HYPERLINK("https://cms.ls-nyc.org/matter/dynamic-profile/view/1896986","19-1896986")</f>
        <v>0</v>
      </c>
      <c r="B530" t="s">
        <v>11</v>
      </c>
      <c r="G530" t="s">
        <v>16</v>
      </c>
    </row>
    <row r="531" spans="1:7">
      <c r="A531" s="1">
        <f>HYPERLINK("https://cms.ls-nyc.org/matter/dynamic-profile/view/1878163","18-1878163")</f>
        <v>0</v>
      </c>
      <c r="B531" t="s">
        <v>11</v>
      </c>
      <c r="G531" t="s">
        <v>16</v>
      </c>
    </row>
    <row r="532" spans="1:7">
      <c r="A532" s="1">
        <f>HYPERLINK("https://cms.ls-nyc.org/matter/dynamic-profile/view/1872640","18-1872640")</f>
        <v>0</v>
      </c>
      <c r="B532" t="s">
        <v>7</v>
      </c>
      <c r="G532" t="s">
        <v>16</v>
      </c>
    </row>
    <row r="533" spans="1:7">
      <c r="A533" s="1">
        <f>HYPERLINK("https://cms.ls-nyc.org/matter/dynamic-profile/view/1883969","18-1883969")</f>
        <v>0</v>
      </c>
      <c r="B533" t="s">
        <v>7</v>
      </c>
      <c r="G533" t="s">
        <v>16</v>
      </c>
    </row>
    <row r="534" spans="1:7">
      <c r="A534" s="1">
        <f>HYPERLINK("https://cms.ls-nyc.org/matter/dynamic-profile/view/1877221","18-1877221")</f>
        <v>0</v>
      </c>
      <c r="B534" t="s">
        <v>9</v>
      </c>
      <c r="F534" t="s">
        <v>15</v>
      </c>
      <c r="G534" t="s">
        <v>17</v>
      </c>
    </row>
    <row r="535" spans="1:7">
      <c r="A535" s="1">
        <f>HYPERLINK("https://cms.ls-nyc.org/matter/dynamic-profile/view/1891847","19-1891847")</f>
        <v>0</v>
      </c>
      <c r="B535" t="s">
        <v>10</v>
      </c>
      <c r="G535" t="s">
        <v>16</v>
      </c>
    </row>
    <row r="536" spans="1:7">
      <c r="A536" s="1">
        <f>HYPERLINK("https://cms.ls-nyc.org/matter/dynamic-profile/view/1875885","18-1875885")</f>
        <v>0</v>
      </c>
      <c r="B536" t="s">
        <v>7</v>
      </c>
      <c r="G536" t="s">
        <v>16</v>
      </c>
    </row>
    <row r="537" spans="1:7">
      <c r="A537" s="1">
        <f>HYPERLINK("https://cms.ls-nyc.org/matter/dynamic-profile/view/1880227","18-1880227")</f>
        <v>0</v>
      </c>
      <c r="B537" t="s">
        <v>9</v>
      </c>
      <c r="G537" t="s">
        <v>16</v>
      </c>
    </row>
    <row r="538" spans="1:7">
      <c r="A538" s="1">
        <f>HYPERLINK("https://cms.ls-nyc.org/matter/dynamic-profile/view/1879115","18-1879115")</f>
        <v>0</v>
      </c>
      <c r="B538" t="s">
        <v>9</v>
      </c>
      <c r="G538" t="s">
        <v>16</v>
      </c>
    </row>
    <row r="539" spans="1:7">
      <c r="A539" s="1">
        <f>HYPERLINK("https://cms.ls-nyc.org/matter/dynamic-profile/view/1880379","18-1880379")</f>
        <v>0</v>
      </c>
      <c r="B539" t="s">
        <v>8</v>
      </c>
      <c r="G539" t="s">
        <v>16</v>
      </c>
    </row>
    <row r="540" spans="1:7">
      <c r="A540" s="1">
        <f>HYPERLINK("https://cms.ls-nyc.org/matter/dynamic-profile/view/1883573","18-1883573")</f>
        <v>0</v>
      </c>
      <c r="B540" t="s">
        <v>8</v>
      </c>
      <c r="G540" t="s">
        <v>16</v>
      </c>
    </row>
    <row r="541" spans="1:7">
      <c r="A541" s="1">
        <f>HYPERLINK("https://cms.ls-nyc.org/matter/dynamic-profile/view/1876450","18-1876450")</f>
        <v>0</v>
      </c>
      <c r="B541" t="s">
        <v>9</v>
      </c>
      <c r="G541" t="s">
        <v>16</v>
      </c>
    </row>
    <row r="542" spans="1:7">
      <c r="A542" s="1">
        <f>HYPERLINK("https://cms.ls-nyc.org/matter/dynamic-profile/view/1872683","18-1872683")</f>
        <v>0</v>
      </c>
      <c r="B542" t="s">
        <v>9</v>
      </c>
      <c r="G542" t="s">
        <v>16</v>
      </c>
    </row>
    <row r="543" spans="1:7">
      <c r="A543" s="1">
        <f>HYPERLINK("https://cms.ls-nyc.org/matter/dynamic-profile/view/1893537","19-1893537")</f>
        <v>0</v>
      </c>
      <c r="B543" t="s">
        <v>7</v>
      </c>
      <c r="G543" t="s">
        <v>16</v>
      </c>
    </row>
    <row r="544" spans="1:7">
      <c r="A544" s="1">
        <f>HYPERLINK("https://cms.ls-nyc.org/matter/dynamic-profile/view/1879919","18-1879919")</f>
        <v>0</v>
      </c>
      <c r="B544" t="s">
        <v>9</v>
      </c>
      <c r="G544" t="s">
        <v>16</v>
      </c>
    </row>
    <row r="545" spans="1:7">
      <c r="A545" s="1">
        <f>HYPERLINK("https://cms.ls-nyc.org/matter/dynamic-profile/view/1889811","19-1889811")</f>
        <v>0</v>
      </c>
      <c r="B545" t="s">
        <v>9</v>
      </c>
      <c r="G545" t="s">
        <v>16</v>
      </c>
    </row>
    <row r="546" spans="1:7">
      <c r="A546" s="1">
        <f>HYPERLINK("https://cms.ls-nyc.org/matter/dynamic-profile/view/1871691","18-1871691")</f>
        <v>0</v>
      </c>
      <c r="B546" t="s">
        <v>8</v>
      </c>
      <c r="G546" t="s">
        <v>16</v>
      </c>
    </row>
    <row r="547" spans="1:7">
      <c r="A547" s="1">
        <f>HYPERLINK("https://cms.ls-nyc.org/matter/dynamic-profile/view/1869957","18-1869957")</f>
        <v>0</v>
      </c>
      <c r="B547" t="s">
        <v>9</v>
      </c>
      <c r="G547" t="s">
        <v>16</v>
      </c>
    </row>
    <row r="548" spans="1:7">
      <c r="A548" s="1">
        <f>HYPERLINK("https://cms.ls-nyc.org/matter/dynamic-profile/view/1893549","19-1893549")</f>
        <v>0</v>
      </c>
      <c r="B548" t="s">
        <v>8</v>
      </c>
      <c r="G548" t="s">
        <v>16</v>
      </c>
    </row>
    <row r="549" spans="1:7">
      <c r="A549" s="1">
        <f>HYPERLINK("https://cms.ls-nyc.org/matter/dynamic-profile/view/0802155","16-0802155")</f>
        <v>0</v>
      </c>
      <c r="B549" t="s">
        <v>9</v>
      </c>
      <c r="D549" t="s">
        <v>13</v>
      </c>
      <c r="G549" t="s">
        <v>17</v>
      </c>
    </row>
    <row r="550" spans="1:7">
      <c r="A550" s="1">
        <f>HYPERLINK("https://cms.ls-nyc.org/matter/dynamic-profile/view/1893706","19-1893706")</f>
        <v>0</v>
      </c>
      <c r="B550" t="s">
        <v>10</v>
      </c>
      <c r="F550" t="s">
        <v>15</v>
      </c>
      <c r="G550" t="s">
        <v>17</v>
      </c>
    </row>
    <row r="551" spans="1:7">
      <c r="A551" s="1">
        <f>HYPERLINK("https://cms.ls-nyc.org/matter/dynamic-profile/view/1882131","18-1882131")</f>
        <v>0</v>
      </c>
      <c r="B551" t="s">
        <v>9</v>
      </c>
      <c r="G551" t="s">
        <v>16</v>
      </c>
    </row>
    <row r="552" spans="1:7">
      <c r="A552" s="1">
        <f>HYPERLINK("https://cms.ls-nyc.org/matter/dynamic-profile/view/1877020","18-1877020")</f>
        <v>0</v>
      </c>
      <c r="B552" t="s">
        <v>11</v>
      </c>
      <c r="G552" t="s">
        <v>16</v>
      </c>
    </row>
    <row r="553" spans="1:7">
      <c r="A553" s="1">
        <f>HYPERLINK("https://cms.ls-nyc.org/matter/dynamic-profile/view/1885460","18-1885460")</f>
        <v>0</v>
      </c>
      <c r="B553" t="s">
        <v>8</v>
      </c>
      <c r="G553" t="s">
        <v>16</v>
      </c>
    </row>
    <row r="554" spans="1:7">
      <c r="A554" s="1">
        <f>HYPERLINK("https://cms.ls-nyc.org/matter/dynamic-profile/view/1873178","18-1873178")</f>
        <v>0</v>
      </c>
      <c r="B554" t="s">
        <v>11</v>
      </c>
      <c r="G554" t="s">
        <v>16</v>
      </c>
    </row>
    <row r="555" spans="1:7">
      <c r="A555" s="1">
        <f>HYPERLINK("https://cms.ls-nyc.org/matter/dynamic-profile/view/1878127","18-1878127")</f>
        <v>0</v>
      </c>
      <c r="B555" t="s">
        <v>9</v>
      </c>
      <c r="G555" t="s">
        <v>16</v>
      </c>
    </row>
    <row r="556" spans="1:7">
      <c r="A556" s="1">
        <f>HYPERLINK("https://cms.ls-nyc.org/matter/dynamic-profile/view/1891035","19-1891035")</f>
        <v>0</v>
      </c>
      <c r="B556" t="s">
        <v>9</v>
      </c>
      <c r="F556" t="s">
        <v>15</v>
      </c>
      <c r="G556" t="s">
        <v>17</v>
      </c>
    </row>
    <row r="557" spans="1:7">
      <c r="A557" s="1">
        <f>HYPERLINK("https://cms.ls-nyc.org/matter/dynamic-profile/view/1871738","18-1871738")</f>
        <v>0</v>
      </c>
      <c r="B557" t="s">
        <v>8</v>
      </c>
      <c r="G557" t="s">
        <v>16</v>
      </c>
    </row>
    <row r="558" spans="1:7">
      <c r="A558" s="1">
        <f>HYPERLINK("https://cms.ls-nyc.org/matter/dynamic-profile/view/1897622","19-1897622")</f>
        <v>0</v>
      </c>
      <c r="B558" t="s">
        <v>11</v>
      </c>
      <c r="G558" t="s">
        <v>16</v>
      </c>
    </row>
    <row r="559" spans="1:7">
      <c r="A559" s="1">
        <f>HYPERLINK("https://cms.ls-nyc.org/matter/dynamic-profile/view/1897652","19-1897652")</f>
        <v>0</v>
      </c>
      <c r="B559" t="s">
        <v>11</v>
      </c>
      <c r="G559" t="s">
        <v>16</v>
      </c>
    </row>
    <row r="560" spans="1:7">
      <c r="A560" s="1">
        <f>HYPERLINK("https://cms.ls-nyc.org/matter/dynamic-profile/view/1897636","19-1897636")</f>
        <v>0</v>
      </c>
      <c r="B560" t="s">
        <v>11</v>
      </c>
      <c r="G560" t="s">
        <v>16</v>
      </c>
    </row>
    <row r="561" spans="1:7">
      <c r="A561" s="1">
        <f>HYPERLINK("https://cms.ls-nyc.org/matter/dynamic-profile/view/1881893","18-1881893")</f>
        <v>0</v>
      </c>
      <c r="B561" t="s">
        <v>7</v>
      </c>
      <c r="G561" t="s">
        <v>16</v>
      </c>
    </row>
    <row r="562" spans="1:7">
      <c r="A562" s="1">
        <f>HYPERLINK("https://cms.ls-nyc.org/matter/dynamic-profile/view/1886330","18-1886330")</f>
        <v>0</v>
      </c>
      <c r="B562" t="s">
        <v>8</v>
      </c>
      <c r="G562" t="s">
        <v>16</v>
      </c>
    </row>
    <row r="563" spans="1:7">
      <c r="A563" s="1">
        <f>HYPERLINK("https://cms.ls-nyc.org/matter/dynamic-profile/view/1889318","19-1889318")</f>
        <v>0</v>
      </c>
      <c r="B563" t="s">
        <v>8</v>
      </c>
      <c r="G563" t="s">
        <v>16</v>
      </c>
    </row>
    <row r="564" spans="1:7">
      <c r="A564" s="1">
        <f>HYPERLINK("https://cms.ls-nyc.org/matter/dynamic-profile/view/1898849","19-1898849")</f>
        <v>0</v>
      </c>
      <c r="B564" t="s">
        <v>9</v>
      </c>
      <c r="G564" t="s">
        <v>16</v>
      </c>
    </row>
    <row r="565" spans="1:7">
      <c r="A565" s="1">
        <f>HYPERLINK("https://cms.ls-nyc.org/matter/dynamic-profile/view/1878493","18-1878493")</f>
        <v>0</v>
      </c>
      <c r="B565" t="s">
        <v>10</v>
      </c>
      <c r="G565" t="s">
        <v>16</v>
      </c>
    </row>
    <row r="566" spans="1:7">
      <c r="A566" s="1">
        <f>HYPERLINK("https://cms.ls-nyc.org/matter/dynamic-profile/view/1882546","18-1882546")</f>
        <v>0</v>
      </c>
      <c r="B566" t="s">
        <v>11</v>
      </c>
      <c r="G566" t="s">
        <v>16</v>
      </c>
    </row>
    <row r="567" spans="1:7">
      <c r="A567" s="1">
        <f>HYPERLINK("https://cms.ls-nyc.org/matter/dynamic-profile/view/1883688","18-1883688")</f>
        <v>0</v>
      </c>
      <c r="B567" t="s">
        <v>10</v>
      </c>
      <c r="G567" t="s">
        <v>16</v>
      </c>
    </row>
    <row r="568" spans="1:7">
      <c r="A568" s="1">
        <f>HYPERLINK("https://cms.ls-nyc.org/matter/dynamic-profile/view/1882032","18-1882032")</f>
        <v>0</v>
      </c>
      <c r="B568" t="s">
        <v>9</v>
      </c>
      <c r="F568" t="s">
        <v>15</v>
      </c>
      <c r="G568" t="s">
        <v>17</v>
      </c>
    </row>
    <row r="569" spans="1:7">
      <c r="A569" s="1">
        <f>HYPERLINK("https://cms.ls-nyc.org/matter/dynamic-profile/view/1880493","18-1880493")</f>
        <v>0</v>
      </c>
      <c r="B569" t="s">
        <v>9</v>
      </c>
      <c r="G569" t="s">
        <v>16</v>
      </c>
    </row>
    <row r="570" spans="1:7">
      <c r="A570" s="1">
        <f>HYPERLINK("https://cms.ls-nyc.org/matter/dynamic-profile/view/1880507","18-1880507")</f>
        <v>0</v>
      </c>
      <c r="B570" t="s">
        <v>9</v>
      </c>
      <c r="G570" t="s">
        <v>16</v>
      </c>
    </row>
    <row r="571" spans="1:7">
      <c r="A571" s="1">
        <f>HYPERLINK("https://cms.ls-nyc.org/matter/dynamic-profile/view/1878640","18-1878640")</f>
        <v>0</v>
      </c>
      <c r="B571" t="s">
        <v>7</v>
      </c>
      <c r="G571" t="s">
        <v>16</v>
      </c>
    </row>
    <row r="572" spans="1:7">
      <c r="A572" s="1">
        <f>HYPERLINK("https://cms.ls-nyc.org/matter/dynamic-profile/view/1881365","18-1881365")</f>
        <v>0</v>
      </c>
      <c r="B572" t="s">
        <v>11</v>
      </c>
      <c r="G572" t="s">
        <v>16</v>
      </c>
    </row>
    <row r="573" spans="1:7">
      <c r="A573" s="1">
        <f>HYPERLINK("https://cms.ls-nyc.org/matter/dynamic-profile/view/1877277","18-1877277")</f>
        <v>0</v>
      </c>
      <c r="B573" t="s">
        <v>8</v>
      </c>
      <c r="F573" t="s">
        <v>15</v>
      </c>
      <c r="G573" t="s">
        <v>17</v>
      </c>
    </row>
    <row r="574" spans="1:7">
      <c r="A574" s="1">
        <f>HYPERLINK("https://cms.ls-nyc.org/matter/dynamic-profile/view/1863302","18-1863302")</f>
        <v>0</v>
      </c>
      <c r="B574" t="s">
        <v>8</v>
      </c>
      <c r="G574" t="s">
        <v>16</v>
      </c>
    </row>
    <row r="575" spans="1:7">
      <c r="A575" s="1">
        <f>HYPERLINK("https://cms.ls-nyc.org/matter/dynamic-profile/view/1882817","18-1882817")</f>
        <v>0</v>
      </c>
      <c r="B575" t="s">
        <v>8</v>
      </c>
      <c r="G575" t="s">
        <v>16</v>
      </c>
    </row>
    <row r="576" spans="1:7">
      <c r="A576" s="1">
        <f>HYPERLINK("https://cms.ls-nyc.org/matter/dynamic-profile/view/1874668","18-1874668")</f>
        <v>0</v>
      </c>
      <c r="B576" t="s">
        <v>9</v>
      </c>
      <c r="G576" t="s">
        <v>16</v>
      </c>
    </row>
    <row r="577" spans="1:7">
      <c r="A577" s="1">
        <f>HYPERLINK("https://cms.ls-nyc.org/matter/dynamic-profile/view/1880512","18-1880512")</f>
        <v>0</v>
      </c>
      <c r="B577" t="s">
        <v>11</v>
      </c>
      <c r="G577" t="s">
        <v>16</v>
      </c>
    </row>
    <row r="578" spans="1:7">
      <c r="A578" s="1">
        <f>HYPERLINK("https://cms.ls-nyc.org/matter/dynamic-profile/view/1900209","19-1900209")</f>
        <v>0</v>
      </c>
      <c r="B578" t="s">
        <v>7</v>
      </c>
      <c r="G578" t="s">
        <v>16</v>
      </c>
    </row>
    <row r="579" spans="1:7">
      <c r="A579" s="1">
        <f>HYPERLINK("https://cms.ls-nyc.org/matter/dynamic-profile/view/1894805","19-1894805")</f>
        <v>0</v>
      </c>
      <c r="B579" t="s">
        <v>8</v>
      </c>
      <c r="G579" t="s">
        <v>16</v>
      </c>
    </row>
    <row r="580" spans="1:7">
      <c r="A580" s="1">
        <f>HYPERLINK("https://cms.ls-nyc.org/matter/dynamic-profile/view/1899554","19-1899554")</f>
        <v>0</v>
      </c>
      <c r="B580" t="s">
        <v>8</v>
      </c>
      <c r="G580" t="s">
        <v>16</v>
      </c>
    </row>
    <row r="581" spans="1:7">
      <c r="A581" s="1">
        <f>HYPERLINK("https://cms.ls-nyc.org/matter/dynamic-profile/view/1890801","19-1890801")</f>
        <v>0</v>
      </c>
      <c r="B581" t="s">
        <v>9</v>
      </c>
      <c r="G581" t="s">
        <v>16</v>
      </c>
    </row>
    <row r="582" spans="1:7">
      <c r="A582" s="1">
        <f>HYPERLINK("https://cms.ls-nyc.org/matter/dynamic-profile/view/1890793","19-1890793")</f>
        <v>0</v>
      </c>
      <c r="B582" t="s">
        <v>9</v>
      </c>
      <c r="G582" t="s">
        <v>16</v>
      </c>
    </row>
    <row r="583" spans="1:7">
      <c r="A583" s="1">
        <f>HYPERLINK("https://cms.ls-nyc.org/matter/dynamic-profile/view/1889000","19-1889000")</f>
        <v>0</v>
      </c>
      <c r="B583" t="s">
        <v>9</v>
      </c>
      <c r="G583" t="s">
        <v>16</v>
      </c>
    </row>
    <row r="584" spans="1:7">
      <c r="A584" s="1">
        <f>HYPERLINK("https://cms.ls-nyc.org/matter/dynamic-profile/view/1874194","18-1874194")</f>
        <v>0</v>
      </c>
      <c r="B584" t="s">
        <v>11</v>
      </c>
      <c r="G584" t="s">
        <v>16</v>
      </c>
    </row>
    <row r="585" spans="1:7">
      <c r="A585" s="1">
        <f>HYPERLINK("https://cms.ls-nyc.org/matter/dynamic-profile/view/1895955","19-1895955")</f>
        <v>0</v>
      </c>
      <c r="B585" t="s">
        <v>7</v>
      </c>
      <c r="G585" t="s">
        <v>16</v>
      </c>
    </row>
    <row r="586" spans="1:7">
      <c r="A586" s="1">
        <f>HYPERLINK("https://cms.ls-nyc.org/matter/dynamic-profile/view/1873404","18-1873404")</f>
        <v>0</v>
      </c>
      <c r="B586" t="s">
        <v>10</v>
      </c>
      <c r="G586" t="s">
        <v>16</v>
      </c>
    </row>
    <row r="587" spans="1:7">
      <c r="A587" s="1">
        <f>HYPERLINK("https://cms.ls-nyc.org/matter/dynamic-profile/view/1887510","19-1887510")</f>
        <v>0</v>
      </c>
      <c r="B587" t="s">
        <v>11</v>
      </c>
      <c r="G587" t="s">
        <v>16</v>
      </c>
    </row>
    <row r="588" spans="1:7">
      <c r="A588" s="1">
        <f>HYPERLINK("https://cms.ls-nyc.org/matter/dynamic-profile/view/1890543","19-1890543")</f>
        <v>0</v>
      </c>
      <c r="B588" t="s">
        <v>8</v>
      </c>
      <c r="E588" t="s">
        <v>14</v>
      </c>
      <c r="F588" t="s">
        <v>15</v>
      </c>
      <c r="G588" t="s">
        <v>17</v>
      </c>
    </row>
    <row r="589" spans="1:7">
      <c r="A589" s="1">
        <f>HYPERLINK("https://cms.ls-nyc.org/matter/dynamic-profile/view/1891478","19-1891478")</f>
        <v>0</v>
      </c>
      <c r="B589" t="s">
        <v>8</v>
      </c>
      <c r="E589" t="s">
        <v>14</v>
      </c>
      <c r="F589" t="s">
        <v>15</v>
      </c>
      <c r="G589" t="s">
        <v>17</v>
      </c>
    </row>
    <row r="590" spans="1:7">
      <c r="A590" s="1">
        <f>HYPERLINK("https://cms.ls-nyc.org/matter/dynamic-profile/view/1898784","19-1898784")</f>
        <v>0</v>
      </c>
      <c r="B590" t="s">
        <v>7</v>
      </c>
      <c r="G590" t="s">
        <v>16</v>
      </c>
    </row>
    <row r="591" spans="1:7">
      <c r="A591" s="1">
        <f>HYPERLINK("https://cms.ls-nyc.org/matter/dynamic-profile/view/1884520","18-1884520")</f>
        <v>0</v>
      </c>
      <c r="B591" t="s">
        <v>9</v>
      </c>
      <c r="F591" t="s">
        <v>15</v>
      </c>
      <c r="G591" t="s">
        <v>17</v>
      </c>
    </row>
    <row r="592" spans="1:7">
      <c r="A592" s="1">
        <f>HYPERLINK("https://cms.ls-nyc.org/matter/dynamic-profile/view/1885681","18-1885681")</f>
        <v>0</v>
      </c>
      <c r="B592" t="s">
        <v>9</v>
      </c>
      <c r="G592" t="s">
        <v>16</v>
      </c>
    </row>
    <row r="593" spans="1:7">
      <c r="A593" s="1">
        <f>HYPERLINK("https://cms.ls-nyc.org/matter/dynamic-profile/view/1874691","18-1874691")</f>
        <v>0</v>
      </c>
      <c r="B593" t="s">
        <v>8</v>
      </c>
      <c r="G593" t="s">
        <v>16</v>
      </c>
    </row>
    <row r="594" spans="1:7">
      <c r="A594" s="1">
        <f>HYPERLINK("https://cms.ls-nyc.org/matter/dynamic-profile/view/1866254","18-1866254")</f>
        <v>0</v>
      </c>
      <c r="B594" t="s">
        <v>9</v>
      </c>
      <c r="G594" t="s">
        <v>16</v>
      </c>
    </row>
    <row r="595" spans="1:7">
      <c r="A595" s="1">
        <f>HYPERLINK("https://cms.ls-nyc.org/matter/dynamic-profile/view/1873284","18-1873284")</f>
        <v>0</v>
      </c>
      <c r="B595" t="s">
        <v>7</v>
      </c>
      <c r="G595" t="s">
        <v>16</v>
      </c>
    </row>
    <row r="596" spans="1:7">
      <c r="A596" s="1">
        <f>HYPERLINK("https://cms.ls-nyc.org/matter/dynamic-profile/view/1887903","19-1887903")</f>
        <v>0</v>
      </c>
      <c r="B596" t="s">
        <v>8</v>
      </c>
      <c r="G596" t="s">
        <v>16</v>
      </c>
    </row>
    <row r="597" spans="1:7">
      <c r="A597" s="1">
        <f>HYPERLINK("https://cms.ls-nyc.org/matter/dynamic-profile/view/1887898","19-1887898")</f>
        <v>0</v>
      </c>
      <c r="B597" t="s">
        <v>8</v>
      </c>
      <c r="G597" t="s">
        <v>16</v>
      </c>
    </row>
    <row r="598" spans="1:7">
      <c r="A598" s="1">
        <f>HYPERLINK("https://cms.ls-nyc.org/matter/dynamic-profile/view/1885563","18-1885563")</f>
        <v>0</v>
      </c>
      <c r="B598" t="s">
        <v>7</v>
      </c>
      <c r="G598" t="s">
        <v>16</v>
      </c>
    </row>
    <row r="599" spans="1:7">
      <c r="A599" s="1">
        <f>HYPERLINK("https://cms.ls-nyc.org/matter/dynamic-profile/view/1882090","18-1882090")</f>
        <v>0</v>
      </c>
      <c r="B599" t="s">
        <v>9</v>
      </c>
      <c r="G599" t="s">
        <v>16</v>
      </c>
    </row>
    <row r="600" spans="1:7">
      <c r="A600" s="1">
        <f>HYPERLINK("https://cms.ls-nyc.org/matter/dynamic-profile/view/1883391","18-1883391")</f>
        <v>0</v>
      </c>
      <c r="B600" t="s">
        <v>9</v>
      </c>
      <c r="G600" t="s">
        <v>16</v>
      </c>
    </row>
    <row r="601" spans="1:7">
      <c r="A601" s="1">
        <f>HYPERLINK("https://cms.ls-nyc.org/matter/dynamic-profile/view/1877303","18-1877303")</f>
        <v>0</v>
      </c>
      <c r="B601" t="s">
        <v>10</v>
      </c>
      <c r="G601" t="s">
        <v>16</v>
      </c>
    </row>
    <row r="602" spans="1:7">
      <c r="A602" s="1">
        <f>HYPERLINK("https://cms.ls-nyc.org/matter/dynamic-profile/view/1881236","18-1881236")</f>
        <v>0</v>
      </c>
      <c r="B602" t="s">
        <v>8</v>
      </c>
      <c r="C602" t="s">
        <v>12</v>
      </c>
      <c r="E602" t="s">
        <v>14</v>
      </c>
      <c r="G602" t="s">
        <v>17</v>
      </c>
    </row>
    <row r="603" spans="1:7">
      <c r="A603" s="1">
        <f>HYPERLINK("https://cms.ls-nyc.org/matter/dynamic-profile/view/1882115","18-1882115")</f>
        <v>0</v>
      </c>
      <c r="B603" t="s">
        <v>9</v>
      </c>
      <c r="G603" t="s">
        <v>16</v>
      </c>
    </row>
    <row r="604" spans="1:7">
      <c r="A604" s="1">
        <f>HYPERLINK("https://cms.ls-nyc.org/matter/dynamic-profile/view/1871979","18-1871979")</f>
        <v>0</v>
      </c>
      <c r="B604" t="s">
        <v>8</v>
      </c>
      <c r="G604" t="s">
        <v>16</v>
      </c>
    </row>
    <row r="605" spans="1:7">
      <c r="A605" s="1">
        <f>HYPERLINK("https://cms.ls-nyc.org/matter/dynamic-profile/view/1886699","18-1886699")</f>
        <v>0</v>
      </c>
      <c r="B605" t="s">
        <v>9</v>
      </c>
      <c r="G605" t="s">
        <v>16</v>
      </c>
    </row>
    <row r="606" spans="1:7">
      <c r="A606" s="1">
        <f>HYPERLINK("https://cms.ls-nyc.org/matter/dynamic-profile/view/1873154","18-1873154")</f>
        <v>0</v>
      </c>
      <c r="B606" t="s">
        <v>10</v>
      </c>
      <c r="G606" t="s">
        <v>16</v>
      </c>
    </row>
    <row r="607" spans="1:7">
      <c r="A607" s="1">
        <f>HYPERLINK("https://cms.ls-nyc.org/matter/dynamic-profile/view/1880059","18-1880059")</f>
        <v>0</v>
      </c>
      <c r="B607" t="s">
        <v>8</v>
      </c>
      <c r="C607" t="s">
        <v>12</v>
      </c>
      <c r="E607" t="s">
        <v>14</v>
      </c>
      <c r="F607" t="s">
        <v>15</v>
      </c>
      <c r="G607" t="s">
        <v>17</v>
      </c>
    </row>
    <row r="608" spans="1:7">
      <c r="A608" s="1">
        <f>HYPERLINK("https://cms.ls-nyc.org/matter/dynamic-profile/view/1880062","18-1880062")</f>
        <v>0</v>
      </c>
      <c r="B608" t="s">
        <v>8</v>
      </c>
      <c r="C608" t="s">
        <v>12</v>
      </c>
      <c r="E608" t="s">
        <v>14</v>
      </c>
      <c r="F608" t="s">
        <v>15</v>
      </c>
      <c r="G608" t="s">
        <v>17</v>
      </c>
    </row>
    <row r="609" spans="1:7">
      <c r="A609" s="1">
        <f>HYPERLINK("https://cms.ls-nyc.org/matter/dynamic-profile/view/1880054","18-1880054")</f>
        <v>0</v>
      </c>
      <c r="B609" t="s">
        <v>8</v>
      </c>
      <c r="C609" t="s">
        <v>12</v>
      </c>
      <c r="D609" t="s">
        <v>13</v>
      </c>
      <c r="E609" t="s">
        <v>14</v>
      </c>
      <c r="F609" t="s">
        <v>15</v>
      </c>
      <c r="G609" t="s">
        <v>17</v>
      </c>
    </row>
    <row r="610" spans="1:7">
      <c r="A610" s="1">
        <f>HYPERLINK("https://cms.ls-nyc.org/matter/dynamic-profile/view/1880056","18-1880056")</f>
        <v>0</v>
      </c>
      <c r="B610" t="s">
        <v>8</v>
      </c>
      <c r="C610" t="s">
        <v>12</v>
      </c>
      <c r="E610" t="s">
        <v>14</v>
      </c>
      <c r="F610" t="s">
        <v>15</v>
      </c>
      <c r="G610" t="s">
        <v>17</v>
      </c>
    </row>
    <row r="611" spans="1:7">
      <c r="A611" s="1">
        <f>HYPERLINK("https://cms.ls-nyc.org/matter/dynamic-profile/view/1870091","18-1870091")</f>
        <v>0</v>
      </c>
      <c r="B611" t="s">
        <v>8</v>
      </c>
      <c r="G611" t="s">
        <v>16</v>
      </c>
    </row>
    <row r="612" spans="1:7">
      <c r="A612" s="1">
        <f>HYPERLINK("https://cms.ls-nyc.org/matter/dynamic-profile/view/1880052","18-1880052")</f>
        <v>0</v>
      </c>
      <c r="B612" t="s">
        <v>8</v>
      </c>
      <c r="C612" t="s">
        <v>12</v>
      </c>
      <c r="D612" t="s">
        <v>13</v>
      </c>
      <c r="E612" t="s">
        <v>14</v>
      </c>
      <c r="F612" t="s">
        <v>15</v>
      </c>
      <c r="G612" t="s">
        <v>17</v>
      </c>
    </row>
    <row r="613" spans="1:7">
      <c r="A613" s="1">
        <f>HYPERLINK("https://cms.ls-nyc.org/matter/dynamic-profile/view/1880041","18-1880041")</f>
        <v>0</v>
      </c>
      <c r="B613" t="s">
        <v>8</v>
      </c>
      <c r="C613" t="s">
        <v>12</v>
      </c>
      <c r="E613" t="s">
        <v>14</v>
      </c>
      <c r="F613" t="s">
        <v>15</v>
      </c>
      <c r="G613" t="s">
        <v>17</v>
      </c>
    </row>
    <row r="614" spans="1:7">
      <c r="A614" s="1">
        <f>HYPERLINK("https://cms.ls-nyc.org/matter/dynamic-profile/view/1881669","18-1881669")</f>
        <v>0</v>
      </c>
      <c r="B614" t="s">
        <v>8</v>
      </c>
      <c r="G614" t="s">
        <v>16</v>
      </c>
    </row>
    <row r="615" spans="1:7">
      <c r="A615" s="1">
        <f>HYPERLINK("https://cms.ls-nyc.org/matter/dynamic-profile/view/1881835","18-1881835")</f>
        <v>0</v>
      </c>
      <c r="B615" t="s">
        <v>9</v>
      </c>
      <c r="G615" t="s">
        <v>16</v>
      </c>
    </row>
    <row r="616" spans="1:7">
      <c r="A616" s="1">
        <f>HYPERLINK("https://cms.ls-nyc.org/matter/dynamic-profile/view/1880115","18-1880115")</f>
        <v>0</v>
      </c>
      <c r="B616" t="s">
        <v>11</v>
      </c>
      <c r="C616" t="s">
        <v>12</v>
      </c>
      <c r="F616" t="s">
        <v>15</v>
      </c>
      <c r="G616" t="s">
        <v>17</v>
      </c>
    </row>
    <row r="617" spans="1:7">
      <c r="A617" s="1">
        <f>HYPERLINK("https://cms.ls-nyc.org/matter/dynamic-profile/view/1893887","19-1893887")</f>
        <v>0</v>
      </c>
      <c r="B617" t="s">
        <v>7</v>
      </c>
      <c r="G617" t="s">
        <v>16</v>
      </c>
    </row>
    <row r="618" spans="1:7">
      <c r="A618" s="1">
        <f>HYPERLINK("https://cms.ls-nyc.org/matter/dynamic-profile/view/1894235","19-1894235")</f>
        <v>0</v>
      </c>
      <c r="B618" t="s">
        <v>9</v>
      </c>
      <c r="G618" t="s">
        <v>16</v>
      </c>
    </row>
    <row r="619" spans="1:7">
      <c r="A619" s="1">
        <f>HYPERLINK("https://cms.ls-nyc.org/matter/dynamic-profile/view/1874679","18-1874679")</f>
        <v>0</v>
      </c>
      <c r="B619" t="s">
        <v>11</v>
      </c>
      <c r="F619" t="s">
        <v>15</v>
      </c>
      <c r="G619" t="s">
        <v>17</v>
      </c>
    </row>
    <row r="620" spans="1:7">
      <c r="A620" s="1">
        <f>HYPERLINK("https://cms.ls-nyc.org/matter/dynamic-profile/view/1890012","19-1890012")</f>
        <v>0</v>
      </c>
      <c r="B620" t="s">
        <v>9</v>
      </c>
      <c r="G620" t="s">
        <v>16</v>
      </c>
    </row>
    <row r="621" spans="1:7">
      <c r="A621" s="1">
        <f>HYPERLINK("https://cms.ls-nyc.org/matter/dynamic-profile/view/1890008","19-1890008")</f>
        <v>0</v>
      </c>
      <c r="B621" t="s">
        <v>9</v>
      </c>
      <c r="G621" t="s">
        <v>16</v>
      </c>
    </row>
    <row r="622" spans="1:7">
      <c r="A622" s="1">
        <f>HYPERLINK("https://cms.ls-nyc.org/matter/dynamic-profile/view/1895890","19-1895890")</f>
        <v>0</v>
      </c>
      <c r="B622" t="s">
        <v>7</v>
      </c>
      <c r="G622" t="s">
        <v>16</v>
      </c>
    </row>
    <row r="623" spans="1:7">
      <c r="A623" s="1">
        <f>HYPERLINK("https://cms.ls-nyc.org/matter/dynamic-profile/view/1887194","19-1887194")</f>
        <v>0</v>
      </c>
      <c r="B623" t="s">
        <v>11</v>
      </c>
      <c r="G623" t="s">
        <v>16</v>
      </c>
    </row>
    <row r="624" spans="1:7">
      <c r="A624" s="1">
        <f>HYPERLINK("https://cms.ls-nyc.org/matter/dynamic-profile/view/1885771","18-1885771")</f>
        <v>0</v>
      </c>
      <c r="B624" t="s">
        <v>8</v>
      </c>
      <c r="G624" t="s">
        <v>16</v>
      </c>
    </row>
    <row r="625" spans="1:7">
      <c r="A625" s="1">
        <f>HYPERLINK("https://cms.ls-nyc.org/matter/dynamic-profile/view/1878793","18-1878793")</f>
        <v>0</v>
      </c>
      <c r="B625" t="s">
        <v>7</v>
      </c>
      <c r="G625" t="s">
        <v>16</v>
      </c>
    </row>
    <row r="626" spans="1:7">
      <c r="A626" s="1">
        <f>HYPERLINK("https://cms.ls-nyc.org/matter/dynamic-profile/view/1872089","18-1872089")</f>
        <v>0</v>
      </c>
      <c r="B626" t="s">
        <v>8</v>
      </c>
      <c r="G626" t="s">
        <v>16</v>
      </c>
    </row>
    <row r="627" spans="1:7">
      <c r="A627" s="1">
        <f>HYPERLINK("https://cms.ls-nyc.org/matter/dynamic-profile/view/1875328","18-1875328")</f>
        <v>0</v>
      </c>
      <c r="B627" t="s">
        <v>9</v>
      </c>
      <c r="G627" t="s">
        <v>16</v>
      </c>
    </row>
    <row r="628" spans="1:7">
      <c r="A628" s="1">
        <f>HYPERLINK("https://cms.ls-nyc.org/matter/dynamic-profile/view/1886182","18-1886182")</f>
        <v>0</v>
      </c>
      <c r="B628" t="s">
        <v>11</v>
      </c>
      <c r="G628" t="s">
        <v>16</v>
      </c>
    </row>
    <row r="629" spans="1:7">
      <c r="A629" s="1">
        <f>HYPERLINK("https://cms.ls-nyc.org/matter/dynamic-profile/view/1876678","18-1876678")</f>
        <v>0</v>
      </c>
      <c r="B629" t="s">
        <v>9</v>
      </c>
      <c r="G629" t="s">
        <v>16</v>
      </c>
    </row>
    <row r="630" spans="1:7">
      <c r="A630" s="1">
        <f>HYPERLINK("https://cms.ls-nyc.org/matter/dynamic-profile/view/1886112","18-1886112")</f>
        <v>0</v>
      </c>
      <c r="B630" t="s">
        <v>9</v>
      </c>
      <c r="G630" t="s">
        <v>16</v>
      </c>
    </row>
    <row r="631" spans="1:7">
      <c r="A631" s="1">
        <f>HYPERLINK("https://cms.ls-nyc.org/matter/dynamic-profile/view/1876670","18-1876670")</f>
        <v>0</v>
      </c>
      <c r="B631" t="s">
        <v>9</v>
      </c>
      <c r="G631" t="s">
        <v>16</v>
      </c>
    </row>
    <row r="632" spans="1:7">
      <c r="A632" s="1">
        <f>HYPERLINK("https://cms.ls-nyc.org/matter/dynamic-profile/view/1890403","19-1890403")</f>
        <v>0</v>
      </c>
      <c r="B632" t="s">
        <v>11</v>
      </c>
      <c r="G632" t="s">
        <v>16</v>
      </c>
    </row>
    <row r="633" spans="1:7">
      <c r="A633" s="1">
        <f>HYPERLINK("https://cms.ls-nyc.org/matter/dynamic-profile/view/1884722","18-1884722")</f>
        <v>0</v>
      </c>
      <c r="B633" t="s">
        <v>9</v>
      </c>
      <c r="G633" t="s">
        <v>16</v>
      </c>
    </row>
    <row r="634" spans="1:7">
      <c r="A634" s="1">
        <f>HYPERLINK("https://cms.ls-nyc.org/matter/dynamic-profile/view/1898843","19-1898843")</f>
        <v>0</v>
      </c>
      <c r="B634" t="s">
        <v>11</v>
      </c>
      <c r="G634" t="s">
        <v>16</v>
      </c>
    </row>
    <row r="635" spans="1:7">
      <c r="A635" s="1">
        <f>HYPERLINK("https://cms.ls-nyc.org/matter/dynamic-profile/view/1898251","19-1898251")</f>
        <v>0</v>
      </c>
      <c r="B635" t="s">
        <v>8</v>
      </c>
      <c r="E635" t="s">
        <v>14</v>
      </c>
      <c r="F635" t="s">
        <v>15</v>
      </c>
      <c r="G635" t="s">
        <v>17</v>
      </c>
    </row>
    <row r="636" spans="1:7">
      <c r="A636" s="1">
        <f>HYPERLINK("https://cms.ls-nyc.org/matter/dynamic-profile/view/1898252","19-1898252")</f>
        <v>0</v>
      </c>
      <c r="B636" t="s">
        <v>8</v>
      </c>
      <c r="E636" t="s">
        <v>14</v>
      </c>
      <c r="F636" t="s">
        <v>15</v>
      </c>
      <c r="G636" t="s">
        <v>17</v>
      </c>
    </row>
    <row r="637" spans="1:7">
      <c r="A637" s="1">
        <f>HYPERLINK("https://cms.ls-nyc.org/matter/dynamic-profile/view/1880580","18-1880580")</f>
        <v>0</v>
      </c>
      <c r="B637" t="s">
        <v>9</v>
      </c>
      <c r="G637" t="s">
        <v>16</v>
      </c>
    </row>
    <row r="638" spans="1:7">
      <c r="A638" s="1">
        <f>HYPERLINK("https://cms.ls-nyc.org/matter/dynamic-profile/view/1896412","19-1896412")</f>
        <v>0</v>
      </c>
      <c r="B638" t="s">
        <v>10</v>
      </c>
      <c r="G638" t="s">
        <v>16</v>
      </c>
    </row>
    <row r="639" spans="1:7">
      <c r="A639" s="1">
        <f>HYPERLINK("https://cms.ls-nyc.org/matter/dynamic-profile/view/1873216","18-1873216")</f>
        <v>0</v>
      </c>
      <c r="B639" t="s">
        <v>11</v>
      </c>
      <c r="G639" t="s">
        <v>16</v>
      </c>
    </row>
    <row r="640" spans="1:7">
      <c r="A640" s="1">
        <f>HYPERLINK("https://cms.ls-nyc.org/matter/dynamic-profile/view/1871602","18-1871602")</f>
        <v>0</v>
      </c>
      <c r="B640" t="s">
        <v>9</v>
      </c>
      <c r="G640" t="s">
        <v>16</v>
      </c>
    </row>
    <row r="641" spans="1:7">
      <c r="A641" s="1">
        <f>HYPERLINK("https://cms.ls-nyc.org/matter/dynamic-profile/view/1890532","19-1890532")</f>
        <v>0</v>
      </c>
      <c r="B641" t="s">
        <v>8</v>
      </c>
      <c r="E641" t="s">
        <v>14</v>
      </c>
      <c r="F641" t="s">
        <v>15</v>
      </c>
      <c r="G641" t="s">
        <v>17</v>
      </c>
    </row>
    <row r="642" spans="1:7">
      <c r="A642" s="1">
        <f>HYPERLINK("https://cms.ls-nyc.org/matter/dynamic-profile/view/1891856","19-1891856")</f>
        <v>0</v>
      </c>
      <c r="B642" t="s">
        <v>8</v>
      </c>
      <c r="E642" t="s">
        <v>14</v>
      </c>
      <c r="F642" t="s">
        <v>15</v>
      </c>
      <c r="G642" t="s">
        <v>17</v>
      </c>
    </row>
    <row r="643" spans="1:7">
      <c r="A643" s="1">
        <f>HYPERLINK("https://cms.ls-nyc.org/matter/dynamic-profile/view/1838759","17-1838759")</f>
        <v>0</v>
      </c>
      <c r="B643" t="s">
        <v>10</v>
      </c>
      <c r="G643" t="s">
        <v>16</v>
      </c>
    </row>
    <row r="644" spans="1:7">
      <c r="A644" s="1">
        <f>HYPERLINK("https://cms.ls-nyc.org/matter/dynamic-profile/view/0830783","17-0830783")</f>
        <v>0</v>
      </c>
      <c r="B644" t="s">
        <v>10</v>
      </c>
      <c r="G644" t="s">
        <v>16</v>
      </c>
    </row>
    <row r="645" spans="1:7">
      <c r="A645" s="1">
        <f>HYPERLINK("https://cms.ls-nyc.org/matter/dynamic-profile/view/1872934","18-1872934")</f>
        <v>0</v>
      </c>
      <c r="B645" t="s">
        <v>8</v>
      </c>
      <c r="G645" t="s">
        <v>16</v>
      </c>
    </row>
    <row r="646" spans="1:7">
      <c r="A646" s="1">
        <f>HYPERLINK("https://cms.ls-nyc.org/matter/dynamic-profile/view/1894374","19-1894374")</f>
        <v>0</v>
      </c>
      <c r="B646" t="s">
        <v>10</v>
      </c>
      <c r="F646" t="s">
        <v>15</v>
      </c>
      <c r="G646" t="s">
        <v>17</v>
      </c>
    </row>
    <row r="647" spans="1:7">
      <c r="A647" s="1">
        <f>HYPERLINK("https://cms.ls-nyc.org/matter/dynamic-profile/view/1895541","19-1895541")</f>
        <v>0</v>
      </c>
      <c r="B647" t="s">
        <v>8</v>
      </c>
      <c r="G647" t="s">
        <v>16</v>
      </c>
    </row>
    <row r="648" spans="1:7">
      <c r="A648" s="1">
        <f>HYPERLINK("https://cms.ls-nyc.org/matter/dynamic-profile/view/1890266","19-1890266")</f>
        <v>0</v>
      </c>
      <c r="B648" t="s">
        <v>9</v>
      </c>
      <c r="G648" t="s">
        <v>16</v>
      </c>
    </row>
    <row r="649" spans="1:7">
      <c r="A649" s="1">
        <f>HYPERLINK("https://cms.ls-nyc.org/matter/dynamic-profile/view/1887329","19-1887329")</f>
        <v>0</v>
      </c>
      <c r="B649" t="s">
        <v>8</v>
      </c>
      <c r="G649" t="s">
        <v>16</v>
      </c>
    </row>
    <row r="650" spans="1:7">
      <c r="A650" s="1">
        <f>HYPERLINK("https://cms.ls-nyc.org/matter/dynamic-profile/view/1880450","18-1880450")</f>
        <v>0</v>
      </c>
      <c r="B650" t="s">
        <v>9</v>
      </c>
      <c r="G650" t="s">
        <v>16</v>
      </c>
    </row>
    <row r="651" spans="1:7">
      <c r="A651" s="1">
        <f>HYPERLINK("https://cms.ls-nyc.org/matter/dynamic-profile/view/1884535","18-1884535")</f>
        <v>0</v>
      </c>
      <c r="B651" t="s">
        <v>9</v>
      </c>
      <c r="G651" t="s">
        <v>16</v>
      </c>
    </row>
    <row r="652" spans="1:7">
      <c r="A652" s="1">
        <f>HYPERLINK("https://cms.ls-nyc.org/matter/dynamic-profile/view/1863486","18-1863486")</f>
        <v>0</v>
      </c>
      <c r="B652" t="s">
        <v>8</v>
      </c>
      <c r="G652" t="s">
        <v>16</v>
      </c>
    </row>
    <row r="653" spans="1:7">
      <c r="A653" s="1">
        <f>HYPERLINK("https://cms.ls-nyc.org/matter/dynamic-profile/view/1879352","18-1879352")</f>
        <v>0</v>
      </c>
      <c r="B653" t="s">
        <v>7</v>
      </c>
      <c r="G653" t="s">
        <v>16</v>
      </c>
    </row>
    <row r="654" spans="1:7">
      <c r="A654" s="1">
        <f>HYPERLINK("https://cms.ls-nyc.org/matter/dynamic-profile/view/1882145","18-1882145")</f>
        <v>0</v>
      </c>
      <c r="B654" t="s">
        <v>11</v>
      </c>
      <c r="G654" t="s">
        <v>16</v>
      </c>
    </row>
    <row r="655" spans="1:7">
      <c r="A655" s="1">
        <f>HYPERLINK("https://cms.ls-nyc.org/matter/dynamic-profile/view/1875618","18-1875618")</f>
        <v>0</v>
      </c>
      <c r="B655" t="s">
        <v>8</v>
      </c>
      <c r="G655" t="s">
        <v>16</v>
      </c>
    </row>
    <row r="656" spans="1:7">
      <c r="A656" s="1">
        <f>HYPERLINK("https://cms.ls-nyc.org/matter/dynamic-profile/view/1885400","18-1885400")</f>
        <v>0</v>
      </c>
      <c r="B656" t="s">
        <v>8</v>
      </c>
      <c r="G656" t="s">
        <v>16</v>
      </c>
    </row>
    <row r="657" spans="1:7">
      <c r="A657" s="1">
        <f>HYPERLINK("https://cms.ls-nyc.org/matter/dynamic-profile/view/1887178","19-1887178")</f>
        <v>0</v>
      </c>
      <c r="B657" t="s">
        <v>9</v>
      </c>
      <c r="G657" t="s">
        <v>16</v>
      </c>
    </row>
    <row r="658" spans="1:7">
      <c r="A658" s="1">
        <f>HYPERLINK("https://cms.ls-nyc.org/matter/dynamic-profile/view/1872836","18-1872836")</f>
        <v>0</v>
      </c>
      <c r="B658" t="s">
        <v>9</v>
      </c>
      <c r="G658" t="s">
        <v>16</v>
      </c>
    </row>
    <row r="659" spans="1:7">
      <c r="A659" s="1">
        <f>HYPERLINK("https://cms.ls-nyc.org/matter/dynamic-profile/view/1893217","19-1893217")</f>
        <v>0</v>
      </c>
      <c r="B659" t="s">
        <v>11</v>
      </c>
      <c r="G659" t="s">
        <v>16</v>
      </c>
    </row>
    <row r="660" spans="1:7">
      <c r="A660" s="1">
        <f>HYPERLINK("https://cms.ls-nyc.org/matter/dynamic-profile/view/1882561","18-1882561")</f>
        <v>0</v>
      </c>
      <c r="B660" t="s">
        <v>8</v>
      </c>
      <c r="G660" t="s">
        <v>16</v>
      </c>
    </row>
    <row r="661" spans="1:7">
      <c r="A661" s="1">
        <f>HYPERLINK("https://cms.ls-nyc.org/matter/dynamic-profile/view/1880858","18-1880858")</f>
        <v>0</v>
      </c>
      <c r="B661" t="s">
        <v>9</v>
      </c>
      <c r="G661" t="s">
        <v>16</v>
      </c>
    </row>
    <row r="662" spans="1:7">
      <c r="A662" s="1">
        <f>HYPERLINK("https://cms.ls-nyc.org/matter/dynamic-profile/view/1879912","18-1879912")</f>
        <v>0</v>
      </c>
      <c r="B662" t="s">
        <v>8</v>
      </c>
      <c r="G662" t="s">
        <v>16</v>
      </c>
    </row>
    <row r="663" spans="1:7">
      <c r="A663" s="1">
        <f>HYPERLINK("https://cms.ls-nyc.org/matter/dynamic-profile/view/1879917","18-1879917")</f>
        <v>0</v>
      </c>
      <c r="B663" t="s">
        <v>8</v>
      </c>
      <c r="G663" t="s">
        <v>16</v>
      </c>
    </row>
    <row r="664" spans="1:7">
      <c r="A664" s="1">
        <f>HYPERLINK("https://cms.ls-nyc.org/matter/dynamic-profile/view/1879904","18-1879904")</f>
        <v>0</v>
      </c>
      <c r="B664" t="s">
        <v>8</v>
      </c>
      <c r="D664" t="s">
        <v>13</v>
      </c>
      <c r="G664" t="s">
        <v>17</v>
      </c>
    </row>
    <row r="665" spans="1:7">
      <c r="A665" s="1">
        <f>HYPERLINK("https://cms.ls-nyc.org/matter/dynamic-profile/view/1879910","18-1879910")</f>
        <v>0</v>
      </c>
      <c r="B665" t="s">
        <v>8</v>
      </c>
      <c r="G665" t="s">
        <v>16</v>
      </c>
    </row>
    <row r="666" spans="1:7">
      <c r="A666" s="1">
        <f>HYPERLINK("https://cms.ls-nyc.org/matter/dynamic-profile/view/1879893","18-1879893")</f>
        <v>0</v>
      </c>
      <c r="B666" t="s">
        <v>8</v>
      </c>
      <c r="G666" t="s">
        <v>16</v>
      </c>
    </row>
    <row r="667" spans="1:7">
      <c r="A667" s="1">
        <f>HYPERLINK("https://cms.ls-nyc.org/matter/dynamic-profile/view/1879900","18-1879900")</f>
        <v>0</v>
      </c>
      <c r="B667" t="s">
        <v>8</v>
      </c>
      <c r="D667" t="s">
        <v>13</v>
      </c>
      <c r="G667" t="s">
        <v>17</v>
      </c>
    </row>
    <row r="668" spans="1:7">
      <c r="A668" s="1">
        <f>HYPERLINK("https://cms.ls-nyc.org/matter/dynamic-profile/view/1868578","18-1868578")</f>
        <v>0</v>
      </c>
      <c r="B668" t="s">
        <v>7</v>
      </c>
      <c r="G668" t="s">
        <v>16</v>
      </c>
    </row>
    <row r="669" spans="1:7">
      <c r="A669" s="1">
        <f>HYPERLINK("https://cms.ls-nyc.org/matter/dynamic-profile/view/1875102","18-1875102")</f>
        <v>0</v>
      </c>
      <c r="B669" t="s">
        <v>7</v>
      </c>
      <c r="G669" t="s">
        <v>16</v>
      </c>
    </row>
    <row r="670" spans="1:7">
      <c r="A670" s="1">
        <f>HYPERLINK("https://cms.ls-nyc.org/matter/dynamic-profile/view/1877592","18-1877592")</f>
        <v>0</v>
      </c>
      <c r="B670" t="s">
        <v>7</v>
      </c>
      <c r="G670" t="s">
        <v>16</v>
      </c>
    </row>
    <row r="671" spans="1:7">
      <c r="A671" s="1">
        <f>HYPERLINK("https://cms.ls-nyc.org/matter/dynamic-profile/view/1874990","18-1874990")</f>
        <v>0</v>
      </c>
      <c r="B671" t="s">
        <v>11</v>
      </c>
      <c r="G671" t="s">
        <v>16</v>
      </c>
    </row>
    <row r="672" spans="1:7">
      <c r="A672" s="1">
        <f>HYPERLINK("https://cms.ls-nyc.org/matter/dynamic-profile/view/1881219","18-1881219")</f>
        <v>0</v>
      </c>
      <c r="B672" t="s">
        <v>11</v>
      </c>
      <c r="G672" t="s">
        <v>16</v>
      </c>
    </row>
    <row r="673" spans="1:7">
      <c r="A673" s="1">
        <f>HYPERLINK("https://cms.ls-nyc.org/matter/dynamic-profile/view/1880865","18-1880865")</f>
        <v>0</v>
      </c>
      <c r="B673" t="s">
        <v>9</v>
      </c>
      <c r="G673" t="s">
        <v>16</v>
      </c>
    </row>
    <row r="674" spans="1:7">
      <c r="A674" s="1">
        <f>HYPERLINK("https://cms.ls-nyc.org/matter/dynamic-profile/view/1890203","19-1890203")</f>
        <v>0</v>
      </c>
      <c r="B674" t="s">
        <v>8</v>
      </c>
      <c r="G674" t="s">
        <v>16</v>
      </c>
    </row>
    <row r="675" spans="1:7">
      <c r="A675" s="1">
        <f>HYPERLINK("https://cms.ls-nyc.org/matter/dynamic-profile/view/1890420","19-1890420")</f>
        <v>0</v>
      </c>
      <c r="B675" t="s">
        <v>9</v>
      </c>
      <c r="G675" t="s">
        <v>16</v>
      </c>
    </row>
    <row r="676" spans="1:7">
      <c r="A676" s="1">
        <f>HYPERLINK("https://cms.ls-nyc.org/matter/dynamic-profile/view/1890415","19-1890415")</f>
        <v>0</v>
      </c>
      <c r="B676" t="s">
        <v>9</v>
      </c>
      <c r="G676" t="s">
        <v>16</v>
      </c>
    </row>
    <row r="677" spans="1:7">
      <c r="A677" s="1">
        <f>HYPERLINK("https://cms.ls-nyc.org/matter/dynamic-profile/view/1878564","18-1878564")</f>
        <v>0</v>
      </c>
      <c r="B677" t="s">
        <v>9</v>
      </c>
      <c r="G677" t="s">
        <v>16</v>
      </c>
    </row>
    <row r="678" spans="1:7">
      <c r="A678" s="1">
        <f>HYPERLINK("https://cms.ls-nyc.org/matter/dynamic-profile/view/1895214","19-1895214")</f>
        <v>0</v>
      </c>
      <c r="B678" t="s">
        <v>8</v>
      </c>
      <c r="G678" t="s">
        <v>16</v>
      </c>
    </row>
    <row r="679" spans="1:7">
      <c r="A679" s="1">
        <f>HYPERLINK("https://cms.ls-nyc.org/matter/dynamic-profile/view/1874758","18-1874758")</f>
        <v>0</v>
      </c>
      <c r="B679" t="s">
        <v>11</v>
      </c>
      <c r="F679" t="s">
        <v>15</v>
      </c>
      <c r="G679" t="s">
        <v>17</v>
      </c>
    </row>
    <row r="680" spans="1:7">
      <c r="A680" s="1">
        <f>HYPERLINK("https://cms.ls-nyc.org/matter/dynamic-profile/view/1884676","18-1884676")</f>
        <v>0</v>
      </c>
      <c r="B680" t="s">
        <v>10</v>
      </c>
      <c r="G680" t="s">
        <v>16</v>
      </c>
    </row>
    <row r="681" spans="1:7">
      <c r="A681" s="1">
        <f>HYPERLINK("https://cms.ls-nyc.org/matter/dynamic-profile/view/1878616","18-1878616")</f>
        <v>0</v>
      </c>
      <c r="B681" t="s">
        <v>8</v>
      </c>
      <c r="G681" t="s">
        <v>16</v>
      </c>
    </row>
    <row r="682" spans="1:7">
      <c r="A682" s="1">
        <f>HYPERLINK("https://cms.ls-nyc.org/matter/dynamic-profile/view/1878934","18-1878934")</f>
        <v>0</v>
      </c>
      <c r="B682" t="s">
        <v>11</v>
      </c>
      <c r="G682" t="s">
        <v>16</v>
      </c>
    </row>
    <row r="683" spans="1:7">
      <c r="A683" s="1">
        <f>HYPERLINK("https://cms.ls-nyc.org/matter/dynamic-profile/view/1887372","19-1887372")</f>
        <v>0</v>
      </c>
      <c r="B683" t="s">
        <v>11</v>
      </c>
      <c r="G683" t="s">
        <v>16</v>
      </c>
    </row>
    <row r="684" spans="1:7">
      <c r="A684" s="1">
        <f>HYPERLINK("https://cms.ls-nyc.org/matter/dynamic-profile/view/1889042","19-1889042")</f>
        <v>0</v>
      </c>
      <c r="B684" t="s">
        <v>11</v>
      </c>
      <c r="G684" t="s">
        <v>16</v>
      </c>
    </row>
    <row r="685" spans="1:7">
      <c r="A685" s="1">
        <f>HYPERLINK("https://cms.ls-nyc.org/matter/dynamic-profile/view/1872107","18-1872107")</f>
        <v>0</v>
      </c>
      <c r="B685" t="s">
        <v>7</v>
      </c>
      <c r="G685" t="s">
        <v>16</v>
      </c>
    </row>
    <row r="686" spans="1:7">
      <c r="A686" s="1">
        <f>HYPERLINK("https://cms.ls-nyc.org/matter/dynamic-profile/view/1890555","19-1890555")</f>
        <v>0</v>
      </c>
      <c r="B686" t="s">
        <v>8</v>
      </c>
      <c r="E686" t="s">
        <v>14</v>
      </c>
      <c r="F686" t="s">
        <v>15</v>
      </c>
      <c r="G686" t="s">
        <v>17</v>
      </c>
    </row>
    <row r="687" spans="1:7">
      <c r="A687" s="1">
        <f>HYPERLINK("https://cms.ls-nyc.org/matter/dynamic-profile/view/1895048","19-1895048")</f>
        <v>0</v>
      </c>
      <c r="B687" t="s">
        <v>10</v>
      </c>
      <c r="G687" t="s">
        <v>16</v>
      </c>
    </row>
    <row r="688" spans="1:7">
      <c r="A688" s="1">
        <f>HYPERLINK("https://cms.ls-nyc.org/matter/dynamic-profile/view/1885321","18-1885321")</f>
        <v>0</v>
      </c>
      <c r="B688" t="s">
        <v>9</v>
      </c>
      <c r="G688" t="s">
        <v>16</v>
      </c>
    </row>
    <row r="689" spans="1:7">
      <c r="A689" s="1">
        <f>HYPERLINK("https://cms.ls-nyc.org/matter/dynamic-profile/view/1875830","18-1875830")</f>
        <v>0</v>
      </c>
      <c r="B689" t="s">
        <v>9</v>
      </c>
      <c r="G689" t="s">
        <v>16</v>
      </c>
    </row>
    <row r="690" spans="1:7">
      <c r="A690" s="1">
        <f>HYPERLINK("https://cms.ls-nyc.org/matter/dynamic-profile/view/1895229","19-1895229")</f>
        <v>0</v>
      </c>
      <c r="B690" t="s">
        <v>7</v>
      </c>
      <c r="G690" t="s">
        <v>16</v>
      </c>
    </row>
    <row r="691" spans="1:7">
      <c r="A691" s="1">
        <f>HYPERLINK("https://cms.ls-nyc.org/matter/dynamic-profile/view/1894728","19-1894728")</f>
        <v>0</v>
      </c>
      <c r="B691" t="s">
        <v>8</v>
      </c>
      <c r="G691" t="s">
        <v>16</v>
      </c>
    </row>
    <row r="692" spans="1:7">
      <c r="A692" s="1">
        <f>HYPERLINK("https://cms.ls-nyc.org/matter/dynamic-profile/view/1899724","19-1899724")</f>
        <v>0</v>
      </c>
      <c r="B692" t="s">
        <v>11</v>
      </c>
      <c r="E692" t="s">
        <v>14</v>
      </c>
      <c r="G692" t="s">
        <v>17</v>
      </c>
    </row>
    <row r="693" spans="1:7">
      <c r="A693" s="1">
        <f>HYPERLINK("https://cms.ls-nyc.org/matter/dynamic-profile/view/1890408","18-1890408")</f>
        <v>0</v>
      </c>
      <c r="B693" t="s">
        <v>9</v>
      </c>
      <c r="G693" t="s">
        <v>16</v>
      </c>
    </row>
    <row r="694" spans="1:7">
      <c r="A694" s="1">
        <f>HYPERLINK("https://cms.ls-nyc.org/matter/dynamic-profile/view/1895185","19-1895185")</f>
        <v>0</v>
      </c>
      <c r="B694" t="s">
        <v>7</v>
      </c>
      <c r="G694" t="s">
        <v>16</v>
      </c>
    </row>
    <row r="695" spans="1:7">
      <c r="A695" s="1">
        <f>HYPERLINK("https://cms.ls-nyc.org/matter/dynamic-profile/view/1873802","18-1873802")</f>
        <v>0</v>
      </c>
      <c r="B695" t="s">
        <v>11</v>
      </c>
      <c r="F695" t="s">
        <v>15</v>
      </c>
      <c r="G695" t="s">
        <v>17</v>
      </c>
    </row>
    <row r="696" spans="1:7">
      <c r="A696" s="1">
        <f>HYPERLINK("https://cms.ls-nyc.org/matter/dynamic-profile/view/1878835","18-1878835")</f>
        <v>0</v>
      </c>
      <c r="B696" t="s">
        <v>8</v>
      </c>
      <c r="G696" t="s">
        <v>16</v>
      </c>
    </row>
    <row r="697" spans="1:7">
      <c r="A697" s="1">
        <f>HYPERLINK("https://cms.ls-nyc.org/matter/dynamic-profile/view/1874078","18-1874078")</f>
        <v>0</v>
      </c>
      <c r="B697" t="s">
        <v>9</v>
      </c>
      <c r="G697" t="s">
        <v>16</v>
      </c>
    </row>
    <row r="698" spans="1:7">
      <c r="A698" s="1">
        <f>HYPERLINK("https://cms.ls-nyc.org/matter/dynamic-profile/view/1895314","19-1895314")</f>
        <v>0</v>
      </c>
      <c r="B698" t="s">
        <v>8</v>
      </c>
      <c r="G698" t="s">
        <v>16</v>
      </c>
    </row>
    <row r="699" spans="1:7">
      <c r="A699" s="1">
        <f>HYPERLINK("https://cms.ls-nyc.org/matter/dynamic-profile/view/1893224","19-1893224")</f>
        <v>0</v>
      </c>
      <c r="B699" t="s">
        <v>10</v>
      </c>
      <c r="G699" t="s">
        <v>16</v>
      </c>
    </row>
    <row r="700" spans="1:7">
      <c r="A700" s="1">
        <f>HYPERLINK("https://cms.ls-nyc.org/matter/dynamic-profile/view/1873138","18-1873138")</f>
        <v>0</v>
      </c>
      <c r="B700" t="s">
        <v>7</v>
      </c>
      <c r="G700" t="s">
        <v>16</v>
      </c>
    </row>
    <row r="701" spans="1:7">
      <c r="A701" s="1">
        <f>HYPERLINK("https://cms.ls-nyc.org/matter/dynamic-profile/view/1874167","18-1874167")</f>
        <v>0</v>
      </c>
      <c r="B701" t="s">
        <v>8</v>
      </c>
      <c r="G701" t="s">
        <v>16</v>
      </c>
    </row>
    <row r="702" spans="1:7">
      <c r="A702" s="1">
        <f>HYPERLINK("https://cms.ls-nyc.org/matter/dynamic-profile/view/1885734","18-1885734")</f>
        <v>0</v>
      </c>
      <c r="B702" t="s">
        <v>8</v>
      </c>
      <c r="G702" t="s">
        <v>16</v>
      </c>
    </row>
    <row r="703" spans="1:7">
      <c r="A703" s="1">
        <f>HYPERLINK("https://cms.ls-nyc.org/matter/dynamic-profile/view/1890691","19-1890691")</f>
        <v>0</v>
      </c>
      <c r="B703" t="s">
        <v>9</v>
      </c>
      <c r="F703" t="s">
        <v>15</v>
      </c>
      <c r="G703" t="s">
        <v>17</v>
      </c>
    </row>
    <row r="704" spans="1:7">
      <c r="A704" s="1">
        <f>HYPERLINK("https://cms.ls-nyc.org/matter/dynamic-profile/view/1883059","18-1883059")</f>
        <v>0</v>
      </c>
      <c r="B704" t="s">
        <v>9</v>
      </c>
      <c r="G704" t="s">
        <v>16</v>
      </c>
    </row>
    <row r="705" spans="1:7">
      <c r="A705" s="1">
        <f>HYPERLINK("https://cms.ls-nyc.org/matter/dynamic-profile/view/1870238","18-1870238")</f>
        <v>0</v>
      </c>
      <c r="B705" t="s">
        <v>9</v>
      </c>
      <c r="G705" t="s">
        <v>16</v>
      </c>
    </row>
    <row r="706" spans="1:7">
      <c r="A706" s="1">
        <f>HYPERLINK("https://cms.ls-nyc.org/matter/dynamic-profile/view/1878942","18-1878942")</f>
        <v>0</v>
      </c>
      <c r="B706" t="s">
        <v>11</v>
      </c>
      <c r="G706" t="s">
        <v>16</v>
      </c>
    </row>
    <row r="707" spans="1:7">
      <c r="A707" s="1">
        <f>HYPERLINK("https://cms.ls-nyc.org/matter/dynamic-profile/view/1900546","19-1900546")</f>
        <v>0</v>
      </c>
      <c r="B707" t="s">
        <v>11</v>
      </c>
      <c r="F707" t="s">
        <v>15</v>
      </c>
      <c r="G707" t="s">
        <v>17</v>
      </c>
    </row>
    <row r="708" spans="1:7">
      <c r="A708" s="1">
        <f>HYPERLINK("https://cms.ls-nyc.org/matter/dynamic-profile/view/1896744","19-1896744")</f>
        <v>0</v>
      </c>
      <c r="B708" t="s">
        <v>8</v>
      </c>
      <c r="G708" t="s">
        <v>16</v>
      </c>
    </row>
    <row r="709" spans="1:7">
      <c r="A709" s="1">
        <f>HYPERLINK("https://cms.ls-nyc.org/matter/dynamic-profile/view/1896748","19-1896748")</f>
        <v>0</v>
      </c>
      <c r="B709" t="s">
        <v>8</v>
      </c>
      <c r="G709" t="s">
        <v>16</v>
      </c>
    </row>
    <row r="710" spans="1:7">
      <c r="A710" s="1">
        <f>HYPERLINK("https://cms.ls-nyc.org/matter/dynamic-profile/view/1896739","19-1896739")</f>
        <v>0</v>
      </c>
      <c r="B710" t="s">
        <v>8</v>
      </c>
      <c r="G710" t="s">
        <v>16</v>
      </c>
    </row>
    <row r="711" spans="1:7">
      <c r="A711" s="1">
        <f>HYPERLINK("https://cms.ls-nyc.org/matter/dynamic-profile/view/1896742","19-1896742")</f>
        <v>0</v>
      </c>
      <c r="B711" t="s">
        <v>8</v>
      </c>
      <c r="G711" t="s">
        <v>16</v>
      </c>
    </row>
    <row r="712" spans="1:7">
      <c r="A712" s="1">
        <f>HYPERLINK("https://cms.ls-nyc.org/matter/dynamic-profile/view/1900468","19-1900468")</f>
        <v>0</v>
      </c>
      <c r="B712" t="s">
        <v>8</v>
      </c>
      <c r="C712" t="s">
        <v>12</v>
      </c>
      <c r="E712" t="s">
        <v>14</v>
      </c>
      <c r="G712" t="s">
        <v>17</v>
      </c>
    </row>
    <row r="713" spans="1:7">
      <c r="A713" s="1">
        <f>HYPERLINK("https://cms.ls-nyc.org/matter/dynamic-profile/view/1901300","19-1901300")</f>
        <v>0</v>
      </c>
      <c r="B713" t="s">
        <v>8</v>
      </c>
      <c r="G713" t="s">
        <v>16</v>
      </c>
    </row>
    <row r="714" spans="1:7">
      <c r="A714" s="1">
        <f>HYPERLINK("https://cms.ls-nyc.org/matter/dynamic-profile/view/1901303","19-1901303")</f>
        <v>0</v>
      </c>
      <c r="B714" t="s">
        <v>8</v>
      </c>
      <c r="G714" t="s">
        <v>16</v>
      </c>
    </row>
    <row r="715" spans="1:7">
      <c r="A715" s="1">
        <f>HYPERLINK("https://cms.ls-nyc.org/matter/dynamic-profile/view/1873432","18-1873432")</f>
        <v>0</v>
      </c>
      <c r="B715" t="s">
        <v>9</v>
      </c>
      <c r="G715" t="s">
        <v>16</v>
      </c>
    </row>
    <row r="716" spans="1:7">
      <c r="A716" s="1">
        <f>HYPERLINK("https://cms.ls-nyc.org/matter/dynamic-profile/view/1893686","19-1893686")</f>
        <v>0</v>
      </c>
      <c r="B716" t="s">
        <v>8</v>
      </c>
      <c r="G716" t="s">
        <v>16</v>
      </c>
    </row>
    <row r="717" spans="1:7">
      <c r="A717" s="1">
        <f>HYPERLINK("https://cms.ls-nyc.org/matter/dynamic-profile/view/1898212","19-1898212")</f>
        <v>0</v>
      </c>
      <c r="B717" t="s">
        <v>8</v>
      </c>
      <c r="G717" t="s">
        <v>16</v>
      </c>
    </row>
    <row r="718" spans="1:7">
      <c r="A718" s="1">
        <f>HYPERLINK("https://cms.ls-nyc.org/matter/dynamic-profile/view/1889478","19-1889478")</f>
        <v>0</v>
      </c>
      <c r="B718" t="s">
        <v>10</v>
      </c>
      <c r="C718" t="s">
        <v>12</v>
      </c>
      <c r="E718" t="s">
        <v>14</v>
      </c>
      <c r="G718" t="s">
        <v>17</v>
      </c>
    </row>
    <row r="719" spans="1:7">
      <c r="A719" s="1">
        <f>HYPERLINK("https://cms.ls-nyc.org/matter/dynamic-profile/view/1885048","18-1885048")</f>
        <v>0</v>
      </c>
      <c r="B719" t="s">
        <v>8</v>
      </c>
      <c r="G719" t="s">
        <v>16</v>
      </c>
    </row>
    <row r="720" spans="1:7">
      <c r="A720" s="1">
        <f>HYPERLINK("https://cms.ls-nyc.org/matter/dynamic-profile/view/1885024","18-1885024")</f>
        <v>0</v>
      </c>
      <c r="B720" t="s">
        <v>8</v>
      </c>
      <c r="G720" t="s">
        <v>16</v>
      </c>
    </row>
    <row r="721" spans="1:7">
      <c r="A721" s="1">
        <f>HYPERLINK("https://cms.ls-nyc.org/matter/dynamic-profile/view/1885029","18-1885029")</f>
        <v>0</v>
      </c>
      <c r="B721" t="s">
        <v>8</v>
      </c>
      <c r="G721" t="s">
        <v>16</v>
      </c>
    </row>
    <row r="722" spans="1:7">
      <c r="A722" s="1">
        <f>HYPERLINK("https://cms.ls-nyc.org/matter/dynamic-profile/view/1875780","18-1875780")</f>
        <v>0</v>
      </c>
      <c r="B722" t="s">
        <v>9</v>
      </c>
      <c r="G722" t="s">
        <v>16</v>
      </c>
    </row>
    <row r="723" spans="1:7">
      <c r="A723" s="1">
        <f>HYPERLINK("https://cms.ls-nyc.org/matter/dynamic-profile/view/1874172","18-1874172")</f>
        <v>0</v>
      </c>
      <c r="B723" t="s">
        <v>11</v>
      </c>
      <c r="G723" t="s">
        <v>16</v>
      </c>
    </row>
    <row r="724" spans="1:7">
      <c r="A724" s="1">
        <f>HYPERLINK("https://cms.ls-nyc.org/matter/dynamic-profile/view/1879757","18-1879757")</f>
        <v>0</v>
      </c>
      <c r="B724" t="s">
        <v>11</v>
      </c>
      <c r="G724" t="s">
        <v>16</v>
      </c>
    </row>
    <row r="725" spans="1:7">
      <c r="A725" s="1">
        <f>HYPERLINK("https://cms.ls-nyc.org/matter/dynamic-profile/view/1895025","19-1895025")</f>
        <v>0</v>
      </c>
      <c r="B725" t="s">
        <v>8</v>
      </c>
      <c r="F725" t="s">
        <v>15</v>
      </c>
      <c r="G725" t="s">
        <v>17</v>
      </c>
    </row>
    <row r="726" spans="1:7">
      <c r="A726" s="1">
        <f>HYPERLINK("https://cms.ls-nyc.org/matter/dynamic-profile/view/1879487","18-1879487")</f>
        <v>0</v>
      </c>
      <c r="B726" t="s">
        <v>7</v>
      </c>
      <c r="G726" t="s">
        <v>16</v>
      </c>
    </row>
    <row r="727" spans="1:7">
      <c r="A727" s="1">
        <f>HYPERLINK("https://cms.ls-nyc.org/matter/dynamic-profile/view/1878422","18-1878422")</f>
        <v>0</v>
      </c>
      <c r="B727" t="s">
        <v>8</v>
      </c>
      <c r="G727" t="s">
        <v>16</v>
      </c>
    </row>
    <row r="728" spans="1:7">
      <c r="A728" s="1">
        <f>HYPERLINK("https://cms.ls-nyc.org/matter/dynamic-profile/view/1866767","18-1866767")</f>
        <v>0</v>
      </c>
      <c r="B728" t="s">
        <v>8</v>
      </c>
      <c r="G728" t="s">
        <v>16</v>
      </c>
    </row>
    <row r="729" spans="1:7">
      <c r="A729" s="1">
        <f>HYPERLINK("https://cms.ls-nyc.org/matter/dynamic-profile/view/1877008","18-1877008")</f>
        <v>0</v>
      </c>
      <c r="B729" t="s">
        <v>8</v>
      </c>
      <c r="G729" t="s">
        <v>16</v>
      </c>
    </row>
    <row r="730" spans="1:7">
      <c r="A730" s="1">
        <f>HYPERLINK("https://cms.ls-nyc.org/matter/dynamic-profile/view/1886032","18-1886032")</f>
        <v>0</v>
      </c>
      <c r="B730" t="s">
        <v>8</v>
      </c>
      <c r="G730" t="s">
        <v>16</v>
      </c>
    </row>
    <row r="731" spans="1:7">
      <c r="A731" s="1">
        <f>HYPERLINK("https://cms.ls-nyc.org/matter/dynamic-profile/view/1890432","19-1890432")</f>
        <v>0</v>
      </c>
      <c r="B731" t="s">
        <v>10</v>
      </c>
      <c r="G731" t="s">
        <v>16</v>
      </c>
    </row>
    <row r="732" spans="1:7">
      <c r="A732" s="1">
        <f>HYPERLINK("https://cms.ls-nyc.org/matter/dynamic-profile/view/1890030","19-1890030")</f>
        <v>0</v>
      </c>
      <c r="B732" t="s">
        <v>11</v>
      </c>
      <c r="G732" t="s">
        <v>16</v>
      </c>
    </row>
    <row r="733" spans="1:7">
      <c r="A733" s="1">
        <f>HYPERLINK("https://cms.ls-nyc.org/matter/dynamic-profile/view/1890332","19-1890332")</f>
        <v>0</v>
      </c>
      <c r="B733" t="s">
        <v>9</v>
      </c>
      <c r="F733" t="s">
        <v>15</v>
      </c>
      <c r="G733" t="s">
        <v>17</v>
      </c>
    </row>
    <row r="734" spans="1:7">
      <c r="A734" s="1">
        <f>HYPERLINK("https://cms.ls-nyc.org/matter/dynamic-profile/view/1895331","19-1895331")</f>
        <v>0</v>
      </c>
      <c r="B734" t="s">
        <v>9</v>
      </c>
      <c r="G734" t="s">
        <v>16</v>
      </c>
    </row>
    <row r="735" spans="1:7">
      <c r="A735" s="1">
        <f>HYPERLINK("https://cms.ls-nyc.org/matter/dynamic-profile/view/1873208","18-1873208")</f>
        <v>0</v>
      </c>
      <c r="B735" t="s">
        <v>7</v>
      </c>
      <c r="G735" t="s">
        <v>16</v>
      </c>
    </row>
    <row r="736" spans="1:7">
      <c r="A736" s="1">
        <f>HYPERLINK("https://cms.ls-nyc.org/matter/dynamic-profile/view/1857039","18-1857039")</f>
        <v>0</v>
      </c>
      <c r="B736" t="s">
        <v>9</v>
      </c>
      <c r="E736" t="s">
        <v>14</v>
      </c>
      <c r="G736" t="s">
        <v>17</v>
      </c>
    </row>
    <row r="737" spans="1:7">
      <c r="A737" s="1">
        <f>HYPERLINK("https://cms.ls-nyc.org/matter/dynamic-profile/view/1876365","18-1876365")</f>
        <v>0</v>
      </c>
      <c r="B737" t="s">
        <v>8</v>
      </c>
      <c r="G737" t="s">
        <v>16</v>
      </c>
    </row>
    <row r="738" spans="1:7">
      <c r="A738" s="1">
        <f>HYPERLINK("https://cms.ls-nyc.org/matter/dynamic-profile/view/1872098","18-1872098")</f>
        <v>0</v>
      </c>
      <c r="B738" t="s">
        <v>7</v>
      </c>
      <c r="G738" t="s">
        <v>16</v>
      </c>
    </row>
    <row r="739" spans="1:7">
      <c r="A739" s="1">
        <f>HYPERLINK("https://cms.ls-nyc.org/matter/dynamic-profile/view/1891396","19-1891396")</f>
        <v>0</v>
      </c>
      <c r="B739" t="s">
        <v>8</v>
      </c>
      <c r="G739" t="s">
        <v>16</v>
      </c>
    </row>
    <row r="740" spans="1:7">
      <c r="A740" s="1">
        <f>HYPERLINK("https://cms.ls-nyc.org/matter/dynamic-profile/view/1891530","19-1891530")</f>
        <v>0</v>
      </c>
      <c r="B740" t="s">
        <v>9</v>
      </c>
      <c r="F740" t="s">
        <v>15</v>
      </c>
      <c r="G740" t="s">
        <v>17</v>
      </c>
    </row>
    <row r="741" spans="1:7">
      <c r="A741" s="1">
        <f>HYPERLINK("https://cms.ls-nyc.org/matter/dynamic-profile/view/1888975","19-1888975")</f>
        <v>0</v>
      </c>
      <c r="B741" t="s">
        <v>8</v>
      </c>
      <c r="E741" t="s">
        <v>14</v>
      </c>
      <c r="G741" t="s">
        <v>17</v>
      </c>
    </row>
    <row r="742" spans="1:7">
      <c r="A742" s="1">
        <f>HYPERLINK("https://cms.ls-nyc.org/matter/dynamic-profile/view/1877623","18-1877623")</f>
        <v>0</v>
      </c>
      <c r="B742" t="s">
        <v>11</v>
      </c>
      <c r="G742" t="s">
        <v>16</v>
      </c>
    </row>
    <row r="743" spans="1:7">
      <c r="A743" s="1">
        <f>HYPERLINK("https://cms.ls-nyc.org/matter/dynamic-profile/view/1880762","18-1880762")</f>
        <v>0</v>
      </c>
      <c r="B743" t="s">
        <v>11</v>
      </c>
      <c r="G743" t="s">
        <v>16</v>
      </c>
    </row>
    <row r="744" spans="1:7">
      <c r="A744" s="1">
        <f>HYPERLINK("https://cms.ls-nyc.org/matter/dynamic-profile/view/1880685","18-1880685")</f>
        <v>0</v>
      </c>
      <c r="B744" t="s">
        <v>8</v>
      </c>
      <c r="G744" t="s">
        <v>16</v>
      </c>
    </row>
    <row r="745" spans="1:7">
      <c r="A745" s="1">
        <f>HYPERLINK("https://cms.ls-nyc.org/matter/dynamic-profile/view/1896793","19-1896793")</f>
        <v>0</v>
      </c>
      <c r="B745" t="s">
        <v>8</v>
      </c>
      <c r="F745" t="s">
        <v>15</v>
      </c>
      <c r="G745" t="s">
        <v>17</v>
      </c>
    </row>
    <row r="746" spans="1:7">
      <c r="A746" s="1">
        <f>HYPERLINK("https://cms.ls-nyc.org/matter/dynamic-profile/view/1896797","19-1896797")</f>
        <v>0</v>
      </c>
      <c r="B746" t="s">
        <v>8</v>
      </c>
      <c r="F746" t="s">
        <v>15</v>
      </c>
      <c r="G746" t="s">
        <v>17</v>
      </c>
    </row>
    <row r="747" spans="1:7">
      <c r="A747" s="1">
        <f>HYPERLINK("https://cms.ls-nyc.org/matter/dynamic-profile/view/1896778","19-1896778")</f>
        <v>0</v>
      </c>
      <c r="B747" t="s">
        <v>8</v>
      </c>
      <c r="F747" t="s">
        <v>15</v>
      </c>
      <c r="G747" t="s">
        <v>17</v>
      </c>
    </row>
    <row r="748" spans="1:7">
      <c r="A748" s="1">
        <f>HYPERLINK("https://cms.ls-nyc.org/matter/dynamic-profile/view/1896791","19-1896791")</f>
        <v>0</v>
      </c>
      <c r="B748" t="s">
        <v>8</v>
      </c>
      <c r="F748" t="s">
        <v>15</v>
      </c>
      <c r="G748" t="s">
        <v>17</v>
      </c>
    </row>
    <row r="749" spans="1:7">
      <c r="A749" s="1">
        <f>HYPERLINK("https://cms.ls-nyc.org/matter/dynamic-profile/view/1900458","19-1900458")</f>
        <v>0</v>
      </c>
      <c r="B749" t="s">
        <v>8</v>
      </c>
      <c r="F749" t="s">
        <v>15</v>
      </c>
      <c r="G749" t="s">
        <v>17</v>
      </c>
    </row>
    <row r="750" spans="1:7">
      <c r="A750" s="1">
        <f>HYPERLINK("https://cms.ls-nyc.org/matter/dynamic-profile/view/1900651","19-1900651")</f>
        <v>0</v>
      </c>
      <c r="B750" t="s">
        <v>8</v>
      </c>
      <c r="G750" t="s">
        <v>16</v>
      </c>
    </row>
    <row r="751" spans="1:7">
      <c r="A751" s="1">
        <f>HYPERLINK("https://cms.ls-nyc.org/matter/dynamic-profile/view/1895307","19-1895307")</f>
        <v>0</v>
      </c>
      <c r="B751" t="s">
        <v>8</v>
      </c>
      <c r="G751" t="s">
        <v>16</v>
      </c>
    </row>
    <row r="752" spans="1:7">
      <c r="A752" s="1">
        <f>HYPERLINK("https://cms.ls-nyc.org/matter/dynamic-profile/view/1875217","18-1875217")</f>
        <v>0</v>
      </c>
      <c r="B752" t="s">
        <v>9</v>
      </c>
      <c r="G752" t="s">
        <v>16</v>
      </c>
    </row>
    <row r="753" spans="1:7">
      <c r="A753" s="1">
        <f>HYPERLINK("https://cms.ls-nyc.org/matter/dynamic-profile/view/1890705","19-1890705")</f>
        <v>0</v>
      </c>
      <c r="B753" t="s">
        <v>11</v>
      </c>
      <c r="G753" t="s">
        <v>16</v>
      </c>
    </row>
    <row r="754" spans="1:7">
      <c r="A754" s="1">
        <f>HYPERLINK("https://cms.ls-nyc.org/matter/dynamic-profile/view/1887380","19-1887380")</f>
        <v>0</v>
      </c>
      <c r="B754" t="s">
        <v>9</v>
      </c>
      <c r="G754" t="s">
        <v>16</v>
      </c>
    </row>
    <row r="755" spans="1:7">
      <c r="A755" s="1">
        <f>HYPERLINK("https://cms.ls-nyc.org/matter/dynamic-profile/view/1882159","18-1882159")</f>
        <v>0</v>
      </c>
      <c r="B755" t="s">
        <v>7</v>
      </c>
      <c r="G755" t="s">
        <v>16</v>
      </c>
    </row>
    <row r="756" spans="1:7">
      <c r="A756" s="1">
        <f>HYPERLINK("https://cms.ls-nyc.org/matter/dynamic-profile/view/1881096","18-1881096")</f>
        <v>0</v>
      </c>
      <c r="B756" t="s">
        <v>9</v>
      </c>
      <c r="G756" t="s">
        <v>16</v>
      </c>
    </row>
    <row r="757" spans="1:7">
      <c r="A757" s="1">
        <f>HYPERLINK("https://cms.ls-nyc.org/matter/dynamic-profile/view/1886661","18-1886661")</f>
        <v>0</v>
      </c>
      <c r="B757" t="s">
        <v>8</v>
      </c>
      <c r="G757" t="s">
        <v>16</v>
      </c>
    </row>
    <row r="758" spans="1:7">
      <c r="A758" s="1">
        <f>HYPERLINK("https://cms.ls-nyc.org/matter/dynamic-profile/view/1874940","18-1874940")</f>
        <v>0</v>
      </c>
      <c r="B758" t="s">
        <v>9</v>
      </c>
      <c r="G758" t="s">
        <v>16</v>
      </c>
    </row>
    <row r="759" spans="1:7">
      <c r="A759" s="1">
        <f>HYPERLINK("https://cms.ls-nyc.org/matter/dynamic-profile/view/1890605","19-1890605")</f>
        <v>0</v>
      </c>
      <c r="B759" t="s">
        <v>8</v>
      </c>
      <c r="F759" t="s">
        <v>15</v>
      </c>
      <c r="G759" t="s">
        <v>17</v>
      </c>
    </row>
    <row r="760" spans="1:7">
      <c r="A760" s="1">
        <f>HYPERLINK("https://cms.ls-nyc.org/matter/dynamic-profile/view/1890386","19-1890386")</f>
        <v>0</v>
      </c>
      <c r="B760" t="s">
        <v>11</v>
      </c>
      <c r="G760" t="s">
        <v>16</v>
      </c>
    </row>
    <row r="761" spans="1:7">
      <c r="A761" s="1">
        <f>HYPERLINK("https://cms.ls-nyc.org/matter/dynamic-profile/view/1888062","19-1888062")</f>
        <v>0</v>
      </c>
      <c r="B761" t="s">
        <v>11</v>
      </c>
      <c r="G761" t="s">
        <v>16</v>
      </c>
    </row>
    <row r="762" spans="1:7">
      <c r="A762" s="1">
        <f>HYPERLINK("https://cms.ls-nyc.org/matter/dynamic-profile/view/1863305","18-1863305")</f>
        <v>0</v>
      </c>
      <c r="B762" t="s">
        <v>8</v>
      </c>
      <c r="G762" t="s">
        <v>16</v>
      </c>
    </row>
    <row r="763" spans="1:7">
      <c r="A763" s="1">
        <f>HYPERLINK("https://cms.ls-nyc.org/matter/dynamic-profile/view/1876801","18-1876801")</f>
        <v>0</v>
      </c>
      <c r="B763" t="s">
        <v>11</v>
      </c>
      <c r="G763" t="s">
        <v>16</v>
      </c>
    </row>
    <row r="764" spans="1:7">
      <c r="A764" s="1">
        <f>HYPERLINK("https://cms.ls-nyc.org/matter/dynamic-profile/view/1895346","19-1895346")</f>
        <v>0</v>
      </c>
      <c r="B764" t="s">
        <v>8</v>
      </c>
      <c r="G764" t="s">
        <v>16</v>
      </c>
    </row>
    <row r="765" spans="1:7">
      <c r="A765" s="1">
        <f>HYPERLINK("https://cms.ls-nyc.org/matter/dynamic-profile/view/1877662","18-1877662")</f>
        <v>0</v>
      </c>
      <c r="B765" t="s">
        <v>9</v>
      </c>
      <c r="G765" t="s">
        <v>16</v>
      </c>
    </row>
    <row r="766" spans="1:7">
      <c r="A766" s="1">
        <f>HYPERLINK("https://cms.ls-nyc.org/matter/dynamic-profile/view/1877700","18-1877700")</f>
        <v>0</v>
      </c>
      <c r="B766" t="s">
        <v>9</v>
      </c>
      <c r="G766" t="s">
        <v>16</v>
      </c>
    </row>
    <row r="767" spans="1:7">
      <c r="A767" s="1">
        <f>HYPERLINK("https://cms.ls-nyc.org/matter/dynamic-profile/view/1891038","19-1891038")</f>
        <v>0</v>
      </c>
      <c r="B767" t="s">
        <v>11</v>
      </c>
      <c r="G767" t="s">
        <v>16</v>
      </c>
    </row>
    <row r="768" spans="1:7">
      <c r="A768" s="1">
        <f>HYPERLINK("https://cms.ls-nyc.org/matter/dynamic-profile/view/1886210","18-1886210")</f>
        <v>0</v>
      </c>
      <c r="B768" t="s">
        <v>9</v>
      </c>
      <c r="G768" t="s">
        <v>16</v>
      </c>
    </row>
    <row r="769" spans="1:7">
      <c r="A769" s="1">
        <f>HYPERLINK("https://cms.ls-nyc.org/matter/dynamic-profile/view/1885176","18-1885176")</f>
        <v>0</v>
      </c>
      <c r="B769" t="s">
        <v>8</v>
      </c>
      <c r="G769" t="s">
        <v>16</v>
      </c>
    </row>
    <row r="770" spans="1:7">
      <c r="A770" s="1">
        <f>HYPERLINK("https://cms.ls-nyc.org/matter/dynamic-profile/view/1885174","18-1885174")</f>
        <v>0</v>
      </c>
      <c r="B770" t="s">
        <v>8</v>
      </c>
      <c r="G770" t="s">
        <v>16</v>
      </c>
    </row>
    <row r="771" spans="1:7">
      <c r="A771" s="1">
        <f>HYPERLINK("https://cms.ls-nyc.org/matter/dynamic-profile/view/1885168","18-1885168")</f>
        <v>0</v>
      </c>
      <c r="B771" t="s">
        <v>8</v>
      </c>
      <c r="G771" t="s">
        <v>16</v>
      </c>
    </row>
    <row r="772" spans="1:7">
      <c r="A772" s="1">
        <f>HYPERLINK("https://cms.ls-nyc.org/matter/dynamic-profile/view/1870838","18-1870838")</f>
        <v>0</v>
      </c>
      <c r="B772" t="s">
        <v>9</v>
      </c>
      <c r="G772" t="s">
        <v>16</v>
      </c>
    </row>
    <row r="773" spans="1:7">
      <c r="A773" s="1">
        <f>HYPERLINK("https://cms.ls-nyc.org/matter/dynamic-profile/view/1885593","18-1885593")</f>
        <v>0</v>
      </c>
      <c r="B773" t="s">
        <v>9</v>
      </c>
      <c r="G773" t="s">
        <v>16</v>
      </c>
    </row>
    <row r="774" spans="1:7">
      <c r="A774" s="1">
        <f>HYPERLINK("https://cms.ls-nyc.org/matter/dynamic-profile/view/1888028","19-1888028")</f>
        <v>0</v>
      </c>
      <c r="B774" t="s">
        <v>11</v>
      </c>
      <c r="G774" t="s">
        <v>16</v>
      </c>
    </row>
    <row r="775" spans="1:7">
      <c r="A775" s="1">
        <f>HYPERLINK("https://cms.ls-nyc.org/matter/dynamic-profile/view/1877068","18-1877068")</f>
        <v>0</v>
      </c>
      <c r="B775" t="s">
        <v>11</v>
      </c>
      <c r="G775" t="s">
        <v>16</v>
      </c>
    </row>
    <row r="776" spans="1:7">
      <c r="A776" s="1">
        <f>HYPERLINK("https://cms.ls-nyc.org/matter/dynamic-profile/view/1888064","19-1888064")</f>
        <v>0</v>
      </c>
      <c r="B776" t="s">
        <v>11</v>
      </c>
      <c r="F776" t="s">
        <v>15</v>
      </c>
      <c r="G776" t="s">
        <v>17</v>
      </c>
    </row>
    <row r="777" spans="1:7">
      <c r="A777" s="1">
        <f>HYPERLINK("https://cms.ls-nyc.org/matter/dynamic-profile/view/1881163","18-1881163")</f>
        <v>0</v>
      </c>
      <c r="B777" t="s">
        <v>11</v>
      </c>
      <c r="G777" t="s">
        <v>16</v>
      </c>
    </row>
    <row r="778" spans="1:7">
      <c r="A778" s="1">
        <f>HYPERLINK("https://cms.ls-nyc.org/matter/dynamic-profile/view/1883162","18-1883162")</f>
        <v>0</v>
      </c>
      <c r="B778" t="s">
        <v>8</v>
      </c>
      <c r="G778" t="s">
        <v>16</v>
      </c>
    </row>
    <row r="779" spans="1:7">
      <c r="A779" s="1">
        <f>HYPERLINK("https://cms.ls-nyc.org/matter/dynamic-profile/view/1898175","19-1898175")</f>
        <v>0</v>
      </c>
      <c r="B779" t="s">
        <v>8</v>
      </c>
      <c r="G779" t="s">
        <v>16</v>
      </c>
    </row>
    <row r="780" spans="1:7">
      <c r="A780" s="1">
        <f>HYPERLINK("https://cms.ls-nyc.org/matter/dynamic-profile/view/1885823","18-1885823")</f>
        <v>0</v>
      </c>
      <c r="B780" t="s">
        <v>10</v>
      </c>
      <c r="G780" t="s">
        <v>16</v>
      </c>
    </row>
    <row r="781" spans="1:7">
      <c r="A781" s="1">
        <f>HYPERLINK("https://cms.ls-nyc.org/matter/dynamic-profile/view/1895985","19-1895985")</f>
        <v>0</v>
      </c>
      <c r="B781" t="s">
        <v>9</v>
      </c>
      <c r="G781" t="s">
        <v>16</v>
      </c>
    </row>
    <row r="782" spans="1:7">
      <c r="A782" s="1">
        <f>HYPERLINK("https://cms.ls-nyc.org/matter/dynamic-profile/view/1897608","19-1897608")</f>
        <v>0</v>
      </c>
      <c r="B782" t="s">
        <v>11</v>
      </c>
      <c r="G782" t="s">
        <v>16</v>
      </c>
    </row>
    <row r="783" spans="1:7">
      <c r="A783" s="1">
        <f>HYPERLINK("https://cms.ls-nyc.org/matter/dynamic-profile/view/1881691","18-1881691")</f>
        <v>0</v>
      </c>
      <c r="B783" t="s">
        <v>9</v>
      </c>
      <c r="G783" t="s">
        <v>16</v>
      </c>
    </row>
    <row r="784" spans="1:7">
      <c r="A784" s="1">
        <f>HYPERLINK("https://cms.ls-nyc.org/matter/dynamic-profile/view/1876345","18-1876345")</f>
        <v>0</v>
      </c>
      <c r="B784" t="s">
        <v>7</v>
      </c>
      <c r="G784" t="s">
        <v>16</v>
      </c>
    </row>
    <row r="785" spans="1:7">
      <c r="A785" s="1">
        <f>HYPERLINK("https://cms.ls-nyc.org/matter/dynamic-profile/view/1882544","18-1882544")</f>
        <v>0</v>
      </c>
      <c r="B785" t="s">
        <v>8</v>
      </c>
      <c r="G785" t="s">
        <v>16</v>
      </c>
    </row>
    <row r="786" spans="1:7">
      <c r="A786" s="1">
        <f>HYPERLINK("https://cms.ls-nyc.org/matter/dynamic-profile/view/1871432","18-1871432")</f>
        <v>0</v>
      </c>
      <c r="B786" t="s">
        <v>8</v>
      </c>
      <c r="F786" t="s">
        <v>15</v>
      </c>
      <c r="G786" t="s">
        <v>17</v>
      </c>
    </row>
    <row r="787" spans="1:7">
      <c r="A787" s="1">
        <f>HYPERLINK("https://cms.ls-nyc.org/matter/dynamic-profile/view/1885788","18-1885788")</f>
        <v>0</v>
      </c>
      <c r="B787" t="s">
        <v>8</v>
      </c>
      <c r="F787" t="s">
        <v>15</v>
      </c>
      <c r="G787" t="s">
        <v>17</v>
      </c>
    </row>
    <row r="788" spans="1:7">
      <c r="A788" s="1">
        <f>HYPERLINK("https://cms.ls-nyc.org/matter/dynamic-profile/view/1876790","18-1876790")</f>
        <v>0</v>
      </c>
      <c r="B788" t="s">
        <v>8</v>
      </c>
      <c r="G788" t="s">
        <v>16</v>
      </c>
    </row>
    <row r="789" spans="1:7">
      <c r="A789" s="1">
        <f>HYPERLINK("https://cms.ls-nyc.org/matter/dynamic-profile/view/1876794","18-1876794")</f>
        <v>0</v>
      </c>
      <c r="B789" t="s">
        <v>8</v>
      </c>
      <c r="G789" t="s">
        <v>16</v>
      </c>
    </row>
    <row r="790" spans="1:7">
      <c r="A790" s="1">
        <f>HYPERLINK("https://cms.ls-nyc.org/matter/dynamic-profile/view/1885587","18-1885587")</f>
        <v>0</v>
      </c>
      <c r="B790" t="s">
        <v>9</v>
      </c>
      <c r="G790" t="s">
        <v>16</v>
      </c>
    </row>
    <row r="791" spans="1:7">
      <c r="A791" s="1">
        <f>HYPERLINK("https://cms.ls-nyc.org/matter/dynamic-profile/view/1878862","18-1878862")</f>
        <v>0</v>
      </c>
      <c r="B791" t="s">
        <v>9</v>
      </c>
      <c r="G791" t="s">
        <v>16</v>
      </c>
    </row>
    <row r="792" spans="1:7">
      <c r="A792" s="1">
        <f>HYPERLINK("https://cms.ls-nyc.org/matter/dynamic-profile/view/1873635","18-1873635")</f>
        <v>0</v>
      </c>
      <c r="B792" t="s">
        <v>9</v>
      </c>
      <c r="G792" t="s">
        <v>16</v>
      </c>
    </row>
    <row r="793" spans="1:7">
      <c r="A793" s="1">
        <f>HYPERLINK("https://cms.ls-nyc.org/matter/dynamic-profile/view/1872467","18-1872467")</f>
        <v>0</v>
      </c>
      <c r="B793" t="s">
        <v>9</v>
      </c>
      <c r="G793" t="s">
        <v>16</v>
      </c>
    </row>
    <row r="794" spans="1:7">
      <c r="A794" s="1">
        <f>HYPERLINK("https://cms.ls-nyc.org/matter/dynamic-profile/view/1875776","18-1875776")</f>
        <v>0</v>
      </c>
      <c r="B794" t="s">
        <v>9</v>
      </c>
      <c r="G794" t="s">
        <v>16</v>
      </c>
    </row>
    <row r="795" spans="1:7">
      <c r="A795" s="1">
        <f>HYPERLINK("https://cms.ls-nyc.org/matter/dynamic-profile/view/1878974","18-1878974")</f>
        <v>0</v>
      </c>
      <c r="B795" t="s">
        <v>10</v>
      </c>
      <c r="G795" t="s">
        <v>16</v>
      </c>
    </row>
    <row r="796" spans="1:7">
      <c r="A796" s="1">
        <f>HYPERLINK("https://cms.ls-nyc.org/matter/dynamic-profile/view/1884221","18-1884221")</f>
        <v>0</v>
      </c>
      <c r="B796" t="s">
        <v>11</v>
      </c>
      <c r="G796" t="s">
        <v>16</v>
      </c>
    </row>
    <row r="797" spans="1:7">
      <c r="A797" s="1">
        <f>HYPERLINK("https://cms.ls-nyc.org/matter/dynamic-profile/view/1872340","18-1872340")</f>
        <v>0</v>
      </c>
      <c r="B797" t="s">
        <v>11</v>
      </c>
      <c r="F797" t="s">
        <v>15</v>
      </c>
      <c r="G797" t="s">
        <v>17</v>
      </c>
    </row>
    <row r="798" spans="1:7">
      <c r="A798" s="1">
        <f>HYPERLINK("https://cms.ls-nyc.org/matter/dynamic-profile/view/1878529","18-1878529")</f>
        <v>0</v>
      </c>
      <c r="B798" t="s">
        <v>11</v>
      </c>
      <c r="F798" t="s">
        <v>15</v>
      </c>
      <c r="G798" t="s">
        <v>17</v>
      </c>
    </row>
    <row r="799" spans="1:7">
      <c r="A799" s="1">
        <f>HYPERLINK("https://cms.ls-nyc.org/matter/dynamic-profile/view/1901172","19-1901172")</f>
        <v>0</v>
      </c>
      <c r="B799" t="s">
        <v>8</v>
      </c>
      <c r="G799" t="s">
        <v>16</v>
      </c>
    </row>
    <row r="800" spans="1:7">
      <c r="A800" s="1">
        <f>HYPERLINK("https://cms.ls-nyc.org/matter/dynamic-profile/view/1895285","19-1895285")</f>
        <v>0</v>
      </c>
      <c r="B800" t="s">
        <v>8</v>
      </c>
      <c r="F800" t="s">
        <v>15</v>
      </c>
      <c r="G800" t="s">
        <v>17</v>
      </c>
    </row>
    <row r="801" spans="1:7">
      <c r="A801" s="1">
        <f>HYPERLINK("https://cms.ls-nyc.org/matter/dynamic-profile/view/1899746","19-1899746")</f>
        <v>0</v>
      </c>
      <c r="B801" t="s">
        <v>11</v>
      </c>
      <c r="G801" t="s">
        <v>16</v>
      </c>
    </row>
    <row r="802" spans="1:7">
      <c r="A802" s="1">
        <f>HYPERLINK("https://cms.ls-nyc.org/matter/dynamic-profile/view/0827777","17-0827777")</f>
        <v>0</v>
      </c>
      <c r="B802" t="s">
        <v>8</v>
      </c>
      <c r="G802" t="s">
        <v>16</v>
      </c>
    </row>
    <row r="803" spans="1:7">
      <c r="A803" s="1">
        <f>HYPERLINK("https://cms.ls-nyc.org/matter/dynamic-profile/view/1889927","19-1889927")</f>
        <v>0</v>
      </c>
      <c r="B803" t="s">
        <v>9</v>
      </c>
      <c r="F803" t="s">
        <v>15</v>
      </c>
      <c r="G803" t="s">
        <v>17</v>
      </c>
    </row>
    <row r="804" spans="1:7">
      <c r="A804" s="1">
        <f>HYPERLINK("https://cms.ls-nyc.org/matter/dynamic-profile/view/1871913","18-1871913")</f>
        <v>0</v>
      </c>
      <c r="B804" t="s">
        <v>9</v>
      </c>
      <c r="G804" t="s">
        <v>16</v>
      </c>
    </row>
    <row r="805" spans="1:7">
      <c r="A805" s="1">
        <f>HYPERLINK("https://cms.ls-nyc.org/matter/dynamic-profile/view/1873273","18-1873273")</f>
        <v>0</v>
      </c>
      <c r="B805" t="s">
        <v>7</v>
      </c>
      <c r="G805" t="s">
        <v>16</v>
      </c>
    </row>
    <row r="806" spans="1:7">
      <c r="A806" s="1">
        <f>HYPERLINK("https://cms.ls-nyc.org/matter/dynamic-profile/view/1878374","18-1878374")</f>
        <v>0</v>
      </c>
      <c r="B806" t="s">
        <v>8</v>
      </c>
      <c r="G806" t="s">
        <v>16</v>
      </c>
    </row>
    <row r="807" spans="1:7">
      <c r="A807" s="1">
        <f>HYPERLINK("https://cms.ls-nyc.org/matter/dynamic-profile/view/1880031","18-1880031")</f>
        <v>0</v>
      </c>
      <c r="B807" t="s">
        <v>8</v>
      </c>
      <c r="G807" t="s">
        <v>16</v>
      </c>
    </row>
    <row r="808" spans="1:7">
      <c r="A808" s="1">
        <f>HYPERLINK("https://cms.ls-nyc.org/matter/dynamic-profile/view/1880033","18-1880033")</f>
        <v>0</v>
      </c>
      <c r="B808" t="s">
        <v>8</v>
      </c>
      <c r="G808" t="s">
        <v>16</v>
      </c>
    </row>
    <row r="809" spans="1:7">
      <c r="A809" s="1">
        <f>HYPERLINK("https://cms.ls-nyc.org/matter/dynamic-profile/view/1880023","18-1880023")</f>
        <v>0</v>
      </c>
      <c r="B809" t="s">
        <v>8</v>
      </c>
      <c r="D809" t="s">
        <v>13</v>
      </c>
      <c r="G809" t="s">
        <v>17</v>
      </c>
    </row>
    <row r="810" spans="1:7">
      <c r="A810" s="1">
        <f>HYPERLINK("https://cms.ls-nyc.org/matter/dynamic-profile/view/1880028","18-1880028")</f>
        <v>0</v>
      </c>
      <c r="B810" t="s">
        <v>8</v>
      </c>
      <c r="G810" t="s">
        <v>16</v>
      </c>
    </row>
    <row r="811" spans="1:7">
      <c r="A811" s="1">
        <f>HYPERLINK("https://cms.ls-nyc.org/matter/dynamic-profile/view/1880018","18-1880018")</f>
        <v>0</v>
      </c>
      <c r="B811" t="s">
        <v>8</v>
      </c>
      <c r="G811" t="s">
        <v>16</v>
      </c>
    </row>
    <row r="812" spans="1:7">
      <c r="A812" s="1">
        <f>HYPERLINK("https://cms.ls-nyc.org/matter/dynamic-profile/view/1880021","18-1880021")</f>
        <v>0</v>
      </c>
      <c r="B812" t="s">
        <v>8</v>
      </c>
      <c r="D812" t="s">
        <v>13</v>
      </c>
      <c r="G812" t="s">
        <v>17</v>
      </c>
    </row>
    <row r="813" spans="1:7">
      <c r="A813" s="1">
        <f>HYPERLINK("https://cms.ls-nyc.org/matter/dynamic-profile/view/1895930","19-1895930")</f>
        <v>0</v>
      </c>
      <c r="B813" t="s">
        <v>7</v>
      </c>
      <c r="G813" t="s">
        <v>16</v>
      </c>
    </row>
    <row r="814" spans="1:7">
      <c r="A814" s="1">
        <f>HYPERLINK("https://cms.ls-nyc.org/matter/dynamic-profile/view/1874519","18-1874519")</f>
        <v>0</v>
      </c>
      <c r="B814" t="s">
        <v>7</v>
      </c>
      <c r="G814" t="s">
        <v>16</v>
      </c>
    </row>
    <row r="815" spans="1:7">
      <c r="A815" s="1">
        <f>HYPERLINK("https://cms.ls-nyc.org/matter/dynamic-profile/view/1883952","18-1883952")</f>
        <v>0</v>
      </c>
      <c r="B815" t="s">
        <v>11</v>
      </c>
      <c r="G815" t="s">
        <v>16</v>
      </c>
    </row>
    <row r="816" spans="1:7">
      <c r="A816" s="1">
        <f>HYPERLINK("https://cms.ls-nyc.org/matter/dynamic-profile/view/1876434","18-1876434")</f>
        <v>0</v>
      </c>
      <c r="B816" t="s">
        <v>11</v>
      </c>
      <c r="G816" t="s">
        <v>16</v>
      </c>
    </row>
    <row r="817" spans="1:7">
      <c r="A817" s="1">
        <f>HYPERLINK("https://cms.ls-nyc.org/matter/dynamic-profile/view/1878534","18-1878534")</f>
        <v>0</v>
      </c>
      <c r="B817" t="s">
        <v>11</v>
      </c>
      <c r="G817" t="s">
        <v>16</v>
      </c>
    </row>
    <row r="818" spans="1:7">
      <c r="A818" s="1">
        <f>HYPERLINK("https://cms.ls-nyc.org/matter/dynamic-profile/view/1885782","18-1885782")</f>
        <v>0</v>
      </c>
      <c r="B818" t="s">
        <v>8</v>
      </c>
      <c r="C818" t="s">
        <v>12</v>
      </c>
      <c r="E818" t="s">
        <v>14</v>
      </c>
      <c r="F818" t="s">
        <v>15</v>
      </c>
      <c r="G818" t="s">
        <v>17</v>
      </c>
    </row>
    <row r="819" spans="1:7">
      <c r="A819" s="1">
        <f>HYPERLINK("https://cms.ls-nyc.org/matter/dynamic-profile/view/1872000","18-1872000")</f>
        <v>0</v>
      </c>
      <c r="B819" t="s">
        <v>8</v>
      </c>
      <c r="G819" t="s">
        <v>16</v>
      </c>
    </row>
    <row r="820" spans="1:7">
      <c r="A820" s="1">
        <f>HYPERLINK("https://cms.ls-nyc.org/matter/dynamic-profile/view/1882354","18-1882354")</f>
        <v>0</v>
      </c>
      <c r="B820" t="s">
        <v>9</v>
      </c>
      <c r="G820" t="s">
        <v>16</v>
      </c>
    </row>
    <row r="821" spans="1:7">
      <c r="A821" s="1">
        <f>HYPERLINK("https://cms.ls-nyc.org/matter/dynamic-profile/view/1873840","18-1873840")</f>
        <v>0</v>
      </c>
      <c r="B821" t="s">
        <v>11</v>
      </c>
      <c r="G821" t="s">
        <v>16</v>
      </c>
    </row>
    <row r="822" spans="1:7">
      <c r="A822" s="1">
        <f>HYPERLINK("https://cms.ls-nyc.org/matter/dynamic-profile/view/1885754","18-1885754")</f>
        <v>0</v>
      </c>
      <c r="B822" t="s">
        <v>9</v>
      </c>
      <c r="G822" t="s">
        <v>16</v>
      </c>
    </row>
    <row r="823" spans="1:7">
      <c r="A823" s="1">
        <f>HYPERLINK("https://cms.ls-nyc.org/matter/dynamic-profile/view/1894066","19-1894066")</f>
        <v>0</v>
      </c>
      <c r="B823" t="s">
        <v>9</v>
      </c>
      <c r="G823" t="s">
        <v>16</v>
      </c>
    </row>
    <row r="824" spans="1:7">
      <c r="A824" s="1">
        <f>HYPERLINK("https://cms.ls-nyc.org/matter/dynamic-profile/view/1894064","19-1894064")</f>
        <v>0</v>
      </c>
      <c r="B824" t="s">
        <v>9</v>
      </c>
      <c r="G824" t="s">
        <v>16</v>
      </c>
    </row>
    <row r="825" spans="1:7">
      <c r="A825" s="1">
        <f>HYPERLINK("https://cms.ls-nyc.org/matter/dynamic-profile/view/1894063","18-1894063")</f>
        <v>0</v>
      </c>
      <c r="B825" t="s">
        <v>9</v>
      </c>
      <c r="G825" t="s">
        <v>16</v>
      </c>
    </row>
    <row r="826" spans="1:7">
      <c r="A826" s="1">
        <f>HYPERLINK("https://cms.ls-nyc.org/matter/dynamic-profile/view/1900393","19-1900393")</f>
        <v>0</v>
      </c>
      <c r="B826" t="s">
        <v>7</v>
      </c>
      <c r="F826" t="s">
        <v>15</v>
      </c>
      <c r="G826" t="s">
        <v>17</v>
      </c>
    </row>
    <row r="827" spans="1:7">
      <c r="A827" s="1">
        <f>HYPERLINK("https://cms.ls-nyc.org/matter/dynamic-profile/view/1883395","18-1883395")</f>
        <v>0</v>
      </c>
      <c r="B827" t="s">
        <v>9</v>
      </c>
      <c r="G827" t="s">
        <v>16</v>
      </c>
    </row>
    <row r="828" spans="1:7">
      <c r="A828" s="1">
        <f>HYPERLINK("https://cms.ls-nyc.org/matter/dynamic-profile/view/1881194","18-1881194")</f>
        <v>0</v>
      </c>
      <c r="B828" t="s">
        <v>7</v>
      </c>
      <c r="G828" t="s">
        <v>16</v>
      </c>
    </row>
    <row r="829" spans="1:7">
      <c r="A829" s="1">
        <f>HYPERLINK("https://cms.ls-nyc.org/matter/dynamic-profile/view/1884964","18-1884964")</f>
        <v>0</v>
      </c>
      <c r="B829" t="s">
        <v>9</v>
      </c>
      <c r="G829" t="s">
        <v>16</v>
      </c>
    </row>
    <row r="830" spans="1:7">
      <c r="A830" s="1">
        <f>HYPERLINK("https://cms.ls-nyc.org/matter/dynamic-profile/view/1898369","19-1898369")</f>
        <v>0</v>
      </c>
      <c r="B830" t="s">
        <v>11</v>
      </c>
      <c r="G830" t="s">
        <v>16</v>
      </c>
    </row>
    <row r="831" spans="1:7">
      <c r="A831" s="1">
        <f>HYPERLINK("https://cms.ls-nyc.org/matter/dynamic-profile/view/1894538","19-1894538")</f>
        <v>0</v>
      </c>
      <c r="B831" t="s">
        <v>11</v>
      </c>
      <c r="G831" t="s">
        <v>16</v>
      </c>
    </row>
    <row r="832" spans="1:7">
      <c r="A832" s="1">
        <f>HYPERLINK("https://cms.ls-nyc.org/matter/dynamic-profile/view/1897224","19-1897224")</f>
        <v>0</v>
      </c>
      <c r="B832" t="s">
        <v>11</v>
      </c>
      <c r="G832" t="s">
        <v>16</v>
      </c>
    </row>
    <row r="833" spans="1:7">
      <c r="A833" s="1">
        <f>HYPERLINK("https://cms.ls-nyc.org/matter/dynamic-profile/view/1884912","18-1884912")</f>
        <v>0</v>
      </c>
      <c r="B833" t="s">
        <v>9</v>
      </c>
      <c r="G833" t="s">
        <v>16</v>
      </c>
    </row>
    <row r="834" spans="1:7">
      <c r="A834" s="1">
        <f>HYPERLINK("https://cms.ls-nyc.org/matter/dynamic-profile/view/1900437","19-1900437")</f>
        <v>0</v>
      </c>
      <c r="B834" t="s">
        <v>8</v>
      </c>
      <c r="E834" t="s">
        <v>14</v>
      </c>
      <c r="G834" t="s">
        <v>17</v>
      </c>
    </row>
    <row r="835" spans="1:7">
      <c r="A835" s="1">
        <f>HYPERLINK("https://cms.ls-nyc.org/matter/dynamic-profile/view/1898865","19-1898865")</f>
        <v>0</v>
      </c>
      <c r="B835" t="s">
        <v>9</v>
      </c>
      <c r="G835" t="s">
        <v>16</v>
      </c>
    </row>
    <row r="836" spans="1:7">
      <c r="A836" s="1">
        <f>HYPERLINK("https://cms.ls-nyc.org/matter/dynamic-profile/view/1893852","19-1893852")</f>
        <v>0</v>
      </c>
      <c r="B836" t="s">
        <v>9</v>
      </c>
      <c r="G836" t="s">
        <v>16</v>
      </c>
    </row>
    <row r="837" spans="1:7">
      <c r="A837" s="1">
        <f>HYPERLINK("https://cms.ls-nyc.org/matter/dynamic-profile/view/1879377","18-1879377")</f>
        <v>0</v>
      </c>
      <c r="B837" t="s">
        <v>8</v>
      </c>
      <c r="G837" t="s">
        <v>16</v>
      </c>
    </row>
    <row r="838" spans="1:7">
      <c r="A838" s="1">
        <f>HYPERLINK("https://cms.ls-nyc.org/matter/dynamic-profile/view/1889330","19-1889330")</f>
        <v>0</v>
      </c>
      <c r="B838" t="s">
        <v>8</v>
      </c>
      <c r="G838" t="s">
        <v>16</v>
      </c>
    </row>
    <row r="839" spans="1:7">
      <c r="A839" s="1">
        <f>HYPERLINK("https://cms.ls-nyc.org/matter/dynamic-profile/view/1898897","19-1898897")</f>
        <v>0</v>
      </c>
      <c r="B839" t="s">
        <v>8</v>
      </c>
      <c r="G839" t="s">
        <v>16</v>
      </c>
    </row>
    <row r="840" spans="1:7">
      <c r="A840" s="1">
        <f>HYPERLINK("https://cms.ls-nyc.org/matter/dynamic-profile/view/1886471","18-1886471")</f>
        <v>0</v>
      </c>
      <c r="B840" t="s">
        <v>9</v>
      </c>
      <c r="G840" t="s">
        <v>16</v>
      </c>
    </row>
    <row r="841" spans="1:7">
      <c r="A841" s="1">
        <f>HYPERLINK("https://cms.ls-nyc.org/matter/dynamic-profile/view/1889077","19-1889077")</f>
        <v>0</v>
      </c>
      <c r="B841" t="s">
        <v>11</v>
      </c>
      <c r="G841" t="s">
        <v>16</v>
      </c>
    </row>
    <row r="842" spans="1:7">
      <c r="A842" s="1">
        <f>HYPERLINK("https://cms.ls-nyc.org/matter/dynamic-profile/view/1872431","18-1872431")</f>
        <v>0</v>
      </c>
      <c r="B842" t="s">
        <v>11</v>
      </c>
      <c r="G842" t="s">
        <v>16</v>
      </c>
    </row>
    <row r="843" spans="1:7">
      <c r="A843" s="1">
        <f>HYPERLINK("https://cms.ls-nyc.org/matter/dynamic-profile/view/1875194","18-1875194")</f>
        <v>0</v>
      </c>
      <c r="B843" t="s">
        <v>7</v>
      </c>
      <c r="G843" t="s">
        <v>16</v>
      </c>
    </row>
    <row r="844" spans="1:7">
      <c r="A844" s="1">
        <f>HYPERLINK("https://cms.ls-nyc.org/matter/dynamic-profile/view/1895881","19-1895881")</f>
        <v>0</v>
      </c>
      <c r="B844" t="s">
        <v>7</v>
      </c>
      <c r="G844" t="s">
        <v>16</v>
      </c>
    </row>
    <row r="845" spans="1:7">
      <c r="A845" s="1">
        <f>HYPERLINK("https://cms.ls-nyc.org/matter/dynamic-profile/view/1895324","19-1895324")</f>
        <v>0</v>
      </c>
      <c r="B845" t="s">
        <v>8</v>
      </c>
      <c r="G845" t="s">
        <v>16</v>
      </c>
    </row>
    <row r="846" spans="1:7">
      <c r="A846" s="1">
        <f>HYPERLINK("https://cms.ls-nyc.org/matter/dynamic-profile/view/1887202","19-1887202")</f>
        <v>0</v>
      </c>
      <c r="B846" t="s">
        <v>8</v>
      </c>
      <c r="F846" t="s">
        <v>15</v>
      </c>
      <c r="G846" t="s">
        <v>17</v>
      </c>
    </row>
    <row r="847" spans="1:7">
      <c r="A847" s="1">
        <f>HYPERLINK("https://cms.ls-nyc.org/matter/dynamic-profile/view/1880701","18-1880701")</f>
        <v>0</v>
      </c>
      <c r="B847" t="s">
        <v>8</v>
      </c>
      <c r="F847" t="s">
        <v>15</v>
      </c>
      <c r="G847" t="s">
        <v>17</v>
      </c>
    </row>
    <row r="848" spans="1:7">
      <c r="A848" s="1">
        <f>HYPERLINK("https://cms.ls-nyc.org/matter/dynamic-profile/view/1887819","19-1887819")</f>
        <v>0</v>
      </c>
      <c r="B848" t="s">
        <v>8</v>
      </c>
      <c r="G848" t="s">
        <v>16</v>
      </c>
    </row>
    <row r="849" spans="1:7">
      <c r="A849" s="1">
        <f>HYPERLINK("https://cms.ls-nyc.org/matter/dynamic-profile/view/1889053","19-1889053")</f>
        <v>0</v>
      </c>
      <c r="B849" t="s">
        <v>8</v>
      </c>
      <c r="F849" t="s">
        <v>15</v>
      </c>
      <c r="G849" t="s">
        <v>17</v>
      </c>
    </row>
    <row r="850" spans="1:7">
      <c r="A850" s="1">
        <f>HYPERLINK("https://cms.ls-nyc.org/matter/dynamic-profile/view/1893248","19-1893248")</f>
        <v>0</v>
      </c>
      <c r="B850" t="s">
        <v>8</v>
      </c>
      <c r="F850" t="s">
        <v>15</v>
      </c>
      <c r="G850" t="s">
        <v>17</v>
      </c>
    </row>
    <row r="851" spans="1:7">
      <c r="A851" s="1">
        <f>HYPERLINK("https://cms.ls-nyc.org/matter/dynamic-profile/view/1879591","18-1879591")</f>
        <v>0</v>
      </c>
      <c r="B851" t="s">
        <v>7</v>
      </c>
      <c r="G851" t="s">
        <v>16</v>
      </c>
    </row>
    <row r="852" spans="1:7">
      <c r="A852" s="1">
        <f>HYPERLINK("https://cms.ls-nyc.org/matter/dynamic-profile/view/1876456","18-1876456")</f>
        <v>0</v>
      </c>
      <c r="B852" t="s">
        <v>9</v>
      </c>
      <c r="G852" t="s">
        <v>16</v>
      </c>
    </row>
    <row r="853" spans="1:7">
      <c r="A853" s="1">
        <f>HYPERLINK("https://cms.ls-nyc.org/matter/dynamic-profile/view/1880595","18-1880595")</f>
        <v>0</v>
      </c>
      <c r="B853" t="s">
        <v>9</v>
      </c>
      <c r="G853" t="s">
        <v>16</v>
      </c>
    </row>
    <row r="854" spans="1:7">
      <c r="A854" s="1">
        <f>HYPERLINK("https://cms.ls-nyc.org/matter/dynamic-profile/view/1882287","18-1882287")</f>
        <v>0</v>
      </c>
      <c r="B854" t="s">
        <v>9</v>
      </c>
      <c r="G854" t="s">
        <v>16</v>
      </c>
    </row>
    <row r="855" spans="1:7">
      <c r="A855" s="1">
        <f>HYPERLINK("https://cms.ls-nyc.org/matter/dynamic-profile/view/1891713","19-1891713")</f>
        <v>0</v>
      </c>
      <c r="B855" t="s">
        <v>8</v>
      </c>
      <c r="G855" t="s">
        <v>16</v>
      </c>
    </row>
    <row r="856" spans="1:7">
      <c r="A856" s="1">
        <f>HYPERLINK("https://cms.ls-nyc.org/matter/dynamic-profile/view/1898722","19-1898722")</f>
        <v>0</v>
      </c>
      <c r="B856" t="s">
        <v>7</v>
      </c>
      <c r="G856" t="s">
        <v>16</v>
      </c>
    </row>
    <row r="857" spans="1:7">
      <c r="A857" s="1">
        <f>HYPERLINK("https://cms.ls-nyc.org/matter/dynamic-profile/view/1894868","19-1894868")</f>
        <v>0</v>
      </c>
      <c r="B857" t="s">
        <v>11</v>
      </c>
      <c r="G857" t="s">
        <v>16</v>
      </c>
    </row>
    <row r="858" spans="1:7">
      <c r="A858" s="1">
        <f>HYPERLINK("https://cms.ls-nyc.org/matter/dynamic-profile/view/1898093","19-1898093")</f>
        <v>0</v>
      </c>
      <c r="B858" t="s">
        <v>7</v>
      </c>
      <c r="G858" t="s">
        <v>16</v>
      </c>
    </row>
    <row r="859" spans="1:7">
      <c r="A859" s="1">
        <f>HYPERLINK("https://cms.ls-nyc.org/matter/dynamic-profile/view/1891985","19-1891985")</f>
        <v>0</v>
      </c>
      <c r="B859" t="s">
        <v>8</v>
      </c>
      <c r="F859" t="s">
        <v>15</v>
      </c>
      <c r="G859" t="s">
        <v>17</v>
      </c>
    </row>
    <row r="860" spans="1:7">
      <c r="A860" s="1">
        <f>HYPERLINK("https://cms.ls-nyc.org/matter/dynamic-profile/view/1889304","19-1889304")</f>
        <v>0</v>
      </c>
      <c r="B860" t="s">
        <v>8</v>
      </c>
      <c r="F860" t="s">
        <v>15</v>
      </c>
      <c r="G860" t="s">
        <v>17</v>
      </c>
    </row>
    <row r="861" spans="1:7">
      <c r="A861" s="1">
        <f>HYPERLINK("https://cms.ls-nyc.org/matter/dynamic-profile/view/1887762","19-1887762")</f>
        <v>0</v>
      </c>
      <c r="B861" t="s">
        <v>8</v>
      </c>
      <c r="E861" t="s">
        <v>14</v>
      </c>
      <c r="G861" t="s">
        <v>17</v>
      </c>
    </row>
    <row r="862" spans="1:7">
      <c r="A862" s="1">
        <f>HYPERLINK("https://cms.ls-nyc.org/matter/dynamic-profile/view/1871914","18-1871914")</f>
        <v>0</v>
      </c>
      <c r="B862" t="s">
        <v>9</v>
      </c>
      <c r="G862" t="s">
        <v>16</v>
      </c>
    </row>
    <row r="863" spans="1:7">
      <c r="A863" s="1">
        <f>HYPERLINK("https://cms.ls-nyc.org/matter/dynamic-profile/view/1883970","18-1883970")</f>
        <v>0</v>
      </c>
      <c r="B863" t="s">
        <v>9</v>
      </c>
      <c r="G863" t="s">
        <v>16</v>
      </c>
    </row>
    <row r="864" spans="1:7">
      <c r="A864" s="1">
        <f>HYPERLINK("https://cms.ls-nyc.org/matter/dynamic-profile/view/1888033","19-1888033")</f>
        <v>0</v>
      </c>
      <c r="B864" t="s">
        <v>11</v>
      </c>
      <c r="G864" t="s">
        <v>16</v>
      </c>
    </row>
    <row r="865" spans="1:7">
      <c r="A865" s="1">
        <f>HYPERLINK("https://cms.ls-nyc.org/matter/dynamic-profile/view/1897127","19-1897127")</f>
        <v>0</v>
      </c>
      <c r="B865" t="s">
        <v>10</v>
      </c>
      <c r="F865" t="s">
        <v>15</v>
      </c>
      <c r="G865" t="s">
        <v>17</v>
      </c>
    </row>
    <row r="866" spans="1:7">
      <c r="A866" s="1">
        <f>HYPERLINK("https://cms.ls-nyc.org/matter/dynamic-profile/view/1891471","19-1891471")</f>
        <v>0</v>
      </c>
      <c r="B866" t="s">
        <v>9</v>
      </c>
      <c r="G866" t="s">
        <v>16</v>
      </c>
    </row>
    <row r="867" spans="1:7">
      <c r="A867" s="1">
        <f>HYPERLINK("https://cms.ls-nyc.org/matter/dynamic-profile/view/1890002","19-1890002")</f>
        <v>0</v>
      </c>
      <c r="B867" t="s">
        <v>9</v>
      </c>
      <c r="G867" t="s">
        <v>16</v>
      </c>
    </row>
    <row r="868" spans="1:7">
      <c r="A868" s="1">
        <f>HYPERLINK("https://cms.ls-nyc.org/matter/dynamic-profile/view/1889998","19-1889998")</f>
        <v>0</v>
      </c>
      <c r="B868" t="s">
        <v>9</v>
      </c>
      <c r="G868" t="s">
        <v>16</v>
      </c>
    </row>
    <row r="869" spans="1:7">
      <c r="A869" s="1">
        <f>HYPERLINK("https://cms.ls-nyc.org/matter/dynamic-profile/view/1880333","18-1880333")</f>
        <v>0</v>
      </c>
      <c r="B869" t="s">
        <v>9</v>
      </c>
      <c r="G869" t="s">
        <v>16</v>
      </c>
    </row>
    <row r="870" spans="1:7">
      <c r="A870" s="1">
        <f>HYPERLINK("https://cms.ls-nyc.org/matter/dynamic-profile/view/1896815","19-1896815")</f>
        <v>0</v>
      </c>
      <c r="B870" t="s">
        <v>7</v>
      </c>
      <c r="G870" t="s">
        <v>16</v>
      </c>
    </row>
    <row r="871" spans="1:7">
      <c r="A871" s="1">
        <f>HYPERLINK("https://cms.ls-nyc.org/matter/dynamic-profile/view/1894123","19-1894123")</f>
        <v>0</v>
      </c>
      <c r="B871" t="s">
        <v>9</v>
      </c>
      <c r="G871" t="s">
        <v>16</v>
      </c>
    </row>
    <row r="872" spans="1:7">
      <c r="A872" s="1">
        <f>HYPERLINK("https://cms.ls-nyc.org/matter/dynamic-profile/view/1894220","19-1894220")</f>
        <v>0</v>
      </c>
      <c r="B872" t="s">
        <v>9</v>
      </c>
      <c r="G872" t="s">
        <v>16</v>
      </c>
    </row>
    <row r="873" spans="1:7">
      <c r="A873" s="1">
        <f>HYPERLINK("https://cms.ls-nyc.org/matter/dynamic-profile/view/1891498","19-1891498")</f>
        <v>0</v>
      </c>
      <c r="B873" t="s">
        <v>7</v>
      </c>
      <c r="G873" t="s">
        <v>16</v>
      </c>
    </row>
    <row r="874" spans="1:7">
      <c r="A874" s="1">
        <f>HYPERLINK("https://cms.ls-nyc.org/matter/dynamic-profile/view/1900776","19-1900776")</f>
        <v>0</v>
      </c>
      <c r="B874" t="s">
        <v>7</v>
      </c>
      <c r="G874" t="s">
        <v>16</v>
      </c>
    </row>
    <row r="875" spans="1:7">
      <c r="A875" s="1">
        <f>HYPERLINK("https://cms.ls-nyc.org/matter/dynamic-profile/view/1874385","18-1874385")</f>
        <v>0</v>
      </c>
      <c r="B875" t="s">
        <v>9</v>
      </c>
      <c r="G875" t="s">
        <v>16</v>
      </c>
    </row>
    <row r="876" spans="1:7">
      <c r="A876" s="1">
        <f>HYPERLINK("https://cms.ls-nyc.org/matter/dynamic-profile/view/1886735","18-1886735")</f>
        <v>0</v>
      </c>
      <c r="B876" t="s">
        <v>8</v>
      </c>
      <c r="G876" t="s">
        <v>16</v>
      </c>
    </row>
    <row r="877" spans="1:7">
      <c r="A877" s="1">
        <f>HYPERLINK("https://cms.ls-nyc.org/matter/dynamic-profile/view/1885163","18-1885163")</f>
        <v>0</v>
      </c>
      <c r="B877" t="s">
        <v>8</v>
      </c>
      <c r="G877" t="s">
        <v>16</v>
      </c>
    </row>
    <row r="878" spans="1:7">
      <c r="A878" s="1">
        <f>HYPERLINK("https://cms.ls-nyc.org/matter/dynamic-profile/view/1885151","18-1885151")</f>
        <v>0</v>
      </c>
      <c r="B878" t="s">
        <v>8</v>
      </c>
      <c r="G878" t="s">
        <v>16</v>
      </c>
    </row>
    <row r="879" spans="1:7">
      <c r="A879" s="1">
        <f>HYPERLINK("https://cms.ls-nyc.org/matter/dynamic-profile/view/1885030","18-1885030")</f>
        <v>0</v>
      </c>
      <c r="B879" t="s">
        <v>8</v>
      </c>
      <c r="G879" t="s">
        <v>16</v>
      </c>
    </row>
    <row r="880" spans="1:7">
      <c r="A880" s="1">
        <f>HYPERLINK("https://cms.ls-nyc.org/matter/dynamic-profile/view/1864586","18-1864586")</f>
        <v>0</v>
      </c>
      <c r="B880" t="s">
        <v>9</v>
      </c>
      <c r="G880" t="s">
        <v>16</v>
      </c>
    </row>
    <row r="881" spans="1:7">
      <c r="A881" s="1">
        <f>HYPERLINK("https://cms.ls-nyc.org/matter/dynamic-profile/view/1888130","19-1888130")</f>
        <v>0</v>
      </c>
      <c r="B881" t="s">
        <v>9</v>
      </c>
      <c r="G881" t="s">
        <v>16</v>
      </c>
    </row>
    <row r="882" spans="1:7">
      <c r="A882" s="1">
        <f>HYPERLINK("https://cms.ls-nyc.org/matter/dynamic-profile/view/1896243","19-1896243")</f>
        <v>0</v>
      </c>
      <c r="B882" t="s">
        <v>7</v>
      </c>
      <c r="G882" t="s">
        <v>16</v>
      </c>
    </row>
    <row r="883" spans="1:7">
      <c r="A883" s="1">
        <f>HYPERLINK("https://cms.ls-nyc.org/matter/dynamic-profile/view/1896249","19-1896249")</f>
        <v>0</v>
      </c>
      <c r="B883" t="s">
        <v>7</v>
      </c>
      <c r="G883" t="s">
        <v>16</v>
      </c>
    </row>
    <row r="884" spans="1:7">
      <c r="A884" s="1">
        <f>HYPERLINK("https://cms.ls-nyc.org/matter/dynamic-profile/view/1891980","19-1891980")</f>
        <v>0</v>
      </c>
      <c r="B884" t="s">
        <v>8</v>
      </c>
      <c r="F884" t="s">
        <v>15</v>
      </c>
      <c r="G884" t="s">
        <v>17</v>
      </c>
    </row>
    <row r="885" spans="1:7">
      <c r="A885" s="1">
        <f>HYPERLINK("https://cms.ls-nyc.org/matter/dynamic-profile/view/1888040","19-1888040")</f>
        <v>0</v>
      </c>
      <c r="B885" t="s">
        <v>11</v>
      </c>
      <c r="F885" t="s">
        <v>15</v>
      </c>
      <c r="G885" t="s">
        <v>17</v>
      </c>
    </row>
    <row r="886" spans="1:7">
      <c r="A886" s="1">
        <f>HYPERLINK("https://cms.ls-nyc.org/matter/dynamic-profile/view/1882853","18-1882853")</f>
        <v>0</v>
      </c>
      <c r="B886" t="s">
        <v>8</v>
      </c>
      <c r="F886" t="s">
        <v>15</v>
      </c>
      <c r="G886" t="s">
        <v>17</v>
      </c>
    </row>
    <row r="887" spans="1:7">
      <c r="A887" s="1">
        <f>HYPERLINK("https://cms.ls-nyc.org/matter/dynamic-profile/view/1866069","18-1866069")</f>
        <v>0</v>
      </c>
      <c r="B887" t="s">
        <v>9</v>
      </c>
      <c r="G887" t="s">
        <v>16</v>
      </c>
    </row>
    <row r="888" spans="1:7">
      <c r="A888" s="1">
        <f>HYPERLINK("https://cms.ls-nyc.org/matter/dynamic-profile/view/1881986","18-1881986")</f>
        <v>0</v>
      </c>
      <c r="B888" t="s">
        <v>10</v>
      </c>
      <c r="G888" t="s">
        <v>16</v>
      </c>
    </row>
    <row r="889" spans="1:7">
      <c r="A889" s="1">
        <f>HYPERLINK("https://cms.ls-nyc.org/matter/dynamic-profile/view/1873228","18-1873228")</f>
        <v>0</v>
      </c>
      <c r="B889" t="s">
        <v>9</v>
      </c>
      <c r="G889" t="s">
        <v>16</v>
      </c>
    </row>
    <row r="890" spans="1:7">
      <c r="A890" s="1">
        <f>HYPERLINK("https://cms.ls-nyc.org/matter/dynamic-profile/view/1871654","18-1871654")</f>
        <v>0</v>
      </c>
      <c r="B890" t="s">
        <v>10</v>
      </c>
      <c r="E890" t="s">
        <v>14</v>
      </c>
      <c r="F890" t="s">
        <v>15</v>
      </c>
      <c r="G890" t="s">
        <v>17</v>
      </c>
    </row>
    <row r="891" spans="1:7">
      <c r="A891" s="1">
        <f>HYPERLINK("https://cms.ls-nyc.org/matter/dynamic-profile/view/1887744","19-1887744")</f>
        <v>0</v>
      </c>
      <c r="B891" t="s">
        <v>8</v>
      </c>
      <c r="G891" t="s">
        <v>16</v>
      </c>
    </row>
    <row r="892" spans="1:7">
      <c r="A892" s="1">
        <f>HYPERLINK("https://cms.ls-nyc.org/matter/dynamic-profile/view/1881809","18-1881809")</f>
        <v>0</v>
      </c>
      <c r="B892" t="s">
        <v>9</v>
      </c>
      <c r="G892" t="s">
        <v>16</v>
      </c>
    </row>
    <row r="893" spans="1:7">
      <c r="A893" s="1">
        <f>HYPERLINK("https://cms.ls-nyc.org/matter/dynamic-profile/view/1877083","18-1877083")</f>
        <v>0</v>
      </c>
      <c r="B893" t="s">
        <v>7</v>
      </c>
      <c r="G893" t="s">
        <v>16</v>
      </c>
    </row>
    <row r="894" spans="1:7">
      <c r="A894" s="1">
        <f>HYPERLINK("https://cms.ls-nyc.org/matter/dynamic-profile/view/1897119","19-1897119")</f>
        <v>0</v>
      </c>
      <c r="B894" t="s">
        <v>7</v>
      </c>
      <c r="G894" t="s">
        <v>16</v>
      </c>
    </row>
    <row r="895" spans="1:7">
      <c r="A895" s="1">
        <f>HYPERLINK("https://cms.ls-nyc.org/matter/dynamic-profile/view/1897230","19-1897230")</f>
        <v>0</v>
      </c>
      <c r="B895" t="s">
        <v>7</v>
      </c>
      <c r="G895" t="s">
        <v>16</v>
      </c>
    </row>
    <row r="896" spans="1:7">
      <c r="A896" s="1">
        <f>HYPERLINK("https://cms.ls-nyc.org/matter/dynamic-profile/view/1891259","19-1891259")</f>
        <v>0</v>
      </c>
      <c r="B896" t="s">
        <v>7</v>
      </c>
      <c r="F896" t="s">
        <v>15</v>
      </c>
      <c r="G896" t="s">
        <v>17</v>
      </c>
    </row>
    <row r="897" spans="1:7">
      <c r="A897" s="1">
        <f>HYPERLINK("https://cms.ls-nyc.org/matter/dynamic-profile/view/1889923","19-1889923")</f>
        <v>0</v>
      </c>
      <c r="B897" t="s">
        <v>9</v>
      </c>
      <c r="F897" t="s">
        <v>15</v>
      </c>
      <c r="G897" t="s">
        <v>17</v>
      </c>
    </row>
    <row r="898" spans="1:7">
      <c r="A898" s="1">
        <f>HYPERLINK("https://cms.ls-nyc.org/matter/dynamic-profile/view/1894505","19-1894505")</f>
        <v>0</v>
      </c>
      <c r="B898" t="s">
        <v>9</v>
      </c>
      <c r="F898" t="s">
        <v>15</v>
      </c>
      <c r="G898" t="s">
        <v>17</v>
      </c>
    </row>
    <row r="899" spans="1:7">
      <c r="A899" s="1">
        <f>HYPERLINK("https://cms.ls-nyc.org/matter/dynamic-profile/view/1887831","19-1887831")</f>
        <v>0</v>
      </c>
      <c r="B899" t="s">
        <v>8</v>
      </c>
      <c r="G899" t="s">
        <v>16</v>
      </c>
    </row>
    <row r="900" spans="1:7">
      <c r="A900" s="1">
        <f>HYPERLINK("https://cms.ls-nyc.org/matter/dynamic-profile/view/1875921","18-1875921")</f>
        <v>0</v>
      </c>
      <c r="B900" t="s">
        <v>8</v>
      </c>
      <c r="G900" t="s">
        <v>16</v>
      </c>
    </row>
    <row r="901" spans="1:7">
      <c r="A901" s="1">
        <f>HYPERLINK("https://cms.ls-nyc.org/matter/dynamic-profile/view/1895332","19-1895332")</f>
        <v>0</v>
      </c>
      <c r="B901" t="s">
        <v>9</v>
      </c>
      <c r="G901" t="s">
        <v>16</v>
      </c>
    </row>
    <row r="902" spans="1:7">
      <c r="A902" s="1">
        <f>HYPERLINK("https://cms.ls-nyc.org/matter/dynamic-profile/view/1872335","18-1872335")</f>
        <v>0</v>
      </c>
      <c r="B902" t="s">
        <v>9</v>
      </c>
      <c r="G902" t="s">
        <v>16</v>
      </c>
    </row>
    <row r="903" spans="1:7">
      <c r="A903" s="1">
        <f>HYPERLINK("https://cms.ls-nyc.org/matter/dynamic-profile/view/1898008","19-1898008")</f>
        <v>0</v>
      </c>
      <c r="B903" t="s">
        <v>8</v>
      </c>
      <c r="G903" t="s">
        <v>16</v>
      </c>
    </row>
    <row r="904" spans="1:7">
      <c r="A904" s="1">
        <f>HYPERLINK("https://cms.ls-nyc.org/matter/dynamic-profile/view/1881919","18-1881919")</f>
        <v>0</v>
      </c>
      <c r="B904" t="s">
        <v>9</v>
      </c>
      <c r="G904" t="s">
        <v>16</v>
      </c>
    </row>
    <row r="905" spans="1:7">
      <c r="A905" s="1">
        <f>HYPERLINK("https://cms.ls-nyc.org/matter/dynamic-profile/view/1879852","18-1879852")</f>
        <v>0</v>
      </c>
      <c r="B905" t="s">
        <v>11</v>
      </c>
      <c r="G905" t="s">
        <v>16</v>
      </c>
    </row>
    <row r="906" spans="1:7">
      <c r="A906" s="1">
        <f>HYPERLINK("https://cms.ls-nyc.org/matter/dynamic-profile/view/1886339","18-1886339")</f>
        <v>0</v>
      </c>
      <c r="B906" t="s">
        <v>9</v>
      </c>
      <c r="G906" t="s">
        <v>16</v>
      </c>
    </row>
    <row r="907" spans="1:7">
      <c r="A907" s="1">
        <f>HYPERLINK("https://cms.ls-nyc.org/matter/dynamic-profile/view/1886340","18-1886340")</f>
        <v>0</v>
      </c>
      <c r="B907" t="s">
        <v>9</v>
      </c>
      <c r="G907" t="s">
        <v>16</v>
      </c>
    </row>
    <row r="908" spans="1:7">
      <c r="A908" s="1">
        <f>HYPERLINK("https://cms.ls-nyc.org/matter/dynamic-profile/view/1885942","18-1885942")</f>
        <v>0</v>
      </c>
      <c r="B908" t="s">
        <v>11</v>
      </c>
      <c r="G908" t="s">
        <v>16</v>
      </c>
    </row>
    <row r="909" spans="1:7">
      <c r="A909" s="1">
        <f>HYPERLINK("https://cms.ls-nyc.org/matter/dynamic-profile/view/1889325","19-1889325")</f>
        <v>0</v>
      </c>
      <c r="B909" t="s">
        <v>8</v>
      </c>
      <c r="C909" t="s">
        <v>12</v>
      </c>
      <c r="G909" t="s">
        <v>17</v>
      </c>
    </row>
    <row r="910" spans="1:7">
      <c r="A910" s="1">
        <f>HYPERLINK("https://cms.ls-nyc.org/matter/dynamic-profile/view/1881520","18-1881520")</f>
        <v>0</v>
      </c>
      <c r="B910" t="s">
        <v>8</v>
      </c>
      <c r="G910" t="s">
        <v>16</v>
      </c>
    </row>
    <row r="911" spans="1:7">
      <c r="A911" s="1">
        <f>HYPERLINK("https://cms.ls-nyc.org/matter/dynamic-profile/view/1885309","18-1885309")</f>
        <v>0</v>
      </c>
      <c r="B911" t="s">
        <v>8</v>
      </c>
      <c r="G911" t="s">
        <v>16</v>
      </c>
    </row>
    <row r="912" spans="1:7">
      <c r="A912" s="1">
        <f>HYPERLINK("https://cms.ls-nyc.org/matter/dynamic-profile/view/1871577","18-1871577")</f>
        <v>0</v>
      </c>
      <c r="B912" t="s">
        <v>11</v>
      </c>
      <c r="G912" t="s">
        <v>16</v>
      </c>
    </row>
    <row r="913" spans="1:7">
      <c r="A913" s="1">
        <f>HYPERLINK("https://cms.ls-nyc.org/matter/dynamic-profile/view/1873805","18-1873805")</f>
        <v>0</v>
      </c>
      <c r="B913" t="s">
        <v>11</v>
      </c>
      <c r="G913" t="s">
        <v>16</v>
      </c>
    </row>
    <row r="914" spans="1:7">
      <c r="A914" s="1">
        <f>HYPERLINK("https://cms.ls-nyc.org/matter/dynamic-profile/view/1885969","18-1885969")</f>
        <v>0</v>
      </c>
      <c r="B914" t="s">
        <v>9</v>
      </c>
      <c r="G914" t="s">
        <v>16</v>
      </c>
    </row>
    <row r="915" spans="1:7">
      <c r="A915" s="1">
        <f>HYPERLINK("https://cms.ls-nyc.org/matter/dynamic-profile/view/1899950","19-1899950")</f>
        <v>0</v>
      </c>
      <c r="B915" t="s">
        <v>7</v>
      </c>
      <c r="G915" t="s">
        <v>16</v>
      </c>
    </row>
    <row r="916" spans="1:7">
      <c r="A916" s="1">
        <f>HYPERLINK("https://cms.ls-nyc.org/matter/dynamic-profile/view/1886946","19-1886946")</f>
        <v>0</v>
      </c>
      <c r="B916" t="s">
        <v>9</v>
      </c>
      <c r="G916" t="s">
        <v>16</v>
      </c>
    </row>
    <row r="917" spans="1:7">
      <c r="A917" s="1">
        <f>HYPERLINK("https://cms.ls-nyc.org/matter/dynamic-profile/view/1876863","18-1876863")</f>
        <v>0</v>
      </c>
      <c r="B917" t="s">
        <v>9</v>
      </c>
      <c r="G917" t="s">
        <v>16</v>
      </c>
    </row>
    <row r="918" spans="1:7">
      <c r="A918" s="1">
        <f>HYPERLINK("https://cms.ls-nyc.org/matter/dynamic-profile/view/1876929","18-1876929")</f>
        <v>0</v>
      </c>
      <c r="B918" t="s">
        <v>9</v>
      </c>
      <c r="G918" t="s">
        <v>16</v>
      </c>
    </row>
    <row r="919" spans="1:7">
      <c r="A919" s="1">
        <f>HYPERLINK("https://cms.ls-nyc.org/matter/dynamic-profile/view/1882288","18-1882288")</f>
        <v>0</v>
      </c>
      <c r="B919" t="s">
        <v>8</v>
      </c>
      <c r="G919" t="s">
        <v>16</v>
      </c>
    </row>
    <row r="920" spans="1:7">
      <c r="A920" s="1">
        <f>HYPERLINK("https://cms.ls-nyc.org/matter/dynamic-profile/view/1887040","19-1887040")</f>
        <v>0</v>
      </c>
      <c r="B920" t="s">
        <v>9</v>
      </c>
      <c r="C920" t="s">
        <v>12</v>
      </c>
      <c r="E920" t="s">
        <v>14</v>
      </c>
      <c r="G920" t="s">
        <v>17</v>
      </c>
    </row>
    <row r="921" spans="1:7">
      <c r="A921" s="1">
        <f>HYPERLINK("https://cms.ls-nyc.org/matter/dynamic-profile/view/1883368","18-1883368")</f>
        <v>0</v>
      </c>
      <c r="B921" t="s">
        <v>9</v>
      </c>
      <c r="G921" t="s">
        <v>16</v>
      </c>
    </row>
    <row r="922" spans="1:7">
      <c r="A922" s="1">
        <f>HYPERLINK("https://cms.ls-nyc.org/matter/dynamic-profile/view/1887093","19-1887093")</f>
        <v>0</v>
      </c>
      <c r="B922" t="s">
        <v>9</v>
      </c>
      <c r="G922" t="s">
        <v>16</v>
      </c>
    </row>
    <row r="923" spans="1:7">
      <c r="A923" s="1">
        <f>HYPERLINK("https://cms.ls-nyc.org/matter/dynamic-profile/view/1896456","19-1896456")</f>
        <v>0</v>
      </c>
      <c r="B923" t="s">
        <v>8</v>
      </c>
      <c r="G923" t="s">
        <v>16</v>
      </c>
    </row>
    <row r="924" spans="1:7">
      <c r="A924" s="1">
        <f>HYPERLINK("https://cms.ls-nyc.org/matter/dynamic-profile/view/1886087","18-1886087")</f>
        <v>0</v>
      </c>
      <c r="B924" t="s">
        <v>10</v>
      </c>
      <c r="G924" t="s">
        <v>16</v>
      </c>
    </row>
    <row r="925" spans="1:7">
      <c r="A925" s="1">
        <f>HYPERLINK("https://cms.ls-nyc.org/matter/dynamic-profile/view/1873518","18-1873518")</f>
        <v>0</v>
      </c>
      <c r="B925" t="s">
        <v>7</v>
      </c>
      <c r="F925" t="s">
        <v>15</v>
      </c>
      <c r="G925" t="s">
        <v>17</v>
      </c>
    </row>
    <row r="926" spans="1:7">
      <c r="A926" s="1">
        <f>HYPERLINK("https://cms.ls-nyc.org/matter/dynamic-profile/view/1873740","18-1873740")</f>
        <v>0</v>
      </c>
      <c r="B926" t="s">
        <v>11</v>
      </c>
      <c r="G926" t="s">
        <v>16</v>
      </c>
    </row>
    <row r="927" spans="1:7">
      <c r="A927" s="1">
        <f>HYPERLINK("https://cms.ls-nyc.org/matter/dynamic-profile/view/1898056","19-1898056")</f>
        <v>0</v>
      </c>
      <c r="B927" t="s">
        <v>7</v>
      </c>
      <c r="G927" t="s">
        <v>16</v>
      </c>
    </row>
    <row r="928" spans="1:7">
      <c r="A928" s="1">
        <f>HYPERLINK("https://cms.ls-nyc.org/matter/dynamic-profile/view/1881620","18-1881620")</f>
        <v>0</v>
      </c>
      <c r="B928" t="s">
        <v>10</v>
      </c>
      <c r="G928" t="s">
        <v>16</v>
      </c>
    </row>
    <row r="929" spans="1:7">
      <c r="A929" s="1">
        <f>HYPERLINK("https://cms.ls-nyc.org/matter/dynamic-profile/view/1882611","18-1882611")</f>
        <v>0</v>
      </c>
      <c r="B929" t="s">
        <v>11</v>
      </c>
      <c r="G929" t="s">
        <v>16</v>
      </c>
    </row>
    <row r="930" spans="1:7">
      <c r="A930" s="1">
        <f>HYPERLINK("https://cms.ls-nyc.org/matter/dynamic-profile/view/1885649","18-1885649")</f>
        <v>0</v>
      </c>
      <c r="B930" t="s">
        <v>7</v>
      </c>
      <c r="G930" t="s">
        <v>16</v>
      </c>
    </row>
    <row r="931" spans="1:7">
      <c r="A931" s="1">
        <f>HYPERLINK("https://cms.ls-nyc.org/matter/dynamic-profile/view/1874463","18-1874463")</f>
        <v>0</v>
      </c>
      <c r="B931" t="s">
        <v>8</v>
      </c>
      <c r="G931" t="s">
        <v>16</v>
      </c>
    </row>
    <row r="932" spans="1:7">
      <c r="A932" s="1">
        <f>HYPERLINK("https://cms.ls-nyc.org/matter/dynamic-profile/view/1873655","18-1873655")</f>
        <v>0</v>
      </c>
      <c r="B932" t="s">
        <v>7</v>
      </c>
      <c r="G932" t="s">
        <v>16</v>
      </c>
    </row>
    <row r="933" spans="1:7">
      <c r="A933" s="1">
        <f>HYPERLINK("https://cms.ls-nyc.org/matter/dynamic-profile/view/1880276","18-1880276")</f>
        <v>0</v>
      </c>
      <c r="B933" t="s">
        <v>9</v>
      </c>
      <c r="F933" t="s">
        <v>15</v>
      </c>
      <c r="G933" t="s">
        <v>17</v>
      </c>
    </row>
    <row r="934" spans="1:7">
      <c r="A934" s="1">
        <f>HYPERLINK("https://cms.ls-nyc.org/matter/dynamic-profile/view/1871877","18-1871877")</f>
        <v>0</v>
      </c>
      <c r="B934" t="s">
        <v>9</v>
      </c>
      <c r="G934" t="s">
        <v>16</v>
      </c>
    </row>
    <row r="935" spans="1:7">
      <c r="A935" s="1">
        <f>HYPERLINK("https://cms.ls-nyc.org/matter/dynamic-profile/view/1890404","19-1890404")</f>
        <v>0</v>
      </c>
      <c r="B935" t="s">
        <v>9</v>
      </c>
      <c r="G935" t="s">
        <v>16</v>
      </c>
    </row>
    <row r="936" spans="1:7">
      <c r="A936" s="1">
        <f>HYPERLINK("https://cms.ls-nyc.org/matter/dynamic-profile/view/1893334","19-1893334")</f>
        <v>0</v>
      </c>
      <c r="B936" t="s">
        <v>8</v>
      </c>
      <c r="F936" t="s">
        <v>15</v>
      </c>
      <c r="G936" t="s">
        <v>17</v>
      </c>
    </row>
    <row r="937" spans="1:7">
      <c r="A937" s="1">
        <f>HYPERLINK("https://cms.ls-nyc.org/matter/dynamic-profile/view/1893338","19-1893338")</f>
        <v>0</v>
      </c>
      <c r="B937" t="s">
        <v>8</v>
      </c>
      <c r="F937" t="s">
        <v>15</v>
      </c>
      <c r="G937" t="s">
        <v>17</v>
      </c>
    </row>
    <row r="938" spans="1:7">
      <c r="A938" s="1">
        <f>HYPERLINK("https://cms.ls-nyc.org/matter/dynamic-profile/view/1888851","19-1888851")</f>
        <v>0</v>
      </c>
      <c r="B938" t="s">
        <v>11</v>
      </c>
      <c r="G938" t="s">
        <v>16</v>
      </c>
    </row>
    <row r="939" spans="1:7">
      <c r="A939" s="1">
        <f>HYPERLINK("https://cms.ls-nyc.org/matter/dynamic-profile/view/1878802","18-1878802")</f>
        <v>0</v>
      </c>
      <c r="B939" t="s">
        <v>11</v>
      </c>
      <c r="G939" t="s">
        <v>16</v>
      </c>
    </row>
    <row r="940" spans="1:7">
      <c r="A940" s="1">
        <f>HYPERLINK("https://cms.ls-nyc.org/matter/dynamic-profile/view/1839675","17-1839675")</f>
        <v>0</v>
      </c>
      <c r="B940" t="s">
        <v>8</v>
      </c>
      <c r="F940" t="s">
        <v>15</v>
      </c>
      <c r="G940" t="s">
        <v>17</v>
      </c>
    </row>
    <row r="941" spans="1:7">
      <c r="A941" s="1">
        <f>HYPERLINK("https://cms.ls-nyc.org/matter/dynamic-profile/view/1896674","19-1896674")</f>
        <v>0</v>
      </c>
      <c r="B941" t="s">
        <v>9</v>
      </c>
      <c r="G941" t="s">
        <v>16</v>
      </c>
    </row>
    <row r="942" spans="1:7">
      <c r="A942" s="1">
        <f>HYPERLINK("https://cms.ls-nyc.org/matter/dynamic-profile/view/1887126","19-1887126")</f>
        <v>0</v>
      </c>
      <c r="B942" t="s">
        <v>8</v>
      </c>
      <c r="C942" t="s">
        <v>12</v>
      </c>
      <c r="G942" t="s">
        <v>17</v>
      </c>
    </row>
    <row r="943" spans="1:7">
      <c r="A943" s="1">
        <f>HYPERLINK("https://cms.ls-nyc.org/matter/dynamic-profile/view/1893172","19-1893172")</f>
        <v>0</v>
      </c>
      <c r="B943" t="s">
        <v>7</v>
      </c>
      <c r="G943" t="s">
        <v>16</v>
      </c>
    </row>
    <row r="944" spans="1:7">
      <c r="A944" s="1">
        <f>HYPERLINK("https://cms.ls-nyc.org/matter/dynamic-profile/view/1893180","19-1893180")</f>
        <v>0</v>
      </c>
      <c r="B944" t="s">
        <v>7</v>
      </c>
      <c r="G944" t="s">
        <v>16</v>
      </c>
    </row>
    <row r="945" spans="1:7">
      <c r="A945" s="1">
        <f>HYPERLINK("https://cms.ls-nyc.org/matter/dynamic-profile/view/1879823","18-1879823")</f>
        <v>0</v>
      </c>
      <c r="B945" t="s">
        <v>8</v>
      </c>
      <c r="F945" t="s">
        <v>15</v>
      </c>
      <c r="G945" t="s">
        <v>17</v>
      </c>
    </row>
    <row r="946" spans="1:7">
      <c r="A946" s="1">
        <f>HYPERLINK("https://cms.ls-nyc.org/matter/dynamic-profile/view/1873121","18-1873121")</f>
        <v>0</v>
      </c>
      <c r="B946" t="s">
        <v>7</v>
      </c>
      <c r="F946" t="s">
        <v>15</v>
      </c>
      <c r="G946" t="s">
        <v>17</v>
      </c>
    </row>
    <row r="947" spans="1:7">
      <c r="A947" s="1">
        <f>HYPERLINK("https://cms.ls-nyc.org/matter/dynamic-profile/view/1870806","18-1870806")</f>
        <v>0</v>
      </c>
      <c r="B947" t="s">
        <v>7</v>
      </c>
      <c r="G947" t="s">
        <v>16</v>
      </c>
    </row>
    <row r="948" spans="1:7">
      <c r="A948" s="1">
        <f>HYPERLINK("https://cms.ls-nyc.org/matter/dynamic-profile/view/1883266","18-1883266")</f>
        <v>0</v>
      </c>
      <c r="B948" t="s">
        <v>11</v>
      </c>
      <c r="G948" t="s">
        <v>16</v>
      </c>
    </row>
    <row r="949" spans="1:7">
      <c r="A949" s="1">
        <f>HYPERLINK("https://cms.ls-nyc.org/matter/dynamic-profile/view/1875269","18-1875269")</f>
        <v>0</v>
      </c>
      <c r="B949" t="s">
        <v>9</v>
      </c>
      <c r="G949" t="s">
        <v>16</v>
      </c>
    </row>
    <row r="950" spans="1:7">
      <c r="A950" s="1">
        <f>HYPERLINK("https://cms.ls-nyc.org/matter/dynamic-profile/view/1875646","18-1875646")</f>
        <v>0</v>
      </c>
      <c r="B950" t="s">
        <v>9</v>
      </c>
      <c r="G950" t="s">
        <v>16</v>
      </c>
    </row>
    <row r="951" spans="1:7">
      <c r="A951" s="1">
        <f>HYPERLINK("https://cms.ls-nyc.org/matter/dynamic-profile/view/1875606","18-1875606")</f>
        <v>0</v>
      </c>
      <c r="B951" t="s">
        <v>9</v>
      </c>
      <c r="G951" t="s">
        <v>16</v>
      </c>
    </row>
    <row r="952" spans="1:7">
      <c r="A952" s="1">
        <f>HYPERLINK("https://cms.ls-nyc.org/matter/dynamic-profile/view/1872737","18-1872737")</f>
        <v>0</v>
      </c>
      <c r="B952" t="s">
        <v>9</v>
      </c>
      <c r="G952" t="s">
        <v>16</v>
      </c>
    </row>
    <row r="953" spans="1:7">
      <c r="A953" s="1">
        <f>HYPERLINK("https://cms.ls-nyc.org/matter/dynamic-profile/view/1879141","18-1879141")</f>
        <v>0</v>
      </c>
      <c r="B953" t="s">
        <v>9</v>
      </c>
      <c r="G953" t="s">
        <v>16</v>
      </c>
    </row>
    <row r="954" spans="1:7">
      <c r="A954" s="1">
        <f>HYPERLINK("https://cms.ls-nyc.org/matter/dynamic-profile/view/1887512","19-1887512")</f>
        <v>0</v>
      </c>
      <c r="B954" t="s">
        <v>8</v>
      </c>
      <c r="G954" t="s">
        <v>16</v>
      </c>
    </row>
    <row r="955" spans="1:7">
      <c r="A955" s="1">
        <f>HYPERLINK("https://cms.ls-nyc.org/matter/dynamic-profile/view/1880771","18-1880771")</f>
        <v>0</v>
      </c>
      <c r="B955" t="s">
        <v>9</v>
      </c>
      <c r="G955" t="s">
        <v>16</v>
      </c>
    </row>
    <row r="956" spans="1:7">
      <c r="A956" s="1">
        <f>HYPERLINK("https://cms.ls-nyc.org/matter/dynamic-profile/view/1890698","19-1890698")</f>
        <v>0</v>
      </c>
      <c r="B956" t="s">
        <v>11</v>
      </c>
      <c r="G956" t="s">
        <v>16</v>
      </c>
    </row>
    <row r="957" spans="1:7">
      <c r="A957" s="1">
        <f>HYPERLINK("https://cms.ls-nyc.org/matter/dynamic-profile/view/1890654","19-1890654")</f>
        <v>0</v>
      </c>
      <c r="B957" t="s">
        <v>9</v>
      </c>
      <c r="G957" t="s">
        <v>16</v>
      </c>
    </row>
    <row r="958" spans="1:7">
      <c r="A958" s="1">
        <f>HYPERLINK("https://cms.ls-nyc.org/matter/dynamic-profile/view/1872300","18-1872300")</f>
        <v>0</v>
      </c>
      <c r="B958" t="s">
        <v>9</v>
      </c>
      <c r="G958" t="s">
        <v>16</v>
      </c>
    </row>
    <row r="959" spans="1:7">
      <c r="A959" s="1">
        <f>HYPERLINK("https://cms.ls-nyc.org/matter/dynamic-profile/view/1879532","18-1879532")</f>
        <v>0</v>
      </c>
      <c r="B959" t="s">
        <v>9</v>
      </c>
      <c r="G959" t="s">
        <v>16</v>
      </c>
    </row>
    <row r="960" spans="1:7">
      <c r="A960" s="1">
        <f>HYPERLINK("https://cms.ls-nyc.org/matter/dynamic-profile/view/1892955","19-1892955")</f>
        <v>0</v>
      </c>
      <c r="B960" t="s">
        <v>7</v>
      </c>
      <c r="G960" t="s">
        <v>16</v>
      </c>
    </row>
    <row r="961" spans="1:7">
      <c r="A961" s="1">
        <f>HYPERLINK("https://cms.ls-nyc.org/matter/dynamic-profile/view/1872795","18-1872795")</f>
        <v>0</v>
      </c>
      <c r="B961" t="s">
        <v>8</v>
      </c>
      <c r="G961" t="s">
        <v>16</v>
      </c>
    </row>
    <row r="962" spans="1:7">
      <c r="A962" s="1">
        <f>HYPERLINK("https://cms.ls-nyc.org/matter/dynamic-profile/view/1901153","19-1901153")</f>
        <v>0</v>
      </c>
      <c r="B962" t="s">
        <v>7</v>
      </c>
      <c r="G962" t="s">
        <v>16</v>
      </c>
    </row>
    <row r="963" spans="1:7">
      <c r="A963" s="1">
        <f>HYPERLINK("https://cms.ls-nyc.org/matter/dynamic-profile/view/1890395","19-1890395")</f>
        <v>0</v>
      </c>
      <c r="B963" t="s">
        <v>9</v>
      </c>
      <c r="G963" t="s">
        <v>16</v>
      </c>
    </row>
    <row r="964" spans="1:7">
      <c r="A964" s="1">
        <f>HYPERLINK("https://cms.ls-nyc.org/matter/dynamic-profile/view/1890394","18-1890394")</f>
        <v>0</v>
      </c>
      <c r="B964" t="s">
        <v>9</v>
      </c>
      <c r="G964" t="s">
        <v>16</v>
      </c>
    </row>
    <row r="965" spans="1:7">
      <c r="A965" s="1">
        <f>HYPERLINK("https://cms.ls-nyc.org/matter/dynamic-profile/view/1895718","19-1895718")</f>
        <v>0</v>
      </c>
      <c r="B965" t="s">
        <v>7</v>
      </c>
      <c r="G965" t="s">
        <v>16</v>
      </c>
    </row>
    <row r="966" spans="1:7">
      <c r="A966" s="1">
        <f>HYPERLINK("https://cms.ls-nyc.org/matter/dynamic-profile/view/1895748","19-1895748")</f>
        <v>0</v>
      </c>
      <c r="B966" t="s">
        <v>7</v>
      </c>
      <c r="G966" t="s">
        <v>16</v>
      </c>
    </row>
    <row r="967" spans="1:7">
      <c r="A967" s="1">
        <f>HYPERLINK("https://cms.ls-nyc.org/matter/dynamic-profile/view/1880263","18-1880263")</f>
        <v>0</v>
      </c>
      <c r="B967" t="s">
        <v>8</v>
      </c>
      <c r="G967" t="s">
        <v>16</v>
      </c>
    </row>
    <row r="968" spans="1:7">
      <c r="A968" s="1">
        <f>HYPERLINK("https://cms.ls-nyc.org/matter/dynamic-profile/view/1900583","19-1900583")</f>
        <v>0</v>
      </c>
      <c r="B968" t="s">
        <v>11</v>
      </c>
      <c r="G968" t="s">
        <v>16</v>
      </c>
    </row>
    <row r="969" spans="1:7">
      <c r="A969" s="1">
        <f>HYPERLINK("https://cms.ls-nyc.org/matter/dynamic-profile/view/1887981","19-1887981")</f>
        <v>0</v>
      </c>
      <c r="B969" t="s">
        <v>8</v>
      </c>
      <c r="G969" t="s">
        <v>16</v>
      </c>
    </row>
    <row r="970" spans="1:7">
      <c r="A970" s="1">
        <f>HYPERLINK("https://cms.ls-nyc.org/matter/dynamic-profile/view/1863454","18-1863454")</f>
        <v>0</v>
      </c>
      <c r="B970" t="s">
        <v>8</v>
      </c>
      <c r="G970" t="s">
        <v>16</v>
      </c>
    </row>
    <row r="971" spans="1:7">
      <c r="A971" s="1">
        <f>HYPERLINK("https://cms.ls-nyc.org/matter/dynamic-profile/view/1871523","18-1871523")</f>
        <v>0</v>
      </c>
      <c r="B971" t="s">
        <v>9</v>
      </c>
      <c r="G971" t="s">
        <v>16</v>
      </c>
    </row>
    <row r="972" spans="1:7">
      <c r="A972" s="1">
        <f>HYPERLINK("https://cms.ls-nyc.org/matter/dynamic-profile/view/1881101","18-1881101")</f>
        <v>0</v>
      </c>
      <c r="B972" t="s">
        <v>11</v>
      </c>
      <c r="G972" t="s">
        <v>16</v>
      </c>
    </row>
    <row r="973" spans="1:7">
      <c r="A973" s="1">
        <f>HYPERLINK("https://cms.ls-nyc.org/matter/dynamic-profile/view/1889424","19-1889424")</f>
        <v>0</v>
      </c>
      <c r="B973" t="s">
        <v>8</v>
      </c>
      <c r="G973" t="s">
        <v>16</v>
      </c>
    </row>
    <row r="974" spans="1:7">
      <c r="A974" s="1">
        <f>HYPERLINK("https://cms.ls-nyc.org/matter/dynamic-profile/view/1871742","18-1871742")</f>
        <v>0</v>
      </c>
      <c r="B974" t="s">
        <v>8</v>
      </c>
      <c r="G974" t="s">
        <v>16</v>
      </c>
    </row>
    <row r="975" spans="1:7">
      <c r="A975" s="1">
        <f>HYPERLINK("https://cms.ls-nyc.org/matter/dynamic-profile/view/1875069","18-1875069")</f>
        <v>0</v>
      </c>
      <c r="B975" t="s">
        <v>8</v>
      </c>
      <c r="G975" t="s">
        <v>16</v>
      </c>
    </row>
    <row r="976" spans="1:7">
      <c r="A976" s="1">
        <f>HYPERLINK("https://cms.ls-nyc.org/matter/dynamic-profile/view/1857470","18-1857470")</f>
        <v>0</v>
      </c>
      <c r="B976" t="s">
        <v>9</v>
      </c>
      <c r="D976" t="s">
        <v>13</v>
      </c>
      <c r="E976" t="s">
        <v>14</v>
      </c>
      <c r="G976" t="s">
        <v>17</v>
      </c>
    </row>
    <row r="977" spans="1:7">
      <c r="A977" s="1">
        <f>HYPERLINK("https://cms.ls-nyc.org/matter/dynamic-profile/view/1890831","19-1890831")</f>
        <v>0</v>
      </c>
      <c r="B977" t="s">
        <v>8</v>
      </c>
      <c r="G977" t="s">
        <v>16</v>
      </c>
    </row>
    <row r="978" spans="1:7">
      <c r="A978" s="1">
        <f>HYPERLINK("https://cms.ls-nyc.org/matter/dynamic-profile/view/1886801","19-1886801")</f>
        <v>0</v>
      </c>
      <c r="B978" t="s">
        <v>11</v>
      </c>
      <c r="G978" t="s">
        <v>16</v>
      </c>
    </row>
    <row r="979" spans="1:7">
      <c r="A979" s="1">
        <f>HYPERLINK("https://cms.ls-nyc.org/matter/dynamic-profile/view/1892710","19-1892710")</f>
        <v>0</v>
      </c>
      <c r="B979" t="s">
        <v>10</v>
      </c>
      <c r="G979" t="s">
        <v>16</v>
      </c>
    </row>
    <row r="980" spans="1:7">
      <c r="A980" s="1">
        <f>HYPERLINK("https://cms.ls-nyc.org/matter/dynamic-profile/view/1893532","19-1893532")</f>
        <v>0</v>
      </c>
      <c r="B980" t="s">
        <v>11</v>
      </c>
      <c r="G980" t="s">
        <v>16</v>
      </c>
    </row>
    <row r="981" spans="1:7">
      <c r="A981" s="1">
        <f>HYPERLINK("https://cms.ls-nyc.org/matter/dynamic-profile/view/1891662","19-1891662")</f>
        <v>0</v>
      </c>
      <c r="B981" t="s">
        <v>8</v>
      </c>
      <c r="E981" t="s">
        <v>14</v>
      </c>
      <c r="F981" t="s">
        <v>15</v>
      </c>
      <c r="G981" t="s">
        <v>17</v>
      </c>
    </row>
    <row r="982" spans="1:7">
      <c r="A982" s="1">
        <f>HYPERLINK("https://cms.ls-nyc.org/matter/dynamic-profile/view/1891663","19-1891663")</f>
        <v>0</v>
      </c>
      <c r="B982" t="s">
        <v>8</v>
      </c>
      <c r="E982" t="s">
        <v>14</v>
      </c>
      <c r="F982" t="s">
        <v>15</v>
      </c>
      <c r="G982" t="s">
        <v>17</v>
      </c>
    </row>
    <row r="983" spans="1:7">
      <c r="A983" s="1">
        <f>HYPERLINK("https://cms.ls-nyc.org/matter/dynamic-profile/view/1896163","19-1896163")</f>
        <v>0</v>
      </c>
      <c r="B983" t="s">
        <v>9</v>
      </c>
      <c r="G983" t="s">
        <v>16</v>
      </c>
    </row>
    <row r="984" spans="1:7">
      <c r="A984" s="1">
        <f>HYPERLINK("https://cms.ls-nyc.org/matter/dynamic-profile/view/1878629","18-1878629")</f>
        <v>0</v>
      </c>
      <c r="B984" t="s">
        <v>7</v>
      </c>
      <c r="G984" t="s">
        <v>16</v>
      </c>
    </row>
    <row r="985" spans="1:7">
      <c r="A985" s="1">
        <f>HYPERLINK("https://cms.ls-nyc.org/matter/dynamic-profile/view/1872333","18-1872333")</f>
        <v>0</v>
      </c>
      <c r="B985" t="s">
        <v>10</v>
      </c>
      <c r="G985" t="s">
        <v>16</v>
      </c>
    </row>
    <row r="986" spans="1:7">
      <c r="A986" s="1">
        <f>HYPERLINK("https://cms.ls-nyc.org/matter/dynamic-profile/view/1882722","18-1882722")</f>
        <v>0</v>
      </c>
      <c r="B986" t="s">
        <v>9</v>
      </c>
      <c r="F986" t="s">
        <v>15</v>
      </c>
      <c r="G986" t="s">
        <v>17</v>
      </c>
    </row>
    <row r="987" spans="1:7">
      <c r="A987" s="1">
        <f>HYPERLINK("https://cms.ls-nyc.org/matter/dynamic-profile/view/1882717","18-1882717")</f>
        <v>0</v>
      </c>
      <c r="B987" t="s">
        <v>9</v>
      </c>
      <c r="F987" t="s">
        <v>15</v>
      </c>
      <c r="G987" t="s">
        <v>17</v>
      </c>
    </row>
    <row r="988" spans="1:7">
      <c r="A988" s="1">
        <f>HYPERLINK("https://cms.ls-nyc.org/matter/dynamic-profile/view/1888465","19-1888465")</f>
        <v>0</v>
      </c>
      <c r="B988" t="s">
        <v>9</v>
      </c>
      <c r="G988" t="s">
        <v>16</v>
      </c>
    </row>
    <row r="989" spans="1:7">
      <c r="A989" s="1">
        <f>HYPERLINK("https://cms.ls-nyc.org/matter/dynamic-profile/view/1876575","18-1876575")</f>
        <v>0</v>
      </c>
      <c r="B989" t="s">
        <v>7</v>
      </c>
      <c r="G989" t="s">
        <v>16</v>
      </c>
    </row>
    <row r="990" spans="1:7">
      <c r="A990" s="1">
        <f>HYPERLINK("https://cms.ls-nyc.org/matter/dynamic-profile/view/1875565","18-1875565")</f>
        <v>0</v>
      </c>
      <c r="B990" t="s">
        <v>9</v>
      </c>
      <c r="G990" t="s">
        <v>16</v>
      </c>
    </row>
    <row r="991" spans="1:7">
      <c r="A991" s="1">
        <f>HYPERLINK("https://cms.ls-nyc.org/matter/dynamic-profile/view/1886336","18-1886336")</f>
        <v>0</v>
      </c>
      <c r="B991" t="s">
        <v>9</v>
      </c>
      <c r="G991" t="s">
        <v>16</v>
      </c>
    </row>
    <row r="992" spans="1:7">
      <c r="A992" s="1">
        <f>HYPERLINK("https://cms.ls-nyc.org/matter/dynamic-profile/view/1886203","18-1886203")</f>
        <v>0</v>
      </c>
      <c r="B992" t="s">
        <v>9</v>
      </c>
      <c r="G992" t="s">
        <v>16</v>
      </c>
    </row>
    <row r="993" spans="1:7">
      <c r="A993" s="1">
        <f>HYPERLINK("https://cms.ls-nyc.org/matter/dynamic-profile/view/1870205","18-1870205")</f>
        <v>0</v>
      </c>
      <c r="B993" t="s">
        <v>9</v>
      </c>
      <c r="G993" t="s">
        <v>16</v>
      </c>
    </row>
    <row r="994" spans="1:7">
      <c r="A994" s="1">
        <f>HYPERLINK("https://cms.ls-nyc.org/matter/dynamic-profile/view/1875759","18-1875759")</f>
        <v>0</v>
      </c>
      <c r="B994" t="s">
        <v>10</v>
      </c>
      <c r="G994" t="s">
        <v>16</v>
      </c>
    </row>
    <row r="995" spans="1:7">
      <c r="A995" s="1">
        <f>HYPERLINK("https://cms.ls-nyc.org/matter/dynamic-profile/view/1896321","19-1896321")</f>
        <v>0</v>
      </c>
      <c r="B995" t="s">
        <v>8</v>
      </c>
      <c r="F995" t="s">
        <v>15</v>
      </c>
      <c r="G995" t="s">
        <v>17</v>
      </c>
    </row>
    <row r="996" spans="1:7">
      <c r="A996" s="1">
        <f>HYPERLINK("https://cms.ls-nyc.org/matter/dynamic-profile/view/1890137","19-1890137")</f>
        <v>0</v>
      </c>
      <c r="B996" t="s">
        <v>8</v>
      </c>
      <c r="F996" t="s">
        <v>15</v>
      </c>
      <c r="G996" t="s">
        <v>17</v>
      </c>
    </row>
    <row r="997" spans="1:7">
      <c r="A997" s="1">
        <f>HYPERLINK("https://cms.ls-nyc.org/matter/dynamic-profile/view/1874934","18-1874934")</f>
        <v>0</v>
      </c>
      <c r="B997" t="s">
        <v>11</v>
      </c>
      <c r="E997" t="s">
        <v>14</v>
      </c>
      <c r="G997" t="s">
        <v>17</v>
      </c>
    </row>
    <row r="998" spans="1:7">
      <c r="A998" s="1">
        <f>HYPERLINK("https://cms.ls-nyc.org/matter/dynamic-profile/view/1898772","19-1898772")</f>
        <v>0</v>
      </c>
      <c r="B998" t="s">
        <v>8</v>
      </c>
      <c r="G998" t="s">
        <v>16</v>
      </c>
    </row>
    <row r="999" spans="1:7">
      <c r="A999" s="1">
        <f>HYPERLINK("https://cms.ls-nyc.org/matter/dynamic-profile/view/1901364","19-1901364")</f>
        <v>0</v>
      </c>
      <c r="B999" t="s">
        <v>8</v>
      </c>
      <c r="G999" t="s">
        <v>16</v>
      </c>
    </row>
    <row r="1000" spans="1:7">
      <c r="A1000" s="1">
        <f>HYPERLINK("https://cms.ls-nyc.org/matter/dynamic-profile/view/1896382","19-1896382")</f>
        <v>0</v>
      </c>
      <c r="B1000" t="s">
        <v>8</v>
      </c>
      <c r="G1000" t="s">
        <v>16</v>
      </c>
    </row>
    <row r="1001" spans="1:7">
      <c r="A1001" s="1">
        <f>HYPERLINK("https://cms.ls-nyc.org/matter/dynamic-profile/view/1891782","19-1891782")</f>
        <v>0</v>
      </c>
      <c r="B1001" t="s">
        <v>10</v>
      </c>
      <c r="G1001" t="s">
        <v>16</v>
      </c>
    </row>
    <row r="1002" spans="1:7">
      <c r="A1002" s="1">
        <f>HYPERLINK("https://cms.ls-nyc.org/matter/dynamic-profile/view/1893147","19-1893147")</f>
        <v>0</v>
      </c>
      <c r="B1002" t="s">
        <v>10</v>
      </c>
      <c r="G1002" t="s">
        <v>16</v>
      </c>
    </row>
    <row r="1003" spans="1:7">
      <c r="A1003" s="1">
        <f>HYPERLINK("https://cms.ls-nyc.org/matter/dynamic-profile/view/1880879","18-1880879")</f>
        <v>0</v>
      </c>
      <c r="B1003" t="s">
        <v>9</v>
      </c>
      <c r="G1003" t="s">
        <v>16</v>
      </c>
    </row>
    <row r="1004" spans="1:7">
      <c r="A1004" s="1">
        <f>HYPERLINK("https://cms.ls-nyc.org/matter/dynamic-profile/view/1884972","18-1884972")</f>
        <v>0</v>
      </c>
      <c r="B1004" t="s">
        <v>9</v>
      </c>
      <c r="G1004" t="s">
        <v>16</v>
      </c>
    </row>
    <row r="1005" spans="1:7">
      <c r="A1005" s="1">
        <f>HYPERLINK("https://cms.ls-nyc.org/matter/dynamic-profile/view/1875092","18-1875092")</f>
        <v>0</v>
      </c>
      <c r="B1005" t="s">
        <v>9</v>
      </c>
      <c r="G1005" t="s">
        <v>16</v>
      </c>
    </row>
    <row r="1006" spans="1:7">
      <c r="A1006" s="1">
        <f>HYPERLINK("https://cms.ls-nyc.org/matter/dynamic-profile/view/1878600","18-1878600")</f>
        <v>0</v>
      </c>
      <c r="B1006" t="s">
        <v>11</v>
      </c>
      <c r="F1006" t="s">
        <v>15</v>
      </c>
      <c r="G1006" t="s">
        <v>17</v>
      </c>
    </row>
    <row r="1007" spans="1:7">
      <c r="A1007" s="1">
        <f>HYPERLINK("https://cms.ls-nyc.org/matter/dynamic-profile/view/1892877","19-1892877")</f>
        <v>0</v>
      </c>
      <c r="B1007" t="s">
        <v>11</v>
      </c>
      <c r="G1007" t="s">
        <v>16</v>
      </c>
    </row>
    <row r="1008" spans="1:7">
      <c r="A1008" s="1">
        <f>HYPERLINK("https://cms.ls-nyc.org/matter/dynamic-profile/view/1890304","19-1890304")</f>
        <v>0</v>
      </c>
      <c r="B1008" t="s">
        <v>8</v>
      </c>
      <c r="G1008" t="s">
        <v>16</v>
      </c>
    </row>
    <row r="1009" spans="1:7">
      <c r="A1009" s="1">
        <f>HYPERLINK("https://cms.ls-nyc.org/matter/dynamic-profile/view/1873919","18-1873919")</f>
        <v>0</v>
      </c>
      <c r="B1009" t="s">
        <v>11</v>
      </c>
      <c r="G1009" t="s">
        <v>16</v>
      </c>
    </row>
    <row r="1010" spans="1:7">
      <c r="A1010" s="1">
        <f>HYPERLINK("https://cms.ls-nyc.org/matter/dynamic-profile/view/1874450","18-1874450")</f>
        <v>0</v>
      </c>
      <c r="B1010" t="s">
        <v>9</v>
      </c>
      <c r="G1010" t="s">
        <v>16</v>
      </c>
    </row>
    <row r="1011" spans="1:7">
      <c r="A1011" s="1">
        <f>HYPERLINK("https://cms.ls-nyc.org/matter/dynamic-profile/view/1897842","19-1897842")</f>
        <v>0</v>
      </c>
      <c r="B1011" t="s">
        <v>11</v>
      </c>
      <c r="G1011" t="s">
        <v>16</v>
      </c>
    </row>
    <row r="1012" spans="1:7">
      <c r="A1012" s="1">
        <f>HYPERLINK("https://cms.ls-nyc.org/matter/dynamic-profile/view/1874240","18-1874240")</f>
        <v>0</v>
      </c>
      <c r="B1012" t="s">
        <v>8</v>
      </c>
      <c r="F1012" t="s">
        <v>15</v>
      </c>
      <c r="G1012" t="s">
        <v>17</v>
      </c>
    </row>
    <row r="1013" spans="1:7">
      <c r="A1013" s="1">
        <f>HYPERLINK("https://cms.ls-nyc.org/matter/dynamic-profile/view/1873195","18-1873195")</f>
        <v>0</v>
      </c>
      <c r="B1013" t="s">
        <v>7</v>
      </c>
      <c r="G1013" t="s">
        <v>16</v>
      </c>
    </row>
    <row r="1014" spans="1:7">
      <c r="A1014" s="1">
        <f>HYPERLINK("https://cms.ls-nyc.org/matter/dynamic-profile/view/1890300","19-1890300")</f>
        <v>0</v>
      </c>
      <c r="B1014" t="s">
        <v>9</v>
      </c>
      <c r="G1014" t="s">
        <v>16</v>
      </c>
    </row>
    <row r="1015" spans="1:7">
      <c r="A1015" s="1">
        <f>HYPERLINK("https://cms.ls-nyc.org/matter/dynamic-profile/view/1891390","19-1891390")</f>
        <v>0</v>
      </c>
      <c r="B1015" t="s">
        <v>9</v>
      </c>
      <c r="G1015" t="s">
        <v>16</v>
      </c>
    </row>
    <row r="1016" spans="1:7">
      <c r="A1016" s="1">
        <f>HYPERLINK("https://cms.ls-nyc.org/matter/dynamic-profile/view/1891378","19-1891378")</f>
        <v>0</v>
      </c>
      <c r="B1016" t="s">
        <v>9</v>
      </c>
      <c r="G1016" t="s">
        <v>16</v>
      </c>
    </row>
    <row r="1017" spans="1:7">
      <c r="A1017" s="1">
        <f>HYPERLINK("https://cms.ls-nyc.org/matter/dynamic-profile/view/1900563","19-1900563")</f>
        <v>0</v>
      </c>
      <c r="B1017" t="s">
        <v>11</v>
      </c>
      <c r="F1017" t="s">
        <v>15</v>
      </c>
      <c r="G1017" t="s">
        <v>17</v>
      </c>
    </row>
    <row r="1018" spans="1:7">
      <c r="A1018" s="1">
        <f>HYPERLINK("https://cms.ls-nyc.org/matter/dynamic-profile/view/1876295","18-1876295")</f>
        <v>0</v>
      </c>
      <c r="B1018" t="s">
        <v>9</v>
      </c>
      <c r="G1018" t="s">
        <v>16</v>
      </c>
    </row>
    <row r="1019" spans="1:7">
      <c r="A1019" s="1">
        <f>HYPERLINK("https://cms.ls-nyc.org/matter/dynamic-profile/view/1875625","18-1875625")</f>
        <v>0</v>
      </c>
      <c r="B1019" t="s">
        <v>8</v>
      </c>
      <c r="G1019" t="s">
        <v>16</v>
      </c>
    </row>
    <row r="1020" spans="1:7">
      <c r="A1020" s="1">
        <f>HYPERLINK("https://cms.ls-nyc.org/matter/dynamic-profile/view/1879266","18-1879266")</f>
        <v>0</v>
      </c>
      <c r="B1020" t="s">
        <v>7</v>
      </c>
      <c r="G1020" t="s">
        <v>16</v>
      </c>
    </row>
    <row r="1021" spans="1:7">
      <c r="A1021" s="1">
        <f>HYPERLINK("https://cms.ls-nyc.org/matter/dynamic-profile/view/1881230","18-1881230")</f>
        <v>0</v>
      </c>
      <c r="B1021" t="s">
        <v>7</v>
      </c>
      <c r="G1021" t="s">
        <v>16</v>
      </c>
    </row>
    <row r="1022" spans="1:7">
      <c r="A1022" s="1">
        <f>HYPERLINK("https://cms.ls-nyc.org/matter/dynamic-profile/view/1871940","18-1871940")</f>
        <v>0</v>
      </c>
      <c r="B1022" t="s">
        <v>9</v>
      </c>
      <c r="G1022" t="s">
        <v>16</v>
      </c>
    </row>
    <row r="1023" spans="1:7">
      <c r="A1023" s="1">
        <f>HYPERLINK("https://cms.ls-nyc.org/matter/dynamic-profile/view/1881514","18-1881514")</f>
        <v>0</v>
      </c>
      <c r="B1023" t="s">
        <v>9</v>
      </c>
      <c r="G1023" t="s">
        <v>16</v>
      </c>
    </row>
    <row r="1024" spans="1:7">
      <c r="A1024" s="1">
        <f>HYPERLINK("https://cms.ls-nyc.org/matter/dynamic-profile/view/1883227","18-1883227")</f>
        <v>0</v>
      </c>
      <c r="B1024" t="s">
        <v>9</v>
      </c>
      <c r="G1024" t="s">
        <v>16</v>
      </c>
    </row>
    <row r="1025" spans="1:7">
      <c r="A1025" s="1">
        <f>HYPERLINK("https://cms.ls-nyc.org/matter/dynamic-profile/view/1861239","18-1861239")</f>
        <v>0</v>
      </c>
      <c r="B1025" t="s">
        <v>11</v>
      </c>
      <c r="C1025" t="s">
        <v>12</v>
      </c>
      <c r="D1025" t="s">
        <v>13</v>
      </c>
      <c r="G1025" t="s">
        <v>17</v>
      </c>
    </row>
    <row r="1026" spans="1:7">
      <c r="A1026" s="1">
        <f>HYPERLINK("https://cms.ls-nyc.org/matter/dynamic-profile/view/1889163","19-1889163")</f>
        <v>0</v>
      </c>
      <c r="B1026" t="s">
        <v>8</v>
      </c>
      <c r="G1026" t="s">
        <v>16</v>
      </c>
    </row>
    <row r="1027" spans="1:7">
      <c r="A1027" s="1">
        <f>HYPERLINK("https://cms.ls-nyc.org/matter/dynamic-profile/view/1876338","18-1876338")</f>
        <v>0</v>
      </c>
      <c r="B1027" t="s">
        <v>9</v>
      </c>
      <c r="G1027" t="s">
        <v>16</v>
      </c>
    </row>
    <row r="1028" spans="1:7">
      <c r="A1028" s="1">
        <f>HYPERLINK("https://cms.ls-nyc.org/matter/dynamic-profile/view/1895160","19-1895160")</f>
        <v>0</v>
      </c>
      <c r="B1028" t="s">
        <v>8</v>
      </c>
      <c r="G1028" t="s">
        <v>16</v>
      </c>
    </row>
    <row r="1029" spans="1:7">
      <c r="A1029" s="1">
        <f>HYPERLINK("https://cms.ls-nyc.org/matter/dynamic-profile/view/1885376","18-1885376")</f>
        <v>0</v>
      </c>
      <c r="B1029" t="s">
        <v>9</v>
      </c>
      <c r="G1029" t="s">
        <v>16</v>
      </c>
    </row>
    <row r="1030" spans="1:7">
      <c r="A1030" s="1">
        <f>HYPERLINK("https://cms.ls-nyc.org/matter/dynamic-profile/view/1878094","18-1878094")</f>
        <v>0</v>
      </c>
      <c r="B1030" t="s">
        <v>9</v>
      </c>
      <c r="G1030" t="s">
        <v>16</v>
      </c>
    </row>
    <row r="1031" spans="1:7">
      <c r="A1031" s="1">
        <f>HYPERLINK("https://cms.ls-nyc.org/matter/dynamic-profile/view/1886672","18-1886672")</f>
        <v>0</v>
      </c>
      <c r="B1031" t="s">
        <v>9</v>
      </c>
      <c r="G1031" t="s">
        <v>16</v>
      </c>
    </row>
    <row r="1032" spans="1:7">
      <c r="A1032" s="1">
        <f>HYPERLINK("https://cms.ls-nyc.org/matter/dynamic-profile/view/1880665","18-1880665")</f>
        <v>0</v>
      </c>
      <c r="B1032" t="s">
        <v>7</v>
      </c>
      <c r="G1032" t="s">
        <v>16</v>
      </c>
    </row>
    <row r="1033" spans="1:7">
      <c r="A1033" s="1">
        <f>HYPERLINK("https://cms.ls-nyc.org/matter/dynamic-profile/view/1898111","19-1898111")</f>
        <v>0</v>
      </c>
      <c r="B1033" t="s">
        <v>7</v>
      </c>
      <c r="G1033" t="s">
        <v>16</v>
      </c>
    </row>
    <row r="1034" spans="1:7">
      <c r="A1034" s="1">
        <f>HYPERLINK("https://cms.ls-nyc.org/matter/dynamic-profile/view/1885304","18-1885304")</f>
        <v>0</v>
      </c>
      <c r="B1034" t="s">
        <v>9</v>
      </c>
      <c r="G1034" t="s">
        <v>16</v>
      </c>
    </row>
    <row r="1035" spans="1:7">
      <c r="A1035" s="1">
        <f>HYPERLINK("https://cms.ls-nyc.org/matter/dynamic-profile/view/1875487","18-1875487")</f>
        <v>0</v>
      </c>
      <c r="B1035" t="s">
        <v>8</v>
      </c>
      <c r="G1035" t="s">
        <v>16</v>
      </c>
    </row>
    <row r="1036" spans="1:7">
      <c r="A1036" s="1">
        <f>HYPERLINK("https://cms.ls-nyc.org/matter/dynamic-profile/view/1889889","19-1889889")</f>
        <v>0</v>
      </c>
      <c r="B1036" t="s">
        <v>9</v>
      </c>
      <c r="G1036" t="s">
        <v>16</v>
      </c>
    </row>
    <row r="1037" spans="1:7">
      <c r="A1037" s="1">
        <f>HYPERLINK("https://cms.ls-nyc.org/matter/dynamic-profile/view/1859332","18-1859332")</f>
        <v>0</v>
      </c>
      <c r="B1037" t="s">
        <v>8</v>
      </c>
      <c r="D1037" t="s">
        <v>13</v>
      </c>
      <c r="G1037" t="s">
        <v>17</v>
      </c>
    </row>
    <row r="1038" spans="1:7">
      <c r="A1038" s="1">
        <f>HYPERLINK("https://cms.ls-nyc.org/matter/dynamic-profile/view/1877190","18-1877190")</f>
        <v>0</v>
      </c>
      <c r="B1038" t="s">
        <v>11</v>
      </c>
      <c r="G1038" t="s">
        <v>16</v>
      </c>
    </row>
    <row r="1039" spans="1:7">
      <c r="A1039" s="1">
        <f>HYPERLINK("https://cms.ls-nyc.org/matter/dynamic-profile/view/1881071","18-1881071")</f>
        <v>0</v>
      </c>
      <c r="B1039" t="s">
        <v>11</v>
      </c>
      <c r="G1039" t="s">
        <v>16</v>
      </c>
    </row>
    <row r="1040" spans="1:7">
      <c r="A1040" s="1">
        <f>HYPERLINK("https://cms.ls-nyc.org/matter/dynamic-profile/view/1890201","19-1890201")</f>
        <v>0</v>
      </c>
      <c r="B1040" t="s">
        <v>9</v>
      </c>
      <c r="G1040" t="s">
        <v>16</v>
      </c>
    </row>
    <row r="1041" spans="1:7">
      <c r="A1041" s="1">
        <f>HYPERLINK("https://cms.ls-nyc.org/matter/dynamic-profile/view/1882257","18-1882257")</f>
        <v>0</v>
      </c>
      <c r="B1041" t="s">
        <v>8</v>
      </c>
      <c r="G1041" t="s">
        <v>16</v>
      </c>
    </row>
    <row r="1042" spans="1:7">
      <c r="A1042" s="1">
        <f>HYPERLINK("https://cms.ls-nyc.org/matter/dynamic-profile/view/1863494","18-1863494")</f>
        <v>0</v>
      </c>
      <c r="B1042" t="s">
        <v>8</v>
      </c>
      <c r="G1042" t="s">
        <v>16</v>
      </c>
    </row>
    <row r="1043" spans="1:7">
      <c r="A1043" s="1">
        <f>HYPERLINK("https://cms.ls-nyc.org/matter/dynamic-profile/view/1894468","19-1894468")</f>
        <v>0</v>
      </c>
      <c r="B1043" t="s">
        <v>9</v>
      </c>
      <c r="G1043" t="s">
        <v>16</v>
      </c>
    </row>
    <row r="1044" spans="1:7">
      <c r="A1044" s="1">
        <f>HYPERLINK("https://cms.ls-nyc.org/matter/dynamic-profile/view/1896217","19-1896217")</f>
        <v>0</v>
      </c>
      <c r="B1044" t="s">
        <v>10</v>
      </c>
      <c r="G1044" t="s">
        <v>16</v>
      </c>
    </row>
    <row r="1045" spans="1:7">
      <c r="A1045" s="1">
        <f>HYPERLINK("https://cms.ls-nyc.org/matter/dynamic-profile/view/1881254","18-1881254")</f>
        <v>0</v>
      </c>
      <c r="B1045" t="s">
        <v>11</v>
      </c>
      <c r="G1045" t="s">
        <v>16</v>
      </c>
    </row>
    <row r="1046" spans="1:7">
      <c r="A1046" s="1">
        <f>HYPERLINK("https://cms.ls-nyc.org/matter/dynamic-profile/view/1885367","18-1885367")</f>
        <v>0</v>
      </c>
      <c r="B1046" t="s">
        <v>9</v>
      </c>
      <c r="G1046" t="s">
        <v>16</v>
      </c>
    </row>
    <row r="1047" spans="1:7">
      <c r="A1047" s="1">
        <f>HYPERLINK("https://cms.ls-nyc.org/matter/dynamic-profile/view/1898732","19-1898732")</f>
        <v>0</v>
      </c>
      <c r="B1047" t="s">
        <v>8</v>
      </c>
      <c r="E1047" t="s">
        <v>14</v>
      </c>
      <c r="F1047" t="s">
        <v>15</v>
      </c>
      <c r="G1047" t="s">
        <v>17</v>
      </c>
    </row>
    <row r="1048" spans="1:7">
      <c r="A1048" s="1">
        <f>HYPERLINK("https://cms.ls-nyc.org/matter/dynamic-profile/view/1898821","19-1898821")</f>
        <v>0</v>
      </c>
      <c r="B1048" t="s">
        <v>8</v>
      </c>
      <c r="E1048" t="s">
        <v>14</v>
      </c>
      <c r="F1048" t="s">
        <v>15</v>
      </c>
      <c r="G1048" t="s">
        <v>17</v>
      </c>
    </row>
    <row r="1049" spans="1:7">
      <c r="A1049" s="1">
        <f>HYPERLINK("https://cms.ls-nyc.org/matter/dynamic-profile/view/1900716","19-1900716")</f>
        <v>0</v>
      </c>
      <c r="B1049" t="s">
        <v>11</v>
      </c>
      <c r="G1049" t="s">
        <v>16</v>
      </c>
    </row>
    <row r="1050" spans="1:7">
      <c r="A1050" s="1">
        <f>HYPERLINK("https://cms.ls-nyc.org/matter/dynamic-profile/view/1891305","19-1891305")</f>
        <v>0</v>
      </c>
      <c r="B1050" t="s">
        <v>9</v>
      </c>
      <c r="G1050" t="s">
        <v>16</v>
      </c>
    </row>
    <row r="1051" spans="1:7">
      <c r="A1051" s="1">
        <f>HYPERLINK("https://cms.ls-nyc.org/matter/dynamic-profile/view/1891302","19-1891302")</f>
        <v>0</v>
      </c>
      <c r="B1051" t="s">
        <v>9</v>
      </c>
      <c r="G1051" t="s">
        <v>16</v>
      </c>
    </row>
    <row r="1052" spans="1:7">
      <c r="A1052" s="1">
        <f>HYPERLINK("https://cms.ls-nyc.org/matter/dynamic-profile/view/1875590","18-1875590")</f>
        <v>0</v>
      </c>
      <c r="B1052" t="s">
        <v>7</v>
      </c>
      <c r="G1052" t="s">
        <v>16</v>
      </c>
    </row>
    <row r="1053" spans="1:7">
      <c r="A1053" s="1">
        <f>HYPERLINK("https://cms.ls-nyc.org/matter/dynamic-profile/view/1875631","18-1875631")</f>
        <v>0</v>
      </c>
      <c r="B1053" t="s">
        <v>11</v>
      </c>
      <c r="G1053" t="s">
        <v>16</v>
      </c>
    </row>
    <row r="1054" spans="1:7">
      <c r="A1054" s="1">
        <f>HYPERLINK("https://cms.ls-nyc.org/matter/dynamic-profile/view/1880714","18-1880714")</f>
        <v>0</v>
      </c>
      <c r="B1054" t="s">
        <v>11</v>
      </c>
      <c r="G1054" t="s">
        <v>16</v>
      </c>
    </row>
    <row r="1055" spans="1:7">
      <c r="A1055" s="1">
        <f>HYPERLINK("https://cms.ls-nyc.org/matter/dynamic-profile/view/1874137","18-1874137")</f>
        <v>0</v>
      </c>
      <c r="B1055" t="s">
        <v>9</v>
      </c>
      <c r="G1055" t="s">
        <v>16</v>
      </c>
    </row>
    <row r="1056" spans="1:7">
      <c r="A1056" s="1">
        <f>HYPERLINK("https://cms.ls-nyc.org/matter/dynamic-profile/view/1853765","17-1853765")</f>
        <v>0</v>
      </c>
      <c r="B1056" t="s">
        <v>9</v>
      </c>
      <c r="G1056" t="s">
        <v>16</v>
      </c>
    </row>
    <row r="1057" spans="1:7">
      <c r="A1057" s="1">
        <f>HYPERLINK("https://cms.ls-nyc.org/matter/dynamic-profile/view/1885571","18-1885571")</f>
        <v>0</v>
      </c>
      <c r="B1057" t="s">
        <v>8</v>
      </c>
      <c r="G1057" t="s">
        <v>16</v>
      </c>
    </row>
    <row r="1058" spans="1:7">
      <c r="A1058" s="1">
        <f>HYPERLINK("https://cms.ls-nyc.org/matter/dynamic-profile/view/1879474","18-1879474")</f>
        <v>0</v>
      </c>
      <c r="B1058" t="s">
        <v>7</v>
      </c>
      <c r="G1058" t="s">
        <v>16</v>
      </c>
    </row>
    <row r="1059" spans="1:7">
      <c r="A1059" s="1">
        <f>HYPERLINK("https://cms.ls-nyc.org/matter/dynamic-profile/view/1888931","19-1888931")</f>
        <v>0</v>
      </c>
      <c r="B1059" t="s">
        <v>9</v>
      </c>
      <c r="G1059" t="s">
        <v>16</v>
      </c>
    </row>
    <row r="1060" spans="1:7">
      <c r="A1060" s="1">
        <f>HYPERLINK("https://cms.ls-nyc.org/matter/dynamic-profile/view/1873622","18-1873622")</f>
        <v>0</v>
      </c>
      <c r="B1060" t="s">
        <v>8</v>
      </c>
      <c r="G1060" t="s">
        <v>16</v>
      </c>
    </row>
    <row r="1061" spans="1:7">
      <c r="A1061" s="1">
        <f>HYPERLINK("https://cms.ls-nyc.org/matter/dynamic-profile/view/1888450","19-1888450")</f>
        <v>0</v>
      </c>
      <c r="B1061" t="s">
        <v>8</v>
      </c>
      <c r="G1061" t="s">
        <v>16</v>
      </c>
    </row>
    <row r="1062" spans="1:7">
      <c r="A1062" s="1">
        <f>HYPERLINK("https://cms.ls-nyc.org/matter/dynamic-profile/view/1878306","18-1878306")</f>
        <v>0</v>
      </c>
      <c r="B1062" t="s">
        <v>9</v>
      </c>
      <c r="G1062" t="s">
        <v>16</v>
      </c>
    </row>
    <row r="1063" spans="1:7">
      <c r="A1063" s="1">
        <f>HYPERLINK("https://cms.ls-nyc.org/matter/dynamic-profile/view/1897247","19-1897247")</f>
        <v>0</v>
      </c>
      <c r="B1063" t="s">
        <v>11</v>
      </c>
      <c r="G1063" t="s">
        <v>16</v>
      </c>
    </row>
    <row r="1064" spans="1:7">
      <c r="A1064" s="1">
        <f>HYPERLINK("https://cms.ls-nyc.org/matter/dynamic-profile/view/1885244","18-1885244")</f>
        <v>0</v>
      </c>
      <c r="B1064" t="s">
        <v>8</v>
      </c>
      <c r="G1064" t="s">
        <v>16</v>
      </c>
    </row>
    <row r="1065" spans="1:7">
      <c r="A1065" s="1">
        <f>HYPERLINK("https://cms.ls-nyc.org/matter/dynamic-profile/view/1897546","19-1897546")</f>
        <v>0</v>
      </c>
      <c r="B1065" t="s">
        <v>11</v>
      </c>
      <c r="G1065" t="s">
        <v>16</v>
      </c>
    </row>
    <row r="1066" spans="1:7">
      <c r="A1066" s="1">
        <f>HYPERLINK("https://cms.ls-nyc.org/matter/dynamic-profile/view/1871392","18-1871392")</f>
        <v>0</v>
      </c>
      <c r="B1066" t="s">
        <v>11</v>
      </c>
      <c r="G1066" t="s">
        <v>16</v>
      </c>
    </row>
    <row r="1067" spans="1:7">
      <c r="A1067" s="1">
        <f>HYPERLINK("https://cms.ls-nyc.org/matter/dynamic-profile/view/1892385","19-1892385")</f>
        <v>0</v>
      </c>
      <c r="B1067" t="s">
        <v>8</v>
      </c>
      <c r="G1067" t="s">
        <v>16</v>
      </c>
    </row>
    <row r="1068" spans="1:7">
      <c r="A1068" s="1">
        <f>HYPERLINK("https://cms.ls-nyc.org/matter/dynamic-profile/view/1886177","18-1886177")</f>
        <v>0</v>
      </c>
      <c r="B1068" t="s">
        <v>11</v>
      </c>
      <c r="F1068" t="s">
        <v>15</v>
      </c>
      <c r="G1068" t="s">
        <v>17</v>
      </c>
    </row>
    <row r="1069" spans="1:7">
      <c r="A1069" s="1">
        <f>HYPERLINK("https://cms.ls-nyc.org/matter/dynamic-profile/view/1892884","19-1892884")</f>
        <v>0</v>
      </c>
      <c r="B1069" t="s">
        <v>7</v>
      </c>
      <c r="G1069" t="s">
        <v>16</v>
      </c>
    </row>
    <row r="1070" spans="1:7">
      <c r="A1070" s="1">
        <f>HYPERLINK("https://cms.ls-nyc.org/matter/dynamic-profile/view/1893348","19-1893348")</f>
        <v>0</v>
      </c>
      <c r="B1070" t="s">
        <v>7</v>
      </c>
      <c r="G1070" t="s">
        <v>16</v>
      </c>
    </row>
    <row r="1071" spans="1:7">
      <c r="A1071" s="1">
        <f>HYPERLINK("https://cms.ls-nyc.org/matter/dynamic-profile/view/1896393","19-1896393")</f>
        <v>0</v>
      </c>
      <c r="B1071" t="s">
        <v>8</v>
      </c>
      <c r="F1071" t="s">
        <v>15</v>
      </c>
      <c r="G1071" t="s">
        <v>17</v>
      </c>
    </row>
    <row r="1072" spans="1:7">
      <c r="A1072" s="1">
        <f>HYPERLINK("https://cms.ls-nyc.org/matter/dynamic-profile/view/1897876","19-1897876")</f>
        <v>0</v>
      </c>
      <c r="B1072" t="s">
        <v>9</v>
      </c>
      <c r="G1072" t="s">
        <v>16</v>
      </c>
    </row>
    <row r="1073" spans="1:7">
      <c r="A1073" s="1">
        <f>HYPERLINK("https://cms.ls-nyc.org/matter/dynamic-profile/view/1893534","19-1893534")</f>
        <v>0</v>
      </c>
      <c r="B1073" t="s">
        <v>11</v>
      </c>
      <c r="G1073" t="s">
        <v>16</v>
      </c>
    </row>
    <row r="1074" spans="1:7">
      <c r="A1074" s="1">
        <f>HYPERLINK("https://cms.ls-nyc.org/matter/dynamic-profile/view/1892328","19-1892328")</f>
        <v>0</v>
      </c>
      <c r="B1074" t="s">
        <v>9</v>
      </c>
      <c r="G1074" t="s">
        <v>16</v>
      </c>
    </row>
    <row r="1075" spans="1:7">
      <c r="A1075" s="1">
        <f>HYPERLINK("https://cms.ls-nyc.org/matter/dynamic-profile/view/1895261","19-1895261")</f>
        <v>0</v>
      </c>
      <c r="B1075" t="s">
        <v>7</v>
      </c>
      <c r="G1075" t="s">
        <v>16</v>
      </c>
    </row>
    <row r="1076" spans="1:7">
      <c r="A1076" s="1">
        <f>HYPERLINK("https://cms.ls-nyc.org/matter/dynamic-profile/view/1877948","18-1877948")</f>
        <v>0</v>
      </c>
      <c r="B1076" t="s">
        <v>7</v>
      </c>
      <c r="G1076" t="s">
        <v>16</v>
      </c>
    </row>
    <row r="1077" spans="1:7">
      <c r="A1077" s="1">
        <f>HYPERLINK("https://cms.ls-nyc.org/matter/dynamic-profile/view/1884034","18-1884034")</f>
        <v>0</v>
      </c>
      <c r="B1077" t="s">
        <v>9</v>
      </c>
      <c r="G1077" t="s">
        <v>16</v>
      </c>
    </row>
    <row r="1078" spans="1:7">
      <c r="A1078" s="1">
        <f>HYPERLINK("https://cms.ls-nyc.org/matter/dynamic-profile/view/1881793","18-1881793")</f>
        <v>0</v>
      </c>
      <c r="B1078" t="s">
        <v>11</v>
      </c>
      <c r="G1078" t="s">
        <v>16</v>
      </c>
    </row>
    <row r="1079" spans="1:7">
      <c r="A1079" s="1">
        <f>HYPERLINK("https://cms.ls-nyc.org/matter/dynamic-profile/view/1897237","19-1897237")</f>
        <v>0</v>
      </c>
      <c r="B1079" t="s">
        <v>7</v>
      </c>
      <c r="G1079" t="s">
        <v>16</v>
      </c>
    </row>
    <row r="1080" spans="1:7">
      <c r="A1080" s="1">
        <f>HYPERLINK("https://cms.ls-nyc.org/matter/dynamic-profile/view/1893768","19-1893768")</f>
        <v>0</v>
      </c>
      <c r="B1080" t="s">
        <v>8</v>
      </c>
      <c r="C1080" t="s">
        <v>12</v>
      </c>
      <c r="E1080" t="s">
        <v>14</v>
      </c>
      <c r="G1080" t="s">
        <v>17</v>
      </c>
    </row>
    <row r="1081" spans="1:7">
      <c r="A1081" s="1">
        <f>HYPERLINK("https://cms.ls-nyc.org/matter/dynamic-profile/view/1900016","19-1900016")</f>
        <v>0</v>
      </c>
      <c r="B1081" t="s">
        <v>7</v>
      </c>
      <c r="E1081" t="s">
        <v>14</v>
      </c>
      <c r="G1081" t="s">
        <v>17</v>
      </c>
    </row>
    <row r="1082" spans="1:7">
      <c r="A1082" s="1">
        <f>HYPERLINK("https://cms.ls-nyc.org/matter/dynamic-profile/view/1892741","19-1892741")</f>
        <v>0</v>
      </c>
      <c r="B1082" t="s">
        <v>8</v>
      </c>
      <c r="F1082" t="s">
        <v>15</v>
      </c>
      <c r="G1082" t="s">
        <v>17</v>
      </c>
    </row>
    <row r="1083" spans="1:7">
      <c r="A1083" s="1">
        <f>HYPERLINK("https://cms.ls-nyc.org/matter/dynamic-profile/view/1892743","19-1892743")</f>
        <v>0</v>
      </c>
      <c r="B1083" t="s">
        <v>8</v>
      </c>
      <c r="F1083" t="s">
        <v>15</v>
      </c>
      <c r="G1083" t="s">
        <v>17</v>
      </c>
    </row>
    <row r="1084" spans="1:7">
      <c r="A1084" s="1">
        <f>HYPERLINK("https://cms.ls-nyc.org/matter/dynamic-profile/view/1875536","18-1875536")</f>
        <v>0</v>
      </c>
      <c r="B1084" t="s">
        <v>9</v>
      </c>
      <c r="G1084" t="s">
        <v>16</v>
      </c>
    </row>
    <row r="1085" spans="1:7">
      <c r="A1085" s="1">
        <f>HYPERLINK("https://cms.ls-nyc.org/matter/dynamic-profile/view/1880344","18-1880344")</f>
        <v>0</v>
      </c>
      <c r="B1085" t="s">
        <v>10</v>
      </c>
      <c r="E1085" t="s">
        <v>14</v>
      </c>
      <c r="G1085" t="s">
        <v>17</v>
      </c>
    </row>
    <row r="1086" spans="1:7">
      <c r="A1086" s="1">
        <f>HYPERLINK("https://cms.ls-nyc.org/matter/dynamic-profile/view/1876791","18-1876791")</f>
        <v>0</v>
      </c>
      <c r="B1086" t="s">
        <v>10</v>
      </c>
      <c r="E1086" t="s">
        <v>14</v>
      </c>
      <c r="G1086" t="s">
        <v>17</v>
      </c>
    </row>
    <row r="1087" spans="1:7">
      <c r="A1087" s="1">
        <f>HYPERLINK("https://cms.ls-nyc.org/matter/dynamic-profile/view/1880926","18-1880926")</f>
        <v>0</v>
      </c>
      <c r="B1087" t="s">
        <v>10</v>
      </c>
      <c r="E1087" t="s">
        <v>14</v>
      </c>
      <c r="G1087" t="s">
        <v>17</v>
      </c>
    </row>
    <row r="1088" spans="1:7">
      <c r="A1088" s="1">
        <f>HYPERLINK("https://cms.ls-nyc.org/matter/dynamic-profile/view/1878213","18-1878213")</f>
        <v>0</v>
      </c>
      <c r="B1088" t="s">
        <v>9</v>
      </c>
      <c r="G1088" t="s">
        <v>16</v>
      </c>
    </row>
    <row r="1089" spans="1:7">
      <c r="A1089" s="1">
        <f>HYPERLINK("https://cms.ls-nyc.org/matter/dynamic-profile/view/1881752","18-1881752")</f>
        <v>0</v>
      </c>
      <c r="B1089" t="s">
        <v>9</v>
      </c>
      <c r="G1089" t="s">
        <v>16</v>
      </c>
    </row>
    <row r="1090" spans="1:7">
      <c r="A1090" s="1">
        <f>HYPERLINK("https://cms.ls-nyc.org/matter/dynamic-profile/view/1897678","19-1897678")</f>
        <v>0</v>
      </c>
      <c r="B1090" t="s">
        <v>10</v>
      </c>
      <c r="F1090" t="s">
        <v>15</v>
      </c>
      <c r="G1090" t="s">
        <v>17</v>
      </c>
    </row>
    <row r="1091" spans="1:7">
      <c r="A1091" s="1">
        <f>HYPERLINK("https://cms.ls-nyc.org/matter/dynamic-profile/view/1876588","18-1876588")</f>
        <v>0</v>
      </c>
      <c r="B1091" t="s">
        <v>7</v>
      </c>
      <c r="G1091" t="s">
        <v>16</v>
      </c>
    </row>
    <row r="1092" spans="1:7">
      <c r="A1092" s="1">
        <f>HYPERLINK("https://cms.ls-nyc.org/matter/dynamic-profile/view/1873594","18-1873594")</f>
        <v>0</v>
      </c>
      <c r="B1092" t="s">
        <v>10</v>
      </c>
      <c r="G1092" t="s">
        <v>16</v>
      </c>
    </row>
    <row r="1093" spans="1:7">
      <c r="A1093" s="1">
        <f>HYPERLINK("https://cms.ls-nyc.org/matter/dynamic-profile/view/1883253","18-1883253")</f>
        <v>0</v>
      </c>
      <c r="B1093" t="s">
        <v>8</v>
      </c>
      <c r="G1093" t="s">
        <v>16</v>
      </c>
    </row>
    <row r="1094" spans="1:7">
      <c r="A1094" s="1">
        <f>HYPERLINK("https://cms.ls-nyc.org/matter/dynamic-profile/view/1877272","18-1877272")</f>
        <v>0</v>
      </c>
      <c r="B1094" t="s">
        <v>8</v>
      </c>
      <c r="F1094" t="s">
        <v>15</v>
      </c>
      <c r="G1094" t="s">
        <v>17</v>
      </c>
    </row>
    <row r="1095" spans="1:7">
      <c r="A1095" s="1">
        <f>HYPERLINK("https://cms.ls-nyc.org/matter/dynamic-profile/view/1880117","18-1880117")</f>
        <v>0</v>
      </c>
      <c r="B1095" t="s">
        <v>11</v>
      </c>
      <c r="G1095" t="s">
        <v>16</v>
      </c>
    </row>
    <row r="1096" spans="1:7">
      <c r="A1096" s="1">
        <f>HYPERLINK("https://cms.ls-nyc.org/matter/dynamic-profile/view/1882702","18-1882702")</f>
        <v>0</v>
      </c>
      <c r="B1096" t="s">
        <v>9</v>
      </c>
      <c r="G1096" t="s">
        <v>16</v>
      </c>
    </row>
    <row r="1097" spans="1:7">
      <c r="A1097" s="1">
        <f>HYPERLINK("https://cms.ls-nyc.org/matter/dynamic-profile/view/1882698","18-1882698")</f>
        <v>0</v>
      </c>
      <c r="B1097" t="s">
        <v>9</v>
      </c>
      <c r="G1097" t="s">
        <v>16</v>
      </c>
    </row>
    <row r="1098" spans="1:7">
      <c r="A1098" s="1">
        <f>HYPERLINK("https://cms.ls-nyc.org/matter/dynamic-profile/view/1895335","19-1895335")</f>
        <v>0</v>
      </c>
      <c r="B1098" t="s">
        <v>8</v>
      </c>
      <c r="C1098" t="s">
        <v>12</v>
      </c>
      <c r="E1098" t="s">
        <v>14</v>
      </c>
      <c r="G1098" t="s">
        <v>17</v>
      </c>
    </row>
    <row r="1099" spans="1:7">
      <c r="A1099" s="1">
        <f>HYPERLINK("https://cms.ls-nyc.org/matter/dynamic-profile/view/1895376","19-1895376")</f>
        <v>0</v>
      </c>
      <c r="B1099" t="s">
        <v>8</v>
      </c>
      <c r="G1099" t="s">
        <v>16</v>
      </c>
    </row>
    <row r="1100" spans="1:7">
      <c r="A1100" s="1">
        <f>HYPERLINK("https://cms.ls-nyc.org/matter/dynamic-profile/view/1884809","18-1884809")</f>
        <v>0</v>
      </c>
      <c r="B1100" t="s">
        <v>9</v>
      </c>
      <c r="G1100" t="s">
        <v>16</v>
      </c>
    </row>
    <row r="1101" spans="1:7">
      <c r="A1101" s="1">
        <f>HYPERLINK("https://cms.ls-nyc.org/matter/dynamic-profile/view/1891206","19-1891206")</f>
        <v>0</v>
      </c>
      <c r="B1101" t="s">
        <v>8</v>
      </c>
      <c r="G1101" t="s">
        <v>16</v>
      </c>
    </row>
    <row r="1102" spans="1:7">
      <c r="A1102" s="1">
        <f>HYPERLINK("https://cms.ls-nyc.org/matter/dynamic-profile/view/1898867","19-1898867")</f>
        <v>0</v>
      </c>
      <c r="B1102" t="s">
        <v>8</v>
      </c>
      <c r="G1102" t="s">
        <v>16</v>
      </c>
    </row>
    <row r="1103" spans="1:7">
      <c r="A1103" s="1">
        <f>HYPERLINK("https://cms.ls-nyc.org/matter/dynamic-profile/view/1881281","18-1881281")</f>
        <v>0</v>
      </c>
      <c r="B1103" t="s">
        <v>11</v>
      </c>
      <c r="G1103" t="s">
        <v>16</v>
      </c>
    </row>
    <row r="1104" spans="1:7">
      <c r="A1104" s="1">
        <f>HYPERLINK("https://cms.ls-nyc.org/matter/dynamic-profile/view/1892507","19-1892507")</f>
        <v>0</v>
      </c>
      <c r="B1104" t="s">
        <v>8</v>
      </c>
      <c r="G1104" t="s">
        <v>16</v>
      </c>
    </row>
    <row r="1105" spans="1:7">
      <c r="A1105" s="1">
        <f>HYPERLINK("https://cms.ls-nyc.org/matter/dynamic-profile/view/1853782","17-1853782")</f>
        <v>0</v>
      </c>
      <c r="B1105" t="s">
        <v>11</v>
      </c>
      <c r="E1105" t="s">
        <v>14</v>
      </c>
      <c r="G1105" t="s">
        <v>17</v>
      </c>
    </row>
    <row r="1106" spans="1:7">
      <c r="A1106" s="1">
        <f>HYPERLINK("https://cms.ls-nyc.org/matter/dynamic-profile/view/1880546","18-1880546")</f>
        <v>0</v>
      </c>
      <c r="B1106" t="s">
        <v>11</v>
      </c>
      <c r="G1106" t="s">
        <v>16</v>
      </c>
    </row>
    <row r="1107" spans="1:7">
      <c r="A1107" s="1">
        <f>HYPERLINK("https://cms.ls-nyc.org/matter/dynamic-profile/view/1893916","19-1893916")</f>
        <v>0</v>
      </c>
      <c r="B1107" t="s">
        <v>10</v>
      </c>
      <c r="G1107" t="s">
        <v>16</v>
      </c>
    </row>
    <row r="1108" spans="1:7">
      <c r="A1108" s="1">
        <f>HYPERLINK("https://cms.ls-nyc.org/matter/dynamic-profile/view/1893493","19-1893493")</f>
        <v>0</v>
      </c>
      <c r="B1108" t="s">
        <v>11</v>
      </c>
      <c r="G1108" t="s">
        <v>16</v>
      </c>
    </row>
    <row r="1109" spans="1:7">
      <c r="A1109" s="1">
        <f>HYPERLINK("https://cms.ls-nyc.org/matter/dynamic-profile/view/1882291","18-1882291")</f>
        <v>0</v>
      </c>
      <c r="B1109" t="s">
        <v>9</v>
      </c>
      <c r="G1109" t="s">
        <v>16</v>
      </c>
    </row>
    <row r="1110" spans="1:7">
      <c r="A1110" s="1">
        <f>HYPERLINK("https://cms.ls-nyc.org/matter/dynamic-profile/view/1891542","19-1891542")</f>
        <v>0</v>
      </c>
      <c r="B1110" t="s">
        <v>9</v>
      </c>
      <c r="G1110" t="s">
        <v>16</v>
      </c>
    </row>
    <row r="1111" spans="1:7">
      <c r="A1111" s="1">
        <f>HYPERLINK("https://cms.ls-nyc.org/matter/dynamic-profile/view/1888339","19-1888339")</f>
        <v>0</v>
      </c>
      <c r="B1111" t="s">
        <v>11</v>
      </c>
      <c r="G1111" t="s">
        <v>16</v>
      </c>
    </row>
    <row r="1112" spans="1:7">
      <c r="A1112" s="1">
        <f>HYPERLINK("https://cms.ls-nyc.org/matter/dynamic-profile/view/1896453","19-1896453")</f>
        <v>0</v>
      </c>
      <c r="B1112" t="s">
        <v>8</v>
      </c>
      <c r="C1112" t="s">
        <v>12</v>
      </c>
      <c r="E1112" t="s">
        <v>14</v>
      </c>
      <c r="G1112" t="s">
        <v>17</v>
      </c>
    </row>
    <row r="1113" spans="1:7">
      <c r="A1113" s="1">
        <f>HYPERLINK("https://cms.ls-nyc.org/matter/dynamic-profile/view/1897658","19-1897658")</f>
        <v>0</v>
      </c>
      <c r="B1113" t="s">
        <v>10</v>
      </c>
      <c r="G1113" t="s">
        <v>16</v>
      </c>
    </row>
    <row r="1114" spans="1:7">
      <c r="A1114" s="1">
        <f>HYPERLINK("https://cms.ls-nyc.org/matter/dynamic-profile/view/1881344","18-1881344")</f>
        <v>0</v>
      </c>
      <c r="B1114" t="s">
        <v>8</v>
      </c>
      <c r="G1114" t="s">
        <v>16</v>
      </c>
    </row>
    <row r="1115" spans="1:7">
      <c r="A1115" s="1">
        <f>HYPERLINK("https://cms.ls-nyc.org/matter/dynamic-profile/view/1888887","19-1888887")</f>
        <v>0</v>
      </c>
      <c r="B1115" t="s">
        <v>11</v>
      </c>
      <c r="G1115" t="s">
        <v>16</v>
      </c>
    </row>
    <row r="1116" spans="1:7">
      <c r="A1116" s="1">
        <f>HYPERLINK("https://cms.ls-nyc.org/matter/dynamic-profile/view/1900070","19-1900070")</f>
        <v>0</v>
      </c>
      <c r="B1116" t="s">
        <v>7</v>
      </c>
      <c r="G1116" t="s">
        <v>16</v>
      </c>
    </row>
    <row r="1117" spans="1:7">
      <c r="A1117" s="1">
        <f>HYPERLINK("https://cms.ls-nyc.org/matter/dynamic-profile/view/1898747","19-1898747")</f>
        <v>0</v>
      </c>
      <c r="B1117" t="s">
        <v>8</v>
      </c>
      <c r="G1117" t="s">
        <v>16</v>
      </c>
    </row>
    <row r="1118" spans="1:7">
      <c r="A1118" s="1">
        <f>HYPERLINK("https://cms.ls-nyc.org/matter/dynamic-profile/view/1900987","19-1900987")</f>
        <v>0</v>
      </c>
      <c r="B1118" t="s">
        <v>11</v>
      </c>
      <c r="G1118" t="s">
        <v>16</v>
      </c>
    </row>
    <row r="1119" spans="1:7">
      <c r="A1119" s="1">
        <f>HYPERLINK("https://cms.ls-nyc.org/matter/dynamic-profile/view/1896915","19-1896915")</f>
        <v>0</v>
      </c>
      <c r="B1119" t="s">
        <v>11</v>
      </c>
      <c r="G1119" t="s">
        <v>16</v>
      </c>
    </row>
    <row r="1120" spans="1:7">
      <c r="A1120" s="1">
        <f>HYPERLINK("https://cms.ls-nyc.org/matter/dynamic-profile/view/1892880","19-1892880")</f>
        <v>0</v>
      </c>
      <c r="B1120" t="s">
        <v>11</v>
      </c>
      <c r="G1120" t="s">
        <v>16</v>
      </c>
    </row>
    <row r="1121" spans="1:7">
      <c r="A1121" s="1">
        <f>HYPERLINK("https://cms.ls-nyc.org/matter/dynamic-profile/view/1874400","18-1874400")</f>
        <v>0</v>
      </c>
      <c r="B1121" t="s">
        <v>7</v>
      </c>
      <c r="G1121" t="s">
        <v>16</v>
      </c>
    </row>
    <row r="1122" spans="1:7">
      <c r="A1122" s="1">
        <f>HYPERLINK("https://cms.ls-nyc.org/matter/dynamic-profile/view/1879335","18-1879335")</f>
        <v>0</v>
      </c>
      <c r="B1122" t="s">
        <v>7</v>
      </c>
      <c r="G1122" t="s">
        <v>16</v>
      </c>
    </row>
    <row r="1123" spans="1:7">
      <c r="A1123" s="1">
        <f>HYPERLINK("https://cms.ls-nyc.org/matter/dynamic-profile/view/1883057","18-1883057")</f>
        <v>0</v>
      </c>
      <c r="B1123" t="s">
        <v>7</v>
      </c>
      <c r="G1123" t="s">
        <v>16</v>
      </c>
    </row>
    <row r="1124" spans="1:7">
      <c r="A1124" s="1">
        <f>HYPERLINK("https://cms.ls-nyc.org/matter/dynamic-profile/view/1872601","18-1872601")</f>
        <v>0</v>
      </c>
      <c r="B1124" t="s">
        <v>7</v>
      </c>
      <c r="G1124" t="s">
        <v>16</v>
      </c>
    </row>
    <row r="1125" spans="1:7">
      <c r="A1125" s="1">
        <f>HYPERLINK("https://cms.ls-nyc.org/matter/dynamic-profile/view/1873217","18-1873217")</f>
        <v>0</v>
      </c>
      <c r="B1125" t="s">
        <v>7</v>
      </c>
      <c r="G1125" t="s">
        <v>16</v>
      </c>
    </row>
    <row r="1126" spans="1:7">
      <c r="A1126" s="1">
        <f>HYPERLINK("https://cms.ls-nyc.org/matter/dynamic-profile/view/1877435","18-1877435")</f>
        <v>0</v>
      </c>
      <c r="B1126" t="s">
        <v>7</v>
      </c>
      <c r="G1126" t="s">
        <v>16</v>
      </c>
    </row>
    <row r="1127" spans="1:7">
      <c r="A1127" s="1">
        <f>HYPERLINK("https://cms.ls-nyc.org/matter/dynamic-profile/view/1872762","18-1872762")</f>
        <v>0</v>
      </c>
      <c r="B1127" t="s">
        <v>8</v>
      </c>
      <c r="G1127" t="s">
        <v>16</v>
      </c>
    </row>
    <row r="1128" spans="1:7">
      <c r="A1128" s="1">
        <f>HYPERLINK("https://cms.ls-nyc.org/matter/dynamic-profile/view/1882569","18-1882569")</f>
        <v>0</v>
      </c>
      <c r="B1128" t="s">
        <v>8</v>
      </c>
      <c r="G1128" t="s">
        <v>16</v>
      </c>
    </row>
    <row r="1129" spans="1:7">
      <c r="A1129" s="1">
        <f>HYPERLINK("https://cms.ls-nyc.org/matter/dynamic-profile/view/1871854","18-1871854")</f>
        <v>0</v>
      </c>
      <c r="B1129" t="s">
        <v>8</v>
      </c>
      <c r="G1129" t="s">
        <v>16</v>
      </c>
    </row>
    <row r="1130" spans="1:7">
      <c r="A1130" s="1">
        <f>HYPERLINK("https://cms.ls-nyc.org/matter/dynamic-profile/view/1875349","18-1875349")</f>
        <v>0</v>
      </c>
      <c r="B1130" t="s">
        <v>8</v>
      </c>
      <c r="G1130" t="s">
        <v>16</v>
      </c>
    </row>
    <row r="1131" spans="1:7">
      <c r="A1131" s="1">
        <f>HYPERLINK("https://cms.ls-nyc.org/matter/dynamic-profile/view/1869405","18-1869405")</f>
        <v>0</v>
      </c>
      <c r="B1131" t="s">
        <v>8</v>
      </c>
      <c r="G1131" t="s">
        <v>16</v>
      </c>
    </row>
    <row r="1132" spans="1:7">
      <c r="A1132" s="1">
        <f>HYPERLINK("https://cms.ls-nyc.org/matter/dynamic-profile/view/1875764","18-1875764")</f>
        <v>0</v>
      </c>
      <c r="B1132" t="s">
        <v>8</v>
      </c>
      <c r="G1132" t="s">
        <v>16</v>
      </c>
    </row>
    <row r="1133" spans="1:7">
      <c r="A1133" s="1">
        <f>HYPERLINK("https://cms.ls-nyc.org/matter/dynamic-profile/view/1878898","18-1878898")</f>
        <v>0</v>
      </c>
      <c r="B1133" t="s">
        <v>8</v>
      </c>
      <c r="G1133" t="s">
        <v>16</v>
      </c>
    </row>
    <row r="1134" spans="1:7">
      <c r="A1134" s="1">
        <f>HYPERLINK("https://cms.ls-nyc.org/matter/dynamic-profile/view/1885509","18-1885509")</f>
        <v>0</v>
      </c>
      <c r="B1134" t="s">
        <v>9</v>
      </c>
      <c r="G1134" t="s">
        <v>16</v>
      </c>
    </row>
    <row r="1135" spans="1:7">
      <c r="A1135" s="1">
        <f>HYPERLINK("https://cms.ls-nyc.org/matter/dynamic-profile/view/1871836","18-1871836")</f>
        <v>0</v>
      </c>
      <c r="B1135" t="s">
        <v>9</v>
      </c>
      <c r="G1135" t="s">
        <v>16</v>
      </c>
    </row>
    <row r="1136" spans="1:7">
      <c r="A1136" s="1">
        <f>HYPERLINK("https://cms.ls-nyc.org/matter/dynamic-profile/view/1887795","19-1887795")</f>
        <v>0</v>
      </c>
      <c r="B1136" t="s">
        <v>9</v>
      </c>
      <c r="G1136" t="s">
        <v>16</v>
      </c>
    </row>
    <row r="1137" spans="1:7">
      <c r="A1137" s="1">
        <f>HYPERLINK("https://cms.ls-nyc.org/matter/dynamic-profile/view/1874022","18-1874022")</f>
        <v>0</v>
      </c>
      <c r="B1137" t="s">
        <v>9</v>
      </c>
      <c r="G1137" t="s">
        <v>16</v>
      </c>
    </row>
    <row r="1138" spans="1:7">
      <c r="A1138" s="1">
        <f>HYPERLINK("https://cms.ls-nyc.org/matter/dynamic-profile/view/1886022","18-1886022")</f>
        <v>0</v>
      </c>
      <c r="B1138" t="s">
        <v>9</v>
      </c>
      <c r="G1138" t="s">
        <v>16</v>
      </c>
    </row>
    <row r="1139" spans="1:7">
      <c r="A1139" s="1">
        <f>HYPERLINK("https://cms.ls-nyc.org/matter/dynamic-profile/view/1886507","18-1886507")</f>
        <v>0</v>
      </c>
      <c r="B1139" t="s">
        <v>9</v>
      </c>
      <c r="G1139" t="s">
        <v>16</v>
      </c>
    </row>
    <row r="1140" spans="1:7">
      <c r="A1140" s="1">
        <f>HYPERLINK("https://cms.ls-nyc.org/matter/dynamic-profile/view/1886510","18-1886510")</f>
        <v>0</v>
      </c>
      <c r="B1140" t="s">
        <v>9</v>
      </c>
      <c r="G1140" t="s">
        <v>16</v>
      </c>
    </row>
    <row r="1141" spans="1:7">
      <c r="A1141" s="1">
        <f>HYPERLINK("https://cms.ls-nyc.org/matter/dynamic-profile/view/1887686","18-1887686")</f>
        <v>0</v>
      </c>
      <c r="B1141" t="s">
        <v>9</v>
      </c>
      <c r="G1141" t="s">
        <v>16</v>
      </c>
    </row>
    <row r="1142" spans="1:7">
      <c r="A1142" s="1">
        <f>HYPERLINK("https://cms.ls-nyc.org/matter/dynamic-profile/view/1875090","18-1875090")</f>
        <v>0</v>
      </c>
      <c r="B1142" t="s">
        <v>9</v>
      </c>
      <c r="G1142" t="s">
        <v>16</v>
      </c>
    </row>
    <row r="1143" spans="1:7">
      <c r="A1143" s="1">
        <f>HYPERLINK("https://cms.ls-nyc.org/matter/dynamic-profile/view/1881498","18-1881498")</f>
        <v>0</v>
      </c>
      <c r="B1143" t="s">
        <v>9</v>
      </c>
      <c r="G1143" t="s">
        <v>16</v>
      </c>
    </row>
    <row r="1144" spans="1:7">
      <c r="A1144" s="1">
        <f>HYPERLINK("https://cms.ls-nyc.org/matter/dynamic-profile/view/1875754","18-1875754")</f>
        <v>0</v>
      </c>
      <c r="B1144" t="s">
        <v>9</v>
      </c>
      <c r="G1144" t="s">
        <v>16</v>
      </c>
    </row>
    <row r="1145" spans="1:7">
      <c r="A1145" s="1">
        <f>HYPERLINK("https://cms.ls-nyc.org/matter/dynamic-profile/view/1886675","18-1886675")</f>
        <v>0</v>
      </c>
      <c r="B1145" t="s">
        <v>9</v>
      </c>
      <c r="G1145" t="s">
        <v>16</v>
      </c>
    </row>
    <row r="1146" spans="1:7">
      <c r="A1146" s="1">
        <f>HYPERLINK("https://cms.ls-nyc.org/matter/dynamic-profile/view/1888496","19-1888496")</f>
        <v>0</v>
      </c>
      <c r="B1146" t="s">
        <v>9</v>
      </c>
      <c r="G1146" t="s">
        <v>16</v>
      </c>
    </row>
    <row r="1147" spans="1:7">
      <c r="A1147" s="1">
        <f>HYPERLINK("https://cms.ls-nyc.org/matter/dynamic-profile/view/1875902","18-1875902")</f>
        <v>0</v>
      </c>
      <c r="B1147" t="s">
        <v>9</v>
      </c>
      <c r="G1147" t="s">
        <v>16</v>
      </c>
    </row>
    <row r="1148" spans="1:7">
      <c r="A1148" s="1">
        <f>HYPERLINK("https://cms.ls-nyc.org/matter/dynamic-profile/view/1872180","18-1872180")</f>
        <v>0</v>
      </c>
      <c r="B1148" t="s">
        <v>9</v>
      </c>
      <c r="G1148" t="s">
        <v>16</v>
      </c>
    </row>
    <row r="1149" spans="1:7">
      <c r="A1149" s="1">
        <f>HYPERLINK("https://cms.ls-nyc.org/matter/dynamic-profile/view/1882293","18-1882293")</f>
        <v>0</v>
      </c>
      <c r="B1149" t="s">
        <v>9</v>
      </c>
      <c r="G1149" t="s">
        <v>16</v>
      </c>
    </row>
    <row r="1150" spans="1:7">
      <c r="A1150" s="1">
        <f>HYPERLINK("https://cms.ls-nyc.org/matter/dynamic-profile/view/1874465","18-1874465")</f>
        <v>0</v>
      </c>
      <c r="B1150" t="s">
        <v>11</v>
      </c>
      <c r="G1150" t="s">
        <v>16</v>
      </c>
    </row>
    <row r="1151" spans="1:7">
      <c r="A1151" s="1">
        <f>HYPERLINK("https://cms.ls-nyc.org/matter/dynamic-profile/view/1887893","19-1887893")</f>
        <v>0</v>
      </c>
      <c r="B1151" t="s">
        <v>11</v>
      </c>
      <c r="F1151" t="s">
        <v>15</v>
      </c>
      <c r="G1151" t="s">
        <v>17</v>
      </c>
    </row>
    <row r="1152" spans="1:7">
      <c r="A1152" s="1">
        <f>HYPERLINK("https://cms.ls-nyc.org/matter/dynamic-profile/view/1874696","18-1874696")</f>
        <v>0</v>
      </c>
      <c r="B1152" t="s">
        <v>11</v>
      </c>
      <c r="G1152" t="s">
        <v>16</v>
      </c>
    </row>
    <row r="1153" spans="1:7">
      <c r="A1153" s="1">
        <f>HYPERLINK("https://cms.ls-nyc.org/matter/dynamic-profile/view/1871289","18-1871289")</f>
        <v>0</v>
      </c>
      <c r="B1153" t="s">
        <v>10</v>
      </c>
      <c r="G1153" t="s">
        <v>16</v>
      </c>
    </row>
    <row r="1154" spans="1:7">
      <c r="A1154" s="1">
        <f>HYPERLINK("https://cms.ls-nyc.org/matter/dynamic-profile/view/1878682","18-1878682")</f>
        <v>0</v>
      </c>
      <c r="B1154" t="s">
        <v>8</v>
      </c>
      <c r="C1154" t="s">
        <v>12</v>
      </c>
      <c r="E1154" t="s">
        <v>14</v>
      </c>
      <c r="G1154" t="s">
        <v>17</v>
      </c>
    </row>
    <row r="1155" spans="1:7">
      <c r="A1155" s="1">
        <f>HYPERLINK("https://cms.ls-nyc.org/matter/dynamic-profile/view/1893305","19-1893305")</f>
        <v>0</v>
      </c>
      <c r="B1155" t="s">
        <v>9</v>
      </c>
      <c r="G1155" t="s">
        <v>16</v>
      </c>
    </row>
    <row r="1156" spans="1:7">
      <c r="A1156" s="1">
        <f>HYPERLINK("https://cms.ls-nyc.org/matter/dynamic-profile/view/1896502","19-1896502")</f>
        <v>0</v>
      </c>
      <c r="B1156" t="s">
        <v>8</v>
      </c>
      <c r="G1156" t="s">
        <v>16</v>
      </c>
    </row>
    <row r="1157" spans="1:7">
      <c r="A1157" s="1">
        <f>HYPERLINK("https://cms.ls-nyc.org/matter/dynamic-profile/view/1875480","18-1875480")</f>
        <v>0</v>
      </c>
      <c r="B1157" t="s">
        <v>11</v>
      </c>
      <c r="G1157" t="s">
        <v>16</v>
      </c>
    </row>
    <row r="1158" spans="1:7">
      <c r="A1158" s="1">
        <f>HYPERLINK("https://cms.ls-nyc.org/matter/dynamic-profile/view/1880904","18-1880904")</f>
        <v>0</v>
      </c>
      <c r="B1158" t="s">
        <v>9</v>
      </c>
      <c r="G1158" t="s">
        <v>16</v>
      </c>
    </row>
    <row r="1159" spans="1:7">
      <c r="A1159" s="1">
        <f>HYPERLINK("https://cms.ls-nyc.org/matter/dynamic-profile/view/1882292","18-1882292")</f>
        <v>0</v>
      </c>
      <c r="B1159" t="s">
        <v>9</v>
      </c>
      <c r="G1159" t="s">
        <v>16</v>
      </c>
    </row>
    <row r="1160" spans="1:7">
      <c r="A1160" s="1">
        <f>HYPERLINK("https://cms.ls-nyc.org/matter/dynamic-profile/view/1897052","19-1897052")</f>
        <v>0</v>
      </c>
      <c r="B1160" t="s">
        <v>11</v>
      </c>
      <c r="F1160" t="s">
        <v>15</v>
      </c>
      <c r="G1160" t="s">
        <v>17</v>
      </c>
    </row>
    <row r="1161" spans="1:7">
      <c r="A1161" s="1">
        <f>HYPERLINK("https://cms.ls-nyc.org/matter/dynamic-profile/view/1895460","19-1895460")</f>
        <v>0</v>
      </c>
      <c r="B1161" t="s">
        <v>9</v>
      </c>
      <c r="G1161" t="s">
        <v>16</v>
      </c>
    </row>
    <row r="1162" spans="1:7">
      <c r="A1162" s="1">
        <f>HYPERLINK("https://cms.ls-nyc.org/matter/dynamic-profile/view/1876930","18-1876930")</f>
        <v>0</v>
      </c>
      <c r="B1162" t="s">
        <v>9</v>
      </c>
      <c r="G1162" t="s">
        <v>16</v>
      </c>
    </row>
    <row r="1163" spans="1:7">
      <c r="A1163" s="1">
        <f>HYPERLINK("https://cms.ls-nyc.org/matter/dynamic-profile/view/1892304","19-1892304")</f>
        <v>0</v>
      </c>
      <c r="B1163" t="s">
        <v>9</v>
      </c>
      <c r="G1163" t="s">
        <v>16</v>
      </c>
    </row>
    <row r="1164" spans="1:7">
      <c r="A1164" s="1">
        <f>HYPERLINK("https://cms.ls-nyc.org/matter/dynamic-profile/view/1878656","18-1878656")</f>
        <v>0</v>
      </c>
      <c r="B1164" t="s">
        <v>8</v>
      </c>
      <c r="G1164" t="s">
        <v>16</v>
      </c>
    </row>
    <row r="1165" spans="1:7">
      <c r="A1165" s="1">
        <f>HYPERLINK("https://cms.ls-nyc.org/matter/dynamic-profile/view/1878659","18-1878659")</f>
        <v>0</v>
      </c>
      <c r="B1165" t="s">
        <v>8</v>
      </c>
      <c r="G1165" t="s">
        <v>16</v>
      </c>
    </row>
    <row r="1166" spans="1:7">
      <c r="A1166" s="1">
        <f>HYPERLINK("https://cms.ls-nyc.org/matter/dynamic-profile/view/1878653","18-1878653")</f>
        <v>0</v>
      </c>
      <c r="B1166" t="s">
        <v>8</v>
      </c>
      <c r="G1166" t="s">
        <v>16</v>
      </c>
    </row>
    <row r="1167" spans="1:7">
      <c r="A1167" s="1">
        <f>HYPERLINK("https://cms.ls-nyc.org/matter/dynamic-profile/view/1876642","18-1876642")</f>
        <v>0</v>
      </c>
      <c r="B1167" t="s">
        <v>8</v>
      </c>
      <c r="G1167" t="s">
        <v>16</v>
      </c>
    </row>
    <row r="1168" spans="1:7">
      <c r="A1168" s="1">
        <f>HYPERLINK("https://cms.ls-nyc.org/matter/dynamic-profile/view/1874499","18-1874499")</f>
        <v>0</v>
      </c>
      <c r="B1168" t="s">
        <v>11</v>
      </c>
      <c r="G1168" t="s">
        <v>16</v>
      </c>
    </row>
    <row r="1169" spans="1:7">
      <c r="A1169" s="1">
        <f>HYPERLINK("https://cms.ls-nyc.org/matter/dynamic-profile/view/1892373","19-1892373")</f>
        <v>0</v>
      </c>
      <c r="B1169" t="s">
        <v>9</v>
      </c>
      <c r="F1169" t="s">
        <v>15</v>
      </c>
      <c r="G1169" t="s">
        <v>17</v>
      </c>
    </row>
    <row r="1170" spans="1:7">
      <c r="A1170" s="1">
        <f>HYPERLINK("https://cms.ls-nyc.org/matter/dynamic-profile/view/1891937","19-1891937")</f>
        <v>0</v>
      </c>
      <c r="B1170" t="s">
        <v>9</v>
      </c>
      <c r="F1170" t="s">
        <v>15</v>
      </c>
      <c r="G1170" t="s">
        <v>17</v>
      </c>
    </row>
    <row r="1171" spans="1:7">
      <c r="A1171" s="1">
        <f>HYPERLINK("https://cms.ls-nyc.org/matter/dynamic-profile/view/1864205","18-1864205")</f>
        <v>0</v>
      </c>
      <c r="B1171" t="s">
        <v>8</v>
      </c>
      <c r="F1171" t="s">
        <v>15</v>
      </c>
      <c r="G1171" t="s">
        <v>17</v>
      </c>
    </row>
    <row r="1172" spans="1:7">
      <c r="A1172" s="1">
        <f>HYPERLINK("https://cms.ls-nyc.org/matter/dynamic-profile/view/1864890","18-1864890")</f>
        <v>0</v>
      </c>
      <c r="B1172" t="s">
        <v>8</v>
      </c>
      <c r="F1172" t="s">
        <v>15</v>
      </c>
      <c r="G1172" t="s">
        <v>17</v>
      </c>
    </row>
    <row r="1173" spans="1:7">
      <c r="A1173" s="1">
        <f>HYPERLINK("https://cms.ls-nyc.org/matter/dynamic-profile/view/1882177","18-1882177")</f>
        <v>0</v>
      </c>
      <c r="B1173" t="s">
        <v>8</v>
      </c>
      <c r="G1173" t="s">
        <v>16</v>
      </c>
    </row>
    <row r="1174" spans="1:7">
      <c r="A1174" s="1">
        <f>HYPERLINK("https://cms.ls-nyc.org/matter/dynamic-profile/view/1886442","18-1886442")</f>
        <v>0</v>
      </c>
      <c r="B1174" t="s">
        <v>9</v>
      </c>
      <c r="F1174" t="s">
        <v>15</v>
      </c>
      <c r="G1174" t="s">
        <v>17</v>
      </c>
    </row>
    <row r="1175" spans="1:7">
      <c r="A1175" s="1">
        <f>HYPERLINK("https://cms.ls-nyc.org/matter/dynamic-profile/view/1887046","19-1887046")</f>
        <v>0</v>
      </c>
      <c r="B1175" t="s">
        <v>9</v>
      </c>
      <c r="G1175" t="s">
        <v>16</v>
      </c>
    </row>
    <row r="1176" spans="1:7">
      <c r="A1176" s="1">
        <f>HYPERLINK("https://cms.ls-nyc.org/matter/dynamic-profile/view/1887089","19-1887089")</f>
        <v>0</v>
      </c>
      <c r="B1176" t="s">
        <v>9</v>
      </c>
      <c r="G1176" t="s">
        <v>16</v>
      </c>
    </row>
    <row r="1177" spans="1:7">
      <c r="A1177" s="1">
        <f>HYPERLINK("https://cms.ls-nyc.org/matter/dynamic-profile/view/1886953","19-1886953")</f>
        <v>0</v>
      </c>
      <c r="B1177" t="s">
        <v>10</v>
      </c>
      <c r="F1177" t="s">
        <v>15</v>
      </c>
      <c r="G1177" t="s">
        <v>17</v>
      </c>
    </row>
    <row r="1178" spans="1:7">
      <c r="A1178" s="1">
        <f>HYPERLINK("https://cms.ls-nyc.org/matter/dynamic-profile/view/1879311","18-1879311")</f>
        <v>0</v>
      </c>
      <c r="B1178" t="s">
        <v>7</v>
      </c>
      <c r="G1178" t="s">
        <v>16</v>
      </c>
    </row>
    <row r="1179" spans="1:7">
      <c r="A1179" s="1">
        <f>HYPERLINK("https://cms.ls-nyc.org/matter/dynamic-profile/view/1875900","18-1875900")</f>
        <v>0</v>
      </c>
      <c r="B1179" t="s">
        <v>8</v>
      </c>
      <c r="F1179" t="s">
        <v>15</v>
      </c>
      <c r="G1179" t="s">
        <v>17</v>
      </c>
    </row>
    <row r="1180" spans="1:7">
      <c r="A1180" s="1">
        <f>HYPERLINK("https://cms.ls-nyc.org/matter/dynamic-profile/view/1880980","18-1880980")</f>
        <v>0</v>
      </c>
      <c r="B1180" t="s">
        <v>8</v>
      </c>
      <c r="G1180" t="s">
        <v>16</v>
      </c>
    </row>
    <row r="1181" spans="1:7">
      <c r="A1181" s="1">
        <f>HYPERLINK("https://cms.ls-nyc.org/matter/dynamic-profile/view/1878126","18-1878126")</f>
        <v>0</v>
      </c>
      <c r="B1181" t="s">
        <v>8</v>
      </c>
      <c r="G1181" t="s">
        <v>16</v>
      </c>
    </row>
    <row r="1182" spans="1:7">
      <c r="A1182" s="1">
        <f>HYPERLINK("https://cms.ls-nyc.org/matter/dynamic-profile/view/1881953","18-1881953")</f>
        <v>0</v>
      </c>
      <c r="B1182" t="s">
        <v>11</v>
      </c>
      <c r="G1182" t="s">
        <v>16</v>
      </c>
    </row>
    <row r="1183" spans="1:7">
      <c r="A1183" s="1">
        <f>HYPERLINK("https://cms.ls-nyc.org/matter/dynamic-profile/view/1898121","19-1898121")</f>
        <v>0</v>
      </c>
      <c r="B1183" t="s">
        <v>9</v>
      </c>
      <c r="F1183" t="s">
        <v>15</v>
      </c>
      <c r="G1183" t="s">
        <v>17</v>
      </c>
    </row>
    <row r="1184" spans="1:7">
      <c r="A1184" s="1">
        <f>HYPERLINK("https://cms.ls-nyc.org/matter/dynamic-profile/view/1897501","19-1897501")</f>
        <v>0</v>
      </c>
      <c r="B1184" t="s">
        <v>7</v>
      </c>
      <c r="G1184" t="s">
        <v>16</v>
      </c>
    </row>
    <row r="1185" spans="1:7">
      <c r="A1185" s="1">
        <f>HYPERLINK("https://cms.ls-nyc.org/matter/dynamic-profile/view/1888246","19-1888246")</f>
        <v>0</v>
      </c>
      <c r="B1185" t="s">
        <v>9</v>
      </c>
      <c r="G1185" t="s">
        <v>16</v>
      </c>
    </row>
    <row r="1186" spans="1:7">
      <c r="A1186" s="1">
        <f>HYPERLINK("https://cms.ls-nyc.org/matter/dynamic-profile/view/1840397","17-1840397")</f>
        <v>0</v>
      </c>
      <c r="B1186" t="s">
        <v>11</v>
      </c>
      <c r="D1186" t="s">
        <v>13</v>
      </c>
      <c r="G1186" t="s">
        <v>17</v>
      </c>
    </row>
    <row r="1187" spans="1:7">
      <c r="A1187" s="1">
        <f>HYPERLINK("https://cms.ls-nyc.org/matter/dynamic-profile/view/1895203","19-1895203")</f>
        <v>0</v>
      </c>
      <c r="B1187" t="s">
        <v>10</v>
      </c>
      <c r="G1187" t="s">
        <v>16</v>
      </c>
    </row>
    <row r="1188" spans="1:7">
      <c r="A1188" s="1">
        <f>HYPERLINK("https://cms.ls-nyc.org/matter/dynamic-profile/view/1870468","18-1870468")</f>
        <v>0</v>
      </c>
      <c r="B1188" t="s">
        <v>11</v>
      </c>
      <c r="G1188" t="s">
        <v>16</v>
      </c>
    </row>
    <row r="1189" spans="1:7">
      <c r="A1189" s="1">
        <f>HYPERLINK("https://cms.ls-nyc.org/matter/dynamic-profile/view/1871867","18-1871867")</f>
        <v>0</v>
      </c>
      <c r="B1189" t="s">
        <v>7</v>
      </c>
      <c r="G1189" t="s">
        <v>16</v>
      </c>
    </row>
    <row r="1190" spans="1:7">
      <c r="A1190" s="1">
        <f>HYPERLINK("https://cms.ls-nyc.org/matter/dynamic-profile/view/1879972","18-1879972")</f>
        <v>0</v>
      </c>
      <c r="B1190" t="s">
        <v>7</v>
      </c>
      <c r="G1190" t="s">
        <v>16</v>
      </c>
    </row>
    <row r="1191" spans="1:7">
      <c r="A1191" s="1">
        <f>HYPERLINK("https://cms.ls-nyc.org/matter/dynamic-profile/view/1884730","18-1884730")</f>
        <v>0</v>
      </c>
      <c r="B1191" t="s">
        <v>9</v>
      </c>
      <c r="G1191" t="s">
        <v>16</v>
      </c>
    </row>
    <row r="1192" spans="1:7">
      <c r="A1192" s="1">
        <f>HYPERLINK("https://cms.ls-nyc.org/matter/dynamic-profile/view/1884739","18-1884739")</f>
        <v>0</v>
      </c>
      <c r="B1192" t="s">
        <v>9</v>
      </c>
      <c r="G1192" t="s">
        <v>16</v>
      </c>
    </row>
    <row r="1193" spans="1:7">
      <c r="A1193" s="1">
        <f>HYPERLINK("https://cms.ls-nyc.org/matter/dynamic-profile/view/1889389","19-1889389")</f>
        <v>0</v>
      </c>
      <c r="B1193" t="s">
        <v>9</v>
      </c>
      <c r="G1193" t="s">
        <v>16</v>
      </c>
    </row>
    <row r="1194" spans="1:7">
      <c r="A1194" s="1">
        <f>HYPERLINK("https://cms.ls-nyc.org/matter/dynamic-profile/view/1898229","19-1898229")</f>
        <v>0</v>
      </c>
      <c r="B1194" t="s">
        <v>7</v>
      </c>
      <c r="G1194" t="s">
        <v>16</v>
      </c>
    </row>
    <row r="1195" spans="1:7">
      <c r="A1195" s="1">
        <f>HYPERLINK("https://cms.ls-nyc.org/matter/dynamic-profile/view/1891776","19-1891776")</f>
        <v>0</v>
      </c>
      <c r="B1195" t="s">
        <v>9</v>
      </c>
      <c r="G1195" t="s">
        <v>16</v>
      </c>
    </row>
    <row r="1196" spans="1:7">
      <c r="A1196" s="1">
        <f>HYPERLINK("https://cms.ls-nyc.org/matter/dynamic-profile/view/1891759","19-1891759")</f>
        <v>0</v>
      </c>
      <c r="B1196" t="s">
        <v>9</v>
      </c>
      <c r="G1196" t="s">
        <v>16</v>
      </c>
    </row>
    <row r="1197" spans="1:7">
      <c r="A1197" s="1">
        <f>HYPERLINK("https://cms.ls-nyc.org/matter/dynamic-profile/view/1884790","18-1884790")</f>
        <v>0</v>
      </c>
      <c r="B1197" t="s">
        <v>9</v>
      </c>
      <c r="G1197" t="s">
        <v>16</v>
      </c>
    </row>
    <row r="1198" spans="1:7">
      <c r="A1198" s="1">
        <f>HYPERLINK("https://cms.ls-nyc.org/matter/dynamic-profile/view/1880103","18-1880103")</f>
        <v>0</v>
      </c>
      <c r="B1198" t="s">
        <v>11</v>
      </c>
      <c r="G1198" t="s">
        <v>16</v>
      </c>
    </row>
    <row r="1199" spans="1:7">
      <c r="A1199" s="1">
        <f>HYPERLINK("https://cms.ls-nyc.org/matter/dynamic-profile/view/1864902","18-1864902")</f>
        <v>0</v>
      </c>
      <c r="B1199" t="s">
        <v>8</v>
      </c>
      <c r="G1199" t="s">
        <v>16</v>
      </c>
    </row>
    <row r="1200" spans="1:7">
      <c r="A1200" s="1">
        <f>HYPERLINK("https://cms.ls-nyc.org/matter/dynamic-profile/view/1896527","19-1896527")</f>
        <v>0</v>
      </c>
      <c r="B1200" t="s">
        <v>8</v>
      </c>
      <c r="G1200" t="s">
        <v>16</v>
      </c>
    </row>
    <row r="1201" spans="1:7">
      <c r="A1201" s="1">
        <f>HYPERLINK("https://cms.ls-nyc.org/matter/dynamic-profile/view/1897378","19-1897378")</f>
        <v>0</v>
      </c>
      <c r="B1201" t="s">
        <v>9</v>
      </c>
      <c r="F1201" t="s">
        <v>15</v>
      </c>
      <c r="G1201" t="s">
        <v>17</v>
      </c>
    </row>
    <row r="1202" spans="1:7">
      <c r="A1202" s="1">
        <f>HYPERLINK("https://cms.ls-nyc.org/matter/dynamic-profile/view/1892846","19-1892846")</f>
        <v>0</v>
      </c>
      <c r="B1202" t="s">
        <v>11</v>
      </c>
      <c r="G1202" t="s">
        <v>16</v>
      </c>
    </row>
    <row r="1203" spans="1:7">
      <c r="A1203" s="1">
        <f>HYPERLINK("https://cms.ls-nyc.org/matter/dynamic-profile/view/1877946","18-1877946")</f>
        <v>0</v>
      </c>
      <c r="B1203" t="s">
        <v>8</v>
      </c>
      <c r="G1203" t="s">
        <v>16</v>
      </c>
    </row>
    <row r="1204" spans="1:7">
      <c r="A1204" s="1">
        <f>HYPERLINK("https://cms.ls-nyc.org/matter/dynamic-profile/view/1872605","18-1872605")</f>
        <v>0</v>
      </c>
      <c r="B1204" t="s">
        <v>9</v>
      </c>
      <c r="E1204" t="s">
        <v>14</v>
      </c>
      <c r="G1204" t="s">
        <v>17</v>
      </c>
    </row>
    <row r="1205" spans="1:7">
      <c r="A1205" s="1">
        <f>HYPERLINK("https://cms.ls-nyc.org/matter/dynamic-profile/view/1881831","18-1881831")</f>
        <v>0</v>
      </c>
      <c r="B1205" t="s">
        <v>9</v>
      </c>
      <c r="G1205" t="s">
        <v>16</v>
      </c>
    </row>
    <row r="1206" spans="1:7">
      <c r="A1206" s="1">
        <f>HYPERLINK("https://cms.ls-nyc.org/matter/dynamic-profile/view/1876946","18-1876946")</f>
        <v>0</v>
      </c>
      <c r="B1206" t="s">
        <v>9</v>
      </c>
      <c r="G1206" t="s">
        <v>16</v>
      </c>
    </row>
    <row r="1207" spans="1:7">
      <c r="A1207" s="1">
        <f>HYPERLINK("https://cms.ls-nyc.org/matter/dynamic-profile/view/1885978","18-1885978")</f>
        <v>0</v>
      </c>
      <c r="B1207" t="s">
        <v>11</v>
      </c>
      <c r="G1207" t="s">
        <v>16</v>
      </c>
    </row>
    <row r="1208" spans="1:7">
      <c r="A1208" s="1">
        <f>HYPERLINK("https://cms.ls-nyc.org/matter/dynamic-profile/view/1871646","18-1871646")</f>
        <v>0</v>
      </c>
      <c r="B1208" t="s">
        <v>11</v>
      </c>
      <c r="G1208" t="s">
        <v>16</v>
      </c>
    </row>
    <row r="1209" spans="1:7">
      <c r="A1209" s="1">
        <f>HYPERLINK("https://cms.ls-nyc.org/matter/dynamic-profile/view/1867832","18-1867832")</f>
        <v>0</v>
      </c>
      <c r="B1209" t="s">
        <v>11</v>
      </c>
      <c r="D1209" t="s">
        <v>13</v>
      </c>
      <c r="G1209" t="s">
        <v>17</v>
      </c>
    </row>
    <row r="1210" spans="1:7">
      <c r="A1210" s="1">
        <f>HYPERLINK("https://cms.ls-nyc.org/matter/dynamic-profile/view/1867354","18-1867354")</f>
        <v>0</v>
      </c>
      <c r="B1210" t="s">
        <v>8</v>
      </c>
      <c r="G1210" t="s">
        <v>16</v>
      </c>
    </row>
    <row r="1211" spans="1:7">
      <c r="A1211" s="1">
        <f>HYPERLINK("https://cms.ls-nyc.org/matter/dynamic-profile/view/1887993","19-1887993")</f>
        <v>0</v>
      </c>
      <c r="B1211" t="s">
        <v>9</v>
      </c>
      <c r="G1211" t="s">
        <v>16</v>
      </c>
    </row>
    <row r="1212" spans="1:7">
      <c r="A1212" s="1">
        <f>HYPERLINK("https://cms.ls-nyc.org/matter/dynamic-profile/view/1874628","18-1874628")</f>
        <v>0</v>
      </c>
      <c r="B1212" t="s">
        <v>7</v>
      </c>
      <c r="G1212" t="s">
        <v>16</v>
      </c>
    </row>
    <row r="1213" spans="1:7">
      <c r="A1213" s="1">
        <f>HYPERLINK("https://cms.ls-nyc.org/matter/dynamic-profile/view/1877029","18-1877029")</f>
        <v>0</v>
      </c>
      <c r="B1213" t="s">
        <v>7</v>
      </c>
      <c r="G1213" t="s">
        <v>16</v>
      </c>
    </row>
    <row r="1214" spans="1:7">
      <c r="A1214" s="1">
        <f>HYPERLINK("https://cms.ls-nyc.org/matter/dynamic-profile/view/1888382","19-1888382")</f>
        <v>0</v>
      </c>
      <c r="B1214" t="s">
        <v>9</v>
      </c>
      <c r="G1214" t="s">
        <v>16</v>
      </c>
    </row>
    <row r="1215" spans="1:7">
      <c r="A1215" s="1">
        <f>HYPERLINK("https://cms.ls-nyc.org/matter/dynamic-profile/view/1873237","18-1873237")</f>
        <v>0</v>
      </c>
      <c r="B1215" t="s">
        <v>9</v>
      </c>
      <c r="G1215" t="s">
        <v>16</v>
      </c>
    </row>
    <row r="1216" spans="1:7">
      <c r="A1216" s="1">
        <f>HYPERLINK("https://cms.ls-nyc.org/matter/dynamic-profile/view/1882296","18-1882296")</f>
        <v>0</v>
      </c>
      <c r="B1216" t="s">
        <v>9</v>
      </c>
      <c r="G1216" t="s">
        <v>16</v>
      </c>
    </row>
    <row r="1217" spans="1:7">
      <c r="A1217" s="1">
        <f>HYPERLINK("https://cms.ls-nyc.org/matter/dynamic-profile/view/1883829","18-1883829")</f>
        <v>0</v>
      </c>
      <c r="B1217" t="s">
        <v>8</v>
      </c>
      <c r="E1217" t="s">
        <v>14</v>
      </c>
      <c r="G1217" t="s">
        <v>17</v>
      </c>
    </row>
    <row r="1218" spans="1:7">
      <c r="A1218" s="1">
        <f>HYPERLINK("https://cms.ls-nyc.org/matter/dynamic-profile/view/1871449","18-1871449")</f>
        <v>0</v>
      </c>
      <c r="B1218" t="s">
        <v>9</v>
      </c>
      <c r="G1218" t="s">
        <v>16</v>
      </c>
    </row>
    <row r="1219" spans="1:7">
      <c r="A1219" s="1">
        <f>HYPERLINK("https://cms.ls-nyc.org/matter/dynamic-profile/view/1871444","18-1871444")</f>
        <v>0</v>
      </c>
      <c r="B1219" t="s">
        <v>9</v>
      </c>
      <c r="G1219" t="s">
        <v>16</v>
      </c>
    </row>
    <row r="1220" spans="1:7">
      <c r="A1220" s="1">
        <f>HYPERLINK("https://cms.ls-nyc.org/matter/dynamic-profile/view/1873803","18-1873803")</f>
        <v>0</v>
      </c>
      <c r="B1220" t="s">
        <v>9</v>
      </c>
      <c r="G1220" t="s">
        <v>16</v>
      </c>
    </row>
    <row r="1221" spans="1:7">
      <c r="A1221" s="1">
        <f>HYPERLINK("https://cms.ls-nyc.org/matter/dynamic-profile/view/1879106","18-1879106")</f>
        <v>0</v>
      </c>
      <c r="B1221" t="s">
        <v>8</v>
      </c>
      <c r="F1221" t="s">
        <v>15</v>
      </c>
      <c r="G1221" t="s">
        <v>17</v>
      </c>
    </row>
    <row r="1222" spans="1:7">
      <c r="A1222" s="1">
        <f>HYPERLINK("https://cms.ls-nyc.org/matter/dynamic-profile/view/1878794","18-1878794")</f>
        <v>0</v>
      </c>
      <c r="B1222" t="s">
        <v>7</v>
      </c>
      <c r="G1222" t="s">
        <v>16</v>
      </c>
    </row>
    <row r="1223" spans="1:7">
      <c r="A1223" s="1">
        <f>HYPERLINK("https://cms.ls-nyc.org/matter/dynamic-profile/view/1896079","19-1896079")</f>
        <v>0</v>
      </c>
      <c r="B1223" t="s">
        <v>10</v>
      </c>
      <c r="G1223" t="s">
        <v>16</v>
      </c>
    </row>
    <row r="1224" spans="1:7">
      <c r="A1224" s="1">
        <f>HYPERLINK("https://cms.ls-nyc.org/matter/dynamic-profile/view/1885983","18-1885983")</f>
        <v>0</v>
      </c>
      <c r="B1224" t="s">
        <v>9</v>
      </c>
      <c r="G1224" t="s">
        <v>16</v>
      </c>
    </row>
    <row r="1225" spans="1:7">
      <c r="A1225" s="1">
        <f>HYPERLINK("https://cms.ls-nyc.org/matter/dynamic-profile/view/1894682","19-1894682")</f>
        <v>0</v>
      </c>
      <c r="B1225" t="s">
        <v>8</v>
      </c>
      <c r="G1225" t="s">
        <v>16</v>
      </c>
    </row>
    <row r="1226" spans="1:7">
      <c r="A1226" s="1">
        <f>HYPERLINK("https://cms.ls-nyc.org/matter/dynamic-profile/view/1899594","19-1899594")</f>
        <v>0</v>
      </c>
      <c r="B1226" t="s">
        <v>9</v>
      </c>
      <c r="G1226" t="s">
        <v>16</v>
      </c>
    </row>
    <row r="1227" spans="1:7">
      <c r="A1227" s="1">
        <f>HYPERLINK("https://cms.ls-nyc.org/matter/dynamic-profile/view/1891998","19-1891998")</f>
        <v>0</v>
      </c>
      <c r="B1227" t="s">
        <v>8</v>
      </c>
      <c r="G1227" t="s">
        <v>16</v>
      </c>
    </row>
    <row r="1228" spans="1:7">
      <c r="A1228" s="1">
        <f>HYPERLINK("https://cms.ls-nyc.org/matter/dynamic-profile/view/1900646","19-1900646")</f>
        <v>0</v>
      </c>
      <c r="B1228" t="s">
        <v>7</v>
      </c>
      <c r="E1228" t="s">
        <v>14</v>
      </c>
      <c r="G1228" t="s">
        <v>17</v>
      </c>
    </row>
    <row r="1229" spans="1:7">
      <c r="A1229" s="1">
        <f>HYPERLINK("https://cms.ls-nyc.org/matter/dynamic-profile/view/1894996","19-1894996")</f>
        <v>0</v>
      </c>
      <c r="B1229" t="s">
        <v>9</v>
      </c>
      <c r="G1229" t="s">
        <v>16</v>
      </c>
    </row>
    <row r="1230" spans="1:7">
      <c r="A1230" s="1">
        <f>HYPERLINK("https://cms.ls-nyc.org/matter/dynamic-profile/view/1892192","19-1892192")</f>
        <v>0</v>
      </c>
      <c r="B1230" t="s">
        <v>9</v>
      </c>
      <c r="G1230" t="s">
        <v>16</v>
      </c>
    </row>
    <row r="1231" spans="1:7">
      <c r="A1231" s="1">
        <f>HYPERLINK("https://cms.ls-nyc.org/matter/dynamic-profile/view/1893577","19-1893577")</f>
        <v>0</v>
      </c>
      <c r="B1231" t="s">
        <v>11</v>
      </c>
      <c r="G1231" t="s">
        <v>16</v>
      </c>
    </row>
    <row r="1232" spans="1:7">
      <c r="A1232" s="1">
        <f>HYPERLINK("https://cms.ls-nyc.org/matter/dynamic-profile/view/1892004","19-1892004")</f>
        <v>0</v>
      </c>
      <c r="B1232" t="s">
        <v>8</v>
      </c>
      <c r="E1232" t="s">
        <v>14</v>
      </c>
      <c r="F1232" t="s">
        <v>15</v>
      </c>
      <c r="G1232" t="s">
        <v>17</v>
      </c>
    </row>
    <row r="1233" spans="1:7">
      <c r="A1233" s="1">
        <f>HYPERLINK("https://cms.ls-nyc.org/matter/dynamic-profile/view/1892008","19-1892008")</f>
        <v>0</v>
      </c>
      <c r="B1233" t="s">
        <v>8</v>
      </c>
      <c r="E1233" t="s">
        <v>14</v>
      </c>
      <c r="F1233" t="s">
        <v>15</v>
      </c>
      <c r="G1233" t="s">
        <v>17</v>
      </c>
    </row>
    <row r="1234" spans="1:7">
      <c r="A1234" s="1">
        <f>HYPERLINK("https://cms.ls-nyc.org/matter/dynamic-profile/view/1891139","19-1891139")</f>
        <v>0</v>
      </c>
      <c r="B1234" t="s">
        <v>8</v>
      </c>
      <c r="F1234" t="s">
        <v>15</v>
      </c>
      <c r="G1234" t="s">
        <v>17</v>
      </c>
    </row>
    <row r="1235" spans="1:7">
      <c r="A1235" s="1">
        <f>HYPERLINK("https://cms.ls-nyc.org/matter/dynamic-profile/view/1874174","18-1874174")</f>
        <v>0</v>
      </c>
      <c r="B1235" t="s">
        <v>8</v>
      </c>
      <c r="F1235" t="s">
        <v>15</v>
      </c>
      <c r="G1235" t="s">
        <v>17</v>
      </c>
    </row>
    <row r="1236" spans="1:7">
      <c r="A1236" s="1">
        <f>HYPERLINK("https://cms.ls-nyc.org/matter/dynamic-profile/view/1874188","18-1874188")</f>
        <v>0</v>
      </c>
      <c r="B1236" t="s">
        <v>8</v>
      </c>
      <c r="F1236" t="s">
        <v>15</v>
      </c>
      <c r="G1236" t="s">
        <v>17</v>
      </c>
    </row>
    <row r="1237" spans="1:7">
      <c r="A1237" s="1">
        <f>HYPERLINK("https://cms.ls-nyc.org/matter/dynamic-profile/view/1876131","18-1876131")</f>
        <v>0</v>
      </c>
      <c r="B1237" t="s">
        <v>11</v>
      </c>
      <c r="F1237" t="s">
        <v>15</v>
      </c>
      <c r="G1237" t="s">
        <v>17</v>
      </c>
    </row>
    <row r="1238" spans="1:7">
      <c r="A1238" s="1">
        <f>HYPERLINK("https://cms.ls-nyc.org/matter/dynamic-profile/view/1887291","19-1887291")</f>
        <v>0</v>
      </c>
      <c r="B1238" t="s">
        <v>8</v>
      </c>
      <c r="C1238" t="s">
        <v>12</v>
      </c>
      <c r="E1238" t="s">
        <v>14</v>
      </c>
      <c r="G1238" t="s">
        <v>17</v>
      </c>
    </row>
    <row r="1239" spans="1:7">
      <c r="A1239" s="1">
        <f>HYPERLINK("https://cms.ls-nyc.org/matter/dynamic-profile/view/1883625","18-1883625")</f>
        <v>0</v>
      </c>
      <c r="B1239" t="s">
        <v>11</v>
      </c>
      <c r="G1239" t="s">
        <v>16</v>
      </c>
    </row>
    <row r="1240" spans="1:7">
      <c r="A1240" s="1">
        <f>HYPERLINK("https://cms.ls-nyc.org/matter/dynamic-profile/view/1875101","18-1875101")</f>
        <v>0</v>
      </c>
      <c r="B1240" t="s">
        <v>11</v>
      </c>
      <c r="F1240" t="s">
        <v>15</v>
      </c>
      <c r="G1240" t="s">
        <v>17</v>
      </c>
    </row>
    <row r="1241" spans="1:7">
      <c r="A1241" s="1">
        <f>HYPERLINK("https://cms.ls-nyc.org/matter/dynamic-profile/view/1891991","19-1891991")</f>
        <v>0</v>
      </c>
      <c r="B1241" t="s">
        <v>8</v>
      </c>
      <c r="E1241" t="s">
        <v>14</v>
      </c>
      <c r="F1241" t="s">
        <v>15</v>
      </c>
      <c r="G1241" t="s">
        <v>17</v>
      </c>
    </row>
    <row r="1242" spans="1:7">
      <c r="A1242" s="1">
        <f>HYPERLINK("https://cms.ls-nyc.org/matter/dynamic-profile/view/1891999","19-1891999")</f>
        <v>0</v>
      </c>
      <c r="B1242" t="s">
        <v>8</v>
      </c>
      <c r="E1242" t="s">
        <v>14</v>
      </c>
      <c r="F1242" t="s">
        <v>15</v>
      </c>
      <c r="G1242" t="s">
        <v>17</v>
      </c>
    </row>
    <row r="1243" spans="1:7">
      <c r="A1243" s="1">
        <f>HYPERLINK("https://cms.ls-nyc.org/matter/dynamic-profile/view/1889657","19-1889657")</f>
        <v>0</v>
      </c>
      <c r="B1243" t="s">
        <v>7</v>
      </c>
      <c r="F1243" t="s">
        <v>15</v>
      </c>
      <c r="G1243" t="s">
        <v>17</v>
      </c>
    </row>
    <row r="1244" spans="1:7">
      <c r="A1244" s="1">
        <f>HYPERLINK("https://cms.ls-nyc.org/matter/dynamic-profile/view/1900799","19-1900799")</f>
        <v>0</v>
      </c>
      <c r="B1244" t="s">
        <v>8</v>
      </c>
      <c r="G1244" t="s">
        <v>16</v>
      </c>
    </row>
    <row r="1245" spans="1:7">
      <c r="A1245" s="1">
        <f>HYPERLINK("https://cms.ls-nyc.org/matter/dynamic-profile/view/1899117","19-1899117")</f>
        <v>0</v>
      </c>
      <c r="B1245" t="s">
        <v>9</v>
      </c>
      <c r="G1245" t="s">
        <v>16</v>
      </c>
    </row>
    <row r="1246" spans="1:7">
      <c r="A1246" s="1">
        <f>HYPERLINK("https://cms.ls-nyc.org/matter/dynamic-profile/view/1880639","18-1880639")</f>
        <v>0</v>
      </c>
      <c r="B1246" t="s">
        <v>9</v>
      </c>
      <c r="G1246" t="s">
        <v>16</v>
      </c>
    </row>
    <row r="1247" spans="1:7">
      <c r="A1247" s="1">
        <f>HYPERLINK("https://cms.ls-nyc.org/matter/dynamic-profile/view/1891990","19-1891990")</f>
        <v>0</v>
      </c>
      <c r="B1247" t="s">
        <v>8</v>
      </c>
      <c r="G1247" t="s">
        <v>16</v>
      </c>
    </row>
    <row r="1248" spans="1:7">
      <c r="A1248" s="1">
        <f>HYPERLINK("https://cms.ls-nyc.org/matter/dynamic-profile/view/1889327","19-1889327")</f>
        <v>0</v>
      </c>
      <c r="B1248" t="s">
        <v>8</v>
      </c>
      <c r="G1248" t="s">
        <v>16</v>
      </c>
    </row>
    <row r="1249" spans="1:7">
      <c r="A1249" s="1">
        <f>HYPERLINK("https://cms.ls-nyc.org/matter/dynamic-profile/view/1876399","18-1876399")</f>
        <v>0</v>
      </c>
      <c r="B1249" t="s">
        <v>11</v>
      </c>
      <c r="G1249" t="s">
        <v>16</v>
      </c>
    </row>
    <row r="1250" spans="1:7">
      <c r="A1250" s="1">
        <f>HYPERLINK("https://cms.ls-nyc.org/matter/dynamic-profile/view/1895191","19-1895191")</f>
        <v>0</v>
      </c>
      <c r="B1250" t="s">
        <v>8</v>
      </c>
      <c r="G1250" t="s">
        <v>16</v>
      </c>
    </row>
    <row r="1251" spans="1:7">
      <c r="A1251" s="1">
        <f>HYPERLINK("https://cms.ls-nyc.org/matter/dynamic-profile/view/1898398","19-1898398")</f>
        <v>0</v>
      </c>
      <c r="B1251" t="s">
        <v>11</v>
      </c>
      <c r="G1251" t="s">
        <v>16</v>
      </c>
    </row>
    <row r="1252" spans="1:7">
      <c r="A1252" s="1">
        <f>HYPERLINK("https://cms.ls-nyc.org/matter/dynamic-profile/view/1872321","18-1872321")</f>
        <v>0</v>
      </c>
      <c r="B1252" t="s">
        <v>9</v>
      </c>
      <c r="G1252" t="s">
        <v>16</v>
      </c>
    </row>
    <row r="1253" spans="1:7">
      <c r="A1253" s="1">
        <f>HYPERLINK("https://cms.ls-nyc.org/matter/dynamic-profile/view/1888071","19-1888071")</f>
        <v>0</v>
      </c>
      <c r="B1253" t="s">
        <v>11</v>
      </c>
      <c r="F1253" t="s">
        <v>15</v>
      </c>
      <c r="G1253" t="s">
        <v>17</v>
      </c>
    </row>
    <row r="1254" spans="1:7">
      <c r="A1254" s="1">
        <f>HYPERLINK("https://cms.ls-nyc.org/matter/dynamic-profile/view/1894556","19-1894556")</f>
        <v>0</v>
      </c>
      <c r="B1254" t="s">
        <v>9</v>
      </c>
      <c r="G1254" t="s">
        <v>16</v>
      </c>
    </row>
    <row r="1255" spans="1:7">
      <c r="A1255" s="1">
        <f>HYPERLINK("https://cms.ls-nyc.org/matter/dynamic-profile/view/1871525","18-1871525")</f>
        <v>0</v>
      </c>
      <c r="B1255" t="s">
        <v>9</v>
      </c>
      <c r="G1255" t="s">
        <v>16</v>
      </c>
    </row>
    <row r="1256" spans="1:7">
      <c r="A1256" s="1">
        <f>HYPERLINK("https://cms.ls-nyc.org/matter/dynamic-profile/view/1887014","19-1887014")</f>
        <v>0</v>
      </c>
      <c r="B1256" t="s">
        <v>9</v>
      </c>
      <c r="G1256" t="s">
        <v>16</v>
      </c>
    </row>
    <row r="1257" spans="1:7">
      <c r="A1257" s="1">
        <f>HYPERLINK("https://cms.ls-nyc.org/matter/dynamic-profile/view/1876002","18-1876002")</f>
        <v>0</v>
      </c>
      <c r="B1257" t="s">
        <v>8</v>
      </c>
      <c r="G1257" t="s">
        <v>16</v>
      </c>
    </row>
    <row r="1258" spans="1:7">
      <c r="A1258" s="1">
        <f>HYPERLINK("https://cms.ls-nyc.org/matter/dynamic-profile/view/1881098","18-1881098")</f>
        <v>0</v>
      </c>
      <c r="B1258" t="s">
        <v>8</v>
      </c>
      <c r="G1258" t="s">
        <v>16</v>
      </c>
    </row>
    <row r="1259" spans="1:7">
      <c r="A1259" s="1">
        <f>HYPERLINK("https://cms.ls-nyc.org/matter/dynamic-profile/view/1876713","18-1876713")</f>
        <v>0</v>
      </c>
      <c r="B1259" t="s">
        <v>9</v>
      </c>
      <c r="G1259" t="s">
        <v>16</v>
      </c>
    </row>
    <row r="1260" spans="1:7">
      <c r="A1260" s="1">
        <f>HYPERLINK("https://cms.ls-nyc.org/matter/dynamic-profile/view/1886347","18-1886347")</f>
        <v>0</v>
      </c>
      <c r="B1260" t="s">
        <v>9</v>
      </c>
      <c r="G1260" t="s">
        <v>16</v>
      </c>
    </row>
    <row r="1261" spans="1:7">
      <c r="A1261" s="1">
        <f>HYPERLINK("https://cms.ls-nyc.org/matter/dynamic-profile/view/1876708","18-1876708")</f>
        <v>0</v>
      </c>
      <c r="B1261" t="s">
        <v>9</v>
      </c>
      <c r="G1261" t="s">
        <v>16</v>
      </c>
    </row>
    <row r="1262" spans="1:7">
      <c r="A1262" s="1">
        <f>HYPERLINK("https://cms.ls-nyc.org/matter/dynamic-profile/view/1873470","18-1873470")</f>
        <v>0</v>
      </c>
      <c r="B1262" t="s">
        <v>10</v>
      </c>
      <c r="G1262" t="s">
        <v>16</v>
      </c>
    </row>
    <row r="1263" spans="1:7">
      <c r="A1263" s="1">
        <f>HYPERLINK("https://cms.ls-nyc.org/matter/dynamic-profile/view/1879061","18-1879061")</f>
        <v>0</v>
      </c>
      <c r="B1263" t="s">
        <v>10</v>
      </c>
      <c r="G1263" t="s">
        <v>16</v>
      </c>
    </row>
    <row r="1264" spans="1:7">
      <c r="A1264" s="1">
        <f>HYPERLINK("https://cms.ls-nyc.org/matter/dynamic-profile/view/1882531","18-1882531")</f>
        <v>0</v>
      </c>
      <c r="B1264" t="s">
        <v>10</v>
      </c>
      <c r="G1264" t="s">
        <v>16</v>
      </c>
    </row>
    <row r="1265" spans="1:7">
      <c r="A1265" s="1">
        <f>HYPERLINK("https://cms.ls-nyc.org/matter/dynamic-profile/view/1885515","18-1885515")</f>
        <v>0</v>
      </c>
      <c r="B1265" t="s">
        <v>8</v>
      </c>
      <c r="G1265" t="s">
        <v>16</v>
      </c>
    </row>
    <row r="1266" spans="1:7">
      <c r="A1266" s="1">
        <f>HYPERLINK("https://cms.ls-nyc.org/matter/dynamic-profile/view/1883701","18-1883701")</f>
        <v>0</v>
      </c>
      <c r="B1266" t="s">
        <v>8</v>
      </c>
      <c r="G1266" t="s">
        <v>16</v>
      </c>
    </row>
    <row r="1267" spans="1:7">
      <c r="A1267" s="1">
        <f>HYPERLINK("https://cms.ls-nyc.org/matter/dynamic-profile/view/1870868","18-1870868")</f>
        <v>0</v>
      </c>
      <c r="B1267" t="s">
        <v>8</v>
      </c>
      <c r="E1267" t="s">
        <v>14</v>
      </c>
      <c r="F1267" t="s">
        <v>15</v>
      </c>
      <c r="G1267" t="s">
        <v>17</v>
      </c>
    </row>
    <row r="1268" spans="1:7">
      <c r="A1268" s="1">
        <f>HYPERLINK("https://cms.ls-nyc.org/matter/dynamic-profile/view/1875568","18-1875568")</f>
        <v>0</v>
      </c>
      <c r="B1268" t="s">
        <v>8</v>
      </c>
      <c r="G1268" t="s">
        <v>16</v>
      </c>
    </row>
    <row r="1269" spans="1:7">
      <c r="A1269" s="1">
        <f>HYPERLINK("https://cms.ls-nyc.org/matter/dynamic-profile/view/1875609","18-1875609")</f>
        <v>0</v>
      </c>
      <c r="B1269" t="s">
        <v>8</v>
      </c>
      <c r="G1269" t="s">
        <v>16</v>
      </c>
    </row>
    <row r="1270" spans="1:7">
      <c r="A1270" s="1">
        <f>HYPERLINK("https://cms.ls-nyc.org/matter/dynamic-profile/view/1875612","18-1875612")</f>
        <v>0</v>
      </c>
      <c r="B1270" t="s">
        <v>8</v>
      </c>
      <c r="G1270" t="s">
        <v>16</v>
      </c>
    </row>
    <row r="1271" spans="1:7">
      <c r="A1271" s="1">
        <f>HYPERLINK("https://cms.ls-nyc.org/matter/dynamic-profile/view/1881171","18-1881171")</f>
        <v>0</v>
      </c>
      <c r="B1271" t="s">
        <v>9</v>
      </c>
      <c r="G1271" t="s">
        <v>16</v>
      </c>
    </row>
    <row r="1272" spans="1:7">
      <c r="A1272" s="1">
        <f>HYPERLINK("https://cms.ls-nyc.org/matter/dynamic-profile/view/1871931","18-1871931")</f>
        <v>0</v>
      </c>
      <c r="B1272" t="s">
        <v>9</v>
      </c>
      <c r="G1272" t="s">
        <v>16</v>
      </c>
    </row>
    <row r="1273" spans="1:7">
      <c r="A1273" s="1">
        <f>HYPERLINK("https://cms.ls-nyc.org/matter/dynamic-profile/view/1885330","18-1885330")</f>
        <v>0</v>
      </c>
      <c r="B1273" t="s">
        <v>9</v>
      </c>
      <c r="G1273" t="s">
        <v>16</v>
      </c>
    </row>
    <row r="1274" spans="1:7">
      <c r="A1274" s="1">
        <f>HYPERLINK("https://cms.ls-nyc.org/matter/dynamic-profile/view/1880289","18-1880289")</f>
        <v>0</v>
      </c>
      <c r="B1274" t="s">
        <v>9</v>
      </c>
      <c r="G1274" t="s">
        <v>16</v>
      </c>
    </row>
    <row r="1275" spans="1:7">
      <c r="A1275" s="1">
        <f>HYPERLINK("https://cms.ls-nyc.org/matter/dynamic-profile/view/1887646","19-1887646")</f>
        <v>0</v>
      </c>
      <c r="B1275" t="s">
        <v>9</v>
      </c>
      <c r="G1275" t="s">
        <v>16</v>
      </c>
    </row>
    <row r="1276" spans="1:7">
      <c r="A1276" s="1">
        <f>HYPERLINK("https://cms.ls-nyc.org/matter/dynamic-profile/view/1878972","18-1878972")</f>
        <v>0</v>
      </c>
      <c r="B1276" t="s">
        <v>9</v>
      </c>
      <c r="G1276" t="s">
        <v>16</v>
      </c>
    </row>
    <row r="1277" spans="1:7">
      <c r="A1277" s="1">
        <f>HYPERLINK("https://cms.ls-nyc.org/matter/dynamic-profile/view/1866214","18-1866214")</f>
        <v>0</v>
      </c>
      <c r="B1277" t="s">
        <v>11</v>
      </c>
      <c r="G1277" t="s">
        <v>16</v>
      </c>
    </row>
    <row r="1278" spans="1:7">
      <c r="A1278" s="1">
        <f>HYPERLINK("https://cms.ls-nyc.org/matter/dynamic-profile/view/1881117","18-1881117")</f>
        <v>0</v>
      </c>
      <c r="B1278" t="s">
        <v>11</v>
      </c>
      <c r="G1278" t="s">
        <v>16</v>
      </c>
    </row>
    <row r="1279" spans="1:7">
      <c r="A1279" s="1">
        <f>HYPERLINK("https://cms.ls-nyc.org/matter/dynamic-profile/view/1877169","18-1877169")</f>
        <v>0</v>
      </c>
      <c r="B1279" t="s">
        <v>11</v>
      </c>
      <c r="G1279" t="s">
        <v>16</v>
      </c>
    </row>
    <row r="1280" spans="1:7">
      <c r="A1280" s="1">
        <f>HYPERLINK("https://cms.ls-nyc.org/matter/dynamic-profile/view/1880240","18-1880240")</f>
        <v>0</v>
      </c>
      <c r="B1280" t="s">
        <v>11</v>
      </c>
      <c r="G1280" t="s">
        <v>16</v>
      </c>
    </row>
    <row r="1281" spans="1:7">
      <c r="A1281" s="1">
        <f>HYPERLINK("https://cms.ls-nyc.org/matter/dynamic-profile/view/1878828","18-1878828")</f>
        <v>0</v>
      </c>
      <c r="B1281" t="s">
        <v>11</v>
      </c>
      <c r="F1281" t="s">
        <v>15</v>
      </c>
      <c r="G1281" t="s">
        <v>17</v>
      </c>
    </row>
    <row r="1282" spans="1:7">
      <c r="A1282" s="1">
        <f>HYPERLINK("https://cms.ls-nyc.org/matter/dynamic-profile/view/1887963","19-1887963")</f>
        <v>0</v>
      </c>
      <c r="B1282" t="s">
        <v>11</v>
      </c>
      <c r="F1282" t="s">
        <v>15</v>
      </c>
      <c r="G1282" t="s">
        <v>17</v>
      </c>
    </row>
    <row r="1283" spans="1:7">
      <c r="A1283" s="1">
        <f>HYPERLINK("https://cms.ls-nyc.org/matter/dynamic-profile/view/1872100","18-1872100")</f>
        <v>0</v>
      </c>
      <c r="B1283" t="s">
        <v>10</v>
      </c>
      <c r="G1283" t="s">
        <v>16</v>
      </c>
    </row>
    <row r="1284" spans="1:7">
      <c r="A1284" s="1">
        <f>HYPERLINK("https://cms.ls-nyc.org/matter/dynamic-profile/view/1895895","19-1895895")</f>
        <v>0</v>
      </c>
      <c r="B1284" t="s">
        <v>9</v>
      </c>
      <c r="G1284" t="s">
        <v>16</v>
      </c>
    </row>
    <row r="1285" spans="1:7">
      <c r="A1285" s="1">
        <f>HYPERLINK("https://cms.ls-nyc.org/matter/dynamic-profile/view/1888323","19-1888323")</f>
        <v>0</v>
      </c>
      <c r="B1285" t="s">
        <v>11</v>
      </c>
      <c r="C1285" t="s">
        <v>12</v>
      </c>
      <c r="E1285" t="s">
        <v>14</v>
      </c>
      <c r="G1285" t="s">
        <v>17</v>
      </c>
    </row>
    <row r="1286" spans="1:7">
      <c r="A1286" s="1">
        <f>HYPERLINK("https://cms.ls-nyc.org/matter/dynamic-profile/view/1882568","18-1882568")</f>
        <v>0</v>
      </c>
      <c r="B1286" t="s">
        <v>11</v>
      </c>
      <c r="G1286" t="s">
        <v>16</v>
      </c>
    </row>
    <row r="1287" spans="1:7">
      <c r="A1287" s="1">
        <f>HYPERLINK("https://cms.ls-nyc.org/matter/dynamic-profile/view/1880164","18-1880164")</f>
        <v>0</v>
      </c>
      <c r="B1287" t="s">
        <v>8</v>
      </c>
      <c r="F1287" t="s">
        <v>15</v>
      </c>
      <c r="G1287" t="s">
        <v>17</v>
      </c>
    </row>
    <row r="1288" spans="1:7">
      <c r="A1288" s="1">
        <f>HYPERLINK("https://cms.ls-nyc.org/matter/dynamic-profile/view/1885579","18-1885579")</f>
        <v>0</v>
      </c>
      <c r="B1288" t="s">
        <v>9</v>
      </c>
      <c r="G1288" t="s">
        <v>16</v>
      </c>
    </row>
    <row r="1289" spans="1:7">
      <c r="A1289" s="1">
        <f>HYPERLINK("https://cms.ls-nyc.org/matter/dynamic-profile/view/1900683","19-1900683")</f>
        <v>0</v>
      </c>
      <c r="B1289" t="s">
        <v>8</v>
      </c>
      <c r="F1289" t="s">
        <v>15</v>
      </c>
      <c r="G1289" t="s">
        <v>17</v>
      </c>
    </row>
    <row r="1290" spans="1:7">
      <c r="A1290" s="1">
        <f>HYPERLINK("https://cms.ls-nyc.org/matter/dynamic-profile/view/1891154","19-1891154")</f>
        <v>0</v>
      </c>
      <c r="B1290" t="s">
        <v>9</v>
      </c>
      <c r="G1290" t="s">
        <v>16</v>
      </c>
    </row>
    <row r="1291" spans="1:7">
      <c r="A1291" s="1">
        <f>HYPERLINK("https://cms.ls-nyc.org/matter/dynamic-profile/view/1900993","19-1900993")</f>
        <v>0</v>
      </c>
      <c r="B1291" t="s">
        <v>11</v>
      </c>
      <c r="G1291" t="s">
        <v>16</v>
      </c>
    </row>
    <row r="1292" spans="1:7">
      <c r="A1292" s="1">
        <f>HYPERLINK("https://cms.ls-nyc.org/matter/dynamic-profile/view/1875929","18-1875929")</f>
        <v>0</v>
      </c>
      <c r="B1292" t="s">
        <v>9</v>
      </c>
      <c r="G1292" t="s">
        <v>16</v>
      </c>
    </row>
    <row r="1293" spans="1:7">
      <c r="A1293" s="1">
        <f>HYPERLINK("https://cms.ls-nyc.org/matter/dynamic-profile/view/1885944","18-1885944")</f>
        <v>0</v>
      </c>
      <c r="B1293" t="s">
        <v>9</v>
      </c>
      <c r="G1293" t="s">
        <v>16</v>
      </c>
    </row>
    <row r="1294" spans="1:7">
      <c r="A1294" s="1">
        <f>HYPERLINK("https://cms.ls-nyc.org/matter/dynamic-profile/view/1855553","18-1855553")</f>
        <v>0</v>
      </c>
      <c r="B1294" t="s">
        <v>11</v>
      </c>
      <c r="F1294" t="s">
        <v>15</v>
      </c>
      <c r="G1294" t="s">
        <v>17</v>
      </c>
    </row>
    <row r="1295" spans="1:7">
      <c r="A1295" s="1">
        <f>HYPERLINK("https://cms.ls-nyc.org/matter/dynamic-profile/view/1879512","18-1879512")</f>
        <v>0</v>
      </c>
      <c r="B1295" t="s">
        <v>7</v>
      </c>
      <c r="G1295" t="s">
        <v>16</v>
      </c>
    </row>
    <row r="1296" spans="1:7">
      <c r="A1296" s="1">
        <f>HYPERLINK("https://cms.ls-nyc.org/matter/dynamic-profile/view/1878750","18-1878750")</f>
        <v>0</v>
      </c>
      <c r="B1296" t="s">
        <v>7</v>
      </c>
      <c r="G1296" t="s">
        <v>16</v>
      </c>
    </row>
    <row r="1297" spans="1:7">
      <c r="A1297" s="1">
        <f>HYPERLINK("https://cms.ls-nyc.org/matter/dynamic-profile/view/1879255","18-1879255")</f>
        <v>0</v>
      </c>
      <c r="B1297" t="s">
        <v>8</v>
      </c>
      <c r="G1297" t="s">
        <v>16</v>
      </c>
    </row>
    <row r="1298" spans="1:7">
      <c r="A1298" s="1">
        <f>HYPERLINK("https://cms.ls-nyc.org/matter/dynamic-profile/view/1883419","18-1883419")</f>
        <v>0</v>
      </c>
      <c r="B1298" t="s">
        <v>9</v>
      </c>
      <c r="G1298" t="s">
        <v>16</v>
      </c>
    </row>
    <row r="1299" spans="1:7">
      <c r="A1299" s="1">
        <f>HYPERLINK("https://cms.ls-nyc.org/matter/dynamic-profile/view/1892361","19-1892361")</f>
        <v>0</v>
      </c>
      <c r="B1299" t="s">
        <v>7</v>
      </c>
      <c r="F1299" t="s">
        <v>15</v>
      </c>
      <c r="G1299" t="s">
        <v>17</v>
      </c>
    </row>
    <row r="1300" spans="1:7">
      <c r="A1300" s="1">
        <f>HYPERLINK("https://cms.ls-nyc.org/matter/dynamic-profile/view/1888148","19-1888148")</f>
        <v>0</v>
      </c>
      <c r="B1300" t="s">
        <v>11</v>
      </c>
      <c r="G1300" t="s">
        <v>16</v>
      </c>
    </row>
    <row r="1301" spans="1:7">
      <c r="A1301" s="1">
        <f>HYPERLINK("https://cms.ls-nyc.org/matter/dynamic-profile/view/1883112","18-1883112")</f>
        <v>0</v>
      </c>
      <c r="B1301" t="s">
        <v>8</v>
      </c>
      <c r="G1301" t="s">
        <v>16</v>
      </c>
    </row>
    <row r="1302" spans="1:7">
      <c r="A1302" s="1">
        <f>HYPERLINK("https://cms.ls-nyc.org/matter/dynamic-profile/view/1897637","19-1897637")</f>
        <v>0</v>
      </c>
      <c r="B1302" t="s">
        <v>8</v>
      </c>
      <c r="G1302" t="s">
        <v>16</v>
      </c>
    </row>
    <row r="1303" spans="1:7">
      <c r="A1303" s="1">
        <f>HYPERLINK("https://cms.ls-nyc.org/matter/dynamic-profile/view/1897435","19-1897435")</f>
        <v>0</v>
      </c>
      <c r="B1303" t="s">
        <v>8</v>
      </c>
      <c r="G1303" t="s">
        <v>16</v>
      </c>
    </row>
    <row r="1304" spans="1:7">
      <c r="A1304" s="1">
        <f>HYPERLINK("https://cms.ls-nyc.org/matter/dynamic-profile/view/1897431","19-1897431")</f>
        <v>0</v>
      </c>
      <c r="B1304" t="s">
        <v>8</v>
      </c>
      <c r="G1304" t="s">
        <v>16</v>
      </c>
    </row>
    <row r="1305" spans="1:7">
      <c r="A1305" s="1">
        <f>HYPERLINK("https://cms.ls-nyc.org/matter/dynamic-profile/view/1897447","19-1897447")</f>
        <v>0</v>
      </c>
      <c r="B1305" t="s">
        <v>8</v>
      </c>
      <c r="G1305" t="s">
        <v>16</v>
      </c>
    </row>
    <row r="1306" spans="1:7">
      <c r="A1306" s="1">
        <f>HYPERLINK("https://cms.ls-nyc.org/matter/dynamic-profile/view/1889254","19-1889254")</f>
        <v>0</v>
      </c>
      <c r="B1306" t="s">
        <v>8</v>
      </c>
      <c r="C1306" t="s">
        <v>12</v>
      </c>
      <c r="F1306" t="s">
        <v>15</v>
      </c>
      <c r="G1306" t="s">
        <v>17</v>
      </c>
    </row>
    <row r="1307" spans="1:7">
      <c r="A1307" s="1">
        <f>HYPERLINK("https://cms.ls-nyc.org/matter/dynamic-profile/view/1889208","19-1889208")</f>
        <v>0</v>
      </c>
      <c r="B1307" t="s">
        <v>8</v>
      </c>
      <c r="C1307" t="s">
        <v>12</v>
      </c>
      <c r="F1307" t="s">
        <v>15</v>
      </c>
      <c r="G1307" t="s">
        <v>17</v>
      </c>
    </row>
    <row r="1308" spans="1:7">
      <c r="A1308" s="1">
        <f>HYPERLINK("https://cms.ls-nyc.org/matter/dynamic-profile/view/1892068","19-1892068")</f>
        <v>0</v>
      </c>
      <c r="B1308" t="s">
        <v>8</v>
      </c>
      <c r="G1308" t="s">
        <v>16</v>
      </c>
    </row>
    <row r="1309" spans="1:7">
      <c r="A1309" s="1">
        <f>HYPERLINK("https://cms.ls-nyc.org/matter/dynamic-profile/view/1895755","19-1895755")</f>
        <v>0</v>
      </c>
      <c r="B1309" t="s">
        <v>11</v>
      </c>
      <c r="G1309" t="s">
        <v>16</v>
      </c>
    </row>
    <row r="1310" spans="1:7">
      <c r="A1310" s="1">
        <f>HYPERLINK("https://cms.ls-nyc.org/matter/dynamic-profile/view/1899749","19-1899749")</f>
        <v>0</v>
      </c>
      <c r="B1310" t="s">
        <v>11</v>
      </c>
      <c r="G1310" t="s">
        <v>16</v>
      </c>
    </row>
    <row r="1311" spans="1:7">
      <c r="A1311" s="1">
        <f>HYPERLINK("https://cms.ls-nyc.org/matter/dynamic-profile/view/1900474","19-1900474")</f>
        <v>0</v>
      </c>
      <c r="B1311" t="s">
        <v>11</v>
      </c>
      <c r="G1311" t="s">
        <v>16</v>
      </c>
    </row>
    <row r="1312" spans="1:7">
      <c r="A1312" s="1">
        <f>HYPERLINK("https://cms.ls-nyc.org/matter/dynamic-profile/view/1882807","18-1882807")</f>
        <v>0</v>
      </c>
      <c r="B1312" t="s">
        <v>8</v>
      </c>
      <c r="G1312" t="s">
        <v>16</v>
      </c>
    </row>
    <row r="1313" spans="1:7">
      <c r="A1313" s="1">
        <f>HYPERLINK("https://cms.ls-nyc.org/matter/dynamic-profile/view/1882438","18-1882438")</f>
        <v>0</v>
      </c>
      <c r="B1313" t="s">
        <v>8</v>
      </c>
      <c r="G1313" t="s">
        <v>16</v>
      </c>
    </row>
    <row r="1314" spans="1:7">
      <c r="A1314" s="1">
        <f>HYPERLINK("https://cms.ls-nyc.org/matter/dynamic-profile/view/1872507","18-1872507")</f>
        <v>0</v>
      </c>
      <c r="B1314" t="s">
        <v>10</v>
      </c>
      <c r="G1314" t="s">
        <v>16</v>
      </c>
    </row>
    <row r="1315" spans="1:7">
      <c r="A1315" s="1">
        <f>HYPERLINK("https://cms.ls-nyc.org/matter/dynamic-profile/view/1885059","18-1885059")</f>
        <v>0</v>
      </c>
      <c r="B1315" t="s">
        <v>8</v>
      </c>
      <c r="G1315" t="s">
        <v>16</v>
      </c>
    </row>
    <row r="1316" spans="1:7">
      <c r="A1316" s="1">
        <f>HYPERLINK("https://cms.ls-nyc.org/matter/dynamic-profile/view/1878390","18-1878390")</f>
        <v>0</v>
      </c>
      <c r="B1316" t="s">
        <v>11</v>
      </c>
      <c r="G1316" t="s">
        <v>16</v>
      </c>
    </row>
    <row r="1317" spans="1:7">
      <c r="A1317" s="1">
        <f>HYPERLINK("https://cms.ls-nyc.org/matter/dynamic-profile/view/1884756","18-1884756")</f>
        <v>0</v>
      </c>
      <c r="B1317" t="s">
        <v>8</v>
      </c>
      <c r="G1317" t="s">
        <v>16</v>
      </c>
    </row>
    <row r="1318" spans="1:7">
      <c r="A1318" s="1">
        <f>HYPERLINK("https://cms.ls-nyc.org/matter/dynamic-profile/view/1880540","18-1880540")</f>
        <v>0</v>
      </c>
      <c r="B1318" t="s">
        <v>9</v>
      </c>
      <c r="G1318" t="s">
        <v>16</v>
      </c>
    </row>
    <row r="1319" spans="1:7">
      <c r="A1319" s="1">
        <f>HYPERLINK("https://cms.ls-nyc.org/matter/dynamic-profile/view/1885146","18-1885146")</f>
        <v>0</v>
      </c>
      <c r="B1319" t="s">
        <v>11</v>
      </c>
      <c r="F1319" t="s">
        <v>15</v>
      </c>
      <c r="G1319" t="s">
        <v>17</v>
      </c>
    </row>
    <row r="1320" spans="1:7">
      <c r="A1320" s="1">
        <f>HYPERLINK("https://cms.ls-nyc.org/matter/dynamic-profile/view/1884424","18-1884424")</f>
        <v>0</v>
      </c>
      <c r="B1320" t="s">
        <v>11</v>
      </c>
      <c r="G1320" t="s">
        <v>16</v>
      </c>
    </row>
    <row r="1321" spans="1:7">
      <c r="A1321" s="1">
        <f>HYPERLINK("https://cms.ls-nyc.org/matter/dynamic-profile/view/1888678","19-1888678")</f>
        <v>0</v>
      </c>
      <c r="B1321" t="s">
        <v>11</v>
      </c>
      <c r="G1321" t="s">
        <v>16</v>
      </c>
    </row>
    <row r="1322" spans="1:7">
      <c r="A1322" s="1">
        <f>HYPERLINK("https://cms.ls-nyc.org/matter/dynamic-profile/view/1897751","19-1897751")</f>
        <v>0</v>
      </c>
      <c r="B1322" t="s">
        <v>11</v>
      </c>
      <c r="G1322" t="s">
        <v>16</v>
      </c>
    </row>
    <row r="1323" spans="1:7">
      <c r="A1323" s="1">
        <f>HYPERLINK("https://cms.ls-nyc.org/matter/dynamic-profile/view/1853639","17-1853639")</f>
        <v>0</v>
      </c>
      <c r="B1323" t="s">
        <v>10</v>
      </c>
      <c r="G1323" t="s">
        <v>16</v>
      </c>
    </row>
    <row r="1324" spans="1:7">
      <c r="A1324" s="1">
        <f>HYPERLINK("https://cms.ls-nyc.org/matter/dynamic-profile/view/1891647","19-1891647")</f>
        <v>0</v>
      </c>
      <c r="B1324" t="s">
        <v>7</v>
      </c>
      <c r="G1324" t="s">
        <v>16</v>
      </c>
    </row>
    <row r="1325" spans="1:7">
      <c r="A1325" s="1">
        <f>HYPERLINK("https://cms.ls-nyc.org/matter/dynamic-profile/view/1863498","18-1863498")</f>
        <v>0</v>
      </c>
      <c r="B1325" t="s">
        <v>8</v>
      </c>
      <c r="G1325" t="s">
        <v>16</v>
      </c>
    </row>
    <row r="1326" spans="1:7">
      <c r="A1326" s="1">
        <f>HYPERLINK("https://cms.ls-nyc.org/matter/dynamic-profile/view/1885507","18-1885507")</f>
        <v>0</v>
      </c>
      <c r="B1326" t="s">
        <v>9</v>
      </c>
      <c r="G1326" t="s">
        <v>16</v>
      </c>
    </row>
    <row r="1327" spans="1:7">
      <c r="A1327" s="1">
        <f>HYPERLINK("https://cms.ls-nyc.org/matter/dynamic-profile/view/1876050","18-1876050")</f>
        <v>0</v>
      </c>
      <c r="B1327" t="s">
        <v>10</v>
      </c>
      <c r="G1327" t="s">
        <v>16</v>
      </c>
    </row>
    <row r="1328" spans="1:7">
      <c r="A1328" s="1">
        <f>HYPERLINK("https://cms.ls-nyc.org/matter/dynamic-profile/view/1879909","18-1879909")</f>
        <v>0</v>
      </c>
      <c r="B1328" t="s">
        <v>11</v>
      </c>
      <c r="E1328" t="s">
        <v>14</v>
      </c>
      <c r="G1328" t="s">
        <v>17</v>
      </c>
    </row>
    <row r="1329" spans="1:7">
      <c r="A1329" s="1">
        <f>HYPERLINK("https://cms.ls-nyc.org/matter/dynamic-profile/view/1885153","18-1885153")</f>
        <v>0</v>
      </c>
      <c r="B1329" t="s">
        <v>11</v>
      </c>
      <c r="F1329" t="s">
        <v>15</v>
      </c>
      <c r="G1329" t="s">
        <v>17</v>
      </c>
    </row>
    <row r="1330" spans="1:7">
      <c r="A1330" s="1">
        <f>HYPERLINK("https://cms.ls-nyc.org/matter/dynamic-profile/view/1872358","18-1872358")</f>
        <v>0</v>
      </c>
      <c r="B1330" t="s">
        <v>11</v>
      </c>
      <c r="G1330" t="s">
        <v>16</v>
      </c>
    </row>
    <row r="1331" spans="1:7">
      <c r="A1331" s="1">
        <f>HYPERLINK("https://cms.ls-nyc.org/matter/dynamic-profile/view/1890347","19-1890347")</f>
        <v>0</v>
      </c>
      <c r="B1331" t="s">
        <v>9</v>
      </c>
      <c r="F1331" t="s">
        <v>15</v>
      </c>
      <c r="G1331" t="s">
        <v>17</v>
      </c>
    </row>
    <row r="1332" spans="1:7">
      <c r="A1332" s="1">
        <f>HYPERLINK("https://cms.ls-nyc.org/matter/dynamic-profile/view/1891702","19-1891702")</f>
        <v>0</v>
      </c>
      <c r="B1332" t="s">
        <v>8</v>
      </c>
      <c r="G1332" t="s">
        <v>16</v>
      </c>
    </row>
    <row r="1333" spans="1:7">
      <c r="A1333" s="1">
        <f>HYPERLINK("https://cms.ls-nyc.org/matter/dynamic-profile/view/1885148","18-1885148")</f>
        <v>0</v>
      </c>
      <c r="B1333" t="s">
        <v>11</v>
      </c>
      <c r="G1333" t="s">
        <v>16</v>
      </c>
    </row>
    <row r="1334" spans="1:7">
      <c r="A1334" s="1">
        <f>HYPERLINK("https://cms.ls-nyc.org/matter/dynamic-profile/view/1876453","18-1876453")</f>
        <v>0</v>
      </c>
      <c r="B1334" t="s">
        <v>9</v>
      </c>
      <c r="G1334" t="s">
        <v>16</v>
      </c>
    </row>
    <row r="1335" spans="1:7">
      <c r="A1335" s="1">
        <f>HYPERLINK("https://cms.ls-nyc.org/matter/dynamic-profile/view/1880585","18-1880585")</f>
        <v>0</v>
      </c>
      <c r="B1335" t="s">
        <v>9</v>
      </c>
      <c r="G1335" t="s">
        <v>16</v>
      </c>
    </row>
    <row r="1336" spans="1:7">
      <c r="A1336" s="1">
        <f>HYPERLINK("https://cms.ls-nyc.org/matter/dynamic-profile/view/1881884","18-1881884")</f>
        <v>0</v>
      </c>
      <c r="B1336" t="s">
        <v>8</v>
      </c>
      <c r="C1336" t="s">
        <v>12</v>
      </c>
      <c r="E1336" t="s">
        <v>14</v>
      </c>
      <c r="G1336" t="s">
        <v>17</v>
      </c>
    </row>
    <row r="1337" spans="1:7">
      <c r="A1337" s="1">
        <f>HYPERLINK("https://cms.ls-nyc.org/matter/dynamic-profile/view/1883370","18-1883370")</f>
        <v>0</v>
      </c>
      <c r="B1337" t="s">
        <v>9</v>
      </c>
      <c r="G1337" t="s">
        <v>16</v>
      </c>
    </row>
    <row r="1338" spans="1:7">
      <c r="A1338" s="1">
        <f>HYPERLINK("https://cms.ls-nyc.org/matter/dynamic-profile/view/1882312","18-1882312")</f>
        <v>0</v>
      </c>
      <c r="B1338" t="s">
        <v>8</v>
      </c>
      <c r="G1338" t="s">
        <v>16</v>
      </c>
    </row>
    <row r="1339" spans="1:7">
      <c r="A1339" s="1">
        <f>HYPERLINK("https://cms.ls-nyc.org/matter/dynamic-profile/view/1888883","19-1888883")</f>
        <v>0</v>
      </c>
      <c r="B1339" t="s">
        <v>10</v>
      </c>
      <c r="G1339" t="s">
        <v>16</v>
      </c>
    </row>
    <row r="1340" spans="1:7">
      <c r="A1340" s="1">
        <f>HYPERLINK("https://cms.ls-nyc.org/matter/dynamic-profile/view/1885402","18-1885402")</f>
        <v>0</v>
      </c>
      <c r="B1340" t="s">
        <v>9</v>
      </c>
      <c r="G1340" t="s">
        <v>16</v>
      </c>
    </row>
    <row r="1341" spans="1:7">
      <c r="A1341" s="1">
        <f>HYPERLINK("https://cms.ls-nyc.org/matter/dynamic-profile/view/1887528","19-1887528")</f>
        <v>0</v>
      </c>
      <c r="B1341" t="s">
        <v>9</v>
      </c>
      <c r="G1341" t="s">
        <v>16</v>
      </c>
    </row>
    <row r="1342" spans="1:7">
      <c r="A1342" s="1">
        <f>HYPERLINK("https://cms.ls-nyc.org/matter/dynamic-profile/view/1882154","18-1882154")</f>
        <v>0</v>
      </c>
      <c r="B1342" t="s">
        <v>8</v>
      </c>
      <c r="F1342" t="s">
        <v>15</v>
      </c>
      <c r="G1342" t="s">
        <v>17</v>
      </c>
    </row>
    <row r="1343" spans="1:7">
      <c r="A1343" s="1">
        <f>HYPERLINK("https://cms.ls-nyc.org/matter/dynamic-profile/view/1873452","18-1873452")</f>
        <v>0</v>
      </c>
      <c r="B1343" t="s">
        <v>8</v>
      </c>
      <c r="G1343" t="s">
        <v>16</v>
      </c>
    </row>
    <row r="1344" spans="1:7">
      <c r="A1344" s="1">
        <f>HYPERLINK("https://cms.ls-nyc.org/matter/dynamic-profile/view/1885922","18-1885922")</f>
        <v>0</v>
      </c>
      <c r="B1344" t="s">
        <v>9</v>
      </c>
      <c r="G1344" t="s">
        <v>16</v>
      </c>
    </row>
    <row r="1345" spans="1:7">
      <c r="A1345" s="1">
        <f>HYPERLINK("https://cms.ls-nyc.org/matter/dynamic-profile/view/1891056","19-1891056")</f>
        <v>0</v>
      </c>
      <c r="B1345" t="s">
        <v>8</v>
      </c>
      <c r="C1345" t="s">
        <v>12</v>
      </c>
      <c r="E1345" t="s">
        <v>14</v>
      </c>
      <c r="G1345" t="s">
        <v>17</v>
      </c>
    </row>
    <row r="1346" spans="1:7">
      <c r="A1346" s="1">
        <f>HYPERLINK("https://cms.ls-nyc.org/matter/dynamic-profile/view/1893447","19-1893447")</f>
        <v>0</v>
      </c>
      <c r="B1346" t="s">
        <v>8</v>
      </c>
      <c r="G1346" t="s">
        <v>16</v>
      </c>
    </row>
    <row r="1347" spans="1:7">
      <c r="A1347" s="1">
        <f>HYPERLINK("https://cms.ls-nyc.org/matter/dynamic-profile/view/1893451","19-1893451")</f>
        <v>0</v>
      </c>
      <c r="B1347" t="s">
        <v>8</v>
      </c>
      <c r="F1347" t="s">
        <v>15</v>
      </c>
      <c r="G1347" t="s">
        <v>17</v>
      </c>
    </row>
    <row r="1348" spans="1:7">
      <c r="A1348" s="1">
        <f>HYPERLINK("https://cms.ls-nyc.org/matter/dynamic-profile/view/1891409","19-1891409")</f>
        <v>0</v>
      </c>
      <c r="B1348" t="s">
        <v>9</v>
      </c>
      <c r="G1348" t="s">
        <v>16</v>
      </c>
    </row>
    <row r="1349" spans="1:7">
      <c r="A1349" s="1">
        <f>HYPERLINK("https://cms.ls-nyc.org/matter/dynamic-profile/view/1898061","19-1898061")</f>
        <v>0</v>
      </c>
      <c r="B1349" t="s">
        <v>7</v>
      </c>
      <c r="G1349" t="s">
        <v>16</v>
      </c>
    </row>
    <row r="1350" spans="1:7">
      <c r="A1350" s="1">
        <f>HYPERLINK("https://cms.ls-nyc.org/matter/dynamic-profile/view/1893170","19-1893170")</f>
        <v>0</v>
      </c>
      <c r="B1350" t="s">
        <v>11</v>
      </c>
      <c r="G1350" t="s">
        <v>16</v>
      </c>
    </row>
    <row r="1351" spans="1:7">
      <c r="A1351" s="1">
        <f>HYPERLINK("https://cms.ls-nyc.org/matter/dynamic-profile/view/1879584","18-1879584")</f>
        <v>0</v>
      </c>
      <c r="B1351" t="s">
        <v>8</v>
      </c>
      <c r="F1351" t="s">
        <v>15</v>
      </c>
      <c r="G1351" t="s">
        <v>17</v>
      </c>
    </row>
    <row r="1352" spans="1:7">
      <c r="A1352" s="1">
        <f>HYPERLINK("https://cms.ls-nyc.org/matter/dynamic-profile/view/1877348","18-1877348")</f>
        <v>0</v>
      </c>
      <c r="B1352" t="s">
        <v>9</v>
      </c>
      <c r="G1352" t="s">
        <v>16</v>
      </c>
    </row>
    <row r="1353" spans="1:7">
      <c r="A1353" s="1">
        <f>HYPERLINK("https://cms.ls-nyc.org/matter/dynamic-profile/view/1874345","18-1874345")</f>
        <v>0</v>
      </c>
      <c r="B1353" t="s">
        <v>11</v>
      </c>
      <c r="G1353" t="s">
        <v>16</v>
      </c>
    </row>
    <row r="1354" spans="1:7">
      <c r="A1354" s="1">
        <f>HYPERLINK("https://cms.ls-nyc.org/matter/dynamic-profile/view/1885398","18-1885398")</f>
        <v>0</v>
      </c>
      <c r="B1354" t="s">
        <v>9</v>
      </c>
      <c r="G1354" t="s">
        <v>16</v>
      </c>
    </row>
    <row r="1355" spans="1:7">
      <c r="A1355" s="1">
        <f>HYPERLINK("https://cms.ls-nyc.org/matter/dynamic-profile/view/1885575","18-1885575")</f>
        <v>0</v>
      </c>
      <c r="B1355" t="s">
        <v>9</v>
      </c>
      <c r="G1355" t="s">
        <v>16</v>
      </c>
    </row>
    <row r="1356" spans="1:7">
      <c r="A1356" s="1">
        <f>HYPERLINK("https://cms.ls-nyc.org/matter/dynamic-profile/view/1880671","18-1880671")</f>
        <v>0</v>
      </c>
      <c r="B1356" t="s">
        <v>9</v>
      </c>
      <c r="G1356" t="s">
        <v>16</v>
      </c>
    </row>
    <row r="1357" spans="1:7">
      <c r="A1357" s="1">
        <f>HYPERLINK("https://cms.ls-nyc.org/matter/dynamic-profile/view/1880819","18-1880819")</f>
        <v>0</v>
      </c>
      <c r="B1357" t="s">
        <v>9</v>
      </c>
      <c r="G1357" t="s">
        <v>16</v>
      </c>
    </row>
    <row r="1358" spans="1:7">
      <c r="A1358" s="1">
        <f>HYPERLINK("https://cms.ls-nyc.org/matter/dynamic-profile/view/1884797","18-1884797")</f>
        <v>0</v>
      </c>
      <c r="B1358" t="s">
        <v>9</v>
      </c>
      <c r="G1358" t="s">
        <v>16</v>
      </c>
    </row>
    <row r="1359" spans="1:7">
      <c r="A1359" s="1">
        <f>HYPERLINK("https://cms.ls-nyc.org/matter/dynamic-profile/view/1886237","18-1886237")</f>
        <v>0</v>
      </c>
      <c r="B1359" t="s">
        <v>9</v>
      </c>
      <c r="G1359" t="s">
        <v>16</v>
      </c>
    </row>
    <row r="1360" spans="1:7">
      <c r="A1360" s="1">
        <f>HYPERLINK("https://cms.ls-nyc.org/matter/dynamic-profile/view/1879985","18-1879985")</f>
        <v>0</v>
      </c>
      <c r="B1360" t="s">
        <v>7</v>
      </c>
      <c r="G1360" t="s">
        <v>16</v>
      </c>
    </row>
    <row r="1361" spans="1:7">
      <c r="A1361" s="1">
        <f>HYPERLINK("https://cms.ls-nyc.org/matter/dynamic-profile/view/1875239","18-1875239")</f>
        <v>0</v>
      </c>
      <c r="B1361" t="s">
        <v>8</v>
      </c>
      <c r="G1361" t="s">
        <v>16</v>
      </c>
    </row>
    <row r="1362" spans="1:7">
      <c r="A1362" s="1">
        <f>HYPERLINK("https://cms.ls-nyc.org/matter/dynamic-profile/view/1882204","18-1882204")</f>
        <v>0</v>
      </c>
      <c r="B1362" t="s">
        <v>8</v>
      </c>
      <c r="G1362" t="s">
        <v>16</v>
      </c>
    </row>
    <row r="1363" spans="1:7">
      <c r="A1363" s="1">
        <f>HYPERLINK("https://cms.ls-nyc.org/matter/dynamic-profile/view/1882518","18-1882518")</f>
        <v>0</v>
      </c>
      <c r="B1363" t="s">
        <v>8</v>
      </c>
      <c r="G1363" t="s">
        <v>16</v>
      </c>
    </row>
    <row r="1364" spans="1:7">
      <c r="A1364" s="1">
        <f>HYPERLINK("https://cms.ls-nyc.org/matter/dynamic-profile/view/1885719","18-1885719")</f>
        <v>0</v>
      </c>
      <c r="B1364" t="s">
        <v>8</v>
      </c>
      <c r="G1364" t="s">
        <v>16</v>
      </c>
    </row>
    <row r="1365" spans="1:7">
      <c r="A1365" s="1">
        <f>HYPERLINK("https://cms.ls-nyc.org/matter/dynamic-profile/view/1876986","18-1876986")</f>
        <v>0</v>
      </c>
      <c r="B1365" t="s">
        <v>9</v>
      </c>
      <c r="G1365" t="s">
        <v>16</v>
      </c>
    </row>
    <row r="1366" spans="1:7">
      <c r="A1366" s="1">
        <f>HYPERLINK("https://cms.ls-nyc.org/matter/dynamic-profile/view/1877731","18-1877731")</f>
        <v>0</v>
      </c>
      <c r="B1366" t="s">
        <v>9</v>
      </c>
      <c r="G1366" t="s">
        <v>16</v>
      </c>
    </row>
    <row r="1367" spans="1:7">
      <c r="A1367" s="1">
        <f>HYPERLINK("https://cms.ls-nyc.org/matter/dynamic-profile/view/1877738","18-1877738")</f>
        <v>0</v>
      </c>
      <c r="B1367" t="s">
        <v>9</v>
      </c>
      <c r="G1367" t="s">
        <v>16</v>
      </c>
    </row>
    <row r="1368" spans="1:7">
      <c r="A1368" s="1">
        <f>HYPERLINK("https://cms.ls-nyc.org/matter/dynamic-profile/view/1872441","18-1872441")</f>
        <v>0</v>
      </c>
      <c r="B1368" t="s">
        <v>11</v>
      </c>
      <c r="G1368" t="s">
        <v>16</v>
      </c>
    </row>
    <row r="1369" spans="1:7">
      <c r="A1369" s="1">
        <f>HYPERLINK("https://cms.ls-nyc.org/matter/dynamic-profile/view/1879814","18-1879814")</f>
        <v>0</v>
      </c>
      <c r="B1369" t="s">
        <v>8</v>
      </c>
      <c r="G1369" t="s">
        <v>16</v>
      </c>
    </row>
    <row r="1370" spans="1:7">
      <c r="A1370" s="1">
        <f>HYPERLINK("https://cms.ls-nyc.org/matter/dynamic-profile/view/1899751","19-1899751")</f>
        <v>0</v>
      </c>
      <c r="B1370" t="s">
        <v>11</v>
      </c>
      <c r="G1370" t="s">
        <v>16</v>
      </c>
    </row>
    <row r="1371" spans="1:7">
      <c r="A1371" s="1">
        <f>HYPERLINK("https://cms.ls-nyc.org/matter/dynamic-profile/view/1882024","18-1882024")</f>
        <v>0</v>
      </c>
      <c r="B1371" t="s">
        <v>11</v>
      </c>
      <c r="G1371" t="s">
        <v>16</v>
      </c>
    </row>
    <row r="1372" spans="1:7">
      <c r="A1372" s="1">
        <f>HYPERLINK("https://cms.ls-nyc.org/matter/dynamic-profile/view/1882020","18-1882020")</f>
        <v>0</v>
      </c>
      <c r="B1372" t="s">
        <v>11</v>
      </c>
      <c r="G1372" t="s">
        <v>16</v>
      </c>
    </row>
    <row r="1373" spans="1:7">
      <c r="A1373" s="1">
        <f>HYPERLINK("https://cms.ls-nyc.org/matter/dynamic-profile/view/1891381","19-1891381")</f>
        <v>0</v>
      </c>
      <c r="B1373" t="s">
        <v>11</v>
      </c>
      <c r="G1373" t="s">
        <v>16</v>
      </c>
    </row>
    <row r="1374" spans="1:7">
      <c r="A1374" s="1">
        <f>HYPERLINK("https://cms.ls-nyc.org/matter/dynamic-profile/view/1887657","19-1887657")</f>
        <v>0</v>
      </c>
      <c r="B1374" t="s">
        <v>8</v>
      </c>
      <c r="C1374" t="s">
        <v>12</v>
      </c>
      <c r="E1374" t="s">
        <v>14</v>
      </c>
      <c r="G1374" t="s">
        <v>17</v>
      </c>
    </row>
    <row r="1375" spans="1:7">
      <c r="A1375" s="1">
        <f>HYPERLINK("https://cms.ls-nyc.org/matter/dynamic-profile/view/1889081","19-1889081")</f>
        <v>0</v>
      </c>
      <c r="B1375" t="s">
        <v>11</v>
      </c>
      <c r="G1375" t="s">
        <v>16</v>
      </c>
    </row>
    <row r="1376" spans="1:7">
      <c r="A1376" s="1">
        <f>HYPERLINK("https://cms.ls-nyc.org/matter/dynamic-profile/view/1875176","18-1875176")</f>
        <v>0</v>
      </c>
      <c r="B1376" t="s">
        <v>7</v>
      </c>
      <c r="G1376" t="s">
        <v>16</v>
      </c>
    </row>
    <row r="1377" spans="1:7">
      <c r="A1377" s="1">
        <f>HYPERLINK("https://cms.ls-nyc.org/matter/dynamic-profile/view/1880588","18-1880588")</f>
        <v>0</v>
      </c>
      <c r="B1377" t="s">
        <v>7</v>
      </c>
      <c r="G1377" t="s">
        <v>16</v>
      </c>
    </row>
    <row r="1378" spans="1:7">
      <c r="A1378" s="1">
        <f>HYPERLINK("https://cms.ls-nyc.org/matter/dynamic-profile/view/1876389","18-1876389")</f>
        <v>0</v>
      </c>
      <c r="B1378" t="s">
        <v>8</v>
      </c>
      <c r="G1378" t="s">
        <v>16</v>
      </c>
    </row>
    <row r="1379" spans="1:7">
      <c r="A1379" s="1">
        <f>HYPERLINK("https://cms.ls-nyc.org/matter/dynamic-profile/view/1881489","18-1881489")</f>
        <v>0</v>
      </c>
      <c r="B1379" t="s">
        <v>8</v>
      </c>
      <c r="G1379" t="s">
        <v>16</v>
      </c>
    </row>
    <row r="1380" spans="1:7">
      <c r="A1380" s="1">
        <f>HYPERLINK("https://cms.ls-nyc.org/matter/dynamic-profile/view/1883130","18-1883130")</f>
        <v>0</v>
      </c>
      <c r="B1380" t="s">
        <v>8</v>
      </c>
      <c r="G1380" t="s">
        <v>16</v>
      </c>
    </row>
    <row r="1381" spans="1:7">
      <c r="A1381" s="1">
        <f>HYPERLINK("https://cms.ls-nyc.org/matter/dynamic-profile/view/1881486","18-1881486")</f>
        <v>0</v>
      </c>
      <c r="B1381" t="s">
        <v>8</v>
      </c>
      <c r="G1381" t="s">
        <v>16</v>
      </c>
    </row>
    <row r="1382" spans="1:7">
      <c r="A1382" s="1">
        <f>HYPERLINK("https://cms.ls-nyc.org/matter/dynamic-profile/view/1883103","18-1883103")</f>
        <v>0</v>
      </c>
      <c r="B1382" t="s">
        <v>8</v>
      </c>
      <c r="G1382" t="s">
        <v>16</v>
      </c>
    </row>
    <row r="1383" spans="1:7">
      <c r="A1383" s="1">
        <f>HYPERLINK("https://cms.ls-nyc.org/matter/dynamic-profile/view/1876805","18-1876805")</f>
        <v>0</v>
      </c>
      <c r="B1383" t="s">
        <v>9</v>
      </c>
      <c r="F1383" t="s">
        <v>15</v>
      </c>
      <c r="G1383" t="s">
        <v>17</v>
      </c>
    </row>
    <row r="1384" spans="1:7">
      <c r="A1384" s="1">
        <f>HYPERLINK("https://cms.ls-nyc.org/matter/dynamic-profile/view/1876802","18-1876802")</f>
        <v>0</v>
      </c>
      <c r="B1384" t="s">
        <v>9</v>
      </c>
      <c r="F1384" t="s">
        <v>15</v>
      </c>
      <c r="G1384" t="s">
        <v>17</v>
      </c>
    </row>
    <row r="1385" spans="1:7">
      <c r="A1385" s="1">
        <f>HYPERLINK("https://cms.ls-nyc.org/matter/dynamic-profile/view/1882289","18-1882289")</f>
        <v>0</v>
      </c>
      <c r="B1385" t="s">
        <v>9</v>
      </c>
      <c r="G1385" t="s">
        <v>16</v>
      </c>
    </row>
    <row r="1386" spans="1:7">
      <c r="A1386" s="1">
        <f>HYPERLINK("https://cms.ls-nyc.org/matter/dynamic-profile/view/1877861","18-1877861")</f>
        <v>0</v>
      </c>
      <c r="B1386" t="s">
        <v>11</v>
      </c>
      <c r="G1386" t="s">
        <v>16</v>
      </c>
    </row>
    <row r="1387" spans="1:7">
      <c r="A1387" s="1">
        <f>HYPERLINK("https://cms.ls-nyc.org/matter/dynamic-profile/view/1872059","18-1872059")</f>
        <v>0</v>
      </c>
      <c r="B1387" t="s">
        <v>11</v>
      </c>
      <c r="G1387" t="s">
        <v>16</v>
      </c>
    </row>
    <row r="1388" spans="1:7">
      <c r="A1388" s="1">
        <f>HYPERLINK("https://cms.ls-nyc.org/matter/dynamic-profile/view/1882662","18-1882662")</f>
        <v>0</v>
      </c>
      <c r="B1388" t="s">
        <v>11</v>
      </c>
      <c r="G1388" t="s">
        <v>16</v>
      </c>
    </row>
    <row r="1389" spans="1:7">
      <c r="A1389" s="1">
        <f>HYPERLINK("https://cms.ls-nyc.org/matter/dynamic-profile/view/1872583","18-1872583")</f>
        <v>0</v>
      </c>
      <c r="B1389" t="s">
        <v>11</v>
      </c>
      <c r="G1389" t="s">
        <v>16</v>
      </c>
    </row>
    <row r="1390" spans="1:7">
      <c r="A1390" s="1">
        <f>HYPERLINK("https://cms.ls-nyc.org/matter/dynamic-profile/view/1888910","19-1888910")</f>
        <v>0</v>
      </c>
      <c r="B1390" t="s">
        <v>8</v>
      </c>
      <c r="G1390" t="s">
        <v>16</v>
      </c>
    </row>
    <row r="1391" spans="1:7">
      <c r="A1391" s="1">
        <f>HYPERLINK("https://cms.ls-nyc.org/matter/dynamic-profile/view/1891375","19-1891375")</f>
        <v>0</v>
      </c>
      <c r="B1391" t="s">
        <v>8</v>
      </c>
      <c r="C1391" t="s">
        <v>12</v>
      </c>
      <c r="E1391" t="s">
        <v>14</v>
      </c>
      <c r="G1391" t="s">
        <v>17</v>
      </c>
    </row>
    <row r="1392" spans="1:7">
      <c r="A1392" s="1">
        <f>HYPERLINK("https://cms.ls-nyc.org/matter/dynamic-profile/view/1891385","19-1891385")</f>
        <v>0</v>
      </c>
      <c r="B1392" t="s">
        <v>8</v>
      </c>
      <c r="C1392" t="s">
        <v>12</v>
      </c>
      <c r="E1392" t="s">
        <v>14</v>
      </c>
      <c r="G1392" t="s">
        <v>17</v>
      </c>
    </row>
    <row r="1393" spans="1:7">
      <c r="A1393" s="1">
        <f>HYPERLINK("https://cms.ls-nyc.org/matter/dynamic-profile/view/1893538","19-1893538")</f>
        <v>0</v>
      </c>
      <c r="B1393" t="s">
        <v>11</v>
      </c>
      <c r="G1393" t="s">
        <v>16</v>
      </c>
    </row>
    <row r="1394" spans="1:7">
      <c r="A1394" s="1">
        <f>HYPERLINK("https://cms.ls-nyc.org/matter/dynamic-profile/view/1892375","19-1892375")</f>
        <v>0</v>
      </c>
      <c r="B1394" t="s">
        <v>11</v>
      </c>
      <c r="G1394" t="s">
        <v>16</v>
      </c>
    </row>
    <row r="1395" spans="1:7">
      <c r="A1395" s="1">
        <f>HYPERLINK("https://cms.ls-nyc.org/matter/dynamic-profile/view/1884434","18-1884434")</f>
        <v>0</v>
      </c>
      <c r="B1395" t="s">
        <v>9</v>
      </c>
      <c r="G1395" t="s">
        <v>16</v>
      </c>
    </row>
    <row r="1396" spans="1:7">
      <c r="A1396" s="1">
        <f>HYPERLINK("https://cms.ls-nyc.org/matter/dynamic-profile/view/1884635","18-1884635")</f>
        <v>0</v>
      </c>
      <c r="B1396" t="s">
        <v>8</v>
      </c>
      <c r="G1396" t="s">
        <v>16</v>
      </c>
    </row>
    <row r="1397" spans="1:7">
      <c r="A1397" s="1">
        <f>HYPERLINK("https://cms.ls-nyc.org/matter/dynamic-profile/view/1885374","18-1885374")</f>
        <v>0</v>
      </c>
      <c r="B1397" t="s">
        <v>8</v>
      </c>
      <c r="G1397" t="s">
        <v>16</v>
      </c>
    </row>
    <row r="1398" spans="1:7">
      <c r="A1398" s="1">
        <f>HYPERLINK("https://cms.ls-nyc.org/matter/dynamic-profile/view/1874673","18-1874673")</f>
        <v>0</v>
      </c>
      <c r="B1398" t="s">
        <v>11</v>
      </c>
      <c r="G1398" t="s">
        <v>16</v>
      </c>
    </row>
    <row r="1399" spans="1:7">
      <c r="A1399" s="1">
        <f>HYPERLINK("https://cms.ls-nyc.org/matter/dynamic-profile/view/1874606","18-1874606")</f>
        <v>0</v>
      </c>
      <c r="B1399" t="s">
        <v>7</v>
      </c>
      <c r="G1399" t="s">
        <v>16</v>
      </c>
    </row>
    <row r="1400" spans="1:7">
      <c r="A1400" s="1">
        <f>HYPERLINK("https://cms.ls-nyc.org/matter/dynamic-profile/view/1892284","19-1892284")</f>
        <v>0</v>
      </c>
      <c r="B1400" t="s">
        <v>9</v>
      </c>
      <c r="G1400" t="s">
        <v>16</v>
      </c>
    </row>
    <row r="1401" spans="1:7">
      <c r="A1401" s="1">
        <f>HYPERLINK("https://cms.ls-nyc.org/matter/dynamic-profile/view/1901229","19-1901229")</f>
        <v>0</v>
      </c>
      <c r="B1401" t="s">
        <v>11</v>
      </c>
      <c r="G1401" t="s">
        <v>16</v>
      </c>
    </row>
    <row r="1402" spans="1:7">
      <c r="A1402" s="1">
        <f>HYPERLINK("https://cms.ls-nyc.org/matter/dynamic-profile/view/1886583","18-1886583")</f>
        <v>0</v>
      </c>
      <c r="B1402" t="s">
        <v>8</v>
      </c>
      <c r="G1402" t="s">
        <v>16</v>
      </c>
    </row>
    <row r="1403" spans="1:7">
      <c r="A1403" s="1">
        <f>HYPERLINK("https://cms.ls-nyc.org/matter/dynamic-profile/view/1881097","18-1881097")</f>
        <v>0</v>
      </c>
      <c r="B1403" t="s">
        <v>8</v>
      </c>
      <c r="G1403" t="s">
        <v>16</v>
      </c>
    </row>
    <row r="1404" spans="1:7">
      <c r="A1404" s="1">
        <f>HYPERLINK("https://cms.ls-nyc.org/matter/dynamic-profile/view/1871020","18-1871020")</f>
        <v>0</v>
      </c>
      <c r="B1404" t="s">
        <v>7</v>
      </c>
      <c r="D1404" t="s">
        <v>13</v>
      </c>
      <c r="G1404" t="s">
        <v>17</v>
      </c>
    </row>
    <row r="1405" spans="1:7">
      <c r="A1405" s="1">
        <f>HYPERLINK("https://cms.ls-nyc.org/matter/dynamic-profile/view/1875656","18-1875656")</f>
        <v>0</v>
      </c>
      <c r="B1405" t="s">
        <v>8</v>
      </c>
      <c r="G1405" t="s">
        <v>16</v>
      </c>
    </row>
    <row r="1406" spans="1:7">
      <c r="A1406" s="1">
        <f>HYPERLINK("https://cms.ls-nyc.org/matter/dynamic-profile/view/1876704","18-1876704")</f>
        <v>0</v>
      </c>
      <c r="B1406" t="s">
        <v>9</v>
      </c>
      <c r="G1406" t="s">
        <v>16</v>
      </c>
    </row>
    <row r="1407" spans="1:7">
      <c r="A1407" s="1">
        <f>HYPERLINK("https://cms.ls-nyc.org/matter/dynamic-profile/view/1886350","18-1886350")</f>
        <v>0</v>
      </c>
      <c r="B1407" t="s">
        <v>9</v>
      </c>
      <c r="G1407" t="s">
        <v>16</v>
      </c>
    </row>
    <row r="1408" spans="1:7">
      <c r="A1408" s="1">
        <f>HYPERLINK("https://cms.ls-nyc.org/matter/dynamic-profile/view/1876697","18-1876697")</f>
        <v>0</v>
      </c>
      <c r="B1408" t="s">
        <v>9</v>
      </c>
      <c r="G1408" t="s">
        <v>16</v>
      </c>
    </row>
    <row r="1409" spans="1:7">
      <c r="A1409" s="1">
        <f>HYPERLINK("https://cms.ls-nyc.org/matter/dynamic-profile/view/1881834","18-1881834")</f>
        <v>0</v>
      </c>
      <c r="B1409" t="s">
        <v>9</v>
      </c>
      <c r="F1409" t="s">
        <v>15</v>
      </c>
      <c r="G1409" t="s">
        <v>17</v>
      </c>
    </row>
    <row r="1410" spans="1:7">
      <c r="A1410" s="1">
        <f>HYPERLINK("https://cms.ls-nyc.org/matter/dynamic-profile/view/1877569","18-1877569")</f>
        <v>0</v>
      </c>
      <c r="B1410" t="s">
        <v>9</v>
      </c>
      <c r="G1410" t="s">
        <v>16</v>
      </c>
    </row>
    <row r="1411" spans="1:7">
      <c r="A1411" s="1">
        <f>HYPERLINK("https://cms.ls-nyc.org/matter/dynamic-profile/view/1870264","18-1870264")</f>
        <v>0</v>
      </c>
      <c r="B1411" t="s">
        <v>11</v>
      </c>
      <c r="G1411" t="s">
        <v>16</v>
      </c>
    </row>
    <row r="1412" spans="1:7">
      <c r="A1412" s="1">
        <f>HYPERLINK("https://cms.ls-nyc.org/matter/dynamic-profile/view/1873294","18-1873294")</f>
        <v>0</v>
      </c>
      <c r="B1412" t="s">
        <v>11</v>
      </c>
      <c r="G1412" t="s">
        <v>16</v>
      </c>
    </row>
    <row r="1413" spans="1:7">
      <c r="A1413" s="1">
        <f>HYPERLINK("https://cms.ls-nyc.org/matter/dynamic-profile/view/1895763","19-1895763")</f>
        <v>0</v>
      </c>
      <c r="B1413" t="s">
        <v>11</v>
      </c>
      <c r="G1413" t="s">
        <v>16</v>
      </c>
    </row>
    <row r="1414" spans="1:7">
      <c r="A1414" s="1">
        <f>HYPERLINK("https://cms.ls-nyc.org/matter/dynamic-profile/view/1869962","18-1869962")</f>
        <v>0</v>
      </c>
      <c r="B1414" t="s">
        <v>11</v>
      </c>
      <c r="G1414" t="s">
        <v>16</v>
      </c>
    </row>
    <row r="1415" spans="1:7">
      <c r="A1415" s="1">
        <f>HYPERLINK("https://cms.ls-nyc.org/matter/dynamic-profile/view/1872463","18-1872463")</f>
        <v>0</v>
      </c>
      <c r="B1415" t="s">
        <v>11</v>
      </c>
      <c r="G1415" t="s">
        <v>16</v>
      </c>
    </row>
    <row r="1416" spans="1:7">
      <c r="A1416" s="1">
        <f>HYPERLINK("https://cms.ls-nyc.org/matter/dynamic-profile/view/1895348","19-1895348")</f>
        <v>0</v>
      </c>
      <c r="B1416" t="s">
        <v>8</v>
      </c>
      <c r="C1416" t="s">
        <v>12</v>
      </c>
      <c r="E1416" t="s">
        <v>14</v>
      </c>
      <c r="G1416" t="s">
        <v>17</v>
      </c>
    </row>
    <row r="1417" spans="1:7">
      <c r="A1417" s="1">
        <f>HYPERLINK("https://cms.ls-nyc.org/matter/dynamic-profile/view/1886920","19-1886920")</f>
        <v>0</v>
      </c>
      <c r="B1417" t="s">
        <v>7</v>
      </c>
      <c r="G1417" t="s">
        <v>16</v>
      </c>
    </row>
    <row r="1418" spans="1:7">
      <c r="A1418" s="1">
        <f>HYPERLINK("https://cms.ls-nyc.org/matter/dynamic-profile/view/1879625","18-1879625")</f>
        <v>0</v>
      </c>
      <c r="B1418" t="s">
        <v>8</v>
      </c>
      <c r="C1418" t="s">
        <v>12</v>
      </c>
      <c r="E1418" t="s">
        <v>14</v>
      </c>
      <c r="G1418" t="s">
        <v>17</v>
      </c>
    </row>
    <row r="1419" spans="1:7">
      <c r="A1419" s="1">
        <f>HYPERLINK("https://cms.ls-nyc.org/matter/dynamic-profile/view/1879627","18-1879627")</f>
        <v>0</v>
      </c>
      <c r="B1419" t="s">
        <v>8</v>
      </c>
      <c r="C1419" t="s">
        <v>12</v>
      </c>
      <c r="E1419" t="s">
        <v>14</v>
      </c>
      <c r="G1419" t="s">
        <v>17</v>
      </c>
    </row>
    <row r="1420" spans="1:7">
      <c r="A1420" s="1">
        <f>HYPERLINK("https://cms.ls-nyc.org/matter/dynamic-profile/view/1879620","18-1879620")</f>
        <v>0</v>
      </c>
      <c r="B1420" t="s">
        <v>8</v>
      </c>
      <c r="C1420" t="s">
        <v>12</v>
      </c>
      <c r="D1420" t="s">
        <v>13</v>
      </c>
      <c r="E1420" t="s">
        <v>14</v>
      </c>
      <c r="G1420" t="s">
        <v>17</v>
      </c>
    </row>
    <row r="1421" spans="1:7">
      <c r="A1421" s="1">
        <f>HYPERLINK("https://cms.ls-nyc.org/matter/dynamic-profile/view/1879623","18-1879623")</f>
        <v>0</v>
      </c>
      <c r="B1421" t="s">
        <v>8</v>
      </c>
      <c r="C1421" t="s">
        <v>12</v>
      </c>
      <c r="E1421" t="s">
        <v>14</v>
      </c>
      <c r="G1421" t="s">
        <v>17</v>
      </c>
    </row>
    <row r="1422" spans="1:7">
      <c r="A1422" s="1">
        <f>HYPERLINK("https://cms.ls-nyc.org/matter/dynamic-profile/view/1879613","18-1879613")</f>
        <v>0</v>
      </c>
      <c r="B1422" t="s">
        <v>8</v>
      </c>
      <c r="C1422" t="s">
        <v>12</v>
      </c>
      <c r="E1422" t="s">
        <v>14</v>
      </c>
      <c r="G1422" t="s">
        <v>17</v>
      </c>
    </row>
    <row r="1423" spans="1:7">
      <c r="A1423" s="1">
        <f>HYPERLINK("https://cms.ls-nyc.org/matter/dynamic-profile/view/1879615","18-1879615")</f>
        <v>0</v>
      </c>
      <c r="B1423" t="s">
        <v>8</v>
      </c>
      <c r="C1423" t="s">
        <v>12</v>
      </c>
      <c r="D1423" t="s">
        <v>13</v>
      </c>
      <c r="E1423" t="s">
        <v>14</v>
      </c>
      <c r="G1423" t="s">
        <v>17</v>
      </c>
    </row>
    <row r="1424" spans="1:7">
      <c r="A1424" s="1">
        <f>HYPERLINK("https://cms.ls-nyc.org/matter/dynamic-profile/view/1881840","18-1881840")</f>
        <v>0</v>
      </c>
      <c r="B1424" t="s">
        <v>9</v>
      </c>
      <c r="G1424" t="s">
        <v>16</v>
      </c>
    </row>
    <row r="1425" spans="1:7">
      <c r="A1425" s="1">
        <f>HYPERLINK("https://cms.ls-nyc.org/matter/dynamic-profile/view/1886592","18-1886592")</f>
        <v>0</v>
      </c>
      <c r="B1425" t="s">
        <v>9</v>
      </c>
      <c r="G1425" t="s">
        <v>16</v>
      </c>
    </row>
    <row r="1426" spans="1:7">
      <c r="A1426" s="1">
        <f>HYPERLINK("https://cms.ls-nyc.org/matter/dynamic-profile/view/1883527","18-1883527")</f>
        <v>0</v>
      </c>
      <c r="B1426" t="s">
        <v>11</v>
      </c>
      <c r="G1426" t="s">
        <v>16</v>
      </c>
    </row>
    <row r="1427" spans="1:7">
      <c r="A1427" s="1">
        <f>HYPERLINK("https://cms.ls-nyc.org/matter/dynamic-profile/view/1872452","18-1872452")</f>
        <v>0</v>
      </c>
      <c r="B1427" t="s">
        <v>7</v>
      </c>
      <c r="G1427" t="s">
        <v>16</v>
      </c>
    </row>
    <row r="1428" spans="1:7">
      <c r="A1428" s="1">
        <f>HYPERLINK("https://cms.ls-nyc.org/matter/dynamic-profile/view/1874661","18-1874661")</f>
        <v>0</v>
      </c>
      <c r="B1428" t="s">
        <v>8</v>
      </c>
      <c r="E1428" t="s">
        <v>14</v>
      </c>
      <c r="G1428" t="s">
        <v>17</v>
      </c>
    </row>
    <row r="1429" spans="1:7">
      <c r="A1429" s="1">
        <f>HYPERLINK("https://cms.ls-nyc.org/matter/dynamic-profile/view/1877830","18-1877830")</f>
        <v>0</v>
      </c>
      <c r="B1429" t="s">
        <v>9</v>
      </c>
      <c r="G1429" t="s">
        <v>16</v>
      </c>
    </row>
    <row r="1430" spans="1:7">
      <c r="A1430" s="1">
        <f>HYPERLINK("https://cms.ls-nyc.org/matter/dynamic-profile/view/1872283","18-1872283")</f>
        <v>0</v>
      </c>
      <c r="B1430" t="s">
        <v>9</v>
      </c>
      <c r="G1430" t="s">
        <v>16</v>
      </c>
    </row>
    <row r="1431" spans="1:7">
      <c r="A1431" s="1">
        <f>HYPERLINK("https://cms.ls-nyc.org/matter/dynamic-profile/view/1877140","18-1877140")</f>
        <v>0</v>
      </c>
      <c r="B1431" t="s">
        <v>9</v>
      </c>
      <c r="G1431" t="s">
        <v>16</v>
      </c>
    </row>
    <row r="1432" spans="1:7">
      <c r="A1432" s="1">
        <f>HYPERLINK("https://cms.ls-nyc.org/matter/dynamic-profile/view/1878954","18-1878954")</f>
        <v>0</v>
      </c>
      <c r="B1432" t="s">
        <v>11</v>
      </c>
      <c r="G1432" t="s">
        <v>16</v>
      </c>
    </row>
    <row r="1433" spans="1:7">
      <c r="A1433" s="1">
        <f>HYPERLINK("https://cms.ls-nyc.org/matter/dynamic-profile/view/1888054","19-1888054")</f>
        <v>0</v>
      </c>
      <c r="B1433" t="s">
        <v>11</v>
      </c>
      <c r="F1433" t="s">
        <v>15</v>
      </c>
      <c r="G1433" t="s">
        <v>17</v>
      </c>
    </row>
    <row r="1434" spans="1:7">
      <c r="A1434" s="1">
        <f>HYPERLINK("https://cms.ls-nyc.org/matter/dynamic-profile/view/1882276","18-1882276")</f>
        <v>0</v>
      </c>
      <c r="B1434" t="s">
        <v>8</v>
      </c>
      <c r="G1434" t="s">
        <v>16</v>
      </c>
    </row>
    <row r="1435" spans="1:7">
      <c r="A1435" s="1">
        <f>HYPERLINK("https://cms.ls-nyc.org/matter/dynamic-profile/view/1882883","18-1882883")</f>
        <v>0</v>
      </c>
      <c r="B1435" t="s">
        <v>8</v>
      </c>
      <c r="G1435" t="s">
        <v>16</v>
      </c>
    </row>
    <row r="1436" spans="1:7">
      <c r="A1436" s="1">
        <f>HYPERLINK("https://cms.ls-nyc.org/matter/dynamic-profile/view/1866053","18-1866053")</f>
        <v>0</v>
      </c>
      <c r="B1436" t="s">
        <v>9</v>
      </c>
      <c r="G1436" t="s">
        <v>16</v>
      </c>
    </row>
    <row r="1437" spans="1:7">
      <c r="A1437" s="1">
        <f>HYPERLINK("https://cms.ls-nyc.org/matter/dynamic-profile/view/1887387","19-1887387")</f>
        <v>0</v>
      </c>
      <c r="B1437" t="s">
        <v>9</v>
      </c>
      <c r="G1437" t="s">
        <v>16</v>
      </c>
    </row>
    <row r="1438" spans="1:7">
      <c r="A1438" s="1">
        <f>HYPERLINK("https://cms.ls-nyc.org/matter/dynamic-profile/view/1892457","19-1892457")</f>
        <v>0</v>
      </c>
      <c r="B1438" t="s">
        <v>8</v>
      </c>
      <c r="G1438" t="s">
        <v>16</v>
      </c>
    </row>
    <row r="1439" spans="1:7">
      <c r="A1439" s="1">
        <f>HYPERLINK("https://cms.ls-nyc.org/matter/dynamic-profile/view/1892480","19-1892480")</f>
        <v>0</v>
      </c>
      <c r="B1439" t="s">
        <v>8</v>
      </c>
      <c r="G1439" t="s">
        <v>16</v>
      </c>
    </row>
    <row r="1440" spans="1:7">
      <c r="A1440" s="1">
        <f>HYPERLINK("https://cms.ls-nyc.org/matter/dynamic-profile/view/1892729","19-1892729")</f>
        <v>0</v>
      </c>
      <c r="B1440" t="s">
        <v>8</v>
      </c>
      <c r="G1440" t="s">
        <v>16</v>
      </c>
    </row>
    <row r="1441" spans="1:7">
      <c r="A1441" s="1">
        <f>HYPERLINK("https://cms.ls-nyc.org/matter/dynamic-profile/view/1894672","19-1894672")</f>
        <v>0</v>
      </c>
      <c r="B1441" t="s">
        <v>8</v>
      </c>
      <c r="G1441" t="s">
        <v>16</v>
      </c>
    </row>
    <row r="1442" spans="1:7">
      <c r="A1442" s="1">
        <f>HYPERLINK("https://cms.ls-nyc.org/matter/dynamic-profile/view/1893509","19-1893509")</f>
        <v>0</v>
      </c>
      <c r="B1442" t="s">
        <v>11</v>
      </c>
      <c r="G1442" t="s">
        <v>16</v>
      </c>
    </row>
    <row r="1443" spans="1:7">
      <c r="A1443" s="1">
        <f>HYPERLINK("https://cms.ls-nyc.org/matter/dynamic-profile/view/1886089","18-1886089")</f>
        <v>0</v>
      </c>
      <c r="B1443" t="s">
        <v>8</v>
      </c>
      <c r="G1443" t="s">
        <v>16</v>
      </c>
    </row>
    <row r="1444" spans="1:7">
      <c r="A1444" s="1">
        <f>HYPERLINK("https://cms.ls-nyc.org/matter/dynamic-profile/view/1878029","18-1878029")</f>
        <v>0</v>
      </c>
      <c r="B1444" t="s">
        <v>8</v>
      </c>
      <c r="G1444" t="s">
        <v>16</v>
      </c>
    </row>
    <row r="1445" spans="1:7">
      <c r="A1445" s="1">
        <f>HYPERLINK("https://cms.ls-nyc.org/matter/dynamic-profile/view/1891519","19-1891519")</f>
        <v>0</v>
      </c>
      <c r="B1445" t="s">
        <v>9</v>
      </c>
      <c r="G1445" t="s">
        <v>16</v>
      </c>
    </row>
    <row r="1446" spans="1:7">
      <c r="A1446" s="1">
        <f>HYPERLINK("https://cms.ls-nyc.org/matter/dynamic-profile/view/1863313","18-1863313")</f>
        <v>0</v>
      </c>
      <c r="B1446" t="s">
        <v>8</v>
      </c>
      <c r="F1446" t="s">
        <v>15</v>
      </c>
      <c r="G1446" t="s">
        <v>17</v>
      </c>
    </row>
    <row r="1447" spans="1:7">
      <c r="A1447" s="1">
        <f>HYPERLINK("https://cms.ls-nyc.org/matter/dynamic-profile/view/1877784","18-1877784")</f>
        <v>0</v>
      </c>
      <c r="B1447" t="s">
        <v>7</v>
      </c>
      <c r="G1447" t="s">
        <v>16</v>
      </c>
    </row>
    <row r="1448" spans="1:7">
      <c r="A1448" s="1">
        <f>HYPERLINK("https://cms.ls-nyc.org/matter/dynamic-profile/view/1873573","18-1873573")</f>
        <v>0</v>
      </c>
      <c r="B1448" t="s">
        <v>9</v>
      </c>
      <c r="F1448" t="s">
        <v>15</v>
      </c>
      <c r="G1448" t="s">
        <v>17</v>
      </c>
    </row>
    <row r="1449" spans="1:7">
      <c r="A1449" s="1">
        <f>HYPERLINK("https://cms.ls-nyc.org/matter/dynamic-profile/view/1876787","18-1876787")</f>
        <v>0</v>
      </c>
      <c r="B1449" t="s">
        <v>9</v>
      </c>
      <c r="E1449" t="s">
        <v>14</v>
      </c>
      <c r="F1449" t="s">
        <v>15</v>
      </c>
      <c r="G1449" t="s">
        <v>17</v>
      </c>
    </row>
    <row r="1450" spans="1:7">
      <c r="A1450" s="1">
        <f>HYPERLINK("https://cms.ls-nyc.org/matter/dynamic-profile/view/1895954","19-1895954")</f>
        <v>0</v>
      </c>
      <c r="B1450" t="s">
        <v>9</v>
      </c>
      <c r="F1450" t="s">
        <v>15</v>
      </c>
      <c r="G1450" t="s">
        <v>17</v>
      </c>
    </row>
    <row r="1451" spans="1:7">
      <c r="A1451" s="1">
        <f>HYPERLINK("https://cms.ls-nyc.org/matter/dynamic-profile/view/1889049","19-1889049")</f>
        <v>0</v>
      </c>
      <c r="B1451" t="s">
        <v>11</v>
      </c>
      <c r="G1451" t="s">
        <v>16</v>
      </c>
    </row>
    <row r="1452" spans="1:7">
      <c r="A1452" s="1">
        <f>HYPERLINK("https://cms.ls-nyc.org/matter/dynamic-profile/view/1881478","18-1881478")</f>
        <v>0</v>
      </c>
      <c r="B1452" t="s">
        <v>9</v>
      </c>
      <c r="G1452" t="s">
        <v>16</v>
      </c>
    </row>
    <row r="1453" spans="1:7">
      <c r="A1453" s="1">
        <f>HYPERLINK("https://cms.ls-nyc.org/matter/dynamic-profile/view/1901238","19-1901238")</f>
        <v>0</v>
      </c>
      <c r="B1453" t="s">
        <v>11</v>
      </c>
      <c r="G1453" t="s">
        <v>16</v>
      </c>
    </row>
    <row r="1454" spans="1:7">
      <c r="A1454" s="1">
        <f>HYPERLINK("https://cms.ls-nyc.org/matter/dynamic-profile/view/1890309","19-1890309")</f>
        <v>0</v>
      </c>
      <c r="B1454" t="s">
        <v>8</v>
      </c>
      <c r="G1454" t="s">
        <v>16</v>
      </c>
    </row>
    <row r="1455" spans="1:7">
      <c r="A1455" s="1">
        <f>HYPERLINK("https://cms.ls-nyc.org/matter/dynamic-profile/view/1885676","18-1885676")</f>
        <v>0</v>
      </c>
      <c r="B1455" t="s">
        <v>9</v>
      </c>
      <c r="G1455" t="s">
        <v>16</v>
      </c>
    </row>
    <row r="1456" spans="1:7">
      <c r="A1456" s="1">
        <f>HYPERLINK("https://cms.ls-nyc.org/matter/dynamic-profile/view/1871057","18-1871057")</f>
        <v>0</v>
      </c>
      <c r="B1456" t="s">
        <v>7</v>
      </c>
      <c r="G1456" t="s">
        <v>16</v>
      </c>
    </row>
    <row r="1457" spans="1:7">
      <c r="A1457" s="1">
        <f>HYPERLINK("https://cms.ls-nyc.org/matter/dynamic-profile/view/1872231","18-1872231")</f>
        <v>0</v>
      </c>
      <c r="B1457" t="s">
        <v>8</v>
      </c>
      <c r="G1457" t="s">
        <v>16</v>
      </c>
    </row>
    <row r="1458" spans="1:7">
      <c r="A1458" s="1">
        <f>HYPERLINK("https://cms.ls-nyc.org/matter/dynamic-profile/view/1878082","18-1878082")</f>
        <v>0</v>
      </c>
      <c r="B1458" t="s">
        <v>9</v>
      </c>
      <c r="G1458" t="s">
        <v>16</v>
      </c>
    </row>
    <row r="1459" spans="1:7">
      <c r="A1459" s="1">
        <f>HYPERLINK("https://cms.ls-nyc.org/matter/dynamic-profile/view/1888208","19-1888208")</f>
        <v>0</v>
      </c>
      <c r="B1459" t="s">
        <v>9</v>
      </c>
      <c r="G1459" t="s">
        <v>16</v>
      </c>
    </row>
    <row r="1460" spans="1:7">
      <c r="A1460" s="1">
        <f>HYPERLINK("https://cms.ls-nyc.org/matter/dynamic-profile/view/1882713","18-1882713")</f>
        <v>0</v>
      </c>
      <c r="B1460" t="s">
        <v>11</v>
      </c>
      <c r="G1460" t="s">
        <v>16</v>
      </c>
    </row>
    <row r="1461" spans="1:7">
      <c r="A1461" s="1">
        <f>HYPERLINK("https://cms.ls-nyc.org/matter/dynamic-profile/view/1892320","19-1892320")</f>
        <v>0</v>
      </c>
      <c r="B1461" t="s">
        <v>9</v>
      </c>
      <c r="G1461" t="s">
        <v>16</v>
      </c>
    </row>
    <row r="1462" spans="1:7">
      <c r="A1462" s="1">
        <f>HYPERLINK("https://cms.ls-nyc.org/matter/dynamic-profile/view/1891900","19-1891900")</f>
        <v>0</v>
      </c>
      <c r="B1462" t="s">
        <v>9</v>
      </c>
      <c r="G1462" t="s">
        <v>16</v>
      </c>
    </row>
    <row r="1463" spans="1:7">
      <c r="A1463" s="1">
        <f>HYPERLINK("https://cms.ls-nyc.org/matter/dynamic-profile/view/1873011","18-1873011")</f>
        <v>0</v>
      </c>
      <c r="B1463" t="s">
        <v>9</v>
      </c>
      <c r="G1463" t="s">
        <v>16</v>
      </c>
    </row>
    <row r="1464" spans="1:7">
      <c r="A1464" s="1">
        <f>HYPERLINK("https://cms.ls-nyc.org/matter/dynamic-profile/view/1874524","18-1874524")</f>
        <v>0</v>
      </c>
      <c r="B1464" t="s">
        <v>9</v>
      </c>
      <c r="G1464" t="s">
        <v>16</v>
      </c>
    </row>
    <row r="1465" spans="1:7">
      <c r="A1465" s="1">
        <f>HYPERLINK("https://cms.ls-nyc.org/matter/dynamic-profile/view/1881819","18-1881819")</f>
        <v>0</v>
      </c>
      <c r="B1465" t="s">
        <v>9</v>
      </c>
      <c r="G1465" t="s">
        <v>16</v>
      </c>
    </row>
    <row r="1466" spans="1:7">
      <c r="A1466" s="1">
        <f>HYPERLINK("https://cms.ls-nyc.org/matter/dynamic-profile/view/1867775","18-1867775")</f>
        <v>0</v>
      </c>
      <c r="B1466" t="s">
        <v>11</v>
      </c>
      <c r="D1466" t="s">
        <v>13</v>
      </c>
      <c r="G1466" t="s">
        <v>17</v>
      </c>
    </row>
    <row r="1467" spans="1:7">
      <c r="A1467" s="1">
        <f>HYPERLINK("https://cms.ls-nyc.org/matter/dynamic-profile/view/1891346","19-1891346")</f>
        <v>0</v>
      </c>
      <c r="B1467" t="s">
        <v>9</v>
      </c>
      <c r="F1467" t="s">
        <v>15</v>
      </c>
      <c r="G1467" t="s">
        <v>17</v>
      </c>
    </row>
    <row r="1468" spans="1:7">
      <c r="A1468" s="1">
        <f>HYPERLINK("https://cms.ls-nyc.org/matter/dynamic-profile/view/1891344","19-1891344")</f>
        <v>0</v>
      </c>
      <c r="B1468" t="s">
        <v>9</v>
      </c>
      <c r="F1468" t="s">
        <v>15</v>
      </c>
      <c r="G1468" t="s">
        <v>17</v>
      </c>
    </row>
    <row r="1469" spans="1:7">
      <c r="A1469" s="1">
        <f>HYPERLINK("https://cms.ls-nyc.org/matter/dynamic-profile/view/1890302","19-1890302")</f>
        <v>0</v>
      </c>
      <c r="B1469" t="s">
        <v>9</v>
      </c>
      <c r="F1469" t="s">
        <v>15</v>
      </c>
      <c r="G1469" t="s">
        <v>17</v>
      </c>
    </row>
    <row r="1470" spans="1:7">
      <c r="A1470" s="1">
        <f>HYPERLINK("https://cms.ls-nyc.org/matter/dynamic-profile/view/1892617","19-1892617")</f>
        <v>0</v>
      </c>
      <c r="B1470" t="s">
        <v>8</v>
      </c>
      <c r="G1470" t="s">
        <v>16</v>
      </c>
    </row>
    <row r="1471" spans="1:7">
      <c r="A1471" s="1">
        <f>HYPERLINK("https://cms.ls-nyc.org/matter/dynamic-profile/view/1874975","18-1874975")</f>
        <v>0</v>
      </c>
      <c r="B1471" t="s">
        <v>7</v>
      </c>
      <c r="G1471" t="s">
        <v>16</v>
      </c>
    </row>
    <row r="1472" spans="1:7">
      <c r="A1472" s="1">
        <f>HYPERLINK("https://cms.ls-nyc.org/matter/dynamic-profile/view/0832363","17-0832363")</f>
        <v>0</v>
      </c>
      <c r="B1472" t="s">
        <v>11</v>
      </c>
      <c r="F1472" t="s">
        <v>15</v>
      </c>
      <c r="G1472" t="s">
        <v>17</v>
      </c>
    </row>
    <row r="1473" spans="1:7">
      <c r="A1473" s="1">
        <f>HYPERLINK("https://cms.ls-nyc.org/matter/dynamic-profile/view/1891306","19-1891306")</f>
        <v>0</v>
      </c>
      <c r="B1473" t="s">
        <v>11</v>
      </c>
      <c r="G1473" t="s">
        <v>16</v>
      </c>
    </row>
    <row r="1474" spans="1:7">
      <c r="A1474" s="1">
        <f>HYPERLINK("https://cms.ls-nyc.org/matter/dynamic-profile/view/1901257","19-1901257")</f>
        <v>0</v>
      </c>
      <c r="B1474" t="s">
        <v>11</v>
      </c>
      <c r="G1474" t="s">
        <v>16</v>
      </c>
    </row>
    <row r="1475" spans="1:7">
      <c r="A1475" s="1">
        <f>HYPERLINK("https://cms.ls-nyc.org/matter/dynamic-profile/view/1871668","18-1871668")</f>
        <v>0</v>
      </c>
      <c r="B1475" t="s">
        <v>8</v>
      </c>
      <c r="G1475" t="s">
        <v>16</v>
      </c>
    </row>
    <row r="1476" spans="1:7">
      <c r="A1476" s="1">
        <f>HYPERLINK("https://cms.ls-nyc.org/matter/dynamic-profile/view/1877831","18-1877831")</f>
        <v>0</v>
      </c>
      <c r="B1476" t="s">
        <v>8</v>
      </c>
      <c r="G1476" t="s">
        <v>16</v>
      </c>
    </row>
    <row r="1477" spans="1:7">
      <c r="A1477" s="1">
        <f>HYPERLINK("https://cms.ls-nyc.org/matter/dynamic-profile/view/1883471","18-1883471")</f>
        <v>0</v>
      </c>
      <c r="B1477" t="s">
        <v>8</v>
      </c>
      <c r="G1477" t="s">
        <v>16</v>
      </c>
    </row>
    <row r="1478" spans="1:7">
      <c r="A1478" s="1">
        <f>HYPERLINK("https://cms.ls-nyc.org/matter/dynamic-profile/view/1887013","19-1887013")</f>
        <v>0</v>
      </c>
      <c r="B1478" t="s">
        <v>9</v>
      </c>
      <c r="G1478" t="s">
        <v>16</v>
      </c>
    </row>
    <row r="1479" spans="1:7">
      <c r="A1479" s="1">
        <f>HYPERLINK("https://cms.ls-nyc.org/matter/dynamic-profile/view/1882290","18-1882290")</f>
        <v>0</v>
      </c>
      <c r="B1479" t="s">
        <v>9</v>
      </c>
      <c r="G1479" t="s">
        <v>16</v>
      </c>
    </row>
    <row r="1480" spans="1:7">
      <c r="A1480" s="1">
        <f>HYPERLINK("https://cms.ls-nyc.org/matter/dynamic-profile/view/1900152","19-1900152")</f>
        <v>0</v>
      </c>
      <c r="B1480" t="s">
        <v>10</v>
      </c>
      <c r="G1480" t="s">
        <v>16</v>
      </c>
    </row>
    <row r="1481" spans="1:7">
      <c r="A1481" s="1">
        <f>HYPERLINK("https://cms.ls-nyc.org/matter/dynamic-profile/view/1880606","18-1880606")</f>
        <v>0</v>
      </c>
      <c r="B1481" t="s">
        <v>9</v>
      </c>
      <c r="G1481" t="s">
        <v>16</v>
      </c>
    </row>
    <row r="1482" spans="1:7">
      <c r="A1482" s="1">
        <f>HYPERLINK("https://cms.ls-nyc.org/matter/dynamic-profile/view/1874415","18-1874415")</f>
        <v>0</v>
      </c>
      <c r="B1482" t="s">
        <v>9</v>
      </c>
      <c r="G1482" t="s">
        <v>16</v>
      </c>
    </row>
    <row r="1483" spans="1:7">
      <c r="A1483" s="1">
        <f>HYPERLINK("https://cms.ls-nyc.org/matter/dynamic-profile/view/1877981","18-1877981")</f>
        <v>0</v>
      </c>
      <c r="B1483" t="s">
        <v>7</v>
      </c>
      <c r="G1483" t="s">
        <v>16</v>
      </c>
    </row>
    <row r="1484" spans="1:7">
      <c r="A1484" s="1">
        <f>HYPERLINK("https://cms.ls-nyc.org/matter/dynamic-profile/view/1878919","18-1878919")</f>
        <v>0</v>
      </c>
      <c r="B1484" t="s">
        <v>8</v>
      </c>
      <c r="G1484" t="s">
        <v>16</v>
      </c>
    </row>
    <row r="1485" spans="1:7">
      <c r="A1485" s="1">
        <f>HYPERLINK("https://cms.ls-nyc.org/matter/dynamic-profile/view/1878923","18-1878923")</f>
        <v>0</v>
      </c>
      <c r="B1485" t="s">
        <v>8</v>
      </c>
      <c r="G1485" t="s">
        <v>16</v>
      </c>
    </row>
    <row r="1486" spans="1:7">
      <c r="A1486" s="1">
        <f>HYPERLINK("https://cms.ls-nyc.org/matter/dynamic-profile/view/1878916","18-1878916")</f>
        <v>0</v>
      </c>
      <c r="B1486" t="s">
        <v>8</v>
      </c>
      <c r="G1486" t="s">
        <v>16</v>
      </c>
    </row>
    <row r="1487" spans="1:7">
      <c r="A1487" s="1">
        <f>HYPERLINK("https://cms.ls-nyc.org/matter/dynamic-profile/view/1883906","18-1883906")</f>
        <v>0</v>
      </c>
      <c r="B1487" t="s">
        <v>9</v>
      </c>
      <c r="G1487" t="s">
        <v>16</v>
      </c>
    </row>
    <row r="1488" spans="1:7">
      <c r="A1488" s="1">
        <f>HYPERLINK("https://cms.ls-nyc.org/matter/dynamic-profile/view/1871354","18-1871354")</f>
        <v>0</v>
      </c>
      <c r="B1488" t="s">
        <v>10</v>
      </c>
      <c r="G1488" t="s">
        <v>16</v>
      </c>
    </row>
    <row r="1489" spans="1:7">
      <c r="A1489" s="1">
        <f>HYPERLINK("https://cms.ls-nyc.org/matter/dynamic-profile/view/1900433","19-1900433")</f>
        <v>0</v>
      </c>
      <c r="B1489" t="s">
        <v>8</v>
      </c>
      <c r="E1489" t="s">
        <v>14</v>
      </c>
      <c r="G1489" t="s">
        <v>17</v>
      </c>
    </row>
    <row r="1490" spans="1:7">
      <c r="A1490" s="1">
        <f>HYPERLINK("https://cms.ls-nyc.org/matter/dynamic-profile/view/1900700","19-1900700")</f>
        <v>0</v>
      </c>
      <c r="B1490" t="s">
        <v>8</v>
      </c>
      <c r="G1490" t="s">
        <v>16</v>
      </c>
    </row>
    <row r="1491" spans="1:7">
      <c r="A1491" s="1">
        <f>HYPERLINK("https://cms.ls-nyc.org/matter/dynamic-profile/view/1896324","19-1896324")</f>
        <v>0</v>
      </c>
      <c r="B1491" t="s">
        <v>9</v>
      </c>
      <c r="G1491" t="s">
        <v>16</v>
      </c>
    </row>
    <row r="1492" spans="1:7">
      <c r="A1492" s="1">
        <f>HYPERLINK("https://cms.ls-nyc.org/matter/dynamic-profile/view/1885736","18-1885736")</f>
        <v>0</v>
      </c>
      <c r="B1492" t="s">
        <v>9</v>
      </c>
      <c r="F1492" t="s">
        <v>15</v>
      </c>
      <c r="G1492" t="s">
        <v>17</v>
      </c>
    </row>
    <row r="1493" spans="1:7">
      <c r="A1493" s="1">
        <f>HYPERLINK("https://cms.ls-nyc.org/matter/dynamic-profile/view/1883936","18-1883936")</f>
        <v>0</v>
      </c>
      <c r="B1493" t="s">
        <v>11</v>
      </c>
      <c r="G1493" t="s">
        <v>16</v>
      </c>
    </row>
    <row r="1494" spans="1:7">
      <c r="A1494" s="1">
        <f>HYPERLINK("https://cms.ls-nyc.org/matter/dynamic-profile/view/1879642","18-1879642")</f>
        <v>0</v>
      </c>
      <c r="B1494" t="s">
        <v>9</v>
      </c>
      <c r="G1494" t="s">
        <v>16</v>
      </c>
    </row>
    <row r="1495" spans="1:7">
      <c r="A1495" s="1">
        <f>HYPERLINK("https://cms.ls-nyc.org/matter/dynamic-profile/view/1875668","18-1875668")</f>
        <v>0</v>
      </c>
      <c r="B1495" t="s">
        <v>8</v>
      </c>
      <c r="G1495" t="s">
        <v>16</v>
      </c>
    </row>
    <row r="1496" spans="1:7">
      <c r="A1496" s="1">
        <f>HYPERLINK("https://cms.ls-nyc.org/matter/dynamic-profile/view/1869143","18-1869143")</f>
        <v>0</v>
      </c>
      <c r="B1496" t="s">
        <v>8</v>
      </c>
      <c r="G1496" t="s">
        <v>16</v>
      </c>
    </row>
    <row r="1497" spans="1:7">
      <c r="A1497" s="1">
        <f>HYPERLINK("https://cms.ls-nyc.org/matter/dynamic-profile/view/1871556","18-1871556")</f>
        <v>0</v>
      </c>
      <c r="B1497" t="s">
        <v>11</v>
      </c>
      <c r="G1497" t="s">
        <v>16</v>
      </c>
    </row>
    <row r="1498" spans="1:7">
      <c r="A1498" s="1">
        <f>HYPERLINK("https://cms.ls-nyc.org/matter/dynamic-profile/view/1873798","18-1873798")</f>
        <v>0</v>
      </c>
      <c r="B1498" t="s">
        <v>11</v>
      </c>
      <c r="G1498" t="s">
        <v>16</v>
      </c>
    </row>
    <row r="1499" spans="1:7">
      <c r="A1499" s="1">
        <f>HYPERLINK("https://cms.ls-nyc.org/matter/dynamic-profile/view/1877309","18-1877309")</f>
        <v>0</v>
      </c>
      <c r="B1499" t="s">
        <v>11</v>
      </c>
      <c r="G1499" t="s">
        <v>16</v>
      </c>
    </row>
    <row r="1500" spans="1:7">
      <c r="A1500" s="1">
        <f>HYPERLINK("https://cms.ls-nyc.org/matter/dynamic-profile/view/1885320","18-1885320")</f>
        <v>0</v>
      </c>
      <c r="B1500" t="s">
        <v>8</v>
      </c>
      <c r="G1500" t="s">
        <v>16</v>
      </c>
    </row>
    <row r="1501" spans="1:7">
      <c r="A1501" s="1">
        <f>HYPERLINK("https://cms.ls-nyc.org/matter/dynamic-profile/view/1885838","18-1885838")</f>
        <v>0</v>
      </c>
      <c r="B1501" t="s">
        <v>9</v>
      </c>
      <c r="G1501" t="s">
        <v>16</v>
      </c>
    </row>
    <row r="1502" spans="1:7">
      <c r="A1502" s="1">
        <f>HYPERLINK("https://cms.ls-nyc.org/matter/dynamic-profile/view/1872309","18-1872309")</f>
        <v>0</v>
      </c>
      <c r="B1502" t="s">
        <v>7</v>
      </c>
      <c r="G1502" t="s">
        <v>16</v>
      </c>
    </row>
    <row r="1503" spans="1:7">
      <c r="A1503" s="1">
        <f>HYPERLINK("https://cms.ls-nyc.org/matter/dynamic-profile/view/1881339","18-1881339")</f>
        <v>0</v>
      </c>
      <c r="B1503" t="s">
        <v>8</v>
      </c>
      <c r="G1503" t="s">
        <v>16</v>
      </c>
    </row>
    <row r="1504" spans="1:7">
      <c r="A1504" s="1">
        <f>HYPERLINK("https://cms.ls-nyc.org/matter/dynamic-profile/view/1892678","19-1892678")</f>
        <v>0</v>
      </c>
      <c r="B1504" t="s">
        <v>8</v>
      </c>
      <c r="E1504" t="s">
        <v>14</v>
      </c>
      <c r="F1504" t="s">
        <v>15</v>
      </c>
      <c r="G1504" t="s">
        <v>17</v>
      </c>
    </row>
    <row r="1505" spans="1:7">
      <c r="A1505" s="1">
        <f>HYPERLINK("https://cms.ls-nyc.org/matter/dynamic-profile/view/1892681","19-1892681")</f>
        <v>0</v>
      </c>
      <c r="B1505" t="s">
        <v>8</v>
      </c>
      <c r="E1505" t="s">
        <v>14</v>
      </c>
      <c r="F1505" t="s">
        <v>15</v>
      </c>
      <c r="G1505" t="s">
        <v>17</v>
      </c>
    </row>
    <row r="1506" spans="1:7">
      <c r="A1506" s="1">
        <f>HYPERLINK("https://cms.ls-nyc.org/matter/dynamic-profile/view/1893754","19-1893754")</f>
        <v>0</v>
      </c>
      <c r="B1506" t="s">
        <v>9</v>
      </c>
      <c r="F1506" t="s">
        <v>15</v>
      </c>
      <c r="G1506" t="s">
        <v>17</v>
      </c>
    </row>
    <row r="1507" spans="1:7">
      <c r="A1507" s="1">
        <f>HYPERLINK("https://cms.ls-nyc.org/matter/dynamic-profile/view/1880247","18-1880247")</f>
        <v>0</v>
      </c>
      <c r="B1507" t="s">
        <v>8</v>
      </c>
      <c r="G1507" t="s">
        <v>16</v>
      </c>
    </row>
    <row r="1508" spans="1:7">
      <c r="A1508" s="1">
        <f>HYPERLINK("https://cms.ls-nyc.org/matter/dynamic-profile/view/1899272","19-1899272")</f>
        <v>0</v>
      </c>
      <c r="B1508" t="s">
        <v>7</v>
      </c>
      <c r="E1508" t="s">
        <v>14</v>
      </c>
      <c r="G1508" t="s">
        <v>17</v>
      </c>
    </row>
    <row r="1509" spans="1:7">
      <c r="A1509" s="1">
        <f>HYPERLINK("https://cms.ls-nyc.org/matter/dynamic-profile/view/1900978","19-1900978")</f>
        <v>0</v>
      </c>
      <c r="B1509" t="s">
        <v>8</v>
      </c>
      <c r="C1509" t="s">
        <v>12</v>
      </c>
      <c r="E1509" t="s">
        <v>14</v>
      </c>
      <c r="G1509" t="s">
        <v>17</v>
      </c>
    </row>
    <row r="1510" spans="1:7">
      <c r="A1510" s="1">
        <f>HYPERLINK("https://cms.ls-nyc.org/matter/dynamic-profile/view/1891000","19-1891000")</f>
        <v>0</v>
      </c>
      <c r="B1510" t="s">
        <v>9</v>
      </c>
      <c r="G1510" t="s">
        <v>16</v>
      </c>
    </row>
    <row r="1511" spans="1:7">
      <c r="A1511" s="1">
        <f>HYPERLINK("https://cms.ls-nyc.org/matter/dynamic-profile/view/1898899","19-1898899")</f>
        <v>0</v>
      </c>
      <c r="B1511" t="s">
        <v>11</v>
      </c>
      <c r="G1511" t="s">
        <v>16</v>
      </c>
    </row>
    <row r="1512" spans="1:7">
      <c r="A1512" s="1">
        <f>HYPERLINK("https://cms.ls-nyc.org/matter/dynamic-profile/view/1866060","18-1866060")</f>
        <v>0</v>
      </c>
      <c r="B1512" t="s">
        <v>8</v>
      </c>
      <c r="G1512" t="s">
        <v>16</v>
      </c>
    </row>
    <row r="1513" spans="1:7">
      <c r="A1513" s="1">
        <f>HYPERLINK("https://cms.ls-nyc.org/matter/dynamic-profile/view/1874671","18-1874671")</f>
        <v>0</v>
      </c>
      <c r="B1513" t="s">
        <v>11</v>
      </c>
      <c r="G1513" t="s">
        <v>16</v>
      </c>
    </row>
    <row r="1514" spans="1:7">
      <c r="A1514" s="1">
        <f>HYPERLINK("https://cms.ls-nyc.org/matter/dynamic-profile/view/1882302","18-1882302")</f>
        <v>0</v>
      </c>
      <c r="B1514" t="s">
        <v>8</v>
      </c>
      <c r="G1514" t="s">
        <v>16</v>
      </c>
    </row>
    <row r="1515" spans="1:7">
      <c r="A1515" s="1">
        <f>HYPERLINK("https://cms.ls-nyc.org/matter/dynamic-profile/view/1892699","19-1892699")</f>
        <v>0</v>
      </c>
      <c r="B1515" t="s">
        <v>11</v>
      </c>
      <c r="G1515" t="s">
        <v>16</v>
      </c>
    </row>
    <row r="1516" spans="1:7">
      <c r="A1516" s="1">
        <f>HYPERLINK("https://cms.ls-nyc.org/matter/dynamic-profile/view/1873213","18-1873213")</f>
        <v>0</v>
      </c>
      <c r="B1516" t="s">
        <v>7</v>
      </c>
      <c r="G1516" t="s">
        <v>16</v>
      </c>
    </row>
    <row r="1517" spans="1:7">
      <c r="A1517" s="1">
        <f>HYPERLINK("https://cms.ls-nyc.org/matter/dynamic-profile/view/1893387","19-1893387")</f>
        <v>0</v>
      </c>
      <c r="B1517" t="s">
        <v>9</v>
      </c>
      <c r="F1517" t="s">
        <v>15</v>
      </c>
      <c r="G1517" t="s">
        <v>17</v>
      </c>
    </row>
    <row r="1518" spans="1:7">
      <c r="A1518" s="1">
        <f>HYPERLINK("https://cms.ls-nyc.org/matter/dynamic-profile/view/1878913","18-1878913")</f>
        <v>0</v>
      </c>
      <c r="B1518" t="s">
        <v>11</v>
      </c>
      <c r="G1518" t="s">
        <v>16</v>
      </c>
    </row>
    <row r="1519" spans="1:7">
      <c r="A1519" s="1">
        <f>HYPERLINK("https://cms.ls-nyc.org/matter/dynamic-profile/view/1895732","19-1895732")</f>
        <v>0</v>
      </c>
      <c r="B1519" t="s">
        <v>11</v>
      </c>
      <c r="G1519" t="s">
        <v>16</v>
      </c>
    </row>
    <row r="1520" spans="1:7">
      <c r="A1520" s="1">
        <f>HYPERLINK("https://cms.ls-nyc.org/matter/dynamic-profile/view/1897175","19-1897175")</f>
        <v>0</v>
      </c>
      <c r="B1520" t="s">
        <v>8</v>
      </c>
      <c r="E1520" t="s">
        <v>14</v>
      </c>
      <c r="F1520" t="s">
        <v>15</v>
      </c>
      <c r="G1520" t="s">
        <v>17</v>
      </c>
    </row>
    <row r="1521" spans="1:7">
      <c r="A1521" s="1">
        <f>HYPERLINK("https://cms.ls-nyc.org/matter/dynamic-profile/view/1897179","19-1897179")</f>
        <v>0</v>
      </c>
      <c r="B1521" t="s">
        <v>8</v>
      </c>
      <c r="E1521" t="s">
        <v>14</v>
      </c>
      <c r="F1521" t="s">
        <v>15</v>
      </c>
      <c r="G1521" t="s">
        <v>17</v>
      </c>
    </row>
    <row r="1522" spans="1:7">
      <c r="A1522" s="1">
        <f>HYPERLINK("https://cms.ls-nyc.org/matter/dynamic-profile/view/1882730","18-1882730")</f>
        <v>0</v>
      </c>
      <c r="B1522" t="s">
        <v>11</v>
      </c>
      <c r="G1522" t="s">
        <v>16</v>
      </c>
    </row>
    <row r="1523" spans="1:7">
      <c r="A1523" s="1">
        <f>HYPERLINK("https://cms.ls-nyc.org/matter/dynamic-profile/view/1892359","19-1892359")</f>
        <v>0</v>
      </c>
      <c r="B1523" t="s">
        <v>8</v>
      </c>
      <c r="G1523" t="s">
        <v>16</v>
      </c>
    </row>
    <row r="1524" spans="1:7">
      <c r="A1524" s="1">
        <f>HYPERLINK("https://cms.ls-nyc.org/matter/dynamic-profile/view/1873770","18-1873770")</f>
        <v>0</v>
      </c>
      <c r="B1524" t="s">
        <v>7</v>
      </c>
      <c r="G1524" t="s">
        <v>16</v>
      </c>
    </row>
    <row r="1525" spans="1:7">
      <c r="A1525" s="1">
        <f>HYPERLINK("https://cms.ls-nyc.org/matter/dynamic-profile/view/1871791","18-1871791")</f>
        <v>0</v>
      </c>
      <c r="B1525" t="s">
        <v>8</v>
      </c>
      <c r="G1525" t="s">
        <v>16</v>
      </c>
    </row>
    <row r="1526" spans="1:7">
      <c r="A1526" s="1">
        <f>HYPERLINK("https://cms.ls-nyc.org/matter/dynamic-profile/view/1878325","18-1878325")</f>
        <v>0</v>
      </c>
      <c r="B1526" t="s">
        <v>11</v>
      </c>
      <c r="E1526" t="s">
        <v>14</v>
      </c>
      <c r="F1526" t="s">
        <v>15</v>
      </c>
      <c r="G1526" t="s">
        <v>17</v>
      </c>
    </row>
    <row r="1527" spans="1:7">
      <c r="A1527" s="1">
        <f>HYPERLINK("https://cms.ls-nyc.org/matter/dynamic-profile/view/1882776","18-1882776")</f>
        <v>0</v>
      </c>
      <c r="B1527" t="s">
        <v>11</v>
      </c>
      <c r="G1527" t="s">
        <v>16</v>
      </c>
    </row>
    <row r="1528" spans="1:7">
      <c r="A1528" s="1">
        <f>HYPERLINK("https://cms.ls-nyc.org/matter/dynamic-profile/view/1886645","18-1886645")</f>
        <v>0</v>
      </c>
      <c r="B1528" t="s">
        <v>8</v>
      </c>
      <c r="G1528" t="s">
        <v>16</v>
      </c>
    </row>
    <row r="1529" spans="1:7">
      <c r="A1529" s="1">
        <f>HYPERLINK("https://cms.ls-nyc.org/matter/dynamic-profile/view/1893083","19-1893083")</f>
        <v>0</v>
      </c>
      <c r="B1529" t="s">
        <v>9</v>
      </c>
      <c r="G1529" t="s">
        <v>16</v>
      </c>
    </row>
    <row r="1530" spans="1:7">
      <c r="A1530" s="1">
        <f>HYPERLINK("https://cms.ls-nyc.org/matter/dynamic-profile/view/1876348","18-1876348")</f>
        <v>0</v>
      </c>
      <c r="B1530" t="s">
        <v>11</v>
      </c>
      <c r="G1530" t="s">
        <v>16</v>
      </c>
    </row>
    <row r="1531" spans="1:7">
      <c r="A1531" s="1">
        <f>HYPERLINK("https://cms.ls-nyc.org/matter/dynamic-profile/view/1877040","18-1877040")</f>
        <v>0</v>
      </c>
      <c r="B1531" t="s">
        <v>7</v>
      </c>
      <c r="F1531" t="s">
        <v>15</v>
      </c>
      <c r="G1531" t="s">
        <v>17</v>
      </c>
    </row>
    <row r="1532" spans="1:7">
      <c r="A1532" s="1">
        <f>HYPERLINK("https://cms.ls-nyc.org/matter/dynamic-profile/view/1897089","19-1897089")</f>
        <v>0</v>
      </c>
      <c r="B1532" t="s">
        <v>9</v>
      </c>
      <c r="G1532" t="s">
        <v>16</v>
      </c>
    </row>
    <row r="1533" spans="1:7">
      <c r="A1533" s="1">
        <f>HYPERLINK("https://cms.ls-nyc.org/matter/dynamic-profile/view/1888809","19-1888809")</f>
        <v>0</v>
      </c>
      <c r="B1533" t="s">
        <v>8</v>
      </c>
      <c r="G1533" t="s">
        <v>16</v>
      </c>
    </row>
    <row r="1534" spans="1:7">
      <c r="A1534" s="1">
        <f>HYPERLINK("https://cms.ls-nyc.org/matter/dynamic-profile/view/1901098","19-1901098")</f>
        <v>0</v>
      </c>
      <c r="B1534" t="s">
        <v>8</v>
      </c>
      <c r="G1534" t="s">
        <v>16</v>
      </c>
    </row>
    <row r="1535" spans="1:7">
      <c r="A1535" s="1">
        <f>HYPERLINK("https://cms.ls-nyc.org/matter/dynamic-profile/view/1863308","18-1863308")</f>
        <v>0</v>
      </c>
      <c r="B1535" t="s">
        <v>8</v>
      </c>
      <c r="G1535" t="s">
        <v>16</v>
      </c>
    </row>
    <row r="1536" spans="1:7">
      <c r="A1536" s="1">
        <f>HYPERLINK("https://cms.ls-nyc.org/matter/dynamic-profile/view/1871674","18-1871674")</f>
        <v>0</v>
      </c>
      <c r="B1536" t="s">
        <v>8</v>
      </c>
      <c r="G1536" t="s">
        <v>16</v>
      </c>
    </row>
    <row r="1537" spans="1:7">
      <c r="A1537" s="1">
        <f>HYPERLINK("https://cms.ls-nyc.org/matter/dynamic-profile/view/1880650","18-1880650")</f>
        <v>0</v>
      </c>
      <c r="B1537" t="s">
        <v>7</v>
      </c>
      <c r="G1537" t="s">
        <v>16</v>
      </c>
    </row>
    <row r="1538" spans="1:7">
      <c r="A1538" s="1">
        <f>HYPERLINK("https://cms.ls-nyc.org/matter/dynamic-profile/view/1866864","18-1866864")</f>
        <v>0</v>
      </c>
      <c r="B1538" t="s">
        <v>8</v>
      </c>
      <c r="E1538" t="s">
        <v>14</v>
      </c>
      <c r="G1538" t="s">
        <v>17</v>
      </c>
    </row>
    <row r="1539" spans="1:7">
      <c r="A1539" s="1">
        <f>HYPERLINK("https://cms.ls-nyc.org/matter/dynamic-profile/view/1882560","18-1882560")</f>
        <v>0</v>
      </c>
      <c r="B1539" t="s">
        <v>9</v>
      </c>
      <c r="G1539" t="s">
        <v>16</v>
      </c>
    </row>
    <row r="1540" spans="1:7">
      <c r="A1540" s="1">
        <f>HYPERLINK("https://cms.ls-nyc.org/matter/dynamic-profile/view/1873531","18-1873531")</f>
        <v>0</v>
      </c>
      <c r="B1540" t="s">
        <v>9</v>
      </c>
      <c r="G1540" t="s">
        <v>16</v>
      </c>
    </row>
    <row r="1541" spans="1:7">
      <c r="A1541" s="1">
        <f>HYPERLINK("https://cms.ls-nyc.org/matter/dynamic-profile/view/1878299","18-1878299")</f>
        <v>0</v>
      </c>
      <c r="B1541" t="s">
        <v>11</v>
      </c>
      <c r="G1541" t="s">
        <v>16</v>
      </c>
    </row>
    <row r="1542" spans="1:7">
      <c r="A1542" s="1">
        <f>HYPERLINK("https://cms.ls-nyc.org/matter/dynamic-profile/view/1872232","18-1872232")</f>
        <v>0</v>
      </c>
      <c r="B1542" t="s">
        <v>9</v>
      </c>
      <c r="G1542" t="s">
        <v>16</v>
      </c>
    </row>
    <row r="1543" spans="1:7">
      <c r="A1543" s="1">
        <f>HYPERLINK("https://cms.ls-nyc.org/matter/dynamic-profile/view/1878888","18-1878888")</f>
        <v>0</v>
      </c>
      <c r="B1543" t="s">
        <v>11</v>
      </c>
      <c r="G1543" t="s">
        <v>16</v>
      </c>
    </row>
    <row r="1544" spans="1:7">
      <c r="A1544" s="1">
        <f>HYPERLINK("https://cms.ls-nyc.org/matter/dynamic-profile/view/1896576","19-1896576")</f>
        <v>0</v>
      </c>
      <c r="B1544" t="s">
        <v>7</v>
      </c>
      <c r="G1544" t="s">
        <v>16</v>
      </c>
    </row>
    <row r="1545" spans="1:7">
      <c r="A1545" s="1">
        <f>HYPERLINK("https://cms.ls-nyc.org/matter/dynamic-profile/view/1892650","19-1892650")</f>
        <v>0</v>
      </c>
      <c r="B1545" t="s">
        <v>8</v>
      </c>
      <c r="E1545" t="s">
        <v>14</v>
      </c>
      <c r="F1545" t="s">
        <v>15</v>
      </c>
      <c r="G1545" t="s">
        <v>17</v>
      </c>
    </row>
    <row r="1546" spans="1:7">
      <c r="A1546" s="1">
        <f>HYPERLINK("https://cms.ls-nyc.org/matter/dynamic-profile/view/1892653","19-1892653")</f>
        <v>0</v>
      </c>
      <c r="B1546" t="s">
        <v>8</v>
      </c>
      <c r="E1546" t="s">
        <v>14</v>
      </c>
      <c r="F1546" t="s">
        <v>15</v>
      </c>
      <c r="G1546" t="s">
        <v>17</v>
      </c>
    </row>
    <row r="1547" spans="1:7">
      <c r="A1547" s="1">
        <f>HYPERLINK("https://cms.ls-nyc.org/matter/dynamic-profile/view/1900058","19-1900058")</f>
        <v>0</v>
      </c>
      <c r="B1547" t="s">
        <v>7</v>
      </c>
      <c r="E1547" t="s">
        <v>14</v>
      </c>
      <c r="G1547" t="s">
        <v>17</v>
      </c>
    </row>
    <row r="1548" spans="1:7">
      <c r="A1548" s="1">
        <f>HYPERLINK("https://cms.ls-nyc.org/matter/dynamic-profile/view/1898437","19-1898437")</f>
        <v>0</v>
      </c>
      <c r="B1548" t="s">
        <v>11</v>
      </c>
      <c r="G1548" t="s">
        <v>16</v>
      </c>
    </row>
    <row r="1549" spans="1:7">
      <c r="A1549" s="1">
        <f>HYPERLINK("https://cms.ls-nyc.org/matter/dynamic-profile/view/1888671","19-1888671")</f>
        <v>0</v>
      </c>
      <c r="B1549" t="s">
        <v>7</v>
      </c>
      <c r="G1549" t="s">
        <v>16</v>
      </c>
    </row>
    <row r="1550" spans="1:7">
      <c r="A1550" s="1">
        <f>HYPERLINK("https://cms.ls-nyc.org/matter/dynamic-profile/view/1881903","18-1881903")</f>
        <v>0</v>
      </c>
      <c r="B1550" t="s">
        <v>7</v>
      </c>
      <c r="F1550" t="s">
        <v>15</v>
      </c>
      <c r="G1550" t="s">
        <v>17</v>
      </c>
    </row>
    <row r="1551" spans="1:7">
      <c r="A1551" s="1">
        <f>HYPERLINK("https://cms.ls-nyc.org/matter/dynamic-profile/view/1901128","19-1901128")</f>
        <v>0</v>
      </c>
      <c r="B1551" t="s">
        <v>8</v>
      </c>
      <c r="G1551" t="s">
        <v>16</v>
      </c>
    </row>
    <row r="1552" spans="1:7">
      <c r="A1552" s="1">
        <f>HYPERLINK("https://cms.ls-nyc.org/matter/dynamic-profile/view/1887689","19-1887689")</f>
        <v>0</v>
      </c>
      <c r="B1552" t="s">
        <v>9</v>
      </c>
      <c r="G1552" t="s">
        <v>16</v>
      </c>
    </row>
    <row r="1553" spans="1:7">
      <c r="A1553" s="1">
        <f>HYPERLINK("https://cms.ls-nyc.org/matter/dynamic-profile/view/1876936","18-1876936")</f>
        <v>0</v>
      </c>
      <c r="B1553" t="s">
        <v>11</v>
      </c>
      <c r="G1553" t="s">
        <v>16</v>
      </c>
    </row>
    <row r="1554" spans="1:7">
      <c r="A1554" s="1">
        <f>HYPERLINK("https://cms.ls-nyc.org/matter/dynamic-profile/view/1877463","18-1877463")</f>
        <v>0</v>
      </c>
      <c r="B1554" t="s">
        <v>7</v>
      </c>
      <c r="G1554" t="s">
        <v>16</v>
      </c>
    </row>
    <row r="1555" spans="1:7">
      <c r="A1555" s="1">
        <f>HYPERLINK("https://cms.ls-nyc.org/matter/dynamic-profile/view/1892335","19-1892335")</f>
        <v>0</v>
      </c>
      <c r="B1555" t="s">
        <v>11</v>
      </c>
      <c r="G1555" t="s">
        <v>16</v>
      </c>
    </row>
    <row r="1556" spans="1:7">
      <c r="A1556" s="1">
        <f>HYPERLINK("https://cms.ls-nyc.org/matter/dynamic-profile/view/1877829","18-1877829")</f>
        <v>0</v>
      </c>
      <c r="B1556" t="s">
        <v>8</v>
      </c>
      <c r="G1556" t="s">
        <v>16</v>
      </c>
    </row>
    <row r="1557" spans="1:7">
      <c r="A1557" s="1">
        <f>HYPERLINK("https://cms.ls-nyc.org/matter/dynamic-profile/view/1872141","18-1872141")</f>
        <v>0</v>
      </c>
      <c r="B1557" t="s">
        <v>9</v>
      </c>
      <c r="G1557" t="s">
        <v>16</v>
      </c>
    </row>
    <row r="1558" spans="1:7">
      <c r="A1558" s="1">
        <f>HYPERLINK("https://cms.ls-nyc.org/matter/dynamic-profile/view/1896135","19-1896135")</f>
        <v>0</v>
      </c>
      <c r="B1558" t="s">
        <v>9</v>
      </c>
      <c r="G1558" t="s">
        <v>16</v>
      </c>
    </row>
    <row r="1559" spans="1:7">
      <c r="A1559" s="1">
        <f>HYPERLINK("https://cms.ls-nyc.org/matter/dynamic-profile/view/1879538","18-1879538")</f>
        <v>0</v>
      </c>
      <c r="B1559" t="s">
        <v>7</v>
      </c>
      <c r="G1559" t="s">
        <v>16</v>
      </c>
    </row>
    <row r="1560" spans="1:7">
      <c r="A1560" s="1">
        <f>HYPERLINK("https://cms.ls-nyc.org/matter/dynamic-profile/view/1895822","19-1895822")</f>
        <v>0</v>
      </c>
      <c r="B1560" t="s">
        <v>7</v>
      </c>
      <c r="G1560" t="s">
        <v>16</v>
      </c>
    </row>
    <row r="1561" spans="1:7">
      <c r="A1561" s="1">
        <f>HYPERLINK("https://cms.ls-nyc.org/matter/dynamic-profile/view/1895829","19-1895829")</f>
        <v>0</v>
      </c>
      <c r="B1561" t="s">
        <v>7</v>
      </c>
      <c r="G1561" t="s">
        <v>16</v>
      </c>
    </row>
    <row r="1562" spans="1:7">
      <c r="A1562" s="1">
        <f>HYPERLINK("https://cms.ls-nyc.org/matter/dynamic-profile/view/1875532","18-1875532")</f>
        <v>0</v>
      </c>
      <c r="B1562" t="s">
        <v>9</v>
      </c>
      <c r="G1562" t="s">
        <v>16</v>
      </c>
    </row>
    <row r="1563" spans="1:7">
      <c r="A1563" s="1">
        <f>HYPERLINK("https://cms.ls-nyc.org/matter/dynamic-profile/view/1885182","18-1885182")</f>
        <v>0</v>
      </c>
      <c r="B1563" t="s">
        <v>11</v>
      </c>
      <c r="G1563" t="s">
        <v>16</v>
      </c>
    </row>
    <row r="1564" spans="1:7">
      <c r="A1564" s="1">
        <f>HYPERLINK("https://cms.ls-nyc.org/matter/dynamic-profile/view/1880140","18-1880140")</f>
        <v>0</v>
      </c>
      <c r="B1564" t="s">
        <v>7</v>
      </c>
      <c r="G1564" t="s">
        <v>16</v>
      </c>
    </row>
    <row r="1565" spans="1:7">
      <c r="A1565" s="1">
        <f>HYPERLINK("https://cms.ls-nyc.org/matter/dynamic-profile/view/1887131","19-1887131")</f>
        <v>0</v>
      </c>
      <c r="B1565" t="s">
        <v>7</v>
      </c>
      <c r="F1565" t="s">
        <v>15</v>
      </c>
      <c r="G1565" t="s">
        <v>17</v>
      </c>
    </row>
    <row r="1566" spans="1:7">
      <c r="A1566" s="1">
        <f>HYPERLINK("https://cms.ls-nyc.org/matter/dynamic-profile/view/1885600","18-1885600")</f>
        <v>0</v>
      </c>
      <c r="B1566" t="s">
        <v>7</v>
      </c>
      <c r="G1566" t="s">
        <v>16</v>
      </c>
    </row>
    <row r="1567" spans="1:7">
      <c r="A1567" s="1">
        <f>HYPERLINK("https://cms.ls-nyc.org/matter/dynamic-profile/view/1885580","18-1885580")</f>
        <v>0</v>
      </c>
      <c r="B1567" t="s">
        <v>9</v>
      </c>
      <c r="F1567" t="s">
        <v>15</v>
      </c>
      <c r="G1567" t="s">
        <v>17</v>
      </c>
    </row>
    <row r="1568" spans="1:7">
      <c r="A1568" s="1">
        <f>HYPERLINK("https://cms.ls-nyc.org/matter/dynamic-profile/view/1888008","19-1888008")</f>
        <v>0</v>
      </c>
      <c r="B1568" t="s">
        <v>8</v>
      </c>
      <c r="G1568" t="s">
        <v>16</v>
      </c>
    </row>
    <row r="1569" spans="1:7">
      <c r="A1569" s="1">
        <f>HYPERLINK("https://cms.ls-nyc.org/matter/dynamic-profile/view/1871273","18-1871273")</f>
        <v>0</v>
      </c>
      <c r="B1569" t="s">
        <v>10</v>
      </c>
      <c r="G1569" t="s">
        <v>16</v>
      </c>
    </row>
    <row r="1570" spans="1:7">
      <c r="A1570" s="1">
        <f>HYPERLINK("https://cms.ls-nyc.org/matter/dynamic-profile/view/1889519","19-1889519")</f>
        <v>0</v>
      </c>
      <c r="B1570" t="s">
        <v>9</v>
      </c>
      <c r="G1570" t="s">
        <v>16</v>
      </c>
    </row>
    <row r="1571" spans="1:7">
      <c r="A1571" s="1">
        <f>HYPERLINK("https://cms.ls-nyc.org/matter/dynamic-profile/view/1878613","18-1878613")</f>
        <v>0</v>
      </c>
      <c r="B1571" t="s">
        <v>11</v>
      </c>
      <c r="G1571" t="s">
        <v>16</v>
      </c>
    </row>
    <row r="1572" spans="1:7">
      <c r="A1572" s="1">
        <f>HYPERLINK("https://cms.ls-nyc.org/matter/dynamic-profile/view/1881892","18-1881892")</f>
        <v>0</v>
      </c>
      <c r="B1572" t="s">
        <v>8</v>
      </c>
      <c r="G1572" t="s">
        <v>16</v>
      </c>
    </row>
    <row r="1573" spans="1:7">
      <c r="A1573" s="1">
        <f>HYPERLINK("https://cms.ls-nyc.org/matter/dynamic-profile/view/1884534","18-1884534")</f>
        <v>0</v>
      </c>
      <c r="B1573" t="s">
        <v>9</v>
      </c>
      <c r="G1573" t="s">
        <v>16</v>
      </c>
    </row>
    <row r="1574" spans="1:7">
      <c r="A1574" s="1">
        <f>HYPERLINK("https://cms.ls-nyc.org/matter/dynamic-profile/view/1899978","19-1899978")</f>
        <v>0</v>
      </c>
      <c r="B1574" t="s">
        <v>8</v>
      </c>
      <c r="C1574" t="s">
        <v>12</v>
      </c>
      <c r="E1574" t="s">
        <v>14</v>
      </c>
      <c r="G1574" t="s">
        <v>17</v>
      </c>
    </row>
    <row r="1575" spans="1:7">
      <c r="A1575" s="1">
        <f>HYPERLINK("https://cms.ls-nyc.org/matter/dynamic-profile/view/1898553","19-1898553")</f>
        <v>0</v>
      </c>
      <c r="B1575" t="s">
        <v>9</v>
      </c>
      <c r="G1575" t="s">
        <v>16</v>
      </c>
    </row>
    <row r="1576" spans="1:7">
      <c r="A1576" s="1">
        <f>HYPERLINK("https://cms.ls-nyc.org/matter/dynamic-profile/view/1891535","19-1891535")</f>
        <v>0</v>
      </c>
      <c r="B1576" t="s">
        <v>11</v>
      </c>
      <c r="G1576" t="s">
        <v>16</v>
      </c>
    </row>
    <row r="1577" spans="1:7">
      <c r="A1577" s="1">
        <f>HYPERLINK("https://cms.ls-nyc.org/matter/dynamic-profile/view/1885539","18-1885539")</f>
        <v>0</v>
      </c>
      <c r="B1577" t="s">
        <v>9</v>
      </c>
      <c r="G1577" t="s">
        <v>16</v>
      </c>
    </row>
    <row r="1578" spans="1:7">
      <c r="A1578" s="1">
        <f>HYPERLINK("https://cms.ls-nyc.org/matter/dynamic-profile/view/1884518","18-1884518")</f>
        <v>0</v>
      </c>
      <c r="B1578" t="s">
        <v>8</v>
      </c>
      <c r="E1578" t="s">
        <v>14</v>
      </c>
      <c r="G1578" t="s">
        <v>17</v>
      </c>
    </row>
    <row r="1579" spans="1:7">
      <c r="A1579" s="1">
        <f>HYPERLINK("https://cms.ls-nyc.org/matter/dynamic-profile/view/1896712","19-1896712")</f>
        <v>0</v>
      </c>
      <c r="B1579" t="s">
        <v>8</v>
      </c>
      <c r="G1579" t="s">
        <v>16</v>
      </c>
    </row>
    <row r="1580" spans="1:7">
      <c r="A1580" s="1">
        <f>HYPERLINK("https://cms.ls-nyc.org/matter/dynamic-profile/view/1899153","19-1899153")</f>
        <v>0</v>
      </c>
      <c r="B1580" t="s">
        <v>9</v>
      </c>
      <c r="F1580" t="s">
        <v>15</v>
      </c>
      <c r="G1580" t="s">
        <v>17</v>
      </c>
    </row>
    <row r="1581" spans="1:7">
      <c r="A1581" s="1">
        <f>HYPERLINK("https://cms.ls-nyc.org/matter/dynamic-profile/view/1880842","18-1880842")</f>
        <v>0</v>
      </c>
      <c r="B1581" t="s">
        <v>11</v>
      </c>
      <c r="G1581" t="s">
        <v>16</v>
      </c>
    </row>
    <row r="1582" spans="1:7">
      <c r="A1582" s="1">
        <f>HYPERLINK("https://cms.ls-nyc.org/matter/dynamic-profile/view/1893189","19-1893189")</f>
        <v>0</v>
      </c>
      <c r="B1582" t="s">
        <v>8</v>
      </c>
      <c r="C1582" t="s">
        <v>12</v>
      </c>
      <c r="G1582" t="s">
        <v>17</v>
      </c>
    </row>
    <row r="1583" spans="1:7">
      <c r="A1583" s="1">
        <f>HYPERLINK("https://cms.ls-nyc.org/matter/dynamic-profile/view/1876957","18-1876957")</f>
        <v>0</v>
      </c>
      <c r="B1583" t="s">
        <v>9</v>
      </c>
      <c r="G1583" t="s">
        <v>16</v>
      </c>
    </row>
    <row r="1584" spans="1:7">
      <c r="A1584" s="1">
        <f>HYPERLINK("https://cms.ls-nyc.org/matter/dynamic-profile/view/1886692","18-1886692")</f>
        <v>0</v>
      </c>
      <c r="B1584" t="s">
        <v>11</v>
      </c>
      <c r="G1584" t="s">
        <v>16</v>
      </c>
    </row>
    <row r="1585" spans="1:7">
      <c r="A1585" s="1">
        <f>HYPERLINK("https://cms.ls-nyc.org/matter/dynamic-profile/view/1898128","19-1898128")</f>
        <v>0</v>
      </c>
      <c r="B1585" t="s">
        <v>9</v>
      </c>
      <c r="G1585" t="s">
        <v>16</v>
      </c>
    </row>
    <row r="1586" spans="1:7">
      <c r="A1586" s="1">
        <f>HYPERLINK("https://cms.ls-nyc.org/matter/dynamic-profile/view/1874063","18-1874063")</f>
        <v>0</v>
      </c>
      <c r="B1586" t="s">
        <v>11</v>
      </c>
      <c r="G1586" t="s">
        <v>16</v>
      </c>
    </row>
    <row r="1587" spans="1:7">
      <c r="A1587" s="1">
        <f>HYPERLINK("https://cms.ls-nyc.org/matter/dynamic-profile/view/1873500","18-1873500")</f>
        <v>0</v>
      </c>
      <c r="B1587" t="s">
        <v>11</v>
      </c>
      <c r="G1587" t="s">
        <v>16</v>
      </c>
    </row>
    <row r="1588" spans="1:7">
      <c r="A1588" s="1">
        <f>HYPERLINK("https://cms.ls-nyc.org/matter/dynamic-profile/view/1898442","19-1898442")</f>
        <v>0</v>
      </c>
      <c r="B1588" t="s">
        <v>11</v>
      </c>
      <c r="G1588" t="s">
        <v>16</v>
      </c>
    </row>
    <row r="1589" spans="1:7">
      <c r="A1589" s="1">
        <f>HYPERLINK("https://cms.ls-nyc.org/matter/dynamic-profile/view/1897584","19-1897584")</f>
        <v>0</v>
      </c>
      <c r="B1589" t="s">
        <v>11</v>
      </c>
      <c r="F1589" t="s">
        <v>15</v>
      </c>
      <c r="G1589" t="s">
        <v>17</v>
      </c>
    </row>
    <row r="1590" spans="1:7">
      <c r="A1590" s="1">
        <f>HYPERLINK("https://cms.ls-nyc.org/matter/dynamic-profile/view/1900594","19-1900594")</f>
        <v>0</v>
      </c>
      <c r="B1590" t="s">
        <v>7</v>
      </c>
      <c r="G1590" t="s">
        <v>16</v>
      </c>
    </row>
    <row r="1591" spans="1:7">
      <c r="A1591" s="1">
        <f>HYPERLINK("https://cms.ls-nyc.org/matter/dynamic-profile/view/1897843","19-1897843")</f>
        <v>0</v>
      </c>
      <c r="B1591" t="s">
        <v>8</v>
      </c>
      <c r="E1591" t="s">
        <v>14</v>
      </c>
      <c r="F1591" t="s">
        <v>15</v>
      </c>
      <c r="G1591" t="s">
        <v>17</v>
      </c>
    </row>
    <row r="1592" spans="1:7">
      <c r="A1592" s="1">
        <f>HYPERLINK("https://cms.ls-nyc.org/matter/dynamic-profile/view/1897985","19-1897985")</f>
        <v>0</v>
      </c>
      <c r="B1592" t="s">
        <v>8</v>
      </c>
      <c r="E1592" t="s">
        <v>14</v>
      </c>
      <c r="F1592" t="s">
        <v>15</v>
      </c>
      <c r="G1592" t="s">
        <v>17</v>
      </c>
    </row>
    <row r="1593" spans="1:7">
      <c r="A1593" s="1">
        <f>HYPERLINK("https://cms.ls-nyc.org/matter/dynamic-profile/view/1890460","19-1890460")</f>
        <v>0</v>
      </c>
      <c r="B1593" t="s">
        <v>9</v>
      </c>
      <c r="F1593" t="s">
        <v>15</v>
      </c>
      <c r="G1593" t="s">
        <v>17</v>
      </c>
    </row>
    <row r="1594" spans="1:7">
      <c r="A1594" s="1">
        <f>HYPERLINK("https://cms.ls-nyc.org/matter/dynamic-profile/view/1892604","19-1892604")</f>
        <v>0</v>
      </c>
      <c r="B1594" t="s">
        <v>9</v>
      </c>
      <c r="F1594" t="s">
        <v>15</v>
      </c>
      <c r="G1594" t="s">
        <v>17</v>
      </c>
    </row>
    <row r="1595" spans="1:7">
      <c r="A1595" s="1">
        <f>HYPERLINK("https://cms.ls-nyc.org/matter/dynamic-profile/view/1892594","19-1892594")</f>
        <v>0</v>
      </c>
      <c r="B1595" t="s">
        <v>9</v>
      </c>
      <c r="F1595" t="s">
        <v>15</v>
      </c>
      <c r="G1595" t="s">
        <v>17</v>
      </c>
    </row>
    <row r="1596" spans="1:7">
      <c r="A1596" s="1">
        <f>HYPERLINK("https://cms.ls-nyc.org/matter/dynamic-profile/view/1877117","18-1877117")</f>
        <v>0</v>
      </c>
      <c r="B1596" t="s">
        <v>10</v>
      </c>
      <c r="G1596" t="s">
        <v>16</v>
      </c>
    </row>
    <row r="1597" spans="1:7">
      <c r="A1597" s="1">
        <f>HYPERLINK("https://cms.ls-nyc.org/matter/dynamic-profile/view/1886842","19-1886842")</f>
        <v>0</v>
      </c>
      <c r="B1597" t="s">
        <v>8</v>
      </c>
      <c r="G1597" t="s">
        <v>16</v>
      </c>
    </row>
    <row r="1598" spans="1:7">
      <c r="A1598" s="1">
        <f>HYPERLINK("https://cms.ls-nyc.org/matter/dynamic-profile/view/1887081","19-1887081")</f>
        <v>0</v>
      </c>
      <c r="B1598" t="s">
        <v>8</v>
      </c>
      <c r="G1598" t="s">
        <v>16</v>
      </c>
    </row>
    <row r="1599" spans="1:7">
      <c r="A1599" s="1">
        <f>HYPERLINK("https://cms.ls-nyc.org/matter/dynamic-profile/view/1887074","19-1887074")</f>
        <v>0</v>
      </c>
      <c r="B1599" t="s">
        <v>8</v>
      </c>
      <c r="G1599" t="s">
        <v>16</v>
      </c>
    </row>
    <row r="1600" spans="1:7">
      <c r="A1600" s="1">
        <f>HYPERLINK("https://cms.ls-nyc.org/matter/dynamic-profile/view/1873030","18-1873030")</f>
        <v>0</v>
      </c>
      <c r="B1600" t="s">
        <v>8</v>
      </c>
      <c r="G1600" t="s">
        <v>16</v>
      </c>
    </row>
    <row r="1601" spans="1:7">
      <c r="A1601" s="1">
        <f>HYPERLINK("https://cms.ls-nyc.org/matter/dynamic-profile/view/1883813","18-1883813")</f>
        <v>0</v>
      </c>
      <c r="B1601" t="s">
        <v>8</v>
      </c>
      <c r="C1601" t="s">
        <v>12</v>
      </c>
      <c r="E1601" t="s">
        <v>14</v>
      </c>
      <c r="G1601" t="s">
        <v>17</v>
      </c>
    </row>
    <row r="1602" spans="1:7">
      <c r="A1602" s="1">
        <f>HYPERLINK("https://cms.ls-nyc.org/matter/dynamic-profile/view/1887235","19-1887235")</f>
        <v>0</v>
      </c>
      <c r="B1602" t="s">
        <v>8</v>
      </c>
      <c r="C1602" t="s">
        <v>12</v>
      </c>
      <c r="E1602" t="s">
        <v>14</v>
      </c>
      <c r="G1602" t="s">
        <v>17</v>
      </c>
    </row>
    <row r="1603" spans="1:7">
      <c r="A1603" s="1">
        <f>HYPERLINK("https://cms.ls-nyc.org/matter/dynamic-profile/view/1894701","19-1894701")</f>
        <v>0</v>
      </c>
      <c r="B1603" t="s">
        <v>7</v>
      </c>
      <c r="G1603" t="s">
        <v>16</v>
      </c>
    </row>
    <row r="1604" spans="1:7">
      <c r="A1604" s="1">
        <f>HYPERLINK("https://cms.ls-nyc.org/matter/dynamic-profile/view/1885749","18-1885749")</f>
        <v>0</v>
      </c>
      <c r="B1604" t="s">
        <v>9</v>
      </c>
      <c r="G1604" t="s">
        <v>16</v>
      </c>
    </row>
    <row r="1605" spans="1:7">
      <c r="A1605" s="1">
        <f>HYPERLINK("https://cms.ls-nyc.org/matter/dynamic-profile/view/1882714","18-1882714")</f>
        <v>0</v>
      </c>
      <c r="B1605" t="s">
        <v>9</v>
      </c>
      <c r="G1605" t="s">
        <v>16</v>
      </c>
    </row>
    <row r="1606" spans="1:7">
      <c r="A1606" s="1">
        <f>HYPERLINK("https://cms.ls-nyc.org/matter/dynamic-profile/view/1882709","18-1882709")</f>
        <v>0</v>
      </c>
      <c r="B1606" t="s">
        <v>9</v>
      </c>
      <c r="G1606" t="s">
        <v>16</v>
      </c>
    </row>
    <row r="1607" spans="1:7">
      <c r="A1607" s="1">
        <f>HYPERLINK("https://cms.ls-nyc.org/matter/dynamic-profile/view/1884207","18-1884207")</f>
        <v>0</v>
      </c>
      <c r="B1607" t="s">
        <v>8</v>
      </c>
      <c r="G1607" t="s">
        <v>16</v>
      </c>
    </row>
    <row r="1608" spans="1:7">
      <c r="A1608" s="1">
        <f>HYPERLINK("https://cms.ls-nyc.org/matter/dynamic-profile/view/1881908","18-1881908")</f>
        <v>0</v>
      </c>
      <c r="B1608" t="s">
        <v>8</v>
      </c>
      <c r="G1608" t="s">
        <v>16</v>
      </c>
    </row>
    <row r="1609" spans="1:7">
      <c r="A1609" s="1">
        <f>HYPERLINK("https://cms.ls-nyc.org/matter/dynamic-profile/view/1885581","18-1885581")</f>
        <v>0</v>
      </c>
      <c r="B1609" t="s">
        <v>9</v>
      </c>
      <c r="G1609" t="s">
        <v>16</v>
      </c>
    </row>
    <row r="1610" spans="1:7">
      <c r="A1610" s="1">
        <f>HYPERLINK("https://cms.ls-nyc.org/matter/dynamic-profile/view/1886091","18-1886091")</f>
        <v>0</v>
      </c>
      <c r="B1610" t="s">
        <v>11</v>
      </c>
      <c r="G1610" t="s">
        <v>16</v>
      </c>
    </row>
    <row r="1611" spans="1:7">
      <c r="A1611" s="1">
        <f>HYPERLINK("https://cms.ls-nyc.org/matter/dynamic-profile/view/1874297","18-1874297")</f>
        <v>0</v>
      </c>
      <c r="B1611" t="s">
        <v>11</v>
      </c>
      <c r="G1611" t="s">
        <v>16</v>
      </c>
    </row>
    <row r="1612" spans="1:7">
      <c r="A1612" s="1">
        <f>HYPERLINK("https://cms.ls-nyc.org/matter/dynamic-profile/view/1875266","18-1875266")</f>
        <v>0</v>
      </c>
      <c r="B1612" t="s">
        <v>11</v>
      </c>
      <c r="G1612" t="s">
        <v>16</v>
      </c>
    </row>
    <row r="1613" spans="1:7">
      <c r="A1613" s="1">
        <f>HYPERLINK("https://cms.ls-nyc.org/matter/dynamic-profile/view/1874710","18-1874710")</f>
        <v>0</v>
      </c>
      <c r="B1613" t="s">
        <v>11</v>
      </c>
      <c r="G1613" t="s">
        <v>16</v>
      </c>
    </row>
    <row r="1614" spans="1:7">
      <c r="A1614" s="1">
        <f>HYPERLINK("https://cms.ls-nyc.org/matter/dynamic-profile/view/1880614","18-1880614")</f>
        <v>0</v>
      </c>
      <c r="B1614" t="s">
        <v>9</v>
      </c>
      <c r="G1614" t="s">
        <v>16</v>
      </c>
    </row>
    <row r="1615" spans="1:7">
      <c r="A1615" s="1">
        <f>HYPERLINK("https://cms.ls-nyc.org/matter/dynamic-profile/view/1882565","18-1882565")</f>
        <v>0</v>
      </c>
      <c r="B1615" t="s">
        <v>11</v>
      </c>
      <c r="G1615" t="s">
        <v>16</v>
      </c>
    </row>
    <row r="1616" spans="1:7">
      <c r="A1616" s="1">
        <f>HYPERLINK("https://cms.ls-nyc.org/matter/dynamic-profile/view/1894073","19-1894073")</f>
        <v>0</v>
      </c>
      <c r="B1616" t="s">
        <v>9</v>
      </c>
      <c r="G1616" t="s">
        <v>16</v>
      </c>
    </row>
    <row r="1617" spans="1:7">
      <c r="A1617" s="1">
        <f>HYPERLINK("https://cms.ls-nyc.org/matter/dynamic-profile/view/1894071","19-1894071")</f>
        <v>0</v>
      </c>
      <c r="B1617" t="s">
        <v>9</v>
      </c>
      <c r="G1617" t="s">
        <v>16</v>
      </c>
    </row>
    <row r="1618" spans="1:7">
      <c r="A1618" s="1">
        <f>HYPERLINK("https://cms.ls-nyc.org/matter/dynamic-profile/view/1894068","18-1894068")</f>
        <v>0</v>
      </c>
      <c r="B1618" t="s">
        <v>9</v>
      </c>
      <c r="G1618" t="s">
        <v>16</v>
      </c>
    </row>
    <row r="1619" spans="1:7">
      <c r="A1619" s="1">
        <f>HYPERLINK("https://cms.ls-nyc.org/matter/dynamic-profile/view/1880927","18-1880927")</f>
        <v>0</v>
      </c>
      <c r="B1619" t="s">
        <v>9</v>
      </c>
      <c r="G1619" t="s">
        <v>16</v>
      </c>
    </row>
    <row r="1620" spans="1:7">
      <c r="A1620" s="1">
        <f>HYPERLINK("https://cms.ls-nyc.org/matter/dynamic-profile/view/1884045","18-1884045")</f>
        <v>0</v>
      </c>
      <c r="B1620" t="s">
        <v>9</v>
      </c>
      <c r="G1620" t="s">
        <v>16</v>
      </c>
    </row>
    <row r="1621" spans="1:7">
      <c r="A1621" s="1">
        <f>HYPERLINK("https://cms.ls-nyc.org/matter/dynamic-profile/view/1884681","18-1884681")</f>
        <v>0</v>
      </c>
      <c r="B1621" t="s">
        <v>9</v>
      </c>
      <c r="F1621" t="s">
        <v>15</v>
      </c>
      <c r="G1621" t="s">
        <v>17</v>
      </c>
    </row>
    <row r="1622" spans="1:7">
      <c r="A1622" s="1">
        <f>HYPERLINK("https://cms.ls-nyc.org/matter/dynamic-profile/view/1895666","19-1895666")</f>
        <v>0</v>
      </c>
      <c r="B1622" t="s">
        <v>10</v>
      </c>
      <c r="G1622" t="s">
        <v>16</v>
      </c>
    </row>
    <row r="1623" spans="1:7">
      <c r="A1623" s="1">
        <f>HYPERLINK("https://cms.ls-nyc.org/matter/dynamic-profile/view/0796053","16-0796053")</f>
        <v>0</v>
      </c>
      <c r="B1623" t="s">
        <v>9</v>
      </c>
      <c r="D1623" t="s">
        <v>13</v>
      </c>
      <c r="G1623" t="s">
        <v>17</v>
      </c>
    </row>
    <row r="1624" spans="1:7">
      <c r="A1624" s="1">
        <f>HYPERLINK("https://cms.ls-nyc.org/matter/dynamic-profile/view/1897154","19-1897154")</f>
        <v>0</v>
      </c>
      <c r="B1624" t="s">
        <v>8</v>
      </c>
      <c r="E1624" t="s">
        <v>14</v>
      </c>
      <c r="F1624" t="s">
        <v>15</v>
      </c>
      <c r="G1624" t="s">
        <v>17</v>
      </c>
    </row>
    <row r="1625" spans="1:7">
      <c r="A1625" s="1">
        <f>HYPERLINK("https://cms.ls-nyc.org/matter/dynamic-profile/view/1897159","19-1897159")</f>
        <v>0</v>
      </c>
      <c r="B1625" t="s">
        <v>8</v>
      </c>
      <c r="E1625" t="s">
        <v>14</v>
      </c>
      <c r="F1625" t="s">
        <v>15</v>
      </c>
      <c r="G1625" t="s">
        <v>17</v>
      </c>
    </row>
    <row r="1626" spans="1:7">
      <c r="A1626" s="1">
        <f>HYPERLINK("https://cms.ls-nyc.org/matter/dynamic-profile/view/1890123","19-1890123")</f>
        <v>0</v>
      </c>
      <c r="B1626" t="s">
        <v>9</v>
      </c>
      <c r="G1626" t="s">
        <v>16</v>
      </c>
    </row>
    <row r="1627" spans="1:7">
      <c r="A1627" s="1">
        <f>HYPERLINK("https://cms.ls-nyc.org/matter/dynamic-profile/view/1900989","19-1900989")</f>
        <v>0</v>
      </c>
      <c r="B1627" t="s">
        <v>10</v>
      </c>
      <c r="E1627" t="s">
        <v>14</v>
      </c>
      <c r="G1627" t="s">
        <v>17</v>
      </c>
    </row>
    <row r="1628" spans="1:7">
      <c r="A1628" s="1">
        <f>HYPERLINK("https://cms.ls-nyc.org/matter/dynamic-profile/view/1874329","18-1874329")</f>
        <v>0</v>
      </c>
      <c r="B1628" t="s">
        <v>11</v>
      </c>
      <c r="G1628" t="s">
        <v>16</v>
      </c>
    </row>
    <row r="1629" spans="1:7">
      <c r="A1629" s="1">
        <f>HYPERLINK("https://cms.ls-nyc.org/matter/dynamic-profile/view/1872575","18-1872575")</f>
        <v>0</v>
      </c>
      <c r="B1629" t="s">
        <v>9</v>
      </c>
      <c r="F1629" t="s">
        <v>15</v>
      </c>
      <c r="G1629" t="s">
        <v>17</v>
      </c>
    </row>
    <row r="1630" spans="1:7">
      <c r="A1630" s="1">
        <f>HYPERLINK("https://cms.ls-nyc.org/matter/dynamic-profile/view/1899922","19-1899922")</f>
        <v>0</v>
      </c>
      <c r="B1630" t="s">
        <v>10</v>
      </c>
      <c r="G1630" t="s">
        <v>16</v>
      </c>
    </row>
    <row r="1631" spans="1:7">
      <c r="A1631" s="1">
        <f>HYPERLINK("https://cms.ls-nyc.org/matter/dynamic-profile/view/1857086","18-1857086")</f>
        <v>0</v>
      </c>
      <c r="B1631" t="s">
        <v>9</v>
      </c>
      <c r="D1631" t="s">
        <v>13</v>
      </c>
      <c r="E1631" t="s">
        <v>14</v>
      </c>
      <c r="G1631" t="s">
        <v>17</v>
      </c>
    </row>
    <row r="1632" spans="1:7">
      <c r="A1632" s="1">
        <f>HYPERLINK("https://cms.ls-nyc.org/matter/dynamic-profile/view/1892728","19-1892728")</f>
        <v>0</v>
      </c>
      <c r="B1632" t="s">
        <v>7</v>
      </c>
      <c r="G1632" t="s">
        <v>16</v>
      </c>
    </row>
    <row r="1633" spans="1:7">
      <c r="A1633" s="1">
        <f>HYPERLINK("https://cms.ls-nyc.org/matter/dynamic-profile/view/1893266","19-1893266")</f>
        <v>0</v>
      </c>
      <c r="B1633" t="s">
        <v>8</v>
      </c>
      <c r="G1633" t="s">
        <v>16</v>
      </c>
    </row>
    <row r="1634" spans="1:7">
      <c r="A1634" s="1">
        <f>HYPERLINK("https://cms.ls-nyc.org/matter/dynamic-profile/view/1877456","18-1877456")</f>
        <v>0</v>
      </c>
      <c r="B1634" t="s">
        <v>8</v>
      </c>
      <c r="G1634" t="s">
        <v>16</v>
      </c>
    </row>
    <row r="1635" spans="1:7">
      <c r="A1635" s="1">
        <f>HYPERLINK("https://cms.ls-nyc.org/matter/dynamic-profile/view/1896228","19-1896228")</f>
        <v>0</v>
      </c>
      <c r="B1635" t="s">
        <v>9</v>
      </c>
      <c r="G1635" t="s">
        <v>16</v>
      </c>
    </row>
    <row r="1636" spans="1:7">
      <c r="A1636" s="1">
        <f>HYPERLINK("https://cms.ls-nyc.org/matter/dynamic-profile/view/1896222","19-1896222")</f>
        <v>0</v>
      </c>
      <c r="B1636" t="s">
        <v>9</v>
      </c>
      <c r="G1636" t="s">
        <v>16</v>
      </c>
    </row>
    <row r="1637" spans="1:7">
      <c r="A1637" s="1">
        <f>HYPERLINK("https://cms.ls-nyc.org/matter/dynamic-profile/view/1897620","19-1897620")</f>
        <v>0</v>
      </c>
      <c r="B1637" t="s">
        <v>11</v>
      </c>
      <c r="G1637" t="s">
        <v>16</v>
      </c>
    </row>
    <row r="1638" spans="1:7">
      <c r="A1638" s="1">
        <f>HYPERLINK("https://cms.ls-nyc.org/matter/dynamic-profile/view/1877962","18-1877962")</f>
        <v>0</v>
      </c>
      <c r="B1638" t="s">
        <v>7</v>
      </c>
      <c r="G1638" t="s">
        <v>16</v>
      </c>
    </row>
    <row r="1639" spans="1:7">
      <c r="A1639" s="1">
        <f>HYPERLINK("https://cms.ls-nyc.org/matter/dynamic-profile/view/1881008","18-1881008")</f>
        <v>0</v>
      </c>
      <c r="B1639" t="s">
        <v>9</v>
      </c>
      <c r="G1639" t="s">
        <v>16</v>
      </c>
    </row>
    <row r="1640" spans="1:7">
      <c r="A1640" s="1">
        <f>HYPERLINK("https://cms.ls-nyc.org/matter/dynamic-profile/view/1883614","18-1883614")</f>
        <v>0</v>
      </c>
      <c r="B1640" t="s">
        <v>10</v>
      </c>
      <c r="G1640" t="s">
        <v>16</v>
      </c>
    </row>
    <row r="1641" spans="1:7">
      <c r="A1641" s="1">
        <f>HYPERLINK("https://cms.ls-nyc.org/matter/dynamic-profile/view/1878905","18-1878905")</f>
        <v>0</v>
      </c>
      <c r="B1641" t="s">
        <v>9</v>
      </c>
      <c r="G1641" t="s">
        <v>16</v>
      </c>
    </row>
    <row r="1642" spans="1:7">
      <c r="A1642" s="1">
        <f>HYPERLINK("https://cms.ls-nyc.org/matter/dynamic-profile/view/1897227","19-1897227")</f>
        <v>0</v>
      </c>
      <c r="B1642" t="s">
        <v>9</v>
      </c>
      <c r="G1642" t="s">
        <v>16</v>
      </c>
    </row>
    <row r="1643" spans="1:7">
      <c r="A1643" s="1">
        <f>HYPERLINK("https://cms.ls-nyc.org/matter/dynamic-profile/view/1881801","18-1881801")</f>
        <v>0</v>
      </c>
      <c r="B1643" t="s">
        <v>9</v>
      </c>
      <c r="G1643" t="s">
        <v>16</v>
      </c>
    </row>
    <row r="1644" spans="1:7">
      <c r="A1644" s="1">
        <f>HYPERLINK("https://cms.ls-nyc.org/matter/dynamic-profile/view/1895329","19-1895329")</f>
        <v>0</v>
      </c>
      <c r="B1644" t="s">
        <v>8</v>
      </c>
      <c r="G1644" t="s">
        <v>16</v>
      </c>
    </row>
    <row r="1645" spans="1:7">
      <c r="A1645" s="1">
        <f>HYPERLINK("https://cms.ls-nyc.org/matter/dynamic-profile/view/1890052","19-1890052")</f>
        <v>0</v>
      </c>
      <c r="B1645" t="s">
        <v>9</v>
      </c>
      <c r="F1645" t="s">
        <v>15</v>
      </c>
      <c r="G1645" t="s">
        <v>17</v>
      </c>
    </row>
    <row r="1646" spans="1:7">
      <c r="A1646" s="1">
        <f>HYPERLINK("https://cms.ls-nyc.org/matter/dynamic-profile/view/1890043","19-1890043")</f>
        <v>0</v>
      </c>
      <c r="B1646" t="s">
        <v>9</v>
      </c>
      <c r="F1646" t="s">
        <v>15</v>
      </c>
      <c r="G1646" t="s">
        <v>17</v>
      </c>
    </row>
    <row r="1647" spans="1:7">
      <c r="A1647" s="1">
        <f>HYPERLINK("https://cms.ls-nyc.org/matter/dynamic-profile/view/1871503","18-1871503")</f>
        <v>0</v>
      </c>
      <c r="B1647" t="s">
        <v>11</v>
      </c>
      <c r="G1647" t="s">
        <v>16</v>
      </c>
    </row>
    <row r="1648" spans="1:7">
      <c r="A1648" s="1">
        <f>HYPERLINK("https://cms.ls-nyc.org/matter/dynamic-profile/view/1866488","18-1866488")</f>
        <v>0</v>
      </c>
      <c r="B1648" t="s">
        <v>8</v>
      </c>
      <c r="F1648" t="s">
        <v>15</v>
      </c>
      <c r="G1648" t="s">
        <v>17</v>
      </c>
    </row>
    <row r="1649" spans="1:7">
      <c r="A1649" s="1">
        <f>HYPERLINK("https://cms.ls-nyc.org/matter/dynamic-profile/view/1881114","18-1881114")</f>
        <v>0</v>
      </c>
      <c r="B1649" t="s">
        <v>11</v>
      </c>
      <c r="G1649" t="s">
        <v>16</v>
      </c>
    </row>
    <row r="1650" spans="1:7">
      <c r="A1650" s="1">
        <f>HYPERLINK("https://cms.ls-nyc.org/matter/dynamic-profile/view/1872714","18-1872714")</f>
        <v>0</v>
      </c>
      <c r="B1650" t="s">
        <v>7</v>
      </c>
      <c r="G1650" t="s">
        <v>16</v>
      </c>
    </row>
    <row r="1651" spans="1:7">
      <c r="A1651" s="1">
        <f>HYPERLINK("https://cms.ls-nyc.org/matter/dynamic-profile/view/1884117","18-1884117")</f>
        <v>0</v>
      </c>
      <c r="B1651" t="s">
        <v>9</v>
      </c>
      <c r="G1651" t="s">
        <v>16</v>
      </c>
    </row>
    <row r="1652" spans="1:7">
      <c r="A1652" s="1">
        <f>HYPERLINK("https://cms.ls-nyc.org/matter/dynamic-profile/view/1898956","19-1898956")</f>
        <v>0</v>
      </c>
      <c r="B1652" t="s">
        <v>8</v>
      </c>
      <c r="E1652" t="s">
        <v>14</v>
      </c>
      <c r="F1652" t="s">
        <v>15</v>
      </c>
      <c r="G1652" t="s">
        <v>17</v>
      </c>
    </row>
    <row r="1653" spans="1:7">
      <c r="A1653" s="1">
        <f>HYPERLINK("https://cms.ls-nyc.org/matter/dynamic-profile/view/1898960","19-1898960")</f>
        <v>0</v>
      </c>
      <c r="B1653" t="s">
        <v>8</v>
      </c>
      <c r="E1653" t="s">
        <v>14</v>
      </c>
      <c r="F1653" t="s">
        <v>15</v>
      </c>
      <c r="G1653" t="s">
        <v>17</v>
      </c>
    </row>
    <row r="1654" spans="1:7">
      <c r="A1654" s="1">
        <f>HYPERLINK("https://cms.ls-nyc.org/matter/dynamic-profile/view/1897193","19-1897193")</f>
        <v>0</v>
      </c>
      <c r="B1654" t="s">
        <v>7</v>
      </c>
      <c r="G1654" t="s">
        <v>16</v>
      </c>
    </row>
    <row r="1655" spans="1:7">
      <c r="A1655" s="1">
        <f>HYPERLINK("https://cms.ls-nyc.org/matter/dynamic-profile/view/1891604","19-1891604")</f>
        <v>0</v>
      </c>
      <c r="B1655" t="s">
        <v>8</v>
      </c>
      <c r="E1655" t="s">
        <v>14</v>
      </c>
      <c r="F1655" t="s">
        <v>15</v>
      </c>
      <c r="G1655" t="s">
        <v>17</v>
      </c>
    </row>
    <row r="1656" spans="1:7">
      <c r="A1656" s="1">
        <f>HYPERLINK("https://cms.ls-nyc.org/matter/dynamic-profile/view/1891606","19-1891606")</f>
        <v>0</v>
      </c>
      <c r="B1656" t="s">
        <v>8</v>
      </c>
      <c r="E1656" t="s">
        <v>14</v>
      </c>
      <c r="F1656" t="s">
        <v>15</v>
      </c>
      <c r="G1656" t="s">
        <v>17</v>
      </c>
    </row>
    <row r="1657" spans="1:7">
      <c r="A1657" s="1">
        <f>HYPERLINK("https://cms.ls-nyc.org/matter/dynamic-profile/view/1893460","19-1893460")</f>
        <v>0</v>
      </c>
      <c r="B1657" t="s">
        <v>10</v>
      </c>
      <c r="G1657" t="s">
        <v>16</v>
      </c>
    </row>
    <row r="1658" spans="1:7">
      <c r="A1658" s="1">
        <f>HYPERLINK("https://cms.ls-nyc.org/matter/dynamic-profile/view/1872666","18-1872666")</f>
        <v>0</v>
      </c>
      <c r="B1658" t="s">
        <v>10</v>
      </c>
      <c r="G1658" t="s">
        <v>16</v>
      </c>
    </row>
    <row r="1659" spans="1:7">
      <c r="A1659" s="1">
        <f>HYPERLINK("https://cms.ls-nyc.org/matter/dynamic-profile/view/1889837","19-1889837")</f>
        <v>0</v>
      </c>
      <c r="B1659" t="s">
        <v>8</v>
      </c>
      <c r="G1659" t="s">
        <v>16</v>
      </c>
    </row>
    <row r="1660" spans="1:7">
      <c r="A1660" s="1">
        <f>HYPERLINK("https://cms.ls-nyc.org/matter/dynamic-profile/view/1898667","19-1898667")</f>
        <v>0</v>
      </c>
      <c r="B1660" t="s">
        <v>8</v>
      </c>
      <c r="G1660" t="s">
        <v>16</v>
      </c>
    </row>
    <row r="1661" spans="1:7">
      <c r="A1661" s="1">
        <f>HYPERLINK("https://cms.ls-nyc.org/matter/dynamic-profile/view/1869936","18-1869936")</f>
        <v>0</v>
      </c>
      <c r="B1661" t="s">
        <v>7</v>
      </c>
      <c r="G1661" t="s">
        <v>16</v>
      </c>
    </row>
    <row r="1662" spans="1:7">
      <c r="A1662" s="1">
        <f>HYPERLINK("https://cms.ls-nyc.org/matter/dynamic-profile/view/1895933","19-1895933")</f>
        <v>0</v>
      </c>
      <c r="B1662" t="s">
        <v>7</v>
      </c>
      <c r="G1662" t="s">
        <v>16</v>
      </c>
    </row>
    <row r="1663" spans="1:7">
      <c r="A1663" s="1">
        <f>HYPERLINK("https://cms.ls-nyc.org/matter/dynamic-profile/view/1851528","17-1851528")</f>
        <v>0</v>
      </c>
      <c r="B1663" t="s">
        <v>8</v>
      </c>
      <c r="G1663" t="s">
        <v>16</v>
      </c>
    </row>
    <row r="1664" spans="1:7">
      <c r="A1664" s="1">
        <f>HYPERLINK("https://cms.ls-nyc.org/matter/dynamic-profile/view/1877708","18-1877708")</f>
        <v>0</v>
      </c>
      <c r="B1664" t="s">
        <v>9</v>
      </c>
      <c r="G1664" t="s">
        <v>16</v>
      </c>
    </row>
    <row r="1665" spans="1:7">
      <c r="A1665" s="1">
        <f>HYPERLINK("https://cms.ls-nyc.org/matter/dynamic-profile/view/1864743","18-1864743")</f>
        <v>0</v>
      </c>
      <c r="B1665" t="s">
        <v>8</v>
      </c>
      <c r="F1665" t="s">
        <v>15</v>
      </c>
      <c r="G1665" t="s">
        <v>17</v>
      </c>
    </row>
    <row r="1666" spans="1:7">
      <c r="A1666" s="1">
        <f>HYPERLINK("https://cms.ls-nyc.org/matter/dynamic-profile/view/1875260","18-1875260")</f>
        <v>0</v>
      </c>
      <c r="B1666" t="s">
        <v>11</v>
      </c>
      <c r="G1666" t="s">
        <v>16</v>
      </c>
    </row>
    <row r="1667" spans="1:7">
      <c r="A1667" s="1">
        <f>HYPERLINK("https://cms.ls-nyc.org/matter/dynamic-profile/view/1883248","18-1883248")</f>
        <v>0</v>
      </c>
      <c r="B1667" t="s">
        <v>7</v>
      </c>
      <c r="G1667" t="s">
        <v>16</v>
      </c>
    </row>
    <row r="1668" spans="1:7">
      <c r="A1668" s="1">
        <f>HYPERLINK("https://cms.ls-nyc.org/matter/dynamic-profile/view/1887315","19-1887315")</f>
        <v>0</v>
      </c>
      <c r="B1668" t="s">
        <v>8</v>
      </c>
      <c r="G1668" t="s">
        <v>16</v>
      </c>
    </row>
    <row r="1669" spans="1:7">
      <c r="A1669" s="1">
        <f>HYPERLINK("https://cms.ls-nyc.org/matter/dynamic-profile/view/1886615","18-1886615")</f>
        <v>0</v>
      </c>
      <c r="B1669" t="s">
        <v>7</v>
      </c>
      <c r="G1669" t="s">
        <v>16</v>
      </c>
    </row>
    <row r="1670" spans="1:7">
      <c r="A1670" s="1">
        <f>HYPERLINK("https://cms.ls-nyc.org/matter/dynamic-profile/view/1880408","18-1880408")</f>
        <v>0</v>
      </c>
      <c r="B1670" t="s">
        <v>9</v>
      </c>
      <c r="G1670" t="s">
        <v>16</v>
      </c>
    </row>
    <row r="1671" spans="1:7">
      <c r="A1671" s="1">
        <f>HYPERLINK("https://cms.ls-nyc.org/matter/dynamic-profile/view/1872608","18-1872608")</f>
        <v>0</v>
      </c>
      <c r="B1671" t="s">
        <v>9</v>
      </c>
      <c r="G1671" t="s">
        <v>16</v>
      </c>
    </row>
    <row r="1672" spans="1:7">
      <c r="A1672" s="1">
        <f>HYPERLINK("https://cms.ls-nyc.org/matter/dynamic-profile/view/1872532","18-1872532")</f>
        <v>0</v>
      </c>
      <c r="B1672" t="s">
        <v>10</v>
      </c>
      <c r="G1672" t="s">
        <v>16</v>
      </c>
    </row>
    <row r="1673" spans="1:7">
      <c r="A1673" s="1">
        <f>HYPERLINK("https://cms.ls-nyc.org/matter/dynamic-profile/view/1897745","19-1897745")</f>
        <v>0</v>
      </c>
      <c r="B1673" t="s">
        <v>11</v>
      </c>
      <c r="G1673" t="s">
        <v>16</v>
      </c>
    </row>
    <row r="1674" spans="1:7">
      <c r="A1674" s="1">
        <f>HYPERLINK("https://cms.ls-nyc.org/matter/dynamic-profile/view/1878687","18-1878687")</f>
        <v>0</v>
      </c>
      <c r="B1674" t="s">
        <v>8</v>
      </c>
      <c r="F1674" t="s">
        <v>15</v>
      </c>
      <c r="G1674" t="s">
        <v>17</v>
      </c>
    </row>
    <row r="1675" spans="1:7">
      <c r="A1675" s="1">
        <f>HYPERLINK("https://cms.ls-nyc.org/matter/dynamic-profile/view/1882003","18-1882003")</f>
        <v>0</v>
      </c>
      <c r="B1675" t="s">
        <v>9</v>
      </c>
      <c r="G1675" t="s">
        <v>16</v>
      </c>
    </row>
    <row r="1676" spans="1:7">
      <c r="A1676" s="1">
        <f>HYPERLINK("https://cms.ls-nyc.org/matter/dynamic-profile/view/1891393","19-1891393")</f>
        <v>0</v>
      </c>
      <c r="B1676" t="s">
        <v>9</v>
      </c>
      <c r="G1676" t="s">
        <v>16</v>
      </c>
    </row>
    <row r="1677" spans="1:7">
      <c r="A1677" s="1">
        <f>HYPERLINK("https://cms.ls-nyc.org/matter/dynamic-profile/view/1891395","19-1891395")</f>
        <v>0</v>
      </c>
      <c r="B1677" t="s">
        <v>9</v>
      </c>
      <c r="G1677" t="s">
        <v>16</v>
      </c>
    </row>
    <row r="1678" spans="1:7">
      <c r="A1678" s="1">
        <f>HYPERLINK("https://cms.ls-nyc.org/matter/dynamic-profile/view/1889914","19-1889914")</f>
        <v>0</v>
      </c>
      <c r="B1678" t="s">
        <v>11</v>
      </c>
      <c r="G1678" t="s">
        <v>16</v>
      </c>
    </row>
    <row r="1679" spans="1:7">
      <c r="A1679" s="1">
        <f>HYPERLINK("https://cms.ls-nyc.org/matter/dynamic-profile/view/1886581","18-1886581")</f>
        <v>0</v>
      </c>
      <c r="B1679" t="s">
        <v>7</v>
      </c>
      <c r="G1679" t="s">
        <v>16</v>
      </c>
    </row>
    <row r="1680" spans="1:7">
      <c r="A1680" s="1">
        <f>HYPERLINK("https://cms.ls-nyc.org/matter/dynamic-profile/view/1882906","18-1882906")</f>
        <v>0</v>
      </c>
      <c r="B1680" t="s">
        <v>8</v>
      </c>
      <c r="G1680" t="s">
        <v>16</v>
      </c>
    </row>
    <row r="1681" spans="1:7">
      <c r="A1681" s="1">
        <f>HYPERLINK("https://cms.ls-nyc.org/matter/dynamic-profile/view/1885061","18-1885061")</f>
        <v>0</v>
      </c>
      <c r="B1681" t="s">
        <v>8</v>
      </c>
      <c r="G1681" t="s">
        <v>16</v>
      </c>
    </row>
    <row r="1682" spans="1:7">
      <c r="A1682" s="1">
        <f>HYPERLINK("https://cms.ls-nyc.org/matter/dynamic-profile/view/1880542","18-1880542")</f>
        <v>0</v>
      </c>
      <c r="B1682" t="s">
        <v>8</v>
      </c>
      <c r="G1682" t="s">
        <v>16</v>
      </c>
    </row>
    <row r="1683" spans="1:7">
      <c r="A1683" s="1">
        <f>HYPERLINK("https://cms.ls-nyc.org/matter/dynamic-profile/view/1890235","19-1890235")</f>
        <v>0</v>
      </c>
      <c r="B1683" t="s">
        <v>10</v>
      </c>
      <c r="G1683" t="s">
        <v>16</v>
      </c>
    </row>
    <row r="1684" spans="1:7">
      <c r="A1684" s="1">
        <f>HYPERLINK("https://cms.ls-nyc.org/matter/dynamic-profile/view/1884240","18-1884240")</f>
        <v>0</v>
      </c>
      <c r="B1684" t="s">
        <v>9</v>
      </c>
      <c r="G1684" t="s">
        <v>16</v>
      </c>
    </row>
    <row r="1685" spans="1:7">
      <c r="A1685" s="1">
        <f>HYPERLINK("https://cms.ls-nyc.org/matter/dynamic-profile/view/1882846","18-1882846")</f>
        <v>0</v>
      </c>
      <c r="B1685" t="s">
        <v>8</v>
      </c>
      <c r="F1685" t="s">
        <v>15</v>
      </c>
      <c r="G1685" t="s">
        <v>17</v>
      </c>
    </row>
    <row r="1686" spans="1:7">
      <c r="A1686" s="1">
        <f>HYPERLINK("https://cms.ls-nyc.org/matter/dynamic-profile/view/1875542","18-1875542")</f>
        <v>0</v>
      </c>
      <c r="B1686" t="s">
        <v>9</v>
      </c>
      <c r="F1686" t="s">
        <v>15</v>
      </c>
      <c r="G1686" t="s">
        <v>17</v>
      </c>
    </row>
    <row r="1687" spans="1:7">
      <c r="A1687" s="1">
        <f>HYPERLINK("https://cms.ls-nyc.org/matter/dynamic-profile/view/1895189","19-1895189")</f>
        <v>0</v>
      </c>
      <c r="B1687" t="s">
        <v>11</v>
      </c>
      <c r="G1687" t="s">
        <v>16</v>
      </c>
    </row>
    <row r="1688" spans="1:7">
      <c r="A1688" s="1">
        <f>HYPERLINK("https://cms.ls-nyc.org/matter/dynamic-profile/view/1876753","18-1876753")</f>
        <v>0</v>
      </c>
      <c r="B1688" t="s">
        <v>8</v>
      </c>
      <c r="G1688" t="s">
        <v>16</v>
      </c>
    </row>
    <row r="1689" spans="1:7">
      <c r="A1689" s="1">
        <f>HYPERLINK("https://cms.ls-nyc.org/matter/dynamic-profile/view/1882304","18-1882304")</f>
        <v>0</v>
      </c>
      <c r="B1689" t="s">
        <v>8</v>
      </c>
      <c r="G1689" t="s">
        <v>16</v>
      </c>
    </row>
    <row r="1690" spans="1:7">
      <c r="A1690" s="1">
        <f>HYPERLINK("https://cms.ls-nyc.org/matter/dynamic-profile/view/1895458","19-1895458")</f>
        <v>0</v>
      </c>
      <c r="B1690" t="s">
        <v>11</v>
      </c>
      <c r="G1690" t="s">
        <v>16</v>
      </c>
    </row>
    <row r="1691" spans="1:7">
      <c r="A1691" s="1">
        <f>HYPERLINK("https://cms.ls-nyc.org/matter/dynamic-profile/view/1897794","19-1897794")</f>
        <v>0</v>
      </c>
      <c r="B1691" t="s">
        <v>8</v>
      </c>
      <c r="G1691" t="s">
        <v>16</v>
      </c>
    </row>
    <row r="1692" spans="1:7">
      <c r="A1692" s="1">
        <f>HYPERLINK("https://cms.ls-nyc.org/matter/dynamic-profile/view/1889700","19-1889700")</f>
        <v>0</v>
      </c>
      <c r="B1692" t="s">
        <v>9</v>
      </c>
      <c r="G1692" t="s">
        <v>16</v>
      </c>
    </row>
    <row r="1693" spans="1:7">
      <c r="A1693" s="1">
        <f>HYPERLINK("https://cms.ls-nyc.org/matter/dynamic-profile/view/1888423","19-1888423")</f>
        <v>0</v>
      </c>
      <c r="B1693" t="s">
        <v>8</v>
      </c>
      <c r="G1693" t="s">
        <v>16</v>
      </c>
    </row>
    <row r="1694" spans="1:7">
      <c r="A1694" s="1">
        <f>HYPERLINK("https://cms.ls-nyc.org/matter/dynamic-profile/view/1883473","18-1883473")</f>
        <v>0</v>
      </c>
      <c r="B1694" t="s">
        <v>9</v>
      </c>
      <c r="G1694" t="s">
        <v>16</v>
      </c>
    </row>
    <row r="1695" spans="1:7">
      <c r="A1695" s="1">
        <f>HYPERLINK("https://cms.ls-nyc.org/matter/dynamic-profile/view/1889261","19-1889261")</f>
        <v>0</v>
      </c>
      <c r="B1695" t="s">
        <v>9</v>
      </c>
      <c r="G1695" t="s">
        <v>16</v>
      </c>
    </row>
    <row r="1696" spans="1:7">
      <c r="A1696" s="1">
        <f>HYPERLINK("https://cms.ls-nyc.org/matter/dynamic-profile/view/1891926","19-1891926")</f>
        <v>0</v>
      </c>
      <c r="B1696" t="s">
        <v>9</v>
      </c>
      <c r="F1696" t="s">
        <v>15</v>
      </c>
      <c r="G1696" t="s">
        <v>17</v>
      </c>
    </row>
    <row r="1697" spans="1:7">
      <c r="A1697" s="1">
        <f>HYPERLINK("https://cms.ls-nyc.org/matter/dynamic-profile/view/1886679","18-1886679")</f>
        <v>0</v>
      </c>
      <c r="B1697" t="s">
        <v>9</v>
      </c>
      <c r="G1697" t="s">
        <v>16</v>
      </c>
    </row>
    <row r="1698" spans="1:7">
      <c r="A1698" s="1">
        <f>HYPERLINK("https://cms.ls-nyc.org/matter/dynamic-profile/view/1877755","18-1877755")</f>
        <v>0</v>
      </c>
      <c r="B1698" t="s">
        <v>9</v>
      </c>
      <c r="F1698" t="s">
        <v>15</v>
      </c>
      <c r="G1698" t="s">
        <v>17</v>
      </c>
    </row>
    <row r="1699" spans="1:7">
      <c r="A1699" s="1">
        <f>HYPERLINK("https://cms.ls-nyc.org/matter/dynamic-profile/view/1882699","18-1882699")</f>
        <v>0</v>
      </c>
      <c r="B1699" t="s">
        <v>11</v>
      </c>
      <c r="G1699" t="s">
        <v>16</v>
      </c>
    </row>
    <row r="1700" spans="1:7">
      <c r="A1700" s="1">
        <f>HYPERLINK("https://cms.ls-nyc.org/matter/dynamic-profile/view/1891451","19-1891451")</f>
        <v>0</v>
      </c>
      <c r="B1700" t="s">
        <v>10</v>
      </c>
      <c r="G1700" t="s">
        <v>16</v>
      </c>
    </row>
    <row r="1701" spans="1:7">
      <c r="A1701" s="1">
        <f>HYPERLINK("https://cms.ls-nyc.org/matter/dynamic-profile/view/1891537","19-1891537")</f>
        <v>0</v>
      </c>
      <c r="B1701" t="s">
        <v>9</v>
      </c>
      <c r="G1701" t="s">
        <v>16</v>
      </c>
    </row>
    <row r="1702" spans="1:7">
      <c r="A1702" s="1">
        <f>HYPERLINK("https://cms.ls-nyc.org/matter/dynamic-profile/view/1877995","18-1877995")</f>
        <v>0</v>
      </c>
      <c r="B1702" t="s">
        <v>8</v>
      </c>
      <c r="G1702" t="s">
        <v>16</v>
      </c>
    </row>
    <row r="1703" spans="1:7">
      <c r="A1703" s="1">
        <f>HYPERLINK("https://cms.ls-nyc.org/matter/dynamic-profile/view/1890017","19-1890017")</f>
        <v>0</v>
      </c>
      <c r="B1703" t="s">
        <v>9</v>
      </c>
      <c r="G1703" t="s">
        <v>16</v>
      </c>
    </row>
    <row r="1704" spans="1:7">
      <c r="A1704" s="1">
        <f>HYPERLINK("https://cms.ls-nyc.org/matter/dynamic-profile/view/1872385","18-1872385")</f>
        <v>0</v>
      </c>
      <c r="B1704" t="s">
        <v>11</v>
      </c>
      <c r="G1704" t="s">
        <v>16</v>
      </c>
    </row>
    <row r="1705" spans="1:7">
      <c r="A1705" s="1">
        <f>HYPERLINK("https://cms.ls-nyc.org/matter/dynamic-profile/view/1890024","19-1890024")</f>
        <v>0</v>
      </c>
      <c r="B1705" t="s">
        <v>9</v>
      </c>
      <c r="G1705" t="s">
        <v>16</v>
      </c>
    </row>
    <row r="1706" spans="1:7">
      <c r="A1706" s="1">
        <f>HYPERLINK("https://cms.ls-nyc.org/matter/dynamic-profile/view/1887018","19-1887018")</f>
        <v>0</v>
      </c>
      <c r="B1706" t="s">
        <v>9</v>
      </c>
      <c r="G1706" t="s">
        <v>16</v>
      </c>
    </row>
    <row r="1707" spans="1:7">
      <c r="A1707" s="1">
        <f>HYPERLINK("https://cms.ls-nyc.org/matter/dynamic-profile/view/1885003","18-1885003")</f>
        <v>0</v>
      </c>
      <c r="B1707" t="s">
        <v>9</v>
      </c>
      <c r="G1707" t="s">
        <v>16</v>
      </c>
    </row>
    <row r="1708" spans="1:7">
      <c r="A1708" s="1">
        <f>HYPERLINK("https://cms.ls-nyc.org/matter/dynamic-profile/view/1878072","18-1878072")</f>
        <v>0</v>
      </c>
      <c r="B1708" t="s">
        <v>9</v>
      </c>
      <c r="G1708" t="s">
        <v>16</v>
      </c>
    </row>
    <row r="1709" spans="1:7">
      <c r="A1709" s="1">
        <f>HYPERLINK("https://cms.ls-nyc.org/matter/dynamic-profile/view/1873476","18-1873476")</f>
        <v>0</v>
      </c>
      <c r="B1709" t="s">
        <v>9</v>
      </c>
      <c r="G1709" t="s">
        <v>16</v>
      </c>
    </row>
    <row r="1710" spans="1:7">
      <c r="A1710" s="1">
        <f>HYPERLINK("https://cms.ls-nyc.org/matter/dynamic-profile/view/1873123","18-1873123")</f>
        <v>0</v>
      </c>
      <c r="B1710" t="s">
        <v>9</v>
      </c>
      <c r="G1710" t="s">
        <v>16</v>
      </c>
    </row>
    <row r="1711" spans="1:7">
      <c r="A1711" s="1">
        <f>HYPERLINK("https://cms.ls-nyc.org/matter/dynamic-profile/view/1886871","19-1886871")</f>
        <v>0</v>
      </c>
      <c r="B1711" t="s">
        <v>9</v>
      </c>
      <c r="G1711" t="s">
        <v>16</v>
      </c>
    </row>
    <row r="1712" spans="1:7">
      <c r="A1712" s="1">
        <f>HYPERLINK("https://cms.ls-nyc.org/matter/dynamic-profile/view/1864271","18-1864271")</f>
        <v>0</v>
      </c>
      <c r="B1712" t="s">
        <v>8</v>
      </c>
      <c r="G1712" t="s">
        <v>16</v>
      </c>
    </row>
    <row r="1713" spans="1:7">
      <c r="A1713" s="1">
        <f>HYPERLINK("https://cms.ls-nyc.org/matter/dynamic-profile/view/1888044","19-1888044")</f>
        <v>0</v>
      </c>
      <c r="B1713" t="s">
        <v>11</v>
      </c>
      <c r="F1713" t="s">
        <v>15</v>
      </c>
      <c r="G1713" t="s">
        <v>17</v>
      </c>
    </row>
    <row r="1714" spans="1:7">
      <c r="A1714" s="1">
        <f>HYPERLINK("https://cms.ls-nyc.org/matter/dynamic-profile/view/1889007","19-1889007")</f>
        <v>0</v>
      </c>
      <c r="B1714" t="s">
        <v>8</v>
      </c>
      <c r="G1714" t="s">
        <v>16</v>
      </c>
    </row>
    <row r="1715" spans="1:7">
      <c r="A1715" s="1">
        <f>HYPERLINK("https://cms.ls-nyc.org/matter/dynamic-profile/view/1866458","18-1866458")</f>
        <v>0</v>
      </c>
      <c r="B1715" t="s">
        <v>8</v>
      </c>
      <c r="G1715" t="s">
        <v>16</v>
      </c>
    </row>
    <row r="1716" spans="1:7">
      <c r="A1716" s="1">
        <f>HYPERLINK("https://cms.ls-nyc.org/matter/dynamic-profile/view/1882340","18-1882340")</f>
        <v>0</v>
      </c>
      <c r="B1716" t="s">
        <v>8</v>
      </c>
      <c r="G1716" t="s">
        <v>16</v>
      </c>
    </row>
    <row r="1717" spans="1:7">
      <c r="A1717" s="1">
        <f>HYPERLINK("https://cms.ls-nyc.org/matter/dynamic-profile/view/1885977","18-1885977")</f>
        <v>0</v>
      </c>
      <c r="B1717" t="s">
        <v>8</v>
      </c>
      <c r="G1717" t="s">
        <v>16</v>
      </c>
    </row>
    <row r="1718" spans="1:7">
      <c r="A1718" s="1">
        <f>HYPERLINK("https://cms.ls-nyc.org/matter/dynamic-profile/view/1879651","18-1879651")</f>
        <v>0</v>
      </c>
      <c r="B1718" t="s">
        <v>8</v>
      </c>
      <c r="F1718" t="s">
        <v>15</v>
      </c>
      <c r="G1718" t="s">
        <v>17</v>
      </c>
    </row>
    <row r="1719" spans="1:7">
      <c r="A1719" s="1">
        <f>HYPERLINK("https://cms.ls-nyc.org/matter/dynamic-profile/view/1885751","18-1885751")</f>
        <v>0</v>
      </c>
      <c r="B1719" t="s">
        <v>9</v>
      </c>
      <c r="F1719" t="s">
        <v>15</v>
      </c>
      <c r="G1719" t="s">
        <v>17</v>
      </c>
    </row>
    <row r="1720" spans="1:7">
      <c r="A1720" s="1">
        <f>HYPERLINK("https://cms.ls-nyc.org/matter/dynamic-profile/view/1884607","18-1884607")</f>
        <v>0</v>
      </c>
      <c r="B1720" t="s">
        <v>9</v>
      </c>
      <c r="G1720" t="s">
        <v>16</v>
      </c>
    </row>
    <row r="1721" spans="1:7">
      <c r="A1721" s="1">
        <f>HYPERLINK("https://cms.ls-nyc.org/matter/dynamic-profile/view/1872536","18-1872536")</f>
        <v>0</v>
      </c>
      <c r="B1721" t="s">
        <v>9</v>
      </c>
      <c r="G1721" t="s">
        <v>16</v>
      </c>
    </row>
    <row r="1722" spans="1:7">
      <c r="A1722" s="1">
        <f>HYPERLINK("https://cms.ls-nyc.org/matter/dynamic-profile/view/1897566","19-1897566")</f>
        <v>0</v>
      </c>
      <c r="B1722" t="s">
        <v>10</v>
      </c>
      <c r="E1722" t="s">
        <v>14</v>
      </c>
      <c r="G1722" t="s">
        <v>17</v>
      </c>
    </row>
    <row r="1723" spans="1:7">
      <c r="A1723" s="1">
        <f>HYPERLINK("https://cms.ls-nyc.org/matter/dynamic-profile/view/1874650","18-1874650")</f>
        <v>0</v>
      </c>
      <c r="B1723" t="s">
        <v>7</v>
      </c>
      <c r="G1723" t="s">
        <v>16</v>
      </c>
    </row>
    <row r="1724" spans="1:7">
      <c r="A1724" s="1">
        <f>HYPERLINK("https://cms.ls-nyc.org/matter/dynamic-profile/view/1881294","18-1881294")</f>
        <v>0</v>
      </c>
      <c r="B1724" t="s">
        <v>11</v>
      </c>
      <c r="G1724" t="s">
        <v>16</v>
      </c>
    </row>
    <row r="1725" spans="1:7">
      <c r="A1725" s="1">
        <f>HYPERLINK("https://cms.ls-nyc.org/matter/dynamic-profile/view/1886508","18-1886508")</f>
        <v>0</v>
      </c>
      <c r="B1725" t="s">
        <v>9</v>
      </c>
      <c r="G1725" t="s">
        <v>16</v>
      </c>
    </row>
    <row r="1726" spans="1:7">
      <c r="A1726" s="1">
        <f>HYPERLINK("https://cms.ls-nyc.org/matter/dynamic-profile/view/1884755","18-1884755")</f>
        <v>0</v>
      </c>
      <c r="B1726" t="s">
        <v>9</v>
      </c>
      <c r="G1726" t="s">
        <v>16</v>
      </c>
    </row>
    <row r="1727" spans="1:7">
      <c r="A1727" s="1">
        <f>HYPERLINK("https://cms.ls-nyc.org/matter/dynamic-profile/view/1875216","18-1875216")</f>
        <v>0</v>
      </c>
      <c r="B1727" t="s">
        <v>9</v>
      </c>
      <c r="G1727" t="s">
        <v>16</v>
      </c>
    </row>
    <row r="1728" spans="1:7">
      <c r="A1728" s="1">
        <f>HYPERLINK("https://cms.ls-nyc.org/matter/dynamic-profile/view/1894727","19-1894727")</f>
        <v>0</v>
      </c>
      <c r="B1728" t="s">
        <v>8</v>
      </c>
      <c r="G1728" t="s">
        <v>16</v>
      </c>
    </row>
    <row r="1729" spans="1:7">
      <c r="A1729" s="1">
        <f>HYPERLINK("https://cms.ls-nyc.org/matter/dynamic-profile/view/1895194","19-1895194")</f>
        <v>0</v>
      </c>
      <c r="B1729" t="s">
        <v>7</v>
      </c>
      <c r="G1729" t="s">
        <v>16</v>
      </c>
    </row>
    <row r="1730" spans="1:7">
      <c r="A1730" s="1">
        <f>HYPERLINK("https://cms.ls-nyc.org/matter/dynamic-profile/view/1889312","19-1889312")</f>
        <v>0</v>
      </c>
      <c r="B1730" t="s">
        <v>8</v>
      </c>
      <c r="G1730" t="s">
        <v>16</v>
      </c>
    </row>
    <row r="1731" spans="1:7">
      <c r="A1731" s="1">
        <f>HYPERLINK("https://cms.ls-nyc.org/matter/dynamic-profile/view/1889882","19-1889882")</f>
        <v>0</v>
      </c>
      <c r="B1731" t="s">
        <v>9</v>
      </c>
      <c r="G1731" t="s">
        <v>16</v>
      </c>
    </row>
    <row r="1732" spans="1:7">
      <c r="A1732" s="1">
        <f>HYPERLINK("https://cms.ls-nyc.org/matter/dynamic-profile/view/1846660","17-1846660")</f>
        <v>0</v>
      </c>
      <c r="B1732" t="s">
        <v>8</v>
      </c>
      <c r="D1732" t="s">
        <v>13</v>
      </c>
      <c r="F1732" t="s">
        <v>15</v>
      </c>
      <c r="G1732" t="s">
        <v>17</v>
      </c>
    </row>
    <row r="1733" spans="1:7">
      <c r="A1733" s="1">
        <f>HYPERLINK("https://cms.ls-nyc.org/matter/dynamic-profile/view/1893854","19-1893854")</f>
        <v>0</v>
      </c>
      <c r="B1733" t="s">
        <v>8</v>
      </c>
      <c r="C1733" t="s">
        <v>12</v>
      </c>
      <c r="E1733" t="s">
        <v>14</v>
      </c>
      <c r="G1733" t="s">
        <v>17</v>
      </c>
    </row>
    <row r="1734" spans="1:7">
      <c r="A1734" s="1">
        <f>HYPERLINK("https://cms.ls-nyc.org/matter/dynamic-profile/view/1875806","18-1875806")</f>
        <v>0</v>
      </c>
      <c r="B1734" t="s">
        <v>9</v>
      </c>
      <c r="G1734" t="s">
        <v>16</v>
      </c>
    </row>
    <row r="1735" spans="1:7">
      <c r="A1735" s="1">
        <f>HYPERLINK("https://cms.ls-nyc.org/matter/dynamic-profile/view/1877511","18-1877511")</f>
        <v>0</v>
      </c>
      <c r="B1735" t="s">
        <v>8</v>
      </c>
      <c r="E1735" t="s">
        <v>14</v>
      </c>
      <c r="G1735" t="s">
        <v>17</v>
      </c>
    </row>
    <row r="1736" spans="1:7">
      <c r="A1736" s="1">
        <f>HYPERLINK("https://cms.ls-nyc.org/matter/dynamic-profile/view/1871508","18-1871508")</f>
        <v>0</v>
      </c>
      <c r="B1736" t="s">
        <v>7</v>
      </c>
      <c r="G1736" t="s">
        <v>16</v>
      </c>
    </row>
    <row r="1737" spans="1:7">
      <c r="A1737" s="1">
        <f>HYPERLINK("https://cms.ls-nyc.org/matter/dynamic-profile/view/1888681","19-1888681")</f>
        <v>0</v>
      </c>
      <c r="B1737" t="s">
        <v>11</v>
      </c>
      <c r="G1737" t="s">
        <v>16</v>
      </c>
    </row>
    <row r="1738" spans="1:7">
      <c r="A1738" s="1">
        <f>HYPERLINK("https://cms.ls-nyc.org/matter/dynamic-profile/view/1896270","19-1896270")</f>
        <v>0</v>
      </c>
      <c r="B1738" t="s">
        <v>7</v>
      </c>
      <c r="G1738" t="s">
        <v>16</v>
      </c>
    </row>
    <row r="1739" spans="1:7">
      <c r="A1739" s="1">
        <f>HYPERLINK("https://cms.ls-nyc.org/matter/dynamic-profile/view/1897145","19-1897145")</f>
        <v>0</v>
      </c>
      <c r="B1739" t="s">
        <v>9</v>
      </c>
      <c r="G1739" t="s">
        <v>16</v>
      </c>
    </row>
    <row r="1740" spans="1:7">
      <c r="A1740" s="1">
        <f>HYPERLINK("https://cms.ls-nyc.org/matter/dynamic-profile/view/1897591","19-1897591")</f>
        <v>0</v>
      </c>
      <c r="B1740" t="s">
        <v>9</v>
      </c>
      <c r="G1740" t="s">
        <v>16</v>
      </c>
    </row>
    <row r="1741" spans="1:7">
      <c r="A1741" s="1">
        <f>HYPERLINK("https://cms.ls-nyc.org/matter/dynamic-profile/view/1895534","19-1895534")</f>
        <v>0</v>
      </c>
      <c r="B1741" t="s">
        <v>11</v>
      </c>
      <c r="G1741" t="s">
        <v>16</v>
      </c>
    </row>
    <row r="1742" spans="1:7">
      <c r="A1742" s="1">
        <f>HYPERLINK("https://cms.ls-nyc.org/matter/dynamic-profile/view/1885042","18-1885042")</f>
        <v>0</v>
      </c>
      <c r="B1742" t="s">
        <v>9</v>
      </c>
      <c r="G1742" t="s">
        <v>16</v>
      </c>
    </row>
    <row r="1743" spans="1:7">
      <c r="A1743" s="1">
        <f>HYPERLINK("https://cms.ls-nyc.org/matter/dynamic-profile/view/1885045","18-1885045")</f>
        <v>0</v>
      </c>
      <c r="B1743" t="s">
        <v>9</v>
      </c>
      <c r="G1743" t="s">
        <v>16</v>
      </c>
    </row>
    <row r="1744" spans="1:7">
      <c r="A1744" s="1">
        <f>HYPERLINK("https://cms.ls-nyc.org/matter/dynamic-profile/view/1879523","18-1879523")</f>
        <v>0</v>
      </c>
      <c r="B1744" t="s">
        <v>7</v>
      </c>
      <c r="G1744" t="s">
        <v>16</v>
      </c>
    </row>
    <row r="1745" spans="1:7">
      <c r="A1745" s="1">
        <f>HYPERLINK("https://cms.ls-nyc.org/matter/dynamic-profile/view/1884960","18-1884960")</f>
        <v>0</v>
      </c>
      <c r="B1745" t="s">
        <v>9</v>
      </c>
      <c r="G1745" t="s">
        <v>16</v>
      </c>
    </row>
    <row r="1746" spans="1:7">
      <c r="A1746" s="1">
        <f>HYPERLINK("https://cms.ls-nyc.org/matter/dynamic-profile/view/1892251","19-1892251")</f>
        <v>0</v>
      </c>
      <c r="B1746" t="s">
        <v>7</v>
      </c>
      <c r="G1746" t="s">
        <v>16</v>
      </c>
    </row>
    <row r="1747" spans="1:7">
      <c r="A1747" s="1">
        <f>HYPERLINK("https://cms.ls-nyc.org/matter/dynamic-profile/view/1899822","19-1899822")</f>
        <v>0</v>
      </c>
      <c r="B1747" t="s">
        <v>11</v>
      </c>
      <c r="G1747" t="s">
        <v>16</v>
      </c>
    </row>
    <row r="1748" spans="1:7">
      <c r="A1748" s="1">
        <f>HYPERLINK("https://cms.ls-nyc.org/matter/dynamic-profile/view/1872588","18-1872588")</f>
        <v>0</v>
      </c>
      <c r="B1748" t="s">
        <v>9</v>
      </c>
      <c r="G1748" t="s">
        <v>16</v>
      </c>
    </row>
    <row r="1749" spans="1:7">
      <c r="A1749" s="1">
        <f>HYPERLINK("https://cms.ls-nyc.org/matter/dynamic-profile/view/1877587","18-1877587")</f>
        <v>0</v>
      </c>
      <c r="B1749" t="s">
        <v>7</v>
      </c>
      <c r="G1749" t="s">
        <v>16</v>
      </c>
    </row>
    <row r="1750" spans="1:7">
      <c r="A1750" s="1">
        <f>HYPERLINK("https://cms.ls-nyc.org/matter/dynamic-profile/view/1895467","19-1895467")</f>
        <v>0</v>
      </c>
      <c r="B1750" t="s">
        <v>8</v>
      </c>
      <c r="G1750" t="s">
        <v>16</v>
      </c>
    </row>
    <row r="1751" spans="1:7">
      <c r="A1751" s="1">
        <f>HYPERLINK("https://cms.ls-nyc.org/matter/dynamic-profile/view/1895470","19-1895470")</f>
        <v>0</v>
      </c>
      <c r="B1751" t="s">
        <v>8</v>
      </c>
      <c r="G1751" t="s">
        <v>16</v>
      </c>
    </row>
    <row r="1752" spans="1:7">
      <c r="A1752" s="1">
        <f>HYPERLINK("https://cms.ls-nyc.org/matter/dynamic-profile/view/1874579","18-1874579")</f>
        <v>0</v>
      </c>
      <c r="B1752" t="s">
        <v>11</v>
      </c>
      <c r="G1752" t="s">
        <v>16</v>
      </c>
    </row>
    <row r="1753" spans="1:7">
      <c r="A1753" s="1">
        <f>HYPERLINK("https://cms.ls-nyc.org/matter/dynamic-profile/view/1878023","18-1878023")</f>
        <v>0</v>
      </c>
      <c r="B1753" t="s">
        <v>10</v>
      </c>
      <c r="G1753" t="s">
        <v>16</v>
      </c>
    </row>
    <row r="1754" spans="1:7">
      <c r="A1754" s="1">
        <f>HYPERLINK("https://cms.ls-nyc.org/matter/dynamic-profile/view/1889136","19-1889136")</f>
        <v>0</v>
      </c>
      <c r="B1754" t="s">
        <v>11</v>
      </c>
      <c r="G1754" t="s">
        <v>16</v>
      </c>
    </row>
    <row r="1755" spans="1:7">
      <c r="A1755" s="1">
        <f>HYPERLINK("https://cms.ls-nyc.org/matter/dynamic-profile/view/1882221","18-1882221")</f>
        <v>0</v>
      </c>
      <c r="B1755" t="s">
        <v>7</v>
      </c>
      <c r="F1755" t="s">
        <v>15</v>
      </c>
      <c r="G1755" t="s">
        <v>17</v>
      </c>
    </row>
    <row r="1756" spans="1:7">
      <c r="A1756" s="1">
        <f>HYPERLINK("https://cms.ls-nyc.org/matter/dynamic-profile/view/1888138","19-1888138")</f>
        <v>0</v>
      </c>
      <c r="B1756" t="s">
        <v>8</v>
      </c>
      <c r="G1756" t="s">
        <v>16</v>
      </c>
    </row>
    <row r="1757" spans="1:7">
      <c r="A1757" s="1">
        <f>HYPERLINK("https://cms.ls-nyc.org/matter/dynamic-profile/view/1882850","18-1882850")</f>
        <v>0</v>
      </c>
      <c r="B1757" t="s">
        <v>8</v>
      </c>
      <c r="G1757" t="s">
        <v>16</v>
      </c>
    </row>
    <row r="1758" spans="1:7">
      <c r="A1758" s="1">
        <f>HYPERLINK("https://cms.ls-nyc.org/matter/dynamic-profile/view/1877938","18-1877938")</f>
        <v>0</v>
      </c>
      <c r="B1758" t="s">
        <v>7</v>
      </c>
      <c r="G1758" t="s">
        <v>16</v>
      </c>
    </row>
    <row r="1759" spans="1:7">
      <c r="A1759" s="1">
        <f>HYPERLINK("https://cms.ls-nyc.org/matter/dynamic-profile/view/1884301","18-1884301")</f>
        <v>0</v>
      </c>
      <c r="B1759" t="s">
        <v>9</v>
      </c>
      <c r="G1759" t="s">
        <v>16</v>
      </c>
    </row>
    <row r="1760" spans="1:7">
      <c r="A1760" s="1">
        <f>HYPERLINK("https://cms.ls-nyc.org/matter/dynamic-profile/view/1874084","18-1874084")</f>
        <v>0</v>
      </c>
      <c r="B1760" t="s">
        <v>9</v>
      </c>
      <c r="G1760" t="s">
        <v>16</v>
      </c>
    </row>
    <row r="1761" spans="1:7">
      <c r="A1761" s="1">
        <f>HYPERLINK("https://cms.ls-nyc.org/matter/dynamic-profile/view/1877654","18-1877654")</f>
        <v>0</v>
      </c>
      <c r="B1761" t="s">
        <v>9</v>
      </c>
      <c r="G1761" t="s">
        <v>16</v>
      </c>
    </row>
    <row r="1762" spans="1:7">
      <c r="A1762" s="1">
        <f>HYPERLINK("https://cms.ls-nyc.org/matter/dynamic-profile/view/1874704","18-1874704")</f>
        <v>0</v>
      </c>
      <c r="B1762" t="s">
        <v>9</v>
      </c>
      <c r="G1762" t="s">
        <v>16</v>
      </c>
    </row>
    <row r="1763" spans="1:7">
      <c r="A1763" s="1">
        <f>HYPERLINK("https://cms.ls-nyc.org/matter/dynamic-profile/view/1876457","18-1876457")</f>
        <v>0</v>
      </c>
      <c r="B1763" t="s">
        <v>9</v>
      </c>
      <c r="G1763" t="s">
        <v>16</v>
      </c>
    </row>
    <row r="1764" spans="1:7">
      <c r="A1764" s="1">
        <f>HYPERLINK("https://cms.ls-nyc.org/matter/dynamic-profile/view/1898681","19-1898681")</f>
        <v>0</v>
      </c>
      <c r="B1764" t="s">
        <v>7</v>
      </c>
      <c r="G1764" t="s">
        <v>16</v>
      </c>
    </row>
    <row r="1765" spans="1:7">
      <c r="A1765" s="1">
        <f>HYPERLINK("https://cms.ls-nyc.org/matter/dynamic-profile/view/1876334","18-1876334")</f>
        <v>0</v>
      </c>
      <c r="B1765" t="s">
        <v>11</v>
      </c>
      <c r="G1765" t="s">
        <v>16</v>
      </c>
    </row>
    <row r="1766" spans="1:7">
      <c r="A1766" s="1">
        <f>HYPERLINK("https://cms.ls-nyc.org/matter/dynamic-profile/view/1887095","19-1887095")</f>
        <v>0</v>
      </c>
      <c r="B1766" t="s">
        <v>8</v>
      </c>
      <c r="G1766" t="s">
        <v>16</v>
      </c>
    </row>
    <row r="1767" spans="1:7">
      <c r="A1767" s="1">
        <f>HYPERLINK("https://cms.ls-nyc.org/matter/dynamic-profile/view/1860004","18-1860004")</f>
        <v>0</v>
      </c>
      <c r="B1767" t="s">
        <v>9</v>
      </c>
      <c r="G1767" t="s">
        <v>16</v>
      </c>
    </row>
    <row r="1768" spans="1:7">
      <c r="A1768" s="1">
        <f>HYPERLINK("https://cms.ls-nyc.org/matter/dynamic-profile/view/1889309","19-1889309")</f>
        <v>0</v>
      </c>
      <c r="B1768" t="s">
        <v>7</v>
      </c>
      <c r="G1768" t="s">
        <v>16</v>
      </c>
    </row>
    <row r="1769" spans="1:7">
      <c r="A1769" s="1">
        <f>HYPERLINK("https://cms.ls-nyc.org/matter/dynamic-profile/view/1894904","19-1894904")</f>
        <v>0</v>
      </c>
      <c r="B1769" t="s">
        <v>9</v>
      </c>
      <c r="G1769" t="s">
        <v>16</v>
      </c>
    </row>
    <row r="1770" spans="1:7">
      <c r="A1770" s="1">
        <f>HYPERLINK("https://cms.ls-nyc.org/matter/dynamic-profile/view/1893351","19-1893351")</f>
        <v>0</v>
      </c>
      <c r="B1770" t="s">
        <v>9</v>
      </c>
      <c r="G1770" t="s">
        <v>16</v>
      </c>
    </row>
    <row r="1771" spans="1:7">
      <c r="A1771" s="1">
        <f>HYPERLINK("https://cms.ls-nyc.org/matter/dynamic-profile/view/1897239","19-1897239")</f>
        <v>0</v>
      </c>
      <c r="B1771" t="s">
        <v>11</v>
      </c>
      <c r="G1771" t="s">
        <v>16</v>
      </c>
    </row>
    <row r="1772" spans="1:7">
      <c r="A1772" s="1">
        <f>HYPERLINK("https://cms.ls-nyc.org/matter/dynamic-profile/view/1873617","18-1873617")</f>
        <v>0</v>
      </c>
      <c r="B1772" t="s">
        <v>8</v>
      </c>
      <c r="G1772" t="s">
        <v>16</v>
      </c>
    </row>
    <row r="1773" spans="1:7">
      <c r="A1773" s="1">
        <f>HYPERLINK("https://cms.ls-nyc.org/matter/dynamic-profile/view/1891536","19-1891536")</f>
        <v>0</v>
      </c>
      <c r="B1773" t="s">
        <v>8</v>
      </c>
      <c r="G1773" t="s">
        <v>16</v>
      </c>
    </row>
    <row r="1774" spans="1:7">
      <c r="A1774" s="1">
        <f>HYPERLINK("https://cms.ls-nyc.org/matter/dynamic-profile/view/1885707","18-1885707")</f>
        <v>0</v>
      </c>
      <c r="B1774" t="s">
        <v>11</v>
      </c>
      <c r="G1774" t="s">
        <v>16</v>
      </c>
    </row>
    <row r="1775" spans="1:7">
      <c r="A1775" s="1">
        <f>HYPERLINK("https://cms.ls-nyc.org/matter/dynamic-profile/view/1894291","19-1894291")</f>
        <v>0</v>
      </c>
      <c r="B1775" t="s">
        <v>9</v>
      </c>
      <c r="G1775" t="s">
        <v>16</v>
      </c>
    </row>
    <row r="1776" spans="1:7">
      <c r="A1776" s="1">
        <f>HYPERLINK("https://cms.ls-nyc.org/matter/dynamic-profile/view/1886780","19-1886780")</f>
        <v>0</v>
      </c>
      <c r="B1776" t="s">
        <v>8</v>
      </c>
      <c r="G1776" t="s">
        <v>16</v>
      </c>
    </row>
    <row r="1777" spans="1:7">
      <c r="A1777" s="1">
        <f>HYPERLINK("https://cms.ls-nyc.org/matter/dynamic-profile/view/1886501","18-1886501")</f>
        <v>0</v>
      </c>
      <c r="B1777" t="s">
        <v>8</v>
      </c>
      <c r="G1777" t="s">
        <v>16</v>
      </c>
    </row>
    <row r="1778" spans="1:7">
      <c r="A1778" s="1">
        <f>HYPERLINK("https://cms.ls-nyc.org/matter/dynamic-profile/view/1899120","19-1899120")</f>
        <v>0</v>
      </c>
      <c r="B1778" t="s">
        <v>9</v>
      </c>
      <c r="G1778" t="s">
        <v>16</v>
      </c>
    </row>
    <row r="1779" spans="1:7">
      <c r="A1779" s="1">
        <f>HYPERLINK("https://cms.ls-nyc.org/matter/dynamic-profile/view/1887998","19-1887998")</f>
        <v>0</v>
      </c>
      <c r="B1779" t="s">
        <v>11</v>
      </c>
      <c r="G1779" t="s">
        <v>16</v>
      </c>
    </row>
    <row r="1780" spans="1:7">
      <c r="A1780" s="1">
        <f>HYPERLINK("https://cms.ls-nyc.org/matter/dynamic-profile/view/1871620","18-1871620")</f>
        <v>0</v>
      </c>
      <c r="B1780" t="s">
        <v>10</v>
      </c>
      <c r="G1780" t="s">
        <v>16</v>
      </c>
    </row>
    <row r="1781" spans="1:7">
      <c r="A1781" s="1">
        <f>HYPERLINK("https://cms.ls-nyc.org/matter/dynamic-profile/view/1887313","19-1887313")</f>
        <v>0</v>
      </c>
      <c r="B1781" t="s">
        <v>10</v>
      </c>
      <c r="G1781" t="s">
        <v>16</v>
      </c>
    </row>
    <row r="1782" spans="1:7">
      <c r="A1782" s="1">
        <f>HYPERLINK("https://cms.ls-nyc.org/matter/dynamic-profile/view/1884699","18-1884699")</f>
        <v>0</v>
      </c>
      <c r="B1782" t="s">
        <v>9</v>
      </c>
      <c r="G1782" t="s">
        <v>16</v>
      </c>
    </row>
    <row r="1783" spans="1:7">
      <c r="A1783" s="1">
        <f>HYPERLINK("https://cms.ls-nyc.org/matter/dynamic-profile/view/1880203","18-1880203")</f>
        <v>0</v>
      </c>
      <c r="B1783" t="s">
        <v>11</v>
      </c>
      <c r="G1783" t="s">
        <v>16</v>
      </c>
    </row>
    <row r="1784" spans="1:7">
      <c r="A1784" s="1">
        <f>HYPERLINK("https://cms.ls-nyc.org/matter/dynamic-profile/view/1894185","19-1894185")</f>
        <v>0</v>
      </c>
      <c r="B1784" t="s">
        <v>8</v>
      </c>
      <c r="G1784" t="s">
        <v>16</v>
      </c>
    </row>
    <row r="1785" spans="1:7">
      <c r="A1785" s="1">
        <f>HYPERLINK("https://cms.ls-nyc.org/matter/dynamic-profile/view/1881333","18-1881333")</f>
        <v>0</v>
      </c>
      <c r="B1785" t="s">
        <v>7</v>
      </c>
      <c r="G1785" t="s">
        <v>16</v>
      </c>
    </row>
    <row r="1786" spans="1:7">
      <c r="A1786" s="1">
        <f>HYPERLINK("https://cms.ls-nyc.org/matter/dynamic-profile/view/1884298","18-1884298")</f>
        <v>0</v>
      </c>
      <c r="B1786" t="s">
        <v>8</v>
      </c>
      <c r="G1786" t="s">
        <v>16</v>
      </c>
    </row>
    <row r="1787" spans="1:7">
      <c r="A1787" s="1">
        <f>HYPERLINK("https://cms.ls-nyc.org/matter/dynamic-profile/view/1889313","19-1889313")</f>
        <v>0</v>
      </c>
      <c r="B1787" t="s">
        <v>11</v>
      </c>
      <c r="G1787" t="s">
        <v>16</v>
      </c>
    </row>
    <row r="1788" spans="1:7">
      <c r="A1788" s="1">
        <f>HYPERLINK("https://cms.ls-nyc.org/matter/dynamic-profile/view/1900574","19-1900574")</f>
        <v>0</v>
      </c>
      <c r="B1788" t="s">
        <v>11</v>
      </c>
      <c r="G1788" t="s">
        <v>16</v>
      </c>
    </row>
    <row r="1789" spans="1:7">
      <c r="A1789" s="1">
        <f>HYPERLINK("https://cms.ls-nyc.org/matter/dynamic-profile/view/1885608","18-1885608")</f>
        <v>0</v>
      </c>
      <c r="B1789" t="s">
        <v>8</v>
      </c>
      <c r="G1789" t="s">
        <v>16</v>
      </c>
    </row>
    <row r="1790" spans="1:7">
      <c r="A1790" s="1">
        <f>HYPERLINK("https://cms.ls-nyc.org/matter/dynamic-profile/view/1889603","19-1889603")</f>
        <v>0</v>
      </c>
      <c r="B1790" t="s">
        <v>11</v>
      </c>
      <c r="G1790" t="s">
        <v>16</v>
      </c>
    </row>
    <row r="1791" spans="1:7">
      <c r="A1791" s="1">
        <f>HYPERLINK("https://cms.ls-nyc.org/matter/dynamic-profile/view/1860318","18-1860318")</f>
        <v>0</v>
      </c>
      <c r="B1791" t="s">
        <v>8</v>
      </c>
      <c r="G1791" t="s">
        <v>16</v>
      </c>
    </row>
    <row r="1792" spans="1:7">
      <c r="A1792" s="1">
        <f>HYPERLINK("https://cms.ls-nyc.org/matter/dynamic-profile/view/1871413","18-1871413")</f>
        <v>0</v>
      </c>
      <c r="B1792" t="s">
        <v>9</v>
      </c>
      <c r="G1792" t="s">
        <v>16</v>
      </c>
    </row>
    <row r="1793" spans="1:7">
      <c r="A1793" s="1">
        <f>HYPERLINK("https://cms.ls-nyc.org/matter/dynamic-profile/view/1871411","18-1871411")</f>
        <v>0</v>
      </c>
      <c r="B1793" t="s">
        <v>9</v>
      </c>
      <c r="G1793" t="s">
        <v>16</v>
      </c>
    </row>
    <row r="1794" spans="1:7">
      <c r="A1794" s="1">
        <f>HYPERLINK("https://cms.ls-nyc.org/matter/dynamic-profile/view/1876811","18-1876811")</f>
        <v>0</v>
      </c>
      <c r="B1794" t="s">
        <v>9</v>
      </c>
      <c r="G1794" t="s">
        <v>16</v>
      </c>
    </row>
    <row r="1795" spans="1:7">
      <c r="A1795" s="1">
        <f>HYPERLINK("https://cms.ls-nyc.org/matter/dynamic-profile/view/1886108","18-1886108")</f>
        <v>0</v>
      </c>
      <c r="B1795" t="s">
        <v>9</v>
      </c>
      <c r="G1795" t="s">
        <v>16</v>
      </c>
    </row>
    <row r="1796" spans="1:7">
      <c r="A1796" s="1">
        <f>HYPERLINK("https://cms.ls-nyc.org/matter/dynamic-profile/view/1876810","18-1876810")</f>
        <v>0</v>
      </c>
      <c r="B1796" t="s">
        <v>9</v>
      </c>
      <c r="G1796" t="s">
        <v>16</v>
      </c>
    </row>
    <row r="1797" spans="1:7">
      <c r="A1797" s="1">
        <f>HYPERLINK("https://cms.ls-nyc.org/matter/dynamic-profile/view/1885973","18-1885973")</f>
        <v>0</v>
      </c>
      <c r="B1797" t="s">
        <v>10</v>
      </c>
      <c r="G1797" t="s">
        <v>16</v>
      </c>
    </row>
    <row r="1798" spans="1:7">
      <c r="A1798" s="1">
        <f>HYPERLINK("https://cms.ls-nyc.org/matter/dynamic-profile/view/1887304","19-1887304")</f>
        <v>0</v>
      </c>
      <c r="B1798" t="s">
        <v>11</v>
      </c>
      <c r="G1798" t="s">
        <v>16</v>
      </c>
    </row>
    <row r="1799" spans="1:7">
      <c r="A1799" s="1">
        <f>HYPERLINK("https://cms.ls-nyc.org/matter/dynamic-profile/view/1886359","18-1886359")</f>
        <v>0</v>
      </c>
      <c r="B1799" t="s">
        <v>8</v>
      </c>
      <c r="F1799" t="s">
        <v>15</v>
      </c>
      <c r="G1799" t="s">
        <v>17</v>
      </c>
    </row>
    <row r="1800" spans="1:7">
      <c r="A1800" s="1">
        <f>HYPERLINK("https://cms.ls-nyc.org/matter/dynamic-profile/view/1872469","18-1872469")</f>
        <v>0</v>
      </c>
      <c r="B1800" t="s">
        <v>11</v>
      </c>
      <c r="F1800" t="s">
        <v>15</v>
      </c>
      <c r="G1800" t="s">
        <v>17</v>
      </c>
    </row>
    <row r="1801" spans="1:7">
      <c r="A1801" s="1">
        <f>HYPERLINK("https://cms.ls-nyc.org/matter/dynamic-profile/view/1897803","19-1897803")</f>
        <v>0</v>
      </c>
      <c r="B1801" t="s">
        <v>11</v>
      </c>
      <c r="G1801" t="s">
        <v>16</v>
      </c>
    </row>
    <row r="1802" spans="1:7">
      <c r="A1802" s="1">
        <f>HYPERLINK("https://cms.ls-nyc.org/matter/dynamic-profile/view/1874181","18-1874181")</f>
        <v>0</v>
      </c>
      <c r="B1802" t="s">
        <v>9</v>
      </c>
      <c r="F1802" t="s">
        <v>15</v>
      </c>
      <c r="G1802" t="s">
        <v>17</v>
      </c>
    </row>
    <row r="1803" spans="1:7">
      <c r="A1803" s="1">
        <f>HYPERLINK("https://cms.ls-nyc.org/matter/dynamic-profile/view/1896760","19-1896760")</f>
        <v>0</v>
      </c>
      <c r="B1803" t="s">
        <v>8</v>
      </c>
      <c r="E1803" t="s">
        <v>14</v>
      </c>
      <c r="G1803" t="s">
        <v>17</v>
      </c>
    </row>
    <row r="1804" spans="1:7">
      <c r="A1804" s="1">
        <f>HYPERLINK("https://cms.ls-nyc.org/matter/dynamic-profile/view/1896764","19-1896764")</f>
        <v>0</v>
      </c>
      <c r="B1804" t="s">
        <v>8</v>
      </c>
      <c r="E1804" t="s">
        <v>14</v>
      </c>
      <c r="G1804" t="s">
        <v>17</v>
      </c>
    </row>
    <row r="1805" spans="1:7">
      <c r="A1805" s="1">
        <f>HYPERLINK("https://cms.ls-nyc.org/matter/dynamic-profile/view/1896750","19-1896750")</f>
        <v>0</v>
      </c>
      <c r="B1805" t="s">
        <v>8</v>
      </c>
      <c r="E1805" t="s">
        <v>14</v>
      </c>
      <c r="G1805" t="s">
        <v>17</v>
      </c>
    </row>
    <row r="1806" spans="1:7">
      <c r="A1806" s="1">
        <f>HYPERLINK("https://cms.ls-nyc.org/matter/dynamic-profile/view/1896757","19-1896757")</f>
        <v>0</v>
      </c>
      <c r="B1806" t="s">
        <v>8</v>
      </c>
      <c r="E1806" t="s">
        <v>14</v>
      </c>
      <c r="G1806" t="s">
        <v>17</v>
      </c>
    </row>
    <row r="1807" spans="1:7">
      <c r="A1807" s="1">
        <f>HYPERLINK("https://cms.ls-nyc.org/matter/dynamic-profile/view/1895557","19-1895557")</f>
        <v>0</v>
      </c>
      <c r="B1807" t="s">
        <v>8</v>
      </c>
      <c r="G1807" t="s">
        <v>16</v>
      </c>
    </row>
    <row r="1808" spans="1:7">
      <c r="A1808" s="1">
        <f>HYPERLINK("https://cms.ls-nyc.org/matter/dynamic-profile/view/1885393","18-1885393")</f>
        <v>0</v>
      </c>
      <c r="B1808" t="s">
        <v>8</v>
      </c>
      <c r="G1808" t="s">
        <v>16</v>
      </c>
    </row>
    <row r="1809" spans="1:7">
      <c r="A1809" s="1">
        <f>HYPERLINK("https://cms.ls-nyc.org/matter/dynamic-profile/view/1885656","18-1885656")</f>
        <v>0</v>
      </c>
      <c r="B1809" t="s">
        <v>9</v>
      </c>
      <c r="G1809" t="s">
        <v>16</v>
      </c>
    </row>
    <row r="1810" spans="1:7">
      <c r="A1810" s="1">
        <f>HYPERLINK("https://cms.ls-nyc.org/matter/dynamic-profile/view/1883104","18-1883104")</f>
        <v>0</v>
      </c>
      <c r="B1810" t="s">
        <v>9</v>
      </c>
      <c r="G1810" t="s">
        <v>16</v>
      </c>
    </row>
    <row r="1811" spans="1:7">
      <c r="A1811" s="1">
        <f>HYPERLINK("https://cms.ls-nyc.org/matter/dynamic-profile/view/1883362","18-1883362")</f>
        <v>0</v>
      </c>
      <c r="B1811" t="s">
        <v>9</v>
      </c>
      <c r="G1811" t="s">
        <v>16</v>
      </c>
    </row>
    <row r="1812" spans="1:7">
      <c r="A1812" s="1">
        <f>HYPERLINK("https://cms.ls-nyc.org/matter/dynamic-profile/view/1877225","18-1877225")</f>
        <v>0</v>
      </c>
      <c r="B1812" t="s">
        <v>9</v>
      </c>
      <c r="G1812" t="s">
        <v>16</v>
      </c>
    </row>
    <row r="1813" spans="1:7">
      <c r="A1813" s="1">
        <f>HYPERLINK("https://cms.ls-nyc.org/matter/dynamic-profile/view/1860309","18-1860309")</f>
        <v>0</v>
      </c>
      <c r="B1813" t="s">
        <v>8</v>
      </c>
      <c r="G1813" t="s">
        <v>16</v>
      </c>
    </row>
    <row r="1814" spans="1:7">
      <c r="A1814" s="1">
        <f>HYPERLINK("https://cms.ls-nyc.org/matter/dynamic-profile/view/1874714","18-1874714")</f>
        <v>0</v>
      </c>
      <c r="B1814" t="s">
        <v>11</v>
      </c>
      <c r="G1814" t="s">
        <v>16</v>
      </c>
    </row>
    <row r="1815" spans="1:7">
      <c r="A1815" s="1">
        <f>HYPERLINK("https://cms.ls-nyc.org/matter/dynamic-profile/view/1883424","18-1883424")</f>
        <v>0</v>
      </c>
      <c r="B1815" t="s">
        <v>9</v>
      </c>
      <c r="G1815" t="s">
        <v>16</v>
      </c>
    </row>
    <row r="1816" spans="1:7">
      <c r="A1816" s="1">
        <f>HYPERLINK("https://cms.ls-nyc.org/matter/dynamic-profile/view/1872494","18-1872494")</f>
        <v>0</v>
      </c>
      <c r="B1816" t="s">
        <v>11</v>
      </c>
      <c r="G1816" t="s">
        <v>16</v>
      </c>
    </row>
    <row r="1817" spans="1:7">
      <c r="A1817" s="1">
        <f>HYPERLINK("https://cms.ls-nyc.org/matter/dynamic-profile/view/1898707","19-1898707")</f>
        <v>0</v>
      </c>
      <c r="B1817" t="s">
        <v>11</v>
      </c>
      <c r="G1817" t="s">
        <v>16</v>
      </c>
    </row>
    <row r="1818" spans="1:7">
      <c r="A1818" s="1">
        <f>HYPERLINK("https://cms.ls-nyc.org/matter/dynamic-profile/view/1889861","19-1889861")</f>
        <v>0</v>
      </c>
      <c r="B1818" t="s">
        <v>11</v>
      </c>
      <c r="G1818" t="s">
        <v>16</v>
      </c>
    </row>
    <row r="1819" spans="1:7">
      <c r="A1819" s="1">
        <f>HYPERLINK("https://cms.ls-nyc.org/matter/dynamic-profile/view/1889917","19-1889917")</f>
        <v>0</v>
      </c>
      <c r="B1819" t="s">
        <v>11</v>
      </c>
      <c r="G1819" t="s">
        <v>16</v>
      </c>
    </row>
    <row r="1820" spans="1:7">
      <c r="A1820" s="1">
        <f>HYPERLINK("https://cms.ls-nyc.org/matter/dynamic-profile/view/1880608","18-1880608")</f>
        <v>0</v>
      </c>
      <c r="B1820" t="s">
        <v>9</v>
      </c>
      <c r="G1820" t="s">
        <v>16</v>
      </c>
    </row>
    <row r="1821" spans="1:7">
      <c r="A1821" s="1">
        <f>HYPERLINK("https://cms.ls-nyc.org/matter/dynamic-profile/view/1897238","19-1897238")</f>
        <v>0</v>
      </c>
      <c r="B1821" t="s">
        <v>7</v>
      </c>
      <c r="G1821" t="s">
        <v>16</v>
      </c>
    </row>
    <row r="1822" spans="1:7">
      <c r="A1822" s="1">
        <f>HYPERLINK("https://cms.ls-nyc.org/matter/dynamic-profile/view/1892967","19-1892967")</f>
        <v>0</v>
      </c>
      <c r="B1822" t="s">
        <v>8</v>
      </c>
      <c r="G1822" t="s">
        <v>16</v>
      </c>
    </row>
    <row r="1823" spans="1:7">
      <c r="A1823" s="1">
        <f>HYPERLINK("https://cms.ls-nyc.org/matter/dynamic-profile/view/1893440","19-1893440")</f>
        <v>0</v>
      </c>
      <c r="B1823" t="s">
        <v>9</v>
      </c>
      <c r="F1823" t="s">
        <v>15</v>
      </c>
      <c r="G1823" t="s">
        <v>17</v>
      </c>
    </row>
    <row r="1824" spans="1:7">
      <c r="A1824" s="1">
        <f>HYPERLINK("https://cms.ls-nyc.org/matter/dynamic-profile/view/1886947","19-1886947")</f>
        <v>0</v>
      </c>
      <c r="B1824" t="s">
        <v>11</v>
      </c>
      <c r="G1824" t="s">
        <v>16</v>
      </c>
    </row>
    <row r="1825" spans="1:7">
      <c r="A1825" s="1">
        <f>HYPERLINK("https://cms.ls-nyc.org/matter/dynamic-profile/view/1895215","19-1895215")</f>
        <v>0</v>
      </c>
      <c r="B1825" t="s">
        <v>8</v>
      </c>
      <c r="G1825" t="s">
        <v>16</v>
      </c>
    </row>
    <row r="1826" spans="1:7">
      <c r="A1826" s="1">
        <f>HYPERLINK("https://cms.ls-nyc.org/matter/dynamic-profile/view/1885366","18-1885366")</f>
        <v>0</v>
      </c>
      <c r="B1826" t="s">
        <v>11</v>
      </c>
      <c r="G1826" t="s">
        <v>16</v>
      </c>
    </row>
    <row r="1827" spans="1:7">
      <c r="A1827" s="1">
        <f>HYPERLINK("https://cms.ls-nyc.org/matter/dynamic-profile/view/1898967","19-1898967")</f>
        <v>0</v>
      </c>
      <c r="B1827" t="s">
        <v>7</v>
      </c>
      <c r="G1827" t="s">
        <v>16</v>
      </c>
    </row>
    <row r="1828" spans="1:7">
      <c r="A1828" s="1">
        <f>HYPERLINK("https://cms.ls-nyc.org/matter/dynamic-profile/view/1893763","19-1893763")</f>
        <v>0</v>
      </c>
      <c r="B1828" t="s">
        <v>8</v>
      </c>
      <c r="C1828" t="s">
        <v>12</v>
      </c>
      <c r="E1828" t="s">
        <v>14</v>
      </c>
      <c r="F1828" t="s">
        <v>15</v>
      </c>
      <c r="G1828" t="s">
        <v>17</v>
      </c>
    </row>
    <row r="1829" spans="1:7">
      <c r="A1829" s="1">
        <f>HYPERLINK("https://cms.ls-nyc.org/matter/dynamic-profile/view/1889638","19-1889638")</f>
        <v>0</v>
      </c>
      <c r="B1829" t="s">
        <v>11</v>
      </c>
      <c r="G1829" t="s">
        <v>16</v>
      </c>
    </row>
    <row r="1830" spans="1:7">
      <c r="A1830" s="1">
        <f>HYPERLINK("https://cms.ls-nyc.org/matter/dynamic-profile/view/1866406","18-1866406")</f>
        <v>0</v>
      </c>
      <c r="B1830" t="s">
        <v>8</v>
      </c>
      <c r="G1830" t="s">
        <v>16</v>
      </c>
    </row>
    <row r="1831" spans="1:7">
      <c r="A1831" s="1">
        <f>HYPERLINK("https://cms.ls-nyc.org/matter/dynamic-profile/view/1900879","19-1900879")</f>
        <v>0</v>
      </c>
      <c r="B1831" t="s">
        <v>7</v>
      </c>
      <c r="E1831" t="s">
        <v>14</v>
      </c>
      <c r="G1831" t="s">
        <v>17</v>
      </c>
    </row>
    <row r="1832" spans="1:7">
      <c r="A1832" s="1">
        <f>HYPERLINK("https://cms.ls-nyc.org/matter/dynamic-profile/view/1873845","18-1873845")</f>
        <v>0</v>
      </c>
      <c r="B1832" t="s">
        <v>11</v>
      </c>
      <c r="G1832" t="s">
        <v>16</v>
      </c>
    </row>
    <row r="1833" spans="1:7">
      <c r="A1833" s="1">
        <f>HYPERLINK("https://cms.ls-nyc.org/matter/dynamic-profile/view/1891140","19-1891140")</f>
        <v>0</v>
      </c>
      <c r="B1833" t="s">
        <v>8</v>
      </c>
      <c r="G1833" t="s">
        <v>16</v>
      </c>
    </row>
    <row r="1834" spans="1:7">
      <c r="A1834" s="1">
        <f>HYPERLINK("https://cms.ls-nyc.org/matter/dynamic-profile/view/1900473","19-1900473")</f>
        <v>0</v>
      </c>
      <c r="B1834" t="s">
        <v>8</v>
      </c>
      <c r="C1834" t="s">
        <v>12</v>
      </c>
      <c r="E1834" t="s">
        <v>14</v>
      </c>
      <c r="G1834" t="s">
        <v>17</v>
      </c>
    </row>
    <row r="1835" spans="1:7">
      <c r="A1835" s="1">
        <f>HYPERLINK("https://cms.ls-nyc.org/matter/dynamic-profile/view/1888376","19-1888376")</f>
        <v>0</v>
      </c>
      <c r="B1835" t="s">
        <v>9</v>
      </c>
      <c r="G1835" t="s">
        <v>16</v>
      </c>
    </row>
    <row r="1836" spans="1:7">
      <c r="A1836" s="1">
        <f>HYPERLINK("https://cms.ls-nyc.org/matter/dynamic-profile/view/1875390","18-1875390")</f>
        <v>0</v>
      </c>
      <c r="B1836" t="s">
        <v>8</v>
      </c>
      <c r="G1836" t="s">
        <v>16</v>
      </c>
    </row>
    <row r="1837" spans="1:7">
      <c r="A1837" s="1">
        <f>HYPERLINK("https://cms.ls-nyc.org/matter/dynamic-profile/view/1889539","19-1889539")</f>
        <v>0</v>
      </c>
      <c r="B1837" t="s">
        <v>8</v>
      </c>
      <c r="G1837" t="s">
        <v>16</v>
      </c>
    </row>
    <row r="1838" spans="1:7">
      <c r="A1838" s="1">
        <f>HYPERLINK("https://cms.ls-nyc.org/matter/dynamic-profile/view/1890798","19-1890798")</f>
        <v>0</v>
      </c>
      <c r="B1838" t="s">
        <v>8</v>
      </c>
      <c r="G1838" t="s">
        <v>16</v>
      </c>
    </row>
    <row r="1839" spans="1:7">
      <c r="A1839" s="1">
        <f>HYPERLINK("https://cms.ls-nyc.org/matter/dynamic-profile/view/1890807","19-1890807")</f>
        <v>0</v>
      </c>
      <c r="B1839" t="s">
        <v>8</v>
      </c>
      <c r="G1839" t="s">
        <v>16</v>
      </c>
    </row>
    <row r="1840" spans="1:7">
      <c r="A1840" s="1">
        <f>HYPERLINK("https://cms.ls-nyc.org/matter/dynamic-profile/view/1890810","19-1890810")</f>
        <v>0</v>
      </c>
      <c r="B1840" t="s">
        <v>8</v>
      </c>
      <c r="G1840" t="s">
        <v>16</v>
      </c>
    </row>
    <row r="1841" spans="1:7">
      <c r="A1841" s="1">
        <f>HYPERLINK("https://cms.ls-nyc.org/matter/dynamic-profile/view/1892080","19-1892080")</f>
        <v>0</v>
      </c>
      <c r="B1841" t="s">
        <v>8</v>
      </c>
      <c r="E1841" t="s">
        <v>14</v>
      </c>
      <c r="F1841" t="s">
        <v>15</v>
      </c>
      <c r="G1841" t="s">
        <v>17</v>
      </c>
    </row>
    <row r="1842" spans="1:7">
      <c r="A1842" s="1">
        <f>HYPERLINK("https://cms.ls-nyc.org/matter/dynamic-profile/view/1892085","19-1892085")</f>
        <v>0</v>
      </c>
      <c r="B1842" t="s">
        <v>8</v>
      </c>
      <c r="E1842" t="s">
        <v>14</v>
      </c>
      <c r="F1842" t="s">
        <v>15</v>
      </c>
      <c r="G1842" t="s">
        <v>17</v>
      </c>
    </row>
    <row r="1843" spans="1:7">
      <c r="A1843" s="1">
        <f>HYPERLINK("https://cms.ls-nyc.org/matter/dynamic-profile/view/1887065","19-1887065")</f>
        <v>0</v>
      </c>
      <c r="B1843" t="s">
        <v>9</v>
      </c>
      <c r="G1843" t="s">
        <v>16</v>
      </c>
    </row>
    <row r="1844" spans="1:7">
      <c r="A1844" s="1">
        <f>HYPERLINK("https://cms.ls-nyc.org/matter/dynamic-profile/view/1887063","19-1887063")</f>
        <v>0</v>
      </c>
      <c r="B1844" t="s">
        <v>9</v>
      </c>
      <c r="G1844" t="s">
        <v>16</v>
      </c>
    </row>
    <row r="1845" spans="1:7">
      <c r="A1845" s="1">
        <f>HYPERLINK("https://cms.ls-nyc.org/matter/dynamic-profile/view/1887069","19-1887069")</f>
        <v>0</v>
      </c>
      <c r="B1845" t="s">
        <v>9</v>
      </c>
      <c r="G1845" t="s">
        <v>16</v>
      </c>
    </row>
    <row r="1846" spans="1:7">
      <c r="A1846" s="1">
        <f>HYPERLINK("https://cms.ls-nyc.org/matter/dynamic-profile/view/1894609","19-1894609")</f>
        <v>0</v>
      </c>
      <c r="B1846" t="s">
        <v>9</v>
      </c>
      <c r="F1846" t="s">
        <v>15</v>
      </c>
      <c r="G1846" t="s">
        <v>17</v>
      </c>
    </row>
    <row r="1847" spans="1:7">
      <c r="A1847" s="1">
        <f>HYPERLINK("https://cms.ls-nyc.org/matter/dynamic-profile/view/1897148","19-1897148")</f>
        <v>0</v>
      </c>
      <c r="B1847" t="s">
        <v>10</v>
      </c>
      <c r="G1847" t="s">
        <v>16</v>
      </c>
    </row>
    <row r="1848" spans="1:7">
      <c r="A1848" s="1">
        <f>HYPERLINK("https://cms.ls-nyc.org/matter/dynamic-profile/view/1882553","18-1882553")</f>
        <v>0</v>
      </c>
      <c r="B1848" t="s">
        <v>11</v>
      </c>
      <c r="G1848" t="s">
        <v>16</v>
      </c>
    </row>
    <row r="1849" spans="1:7">
      <c r="A1849" s="1">
        <f>HYPERLINK("https://cms.ls-nyc.org/matter/dynamic-profile/view/1889682","19-1889682")</f>
        <v>0</v>
      </c>
      <c r="B1849" t="s">
        <v>9</v>
      </c>
      <c r="G1849" t="s">
        <v>16</v>
      </c>
    </row>
    <row r="1850" spans="1:7">
      <c r="A1850" s="1">
        <f>HYPERLINK("https://cms.ls-nyc.org/matter/dynamic-profile/view/1890808","19-1890808")</f>
        <v>0</v>
      </c>
      <c r="B1850" t="s">
        <v>8</v>
      </c>
      <c r="G1850" t="s">
        <v>16</v>
      </c>
    </row>
    <row r="1851" spans="1:7">
      <c r="A1851" s="1">
        <f>HYPERLINK("https://cms.ls-nyc.org/matter/dynamic-profile/view/1892395","19-1892395")</f>
        <v>0</v>
      </c>
      <c r="B1851" t="s">
        <v>8</v>
      </c>
      <c r="G1851" t="s">
        <v>16</v>
      </c>
    </row>
    <row r="1852" spans="1:7">
      <c r="A1852" s="1">
        <f>HYPERLINK("https://cms.ls-nyc.org/matter/dynamic-profile/view/1873505","18-1873505")</f>
        <v>0</v>
      </c>
      <c r="B1852" t="s">
        <v>11</v>
      </c>
      <c r="C1852" t="s">
        <v>12</v>
      </c>
      <c r="E1852" t="s">
        <v>14</v>
      </c>
      <c r="G1852" t="s">
        <v>17</v>
      </c>
    </row>
    <row r="1853" spans="1:7">
      <c r="A1853" s="1">
        <f>HYPERLINK("https://cms.ls-nyc.org/matter/dynamic-profile/view/1896960","19-1896960")</f>
        <v>0</v>
      </c>
      <c r="B1853" t="s">
        <v>8</v>
      </c>
      <c r="C1853" t="s">
        <v>12</v>
      </c>
      <c r="E1853" t="s">
        <v>14</v>
      </c>
      <c r="G1853" t="s">
        <v>17</v>
      </c>
    </row>
    <row r="1854" spans="1:7">
      <c r="A1854" s="1">
        <f>HYPERLINK("https://cms.ls-nyc.org/matter/dynamic-profile/view/1885141","18-1885141")</f>
        <v>0</v>
      </c>
      <c r="B1854" t="s">
        <v>11</v>
      </c>
      <c r="G1854" t="s">
        <v>16</v>
      </c>
    </row>
    <row r="1855" spans="1:7">
      <c r="A1855" s="1">
        <f>HYPERLINK("https://cms.ls-nyc.org/matter/dynamic-profile/view/1860590","18-1860590")</f>
        <v>0</v>
      </c>
      <c r="B1855" t="s">
        <v>11</v>
      </c>
      <c r="D1855" t="s">
        <v>13</v>
      </c>
      <c r="E1855" t="s">
        <v>14</v>
      </c>
      <c r="G1855" t="s">
        <v>17</v>
      </c>
    </row>
    <row r="1856" spans="1:7">
      <c r="A1856" s="1">
        <f>HYPERLINK("https://cms.ls-nyc.org/matter/dynamic-profile/view/1881390","18-1881390")</f>
        <v>0</v>
      </c>
      <c r="B1856" t="s">
        <v>11</v>
      </c>
      <c r="G1856" t="s">
        <v>16</v>
      </c>
    </row>
    <row r="1857" spans="1:7">
      <c r="A1857" s="1">
        <f>HYPERLINK("https://cms.ls-nyc.org/matter/dynamic-profile/view/1891772","19-1891772")</f>
        <v>0</v>
      </c>
      <c r="B1857" t="s">
        <v>9</v>
      </c>
      <c r="G1857" t="s">
        <v>16</v>
      </c>
    </row>
    <row r="1858" spans="1:7">
      <c r="A1858" s="1">
        <f>HYPERLINK("https://cms.ls-nyc.org/matter/dynamic-profile/view/1872389","18-1872389")</f>
        <v>0</v>
      </c>
      <c r="B1858" t="s">
        <v>11</v>
      </c>
      <c r="F1858" t="s">
        <v>15</v>
      </c>
      <c r="G1858" t="s">
        <v>17</v>
      </c>
    </row>
    <row r="1859" spans="1:7">
      <c r="A1859" s="1">
        <f>HYPERLINK("https://cms.ls-nyc.org/matter/dynamic-profile/view/1887694","19-1887694")</f>
        <v>0</v>
      </c>
      <c r="B1859" t="s">
        <v>9</v>
      </c>
      <c r="G1859" t="s">
        <v>16</v>
      </c>
    </row>
    <row r="1860" spans="1:7">
      <c r="A1860" s="1">
        <f>HYPERLINK("https://cms.ls-nyc.org/matter/dynamic-profile/view/1899195","19-1899195")</f>
        <v>0</v>
      </c>
      <c r="B1860" t="s">
        <v>7</v>
      </c>
      <c r="G1860" t="s">
        <v>16</v>
      </c>
    </row>
    <row r="1861" spans="1:7">
      <c r="A1861" s="1">
        <f>HYPERLINK("https://cms.ls-nyc.org/matter/dynamic-profile/view/1873016","18-1873016")</f>
        <v>0</v>
      </c>
      <c r="B1861" t="s">
        <v>9</v>
      </c>
      <c r="G1861" t="s">
        <v>16</v>
      </c>
    </row>
    <row r="1862" spans="1:7">
      <c r="A1862" s="1">
        <f>HYPERLINK("https://cms.ls-nyc.org/matter/dynamic-profile/view/1875076","18-1875076")</f>
        <v>0</v>
      </c>
      <c r="B1862" t="s">
        <v>7</v>
      </c>
      <c r="G1862" t="s">
        <v>16</v>
      </c>
    </row>
    <row r="1863" spans="1:7">
      <c r="A1863" s="1">
        <f>HYPERLINK("https://cms.ls-nyc.org/matter/dynamic-profile/view/1872542","18-1872542")</f>
        <v>0</v>
      </c>
      <c r="B1863" t="s">
        <v>9</v>
      </c>
      <c r="G1863" t="s">
        <v>16</v>
      </c>
    </row>
    <row r="1864" spans="1:7">
      <c r="A1864" s="1">
        <f>HYPERLINK("https://cms.ls-nyc.org/matter/dynamic-profile/view/1878265","18-1878265")</f>
        <v>0</v>
      </c>
      <c r="B1864" t="s">
        <v>9</v>
      </c>
      <c r="G1864" t="s">
        <v>16</v>
      </c>
    </row>
    <row r="1865" spans="1:7">
      <c r="A1865" s="1">
        <f>HYPERLINK("https://cms.ls-nyc.org/matter/dynamic-profile/view/1880026","18-1880026")</f>
        <v>0</v>
      </c>
      <c r="B1865" t="s">
        <v>7</v>
      </c>
      <c r="G1865" t="s">
        <v>16</v>
      </c>
    </row>
    <row r="1866" spans="1:7">
      <c r="A1866" s="1">
        <f>HYPERLINK("https://cms.ls-nyc.org/matter/dynamic-profile/view/1881967","18-1881967")</f>
        <v>0</v>
      </c>
      <c r="B1866" t="s">
        <v>7</v>
      </c>
      <c r="G1866" t="s">
        <v>16</v>
      </c>
    </row>
    <row r="1867" spans="1:7">
      <c r="A1867" s="1">
        <f>HYPERLINK("https://cms.ls-nyc.org/matter/dynamic-profile/view/1881813","18-1881813")</f>
        <v>0</v>
      </c>
      <c r="B1867" t="s">
        <v>9</v>
      </c>
      <c r="F1867" t="s">
        <v>15</v>
      </c>
      <c r="G1867" t="s">
        <v>17</v>
      </c>
    </row>
    <row r="1868" spans="1:7">
      <c r="A1868" s="1">
        <f>HYPERLINK("https://cms.ls-nyc.org/matter/dynamic-profile/view/1886664","18-1886664")</f>
        <v>0</v>
      </c>
      <c r="B1868" t="s">
        <v>11</v>
      </c>
      <c r="G1868" t="s">
        <v>16</v>
      </c>
    </row>
    <row r="1869" spans="1:7">
      <c r="A1869" s="1">
        <f>HYPERLINK("https://cms.ls-nyc.org/matter/dynamic-profile/view/1891553","19-1891553")</f>
        <v>0</v>
      </c>
      <c r="B1869" t="s">
        <v>9</v>
      </c>
      <c r="G1869" t="s">
        <v>16</v>
      </c>
    </row>
    <row r="1870" spans="1:7">
      <c r="A1870" s="1">
        <f>HYPERLINK("https://cms.ls-nyc.org/matter/dynamic-profile/view/1882955","18-1882955")</f>
        <v>0</v>
      </c>
      <c r="B1870" t="s">
        <v>8</v>
      </c>
      <c r="G1870" t="s">
        <v>16</v>
      </c>
    </row>
    <row r="1871" spans="1:7">
      <c r="A1871" s="1">
        <f>HYPERLINK("https://cms.ls-nyc.org/matter/dynamic-profile/view/1868131","18-1868131")</f>
        <v>0</v>
      </c>
      <c r="B1871" t="s">
        <v>11</v>
      </c>
      <c r="G1871" t="s">
        <v>16</v>
      </c>
    </row>
    <row r="1872" spans="1:7">
      <c r="A1872" s="1">
        <f>HYPERLINK("https://cms.ls-nyc.org/matter/dynamic-profile/view/1871489","18-1871489")</f>
        <v>0</v>
      </c>
      <c r="B1872" t="s">
        <v>9</v>
      </c>
      <c r="G1872" t="s">
        <v>16</v>
      </c>
    </row>
    <row r="1873" spans="1:7">
      <c r="A1873" s="1">
        <f>HYPERLINK("https://cms.ls-nyc.org/matter/dynamic-profile/view/1887119","19-1887119")</f>
        <v>0</v>
      </c>
      <c r="B1873" t="s">
        <v>9</v>
      </c>
      <c r="G1873" t="s">
        <v>16</v>
      </c>
    </row>
    <row r="1874" spans="1:7">
      <c r="A1874" s="1">
        <f>HYPERLINK("https://cms.ls-nyc.org/matter/dynamic-profile/view/1886107","18-1886107")</f>
        <v>0</v>
      </c>
      <c r="B1874" t="s">
        <v>9</v>
      </c>
      <c r="F1874" t="s">
        <v>15</v>
      </c>
      <c r="G1874" t="s">
        <v>17</v>
      </c>
    </row>
    <row r="1875" spans="1:7">
      <c r="A1875" s="1">
        <f>HYPERLINK("https://cms.ls-nyc.org/matter/dynamic-profile/view/1876981","18-1876981")</f>
        <v>0</v>
      </c>
      <c r="B1875" t="s">
        <v>11</v>
      </c>
      <c r="F1875" t="s">
        <v>15</v>
      </c>
      <c r="G1875" t="s">
        <v>17</v>
      </c>
    </row>
    <row r="1876" spans="1:7">
      <c r="A1876" s="1">
        <f>HYPERLINK("https://cms.ls-nyc.org/matter/dynamic-profile/view/1898987","19-1898987")</f>
        <v>0</v>
      </c>
      <c r="B1876" t="s">
        <v>8</v>
      </c>
      <c r="E1876" t="s">
        <v>14</v>
      </c>
      <c r="F1876" t="s">
        <v>15</v>
      </c>
      <c r="G1876" t="s">
        <v>17</v>
      </c>
    </row>
    <row r="1877" spans="1:7">
      <c r="A1877" s="1">
        <f>HYPERLINK("https://cms.ls-nyc.org/matter/dynamic-profile/view/1898989","19-1898989")</f>
        <v>0</v>
      </c>
      <c r="B1877" t="s">
        <v>8</v>
      </c>
      <c r="E1877" t="s">
        <v>14</v>
      </c>
      <c r="F1877" t="s">
        <v>15</v>
      </c>
      <c r="G1877" t="s">
        <v>17</v>
      </c>
    </row>
    <row r="1878" spans="1:7">
      <c r="A1878" s="1">
        <f>HYPERLINK("https://cms.ls-nyc.org/matter/dynamic-profile/view/1896200","19-1896200")</f>
        <v>0</v>
      </c>
      <c r="B1878" t="s">
        <v>8</v>
      </c>
      <c r="G1878" t="s">
        <v>16</v>
      </c>
    </row>
    <row r="1879" spans="1:7">
      <c r="A1879" s="1">
        <f>HYPERLINK("https://cms.ls-nyc.org/matter/dynamic-profile/view/1878708","18-1878708")</f>
        <v>0</v>
      </c>
      <c r="B1879" t="s">
        <v>7</v>
      </c>
      <c r="G1879" t="s">
        <v>16</v>
      </c>
    </row>
    <row r="1880" spans="1:7">
      <c r="A1880" s="1">
        <f>HYPERLINK("https://cms.ls-nyc.org/matter/dynamic-profile/view/1877371","18-1877371")</f>
        <v>0</v>
      </c>
      <c r="B1880" t="s">
        <v>8</v>
      </c>
      <c r="G1880" t="s">
        <v>16</v>
      </c>
    </row>
    <row r="1881" spans="1:7">
      <c r="A1881" s="1">
        <f>HYPERLINK("https://cms.ls-nyc.org/matter/dynamic-profile/view/1901246","19-1901246")</f>
        <v>0</v>
      </c>
      <c r="B1881" t="s">
        <v>11</v>
      </c>
      <c r="G1881" t="s">
        <v>16</v>
      </c>
    </row>
    <row r="1882" spans="1:7">
      <c r="A1882" s="1">
        <f>HYPERLINK("https://cms.ls-nyc.org/matter/dynamic-profile/view/1901083","19-1901083")</f>
        <v>0</v>
      </c>
      <c r="B1882" t="s">
        <v>8</v>
      </c>
      <c r="F1882" t="s">
        <v>15</v>
      </c>
      <c r="G1882" t="s">
        <v>17</v>
      </c>
    </row>
    <row r="1883" spans="1:7">
      <c r="A1883" s="1">
        <f>HYPERLINK("https://cms.ls-nyc.org/matter/dynamic-profile/view/1901077","19-1901077")</f>
        <v>0</v>
      </c>
      <c r="B1883" t="s">
        <v>8</v>
      </c>
      <c r="F1883" t="s">
        <v>15</v>
      </c>
      <c r="G1883" t="s">
        <v>17</v>
      </c>
    </row>
    <row r="1884" spans="1:7">
      <c r="A1884" s="1">
        <f>HYPERLINK("https://cms.ls-nyc.org/matter/dynamic-profile/view/1873755","18-1873755")</f>
        <v>0</v>
      </c>
      <c r="B1884" t="s">
        <v>7</v>
      </c>
      <c r="G1884" t="s">
        <v>16</v>
      </c>
    </row>
    <row r="1885" spans="1:7">
      <c r="A1885" s="1">
        <f>HYPERLINK("https://cms.ls-nyc.org/matter/dynamic-profile/view/1866290","18-1866290")</f>
        <v>0</v>
      </c>
      <c r="B1885" t="s">
        <v>11</v>
      </c>
      <c r="G1885" t="s">
        <v>16</v>
      </c>
    </row>
    <row r="1886" spans="1:7">
      <c r="A1886" s="1">
        <f>HYPERLINK("https://cms.ls-nyc.org/matter/dynamic-profile/view/1871492","18-1871492")</f>
        <v>0</v>
      </c>
      <c r="B1886" t="s">
        <v>11</v>
      </c>
      <c r="G1886" t="s">
        <v>16</v>
      </c>
    </row>
    <row r="1887" spans="1:7">
      <c r="A1887" s="1">
        <f>HYPERLINK("https://cms.ls-nyc.org/matter/dynamic-profile/view/1895050","19-1895050")</f>
        <v>0</v>
      </c>
      <c r="B1887" t="s">
        <v>11</v>
      </c>
      <c r="G1887" t="s">
        <v>16</v>
      </c>
    </row>
    <row r="1888" spans="1:7">
      <c r="A1888" s="1">
        <f>HYPERLINK("https://cms.ls-nyc.org/matter/dynamic-profile/view/1892416","19-1892416")</f>
        <v>0</v>
      </c>
      <c r="B1888" t="s">
        <v>8</v>
      </c>
      <c r="F1888" t="s">
        <v>15</v>
      </c>
      <c r="G1888" t="s">
        <v>17</v>
      </c>
    </row>
    <row r="1889" spans="1:7">
      <c r="A1889" s="1">
        <f>HYPERLINK("https://cms.ls-nyc.org/matter/dynamic-profile/view/1897336","19-1897336")</f>
        <v>0</v>
      </c>
      <c r="B1889" t="s">
        <v>7</v>
      </c>
      <c r="G1889" t="s">
        <v>16</v>
      </c>
    </row>
    <row r="1890" spans="1:7">
      <c r="A1890" s="1">
        <f>HYPERLINK("https://cms.ls-nyc.org/matter/dynamic-profile/view/1899226","19-1899226")</f>
        <v>0</v>
      </c>
      <c r="B1890" t="s">
        <v>7</v>
      </c>
      <c r="G1890" t="s">
        <v>16</v>
      </c>
    </row>
    <row r="1891" spans="1:7">
      <c r="A1891" s="1">
        <f>HYPERLINK("https://cms.ls-nyc.org/matter/dynamic-profile/view/1871601","18-1871601")</f>
        <v>0</v>
      </c>
      <c r="B1891" t="s">
        <v>8</v>
      </c>
      <c r="G1891" t="s">
        <v>16</v>
      </c>
    </row>
    <row r="1892" spans="1:7">
      <c r="A1892" s="1">
        <f>HYPERLINK("https://cms.ls-nyc.org/matter/dynamic-profile/view/1883780","18-1883780")</f>
        <v>0</v>
      </c>
      <c r="B1892" t="s">
        <v>9</v>
      </c>
      <c r="G1892" t="s">
        <v>16</v>
      </c>
    </row>
    <row r="1893" spans="1:7">
      <c r="A1893" s="1">
        <f>HYPERLINK("https://cms.ls-nyc.org/matter/dynamic-profile/view/1870088","18-1870088")</f>
        <v>0</v>
      </c>
      <c r="B1893" t="s">
        <v>11</v>
      </c>
      <c r="G1893" t="s">
        <v>16</v>
      </c>
    </row>
    <row r="1894" spans="1:7">
      <c r="A1894" s="1">
        <f>HYPERLINK("https://cms.ls-nyc.org/matter/dynamic-profile/view/1871037","18-1871037")</f>
        <v>0</v>
      </c>
      <c r="B1894" t="s">
        <v>10</v>
      </c>
      <c r="G1894" t="s">
        <v>16</v>
      </c>
    </row>
    <row r="1895" spans="1:7">
      <c r="A1895" s="1">
        <f>HYPERLINK("https://cms.ls-nyc.org/matter/dynamic-profile/view/1892616","19-1892616")</f>
        <v>0</v>
      </c>
      <c r="B1895" t="s">
        <v>8</v>
      </c>
      <c r="G1895" t="s">
        <v>16</v>
      </c>
    </row>
    <row r="1896" spans="1:7">
      <c r="A1896" s="1">
        <f>HYPERLINK("https://cms.ls-nyc.org/matter/dynamic-profile/view/1883668","18-1883668")</f>
        <v>0</v>
      </c>
      <c r="B1896" t="s">
        <v>9</v>
      </c>
      <c r="G1896" t="s">
        <v>16</v>
      </c>
    </row>
    <row r="1897" spans="1:7">
      <c r="A1897" s="1">
        <f>HYPERLINK("https://cms.ls-nyc.org/matter/dynamic-profile/view/1881449","18-1881449")</f>
        <v>0</v>
      </c>
      <c r="B1897" t="s">
        <v>9</v>
      </c>
      <c r="G1897" t="s">
        <v>16</v>
      </c>
    </row>
    <row r="1898" spans="1:7">
      <c r="A1898" s="1">
        <f>HYPERLINK("https://cms.ls-nyc.org/matter/dynamic-profile/view/1876340","18-1876340")</f>
        <v>0</v>
      </c>
      <c r="B1898" t="s">
        <v>9</v>
      </c>
      <c r="G1898" t="s">
        <v>16</v>
      </c>
    </row>
    <row r="1899" spans="1:7">
      <c r="A1899" s="1">
        <f>HYPERLINK("https://cms.ls-nyc.org/matter/dynamic-profile/view/1896498","19-1896498")</f>
        <v>0</v>
      </c>
      <c r="B1899" t="s">
        <v>8</v>
      </c>
      <c r="G1899" t="s">
        <v>16</v>
      </c>
    </row>
    <row r="1900" spans="1:7">
      <c r="A1900" s="1">
        <f>HYPERLINK("https://cms.ls-nyc.org/matter/dynamic-profile/view/1890026","19-1890026")</f>
        <v>0</v>
      </c>
      <c r="B1900" t="s">
        <v>9</v>
      </c>
      <c r="G1900" t="s">
        <v>16</v>
      </c>
    </row>
    <row r="1901" spans="1:7">
      <c r="A1901" s="1">
        <f>HYPERLINK("https://cms.ls-nyc.org/matter/dynamic-profile/view/1894094","19-1894094")</f>
        <v>0</v>
      </c>
      <c r="B1901" t="s">
        <v>9</v>
      </c>
      <c r="F1901" t="s">
        <v>15</v>
      </c>
      <c r="G1901" t="s">
        <v>17</v>
      </c>
    </row>
    <row r="1902" spans="1:7">
      <c r="A1902" s="1">
        <f>HYPERLINK("https://cms.ls-nyc.org/matter/dynamic-profile/view/1889124","19-1889124")</f>
        <v>0</v>
      </c>
      <c r="B1902" t="s">
        <v>10</v>
      </c>
      <c r="C1902" t="s">
        <v>12</v>
      </c>
      <c r="G1902" t="s">
        <v>17</v>
      </c>
    </row>
    <row r="1903" spans="1:7">
      <c r="A1903" s="1">
        <f>HYPERLINK("https://cms.ls-nyc.org/matter/dynamic-profile/view/1893423","19-1893423")</f>
        <v>0</v>
      </c>
      <c r="B1903" t="s">
        <v>9</v>
      </c>
      <c r="F1903" t="s">
        <v>15</v>
      </c>
      <c r="G1903" t="s">
        <v>17</v>
      </c>
    </row>
    <row r="1904" spans="1:7">
      <c r="A1904" s="1">
        <f>HYPERLINK("https://cms.ls-nyc.org/matter/dynamic-profile/view/1880942","18-1880942")</f>
        <v>0</v>
      </c>
      <c r="B1904" t="s">
        <v>7</v>
      </c>
      <c r="G1904" t="s">
        <v>16</v>
      </c>
    </row>
    <row r="1905" spans="1:7">
      <c r="A1905" s="1">
        <f>HYPERLINK("https://cms.ls-nyc.org/matter/dynamic-profile/view/1885139","18-1885139")</f>
        <v>0</v>
      </c>
      <c r="B1905" t="s">
        <v>7</v>
      </c>
      <c r="G1905" t="s">
        <v>16</v>
      </c>
    </row>
    <row r="1906" spans="1:7">
      <c r="A1906" s="1">
        <f>HYPERLINK("https://cms.ls-nyc.org/matter/dynamic-profile/view/1885142","18-1885142")</f>
        <v>0</v>
      </c>
      <c r="B1906" t="s">
        <v>7</v>
      </c>
      <c r="G1906" t="s">
        <v>16</v>
      </c>
    </row>
    <row r="1907" spans="1:7">
      <c r="A1907" s="1">
        <f>HYPERLINK("https://cms.ls-nyc.org/matter/dynamic-profile/view/1871868","18-1871868")</f>
        <v>0</v>
      </c>
      <c r="B1907" t="s">
        <v>8</v>
      </c>
      <c r="G1907" t="s">
        <v>16</v>
      </c>
    </row>
    <row r="1908" spans="1:7">
      <c r="A1908" s="1">
        <f>HYPERLINK("https://cms.ls-nyc.org/matter/dynamic-profile/view/1881598","18-1881598")</f>
        <v>0</v>
      </c>
      <c r="B1908" t="s">
        <v>8</v>
      </c>
      <c r="C1908" t="s">
        <v>12</v>
      </c>
      <c r="E1908" t="s">
        <v>14</v>
      </c>
      <c r="G1908" t="s">
        <v>17</v>
      </c>
    </row>
    <row r="1909" spans="1:7">
      <c r="A1909" s="1">
        <f>HYPERLINK("https://cms.ls-nyc.org/matter/dynamic-profile/view/1875570","18-1875570")</f>
        <v>0</v>
      </c>
      <c r="B1909" t="s">
        <v>9</v>
      </c>
      <c r="G1909" t="s">
        <v>16</v>
      </c>
    </row>
    <row r="1910" spans="1:7">
      <c r="A1910" s="1">
        <f>HYPERLINK("https://cms.ls-nyc.org/matter/dynamic-profile/view/1874056","18-1874056")</f>
        <v>0</v>
      </c>
      <c r="B1910" t="s">
        <v>9</v>
      </c>
      <c r="G1910" t="s">
        <v>16</v>
      </c>
    </row>
    <row r="1911" spans="1:7">
      <c r="A1911" s="1">
        <f>HYPERLINK("https://cms.ls-nyc.org/matter/dynamic-profile/view/1880120","18-1880120")</f>
        <v>0</v>
      </c>
      <c r="B1911" t="s">
        <v>11</v>
      </c>
      <c r="G1911" t="s">
        <v>16</v>
      </c>
    </row>
    <row r="1912" spans="1:7">
      <c r="A1912" s="1">
        <f>HYPERLINK("https://cms.ls-nyc.org/matter/dynamic-profile/view/1874697","18-1874697")</f>
        <v>0</v>
      </c>
      <c r="B1912" t="s">
        <v>11</v>
      </c>
      <c r="G1912" t="s">
        <v>16</v>
      </c>
    </row>
    <row r="1913" spans="1:7">
      <c r="A1913" s="1">
        <f>HYPERLINK("https://cms.ls-nyc.org/matter/dynamic-profile/view/1899389","19-1899389")</f>
        <v>0</v>
      </c>
      <c r="B1913" t="s">
        <v>7</v>
      </c>
      <c r="E1913" t="s">
        <v>14</v>
      </c>
      <c r="F1913" t="s">
        <v>15</v>
      </c>
      <c r="G1913" t="s">
        <v>17</v>
      </c>
    </row>
    <row r="1914" spans="1:7">
      <c r="A1914" s="1">
        <f>HYPERLINK("https://cms.ls-nyc.org/matter/dynamic-profile/view/1881670","18-1881670")</f>
        <v>0</v>
      </c>
      <c r="B1914" t="s">
        <v>9</v>
      </c>
      <c r="G1914" t="s">
        <v>16</v>
      </c>
    </row>
    <row r="1915" spans="1:7">
      <c r="A1915" s="1">
        <f>HYPERLINK("https://cms.ls-nyc.org/matter/dynamic-profile/view/1874429","18-1874429")</f>
        <v>0</v>
      </c>
      <c r="B1915" t="s">
        <v>11</v>
      </c>
      <c r="F1915" t="s">
        <v>15</v>
      </c>
      <c r="G1915" t="s">
        <v>17</v>
      </c>
    </row>
    <row r="1916" spans="1:7">
      <c r="A1916" s="1">
        <f>HYPERLINK("https://cms.ls-nyc.org/matter/dynamic-profile/view/1899074","19-1899074")</f>
        <v>0</v>
      </c>
      <c r="B1916" t="s">
        <v>8</v>
      </c>
      <c r="G1916" t="s">
        <v>16</v>
      </c>
    </row>
    <row r="1917" spans="1:7">
      <c r="A1917" s="1">
        <f>HYPERLINK("https://cms.ls-nyc.org/matter/dynamic-profile/view/1900959","19-1900959")</f>
        <v>0</v>
      </c>
      <c r="B1917" t="s">
        <v>8</v>
      </c>
      <c r="G1917" t="s">
        <v>16</v>
      </c>
    </row>
    <row r="1918" spans="1:7">
      <c r="A1918" s="1">
        <f>HYPERLINK("https://cms.ls-nyc.org/matter/dynamic-profile/view/1887933","19-1887933")</f>
        <v>0</v>
      </c>
      <c r="B1918" t="s">
        <v>11</v>
      </c>
      <c r="G1918" t="s">
        <v>16</v>
      </c>
    </row>
    <row r="1919" spans="1:7">
      <c r="A1919" s="1">
        <f>HYPERLINK("https://cms.ls-nyc.org/matter/dynamic-profile/view/1879125","18-1879125")</f>
        <v>0</v>
      </c>
      <c r="B1919" t="s">
        <v>8</v>
      </c>
      <c r="G1919" t="s">
        <v>16</v>
      </c>
    </row>
    <row r="1920" spans="1:7">
      <c r="A1920" s="1">
        <f>HYPERLINK("https://cms.ls-nyc.org/matter/dynamic-profile/view/1882190","18-1882190")</f>
        <v>0</v>
      </c>
      <c r="B1920" t="s">
        <v>8</v>
      </c>
      <c r="G1920" t="s">
        <v>16</v>
      </c>
    </row>
    <row r="1921" spans="1:7">
      <c r="A1921" s="1">
        <f>HYPERLINK("https://cms.ls-nyc.org/matter/dynamic-profile/view/1885286","18-1885286")</f>
        <v>0</v>
      </c>
      <c r="B1921" t="s">
        <v>8</v>
      </c>
      <c r="G1921" t="s">
        <v>16</v>
      </c>
    </row>
    <row r="1922" spans="1:7">
      <c r="A1922" s="1">
        <f>HYPERLINK("https://cms.ls-nyc.org/matter/dynamic-profile/view/1892356","19-1892356")</f>
        <v>0</v>
      </c>
      <c r="B1922" t="s">
        <v>8</v>
      </c>
      <c r="G1922" t="s">
        <v>16</v>
      </c>
    </row>
    <row r="1923" spans="1:7">
      <c r="A1923" s="1">
        <f>HYPERLINK("https://cms.ls-nyc.org/matter/dynamic-profile/view/1871760","18-1871760")</f>
        <v>0</v>
      </c>
      <c r="B1923" t="s">
        <v>9</v>
      </c>
      <c r="G1923" t="s">
        <v>16</v>
      </c>
    </row>
    <row r="1924" spans="1:7">
      <c r="A1924" s="1">
        <f>HYPERLINK("https://cms.ls-nyc.org/matter/dynamic-profile/view/1881411","18-1881411")</f>
        <v>0</v>
      </c>
      <c r="B1924" t="s">
        <v>9</v>
      </c>
      <c r="G1924" t="s">
        <v>16</v>
      </c>
    </row>
    <row r="1925" spans="1:7">
      <c r="A1925" s="1">
        <f>HYPERLINK("https://cms.ls-nyc.org/matter/dynamic-profile/view/1901243","19-1901243")</f>
        <v>0</v>
      </c>
      <c r="B1925" t="s">
        <v>11</v>
      </c>
      <c r="C1925" t="s">
        <v>12</v>
      </c>
      <c r="F1925" t="s">
        <v>15</v>
      </c>
      <c r="G1925" t="s">
        <v>17</v>
      </c>
    </row>
    <row r="1926" spans="1:7">
      <c r="A1926" s="1">
        <f>HYPERLINK("https://cms.ls-nyc.org/matter/dynamic-profile/view/1878288","18-1878288")</f>
        <v>0</v>
      </c>
      <c r="B1926" t="s">
        <v>8</v>
      </c>
      <c r="G1926" t="s">
        <v>16</v>
      </c>
    </row>
    <row r="1927" spans="1:7">
      <c r="A1927" s="1">
        <f>HYPERLINK("https://cms.ls-nyc.org/matter/dynamic-profile/view/1863331","18-1863331")</f>
        <v>0</v>
      </c>
      <c r="B1927" t="s">
        <v>8</v>
      </c>
      <c r="G1927" t="s">
        <v>16</v>
      </c>
    </row>
    <row r="1928" spans="1:7">
      <c r="A1928" s="1">
        <f>HYPERLINK("https://cms.ls-nyc.org/matter/dynamic-profile/view/1872408","18-1872408")</f>
        <v>0</v>
      </c>
      <c r="B1928" t="s">
        <v>11</v>
      </c>
      <c r="G1928" t="s">
        <v>16</v>
      </c>
    </row>
    <row r="1929" spans="1:7">
      <c r="A1929" s="1">
        <f>HYPERLINK("https://cms.ls-nyc.org/matter/dynamic-profile/view/1887292","19-1887292")</f>
        <v>0</v>
      </c>
      <c r="B1929" t="s">
        <v>9</v>
      </c>
      <c r="G1929" t="s">
        <v>16</v>
      </c>
    </row>
    <row r="1930" spans="1:7">
      <c r="A1930" s="1">
        <f>HYPERLINK("https://cms.ls-nyc.org/matter/dynamic-profile/view/1883581","18-1883581")</f>
        <v>0</v>
      </c>
      <c r="B1930" t="s">
        <v>8</v>
      </c>
      <c r="C1930" t="s">
        <v>12</v>
      </c>
      <c r="E1930" t="s">
        <v>14</v>
      </c>
      <c r="G1930" t="s">
        <v>17</v>
      </c>
    </row>
    <row r="1931" spans="1:7">
      <c r="A1931" s="1">
        <f>HYPERLINK("https://cms.ls-nyc.org/matter/dynamic-profile/view/1877323","18-1877323")</f>
        <v>0</v>
      </c>
      <c r="B1931" t="s">
        <v>11</v>
      </c>
      <c r="G1931" t="s">
        <v>16</v>
      </c>
    </row>
    <row r="1932" spans="1:7">
      <c r="A1932" s="1">
        <f>HYPERLINK("https://cms.ls-nyc.org/matter/dynamic-profile/view/1895304","19-1895304")</f>
        <v>0</v>
      </c>
      <c r="B1932" t="s">
        <v>11</v>
      </c>
      <c r="E1932" t="s">
        <v>14</v>
      </c>
      <c r="G1932" t="s">
        <v>17</v>
      </c>
    </row>
    <row r="1933" spans="1:7">
      <c r="A1933" s="1">
        <f>HYPERLINK("https://cms.ls-nyc.org/matter/dynamic-profile/view/1889372","19-1889372")</f>
        <v>0</v>
      </c>
      <c r="B1933" t="s">
        <v>9</v>
      </c>
      <c r="G1933" t="s">
        <v>16</v>
      </c>
    </row>
    <row r="1934" spans="1:7">
      <c r="A1934" s="1">
        <f>HYPERLINK("https://cms.ls-nyc.org/matter/dynamic-profile/view/1877499","18-1877499")</f>
        <v>0</v>
      </c>
      <c r="B1934" t="s">
        <v>8</v>
      </c>
      <c r="G1934" t="s">
        <v>16</v>
      </c>
    </row>
    <row r="1935" spans="1:7">
      <c r="A1935" s="1">
        <f>HYPERLINK("https://cms.ls-nyc.org/matter/dynamic-profile/view/1887570","19-1887570")</f>
        <v>0</v>
      </c>
      <c r="B1935" t="s">
        <v>8</v>
      </c>
      <c r="G1935" t="s">
        <v>16</v>
      </c>
    </row>
    <row r="1936" spans="1:7">
      <c r="A1936" s="1">
        <f>HYPERLINK("https://cms.ls-nyc.org/matter/dynamic-profile/view/1875207","18-1875207")</f>
        <v>0</v>
      </c>
      <c r="B1936" t="s">
        <v>7</v>
      </c>
      <c r="G1936" t="s">
        <v>16</v>
      </c>
    </row>
    <row r="1937" spans="1:7">
      <c r="A1937" s="1">
        <f>HYPERLINK("https://cms.ls-nyc.org/matter/dynamic-profile/view/1881323","18-1881323")</f>
        <v>0</v>
      </c>
      <c r="B1937" t="s">
        <v>7</v>
      </c>
      <c r="G1937" t="s">
        <v>16</v>
      </c>
    </row>
    <row r="1938" spans="1:7">
      <c r="A1938" s="1">
        <f>HYPERLINK("https://cms.ls-nyc.org/matter/dynamic-profile/view/1886304","18-1886304")</f>
        <v>0</v>
      </c>
      <c r="B1938" t="s">
        <v>9</v>
      </c>
      <c r="G1938" t="s">
        <v>16</v>
      </c>
    </row>
    <row r="1939" spans="1:7">
      <c r="A1939" s="1">
        <f>HYPERLINK("https://cms.ls-nyc.org/matter/dynamic-profile/view/1891100","19-1891100")</f>
        <v>0</v>
      </c>
      <c r="B1939" t="s">
        <v>8</v>
      </c>
      <c r="G1939" t="s">
        <v>16</v>
      </c>
    </row>
    <row r="1940" spans="1:7">
      <c r="A1940" s="1">
        <f>HYPERLINK("https://cms.ls-nyc.org/matter/dynamic-profile/view/1894924","19-1894924")</f>
        <v>0</v>
      </c>
      <c r="B1940" t="s">
        <v>11</v>
      </c>
      <c r="G1940" t="s">
        <v>16</v>
      </c>
    </row>
    <row r="1941" spans="1:7">
      <c r="A1941" s="1">
        <f>HYPERLINK("https://cms.ls-nyc.org/matter/dynamic-profile/view/1863490","18-1863490")</f>
        <v>0</v>
      </c>
      <c r="B1941" t="s">
        <v>8</v>
      </c>
      <c r="F1941" t="s">
        <v>15</v>
      </c>
      <c r="G1941" t="s">
        <v>17</v>
      </c>
    </row>
    <row r="1942" spans="1:7">
      <c r="A1942" s="1">
        <f>HYPERLINK("https://cms.ls-nyc.org/matter/dynamic-profile/view/1889466","19-1889466")</f>
        <v>0</v>
      </c>
      <c r="B1942" t="s">
        <v>8</v>
      </c>
      <c r="G1942" t="s">
        <v>16</v>
      </c>
    </row>
    <row r="1943" spans="1:7">
      <c r="A1943" s="1">
        <f>HYPERLINK("https://cms.ls-nyc.org/matter/dynamic-profile/view/1875367","18-1875367")</f>
        <v>0</v>
      </c>
      <c r="B1943" t="s">
        <v>8</v>
      </c>
      <c r="G1943" t="s">
        <v>16</v>
      </c>
    </row>
    <row r="1944" spans="1:7">
      <c r="A1944" s="1">
        <f>HYPERLINK("https://cms.ls-nyc.org/matter/dynamic-profile/view/1871457","18-1871457")</f>
        <v>0</v>
      </c>
      <c r="B1944" t="s">
        <v>9</v>
      </c>
      <c r="G1944" t="s">
        <v>16</v>
      </c>
    </row>
    <row r="1945" spans="1:7">
      <c r="A1945" s="1">
        <f>HYPERLINK("https://cms.ls-nyc.org/matter/dynamic-profile/view/1871456","18-1871456")</f>
        <v>0</v>
      </c>
      <c r="B1945" t="s">
        <v>9</v>
      </c>
      <c r="G1945" t="s">
        <v>16</v>
      </c>
    </row>
    <row r="1946" spans="1:7">
      <c r="A1946" s="1">
        <f>HYPERLINK("https://cms.ls-nyc.org/matter/dynamic-profile/view/1871565","18-1871565")</f>
        <v>0</v>
      </c>
      <c r="B1946" t="s">
        <v>11</v>
      </c>
      <c r="F1946" t="s">
        <v>15</v>
      </c>
      <c r="G1946" t="s">
        <v>17</v>
      </c>
    </row>
    <row r="1947" spans="1:7">
      <c r="A1947" s="1">
        <f>HYPERLINK("https://cms.ls-nyc.org/matter/dynamic-profile/view/1873835","18-1873835")</f>
        <v>0</v>
      </c>
      <c r="B1947" t="s">
        <v>11</v>
      </c>
      <c r="G1947" t="s">
        <v>16</v>
      </c>
    </row>
    <row r="1948" spans="1:7">
      <c r="A1948" s="1">
        <f>HYPERLINK("https://cms.ls-nyc.org/matter/dynamic-profile/view/1872323","18-1872323")</f>
        <v>0</v>
      </c>
      <c r="B1948" t="s">
        <v>11</v>
      </c>
      <c r="G1948" t="s">
        <v>16</v>
      </c>
    </row>
    <row r="1949" spans="1:7">
      <c r="A1949" s="1">
        <f>HYPERLINK("https://cms.ls-nyc.org/matter/dynamic-profile/view/1892836","19-1892836")</f>
        <v>0</v>
      </c>
      <c r="B1949" t="s">
        <v>11</v>
      </c>
      <c r="G1949" t="s">
        <v>16</v>
      </c>
    </row>
    <row r="1950" spans="1:7">
      <c r="A1950" s="1">
        <f>HYPERLINK("https://cms.ls-nyc.org/matter/dynamic-profile/view/1896375","19-1896375")</f>
        <v>0</v>
      </c>
      <c r="B1950" t="s">
        <v>8</v>
      </c>
      <c r="G1950" t="s">
        <v>16</v>
      </c>
    </row>
    <row r="1951" spans="1:7">
      <c r="A1951" s="1">
        <f>HYPERLINK("https://cms.ls-nyc.org/matter/dynamic-profile/view/1895760","19-1895760")</f>
        <v>0</v>
      </c>
      <c r="B1951" t="s">
        <v>8</v>
      </c>
      <c r="G1951" t="s">
        <v>16</v>
      </c>
    </row>
    <row r="1952" spans="1:7">
      <c r="A1952" s="1">
        <f>HYPERLINK("https://cms.ls-nyc.org/matter/dynamic-profile/view/1891359","19-1891359")</f>
        <v>0</v>
      </c>
      <c r="B1952" t="s">
        <v>9</v>
      </c>
      <c r="G1952" t="s">
        <v>16</v>
      </c>
    </row>
    <row r="1953" spans="1:7">
      <c r="A1953" s="1">
        <f>HYPERLINK("https://cms.ls-nyc.org/matter/dynamic-profile/view/1891355","19-1891355")</f>
        <v>0</v>
      </c>
      <c r="B1953" t="s">
        <v>9</v>
      </c>
      <c r="G1953" t="s">
        <v>16</v>
      </c>
    </row>
    <row r="1954" spans="1:7">
      <c r="A1954" s="1">
        <f>HYPERLINK("https://cms.ls-nyc.org/matter/dynamic-profile/view/1889851","19-1889851")</f>
        <v>0</v>
      </c>
      <c r="B1954" t="s">
        <v>9</v>
      </c>
      <c r="G1954" t="s">
        <v>16</v>
      </c>
    </row>
    <row r="1955" spans="1:7">
      <c r="A1955" s="1">
        <f>HYPERLINK("https://cms.ls-nyc.org/matter/dynamic-profile/view/1891354","19-1891354")</f>
        <v>0</v>
      </c>
      <c r="B1955" t="s">
        <v>11</v>
      </c>
      <c r="G1955" t="s">
        <v>16</v>
      </c>
    </row>
    <row r="1956" spans="1:7">
      <c r="A1956" s="1">
        <f>HYPERLINK("https://cms.ls-nyc.org/matter/dynamic-profile/view/1891373","19-1891373")</f>
        <v>0</v>
      </c>
      <c r="B1956" t="s">
        <v>11</v>
      </c>
      <c r="G1956" t="s">
        <v>16</v>
      </c>
    </row>
    <row r="1957" spans="1:7">
      <c r="A1957" s="1">
        <f>HYPERLINK("https://cms.ls-nyc.org/matter/dynamic-profile/view/1889043","19-1889043")</f>
        <v>0</v>
      </c>
      <c r="B1957" t="s">
        <v>7</v>
      </c>
      <c r="G1957" t="s">
        <v>16</v>
      </c>
    </row>
    <row r="1958" spans="1:7">
      <c r="A1958" s="1">
        <f>HYPERLINK("https://cms.ls-nyc.org/matter/dynamic-profile/view/1889066","19-1889066")</f>
        <v>0</v>
      </c>
      <c r="B1958" t="s">
        <v>7</v>
      </c>
      <c r="G1958" t="s">
        <v>16</v>
      </c>
    </row>
    <row r="1959" spans="1:7">
      <c r="A1959" s="1">
        <f>HYPERLINK("https://cms.ls-nyc.org/matter/dynamic-profile/view/1893565","19-1893565")</f>
        <v>0</v>
      </c>
      <c r="B1959" t="s">
        <v>7</v>
      </c>
      <c r="G1959" t="s">
        <v>16</v>
      </c>
    </row>
    <row r="1960" spans="1:7">
      <c r="A1960" s="1">
        <f>HYPERLINK("https://cms.ls-nyc.org/matter/dynamic-profile/view/1900452","19-1900452")</f>
        <v>0</v>
      </c>
      <c r="B1960" t="s">
        <v>8</v>
      </c>
      <c r="E1960" t="s">
        <v>14</v>
      </c>
      <c r="G1960" t="s">
        <v>17</v>
      </c>
    </row>
    <row r="1961" spans="1:7">
      <c r="A1961" s="1">
        <f>HYPERLINK("https://cms.ls-nyc.org/matter/dynamic-profile/view/1894211","19-1894211")</f>
        <v>0</v>
      </c>
      <c r="B1961" t="s">
        <v>8</v>
      </c>
      <c r="G1961" t="s">
        <v>16</v>
      </c>
    </row>
    <row r="1962" spans="1:7">
      <c r="A1962" s="1">
        <f>HYPERLINK("https://cms.ls-nyc.org/matter/dynamic-profile/view/1901265","19-1901265")</f>
        <v>0</v>
      </c>
      <c r="B1962" t="s">
        <v>11</v>
      </c>
      <c r="C1962" t="s">
        <v>12</v>
      </c>
      <c r="F1962" t="s">
        <v>15</v>
      </c>
      <c r="G1962" t="s">
        <v>17</v>
      </c>
    </row>
    <row r="1963" spans="1:7">
      <c r="A1963" s="1">
        <f>HYPERLINK("https://cms.ls-nyc.org/matter/dynamic-profile/view/1889088","19-1889088")</f>
        <v>0</v>
      </c>
      <c r="B1963" t="s">
        <v>11</v>
      </c>
      <c r="G1963" t="s">
        <v>16</v>
      </c>
    </row>
    <row r="1964" spans="1:7">
      <c r="A1964" s="1">
        <f>HYPERLINK("https://cms.ls-nyc.org/matter/dynamic-profile/view/1889085","19-1889085")</f>
        <v>0</v>
      </c>
      <c r="B1964" t="s">
        <v>11</v>
      </c>
      <c r="G1964" t="s">
        <v>16</v>
      </c>
    </row>
    <row r="1965" spans="1:7">
      <c r="A1965" s="1">
        <f>HYPERLINK("https://cms.ls-nyc.org/matter/dynamic-profile/view/1884173","18-1884173")</f>
        <v>0</v>
      </c>
      <c r="B1965" t="s">
        <v>8</v>
      </c>
      <c r="G1965" t="s">
        <v>16</v>
      </c>
    </row>
    <row r="1966" spans="1:7">
      <c r="A1966" s="1">
        <f>HYPERLINK("https://cms.ls-nyc.org/matter/dynamic-profile/view/1876839","18-1876839")</f>
        <v>0</v>
      </c>
      <c r="B1966" t="s">
        <v>9</v>
      </c>
      <c r="G1966" t="s">
        <v>16</v>
      </c>
    </row>
    <row r="1967" spans="1:7">
      <c r="A1967" s="1">
        <f>HYPERLINK("https://cms.ls-nyc.org/matter/dynamic-profile/view/1886865","19-1886865")</f>
        <v>0</v>
      </c>
      <c r="B1967" t="s">
        <v>9</v>
      </c>
      <c r="G1967" t="s">
        <v>16</v>
      </c>
    </row>
    <row r="1968" spans="1:7">
      <c r="A1968" s="1">
        <f>HYPERLINK("https://cms.ls-nyc.org/matter/dynamic-profile/view/1876836","18-1876836")</f>
        <v>0</v>
      </c>
      <c r="B1968" t="s">
        <v>9</v>
      </c>
      <c r="G1968" t="s">
        <v>16</v>
      </c>
    </row>
    <row r="1969" spans="1:7">
      <c r="A1969" s="1">
        <f>HYPERLINK("https://cms.ls-nyc.org/matter/dynamic-profile/view/1876865","18-1876865")</f>
        <v>0</v>
      </c>
      <c r="B1969" t="s">
        <v>9</v>
      </c>
      <c r="G1969" t="s">
        <v>16</v>
      </c>
    </row>
    <row r="1970" spans="1:7">
      <c r="A1970" s="1">
        <f>HYPERLINK("https://cms.ls-nyc.org/matter/dynamic-profile/view/1884751","18-1884751")</f>
        <v>0</v>
      </c>
      <c r="B1970" t="s">
        <v>9</v>
      </c>
      <c r="G1970" t="s">
        <v>16</v>
      </c>
    </row>
    <row r="1971" spans="1:7">
      <c r="A1971" s="1">
        <f>HYPERLINK("https://cms.ls-nyc.org/matter/dynamic-profile/view/1877574","18-1877574")</f>
        <v>0</v>
      </c>
      <c r="B1971" t="s">
        <v>11</v>
      </c>
      <c r="G1971" t="s">
        <v>16</v>
      </c>
    </row>
    <row r="1972" spans="1:7">
      <c r="A1972" s="1">
        <f>HYPERLINK("https://cms.ls-nyc.org/matter/dynamic-profile/view/1886545","18-1886545")</f>
        <v>0</v>
      </c>
      <c r="B1972" t="s">
        <v>11</v>
      </c>
      <c r="G1972" t="s">
        <v>16</v>
      </c>
    </row>
    <row r="1973" spans="1:7">
      <c r="A1973" s="1">
        <f>HYPERLINK("https://cms.ls-nyc.org/matter/dynamic-profile/view/1894943","19-1894943")</f>
        <v>0</v>
      </c>
      <c r="B1973" t="s">
        <v>11</v>
      </c>
      <c r="G1973" t="s">
        <v>16</v>
      </c>
    </row>
    <row r="1974" spans="1:7">
      <c r="A1974" s="1">
        <f>HYPERLINK("https://cms.ls-nyc.org/matter/dynamic-profile/view/1880596","18-1880596")</f>
        <v>0</v>
      </c>
      <c r="B1974" t="s">
        <v>7</v>
      </c>
      <c r="G1974" t="s">
        <v>16</v>
      </c>
    </row>
    <row r="1975" spans="1:7">
      <c r="A1975" s="1">
        <f>HYPERLINK("https://cms.ls-nyc.org/matter/dynamic-profile/view/1886690","18-1886690")</f>
        <v>0</v>
      </c>
      <c r="B1975" t="s">
        <v>8</v>
      </c>
      <c r="G1975" t="s">
        <v>16</v>
      </c>
    </row>
    <row r="1976" spans="1:7">
      <c r="A1976" s="1">
        <f>HYPERLINK("https://cms.ls-nyc.org/matter/dynamic-profile/view/1894550","19-1894550")</f>
        <v>0</v>
      </c>
      <c r="B1976" t="s">
        <v>9</v>
      </c>
      <c r="G1976" t="s">
        <v>16</v>
      </c>
    </row>
    <row r="1977" spans="1:7">
      <c r="A1977" s="1">
        <f>HYPERLINK("https://cms.ls-nyc.org/matter/dynamic-profile/view/1877313","18-1877313")</f>
        <v>0</v>
      </c>
      <c r="B1977" t="s">
        <v>7</v>
      </c>
      <c r="G1977" t="s">
        <v>16</v>
      </c>
    </row>
    <row r="1978" spans="1:7">
      <c r="A1978" s="1">
        <f>HYPERLINK("https://cms.ls-nyc.org/matter/dynamic-profile/view/1886593","18-1886593")</f>
        <v>0</v>
      </c>
      <c r="B1978" t="s">
        <v>7</v>
      </c>
      <c r="G1978" t="s">
        <v>16</v>
      </c>
    </row>
    <row r="1979" spans="1:7">
      <c r="A1979" s="1">
        <f>HYPERLINK("https://cms.ls-nyc.org/matter/dynamic-profile/view/1874030","18-1874030")</f>
        <v>0</v>
      </c>
      <c r="B1979" t="s">
        <v>11</v>
      </c>
      <c r="G1979" t="s">
        <v>16</v>
      </c>
    </row>
    <row r="1980" spans="1:7">
      <c r="A1980" s="1">
        <f>HYPERLINK("https://cms.ls-nyc.org/matter/dynamic-profile/view/1881618","18-1881618")</f>
        <v>0</v>
      </c>
      <c r="B1980" t="s">
        <v>8</v>
      </c>
      <c r="G1980" t="s">
        <v>16</v>
      </c>
    </row>
    <row r="1981" spans="1:7">
      <c r="A1981" s="1">
        <f>HYPERLINK("https://cms.ls-nyc.org/matter/dynamic-profile/view/1886637","18-1886637")</f>
        <v>0</v>
      </c>
      <c r="B1981" t="s">
        <v>9</v>
      </c>
      <c r="G1981" t="s">
        <v>16</v>
      </c>
    </row>
    <row r="1982" spans="1:7">
      <c r="A1982" s="1">
        <f>HYPERLINK("https://cms.ls-nyc.org/matter/dynamic-profile/view/1886222","18-1886222")</f>
        <v>0</v>
      </c>
      <c r="B1982" t="s">
        <v>9</v>
      </c>
      <c r="G1982" t="s">
        <v>16</v>
      </c>
    </row>
    <row r="1983" spans="1:7">
      <c r="A1983" s="1">
        <f>HYPERLINK("https://cms.ls-nyc.org/matter/dynamic-profile/view/1872981","18-1872981")</f>
        <v>0</v>
      </c>
      <c r="B1983" t="s">
        <v>11</v>
      </c>
      <c r="G1983" t="s">
        <v>16</v>
      </c>
    </row>
    <row r="1984" spans="1:7">
      <c r="A1984" s="1">
        <f>HYPERLINK("https://cms.ls-nyc.org/matter/dynamic-profile/view/1880947","18-1880947")</f>
        <v>0</v>
      </c>
      <c r="B1984" t="s">
        <v>9</v>
      </c>
      <c r="G1984" t="s">
        <v>16</v>
      </c>
    </row>
    <row r="1985" spans="1:7">
      <c r="A1985" s="1">
        <f>HYPERLINK("https://cms.ls-nyc.org/matter/dynamic-profile/view/1887246","19-1887246")</f>
        <v>0</v>
      </c>
      <c r="B1985" t="s">
        <v>9</v>
      </c>
      <c r="G1985" t="s">
        <v>16</v>
      </c>
    </row>
    <row r="1986" spans="1:7">
      <c r="A1986" s="1">
        <f>HYPERLINK("https://cms.ls-nyc.org/matter/dynamic-profile/view/1875189","18-1875189")</f>
        <v>0</v>
      </c>
      <c r="B1986" t="s">
        <v>8</v>
      </c>
      <c r="G1986" t="s">
        <v>16</v>
      </c>
    </row>
    <row r="1987" spans="1:7">
      <c r="A1987" s="1">
        <f>HYPERLINK("https://cms.ls-nyc.org/matter/dynamic-profile/view/1884456","18-1884456")</f>
        <v>0</v>
      </c>
      <c r="B1987" t="s">
        <v>9</v>
      </c>
      <c r="G1987" t="s">
        <v>16</v>
      </c>
    </row>
    <row r="1988" spans="1:7">
      <c r="A1988" s="1">
        <f>HYPERLINK("https://cms.ls-nyc.org/matter/dynamic-profile/view/1885677","18-1885677")</f>
        <v>0</v>
      </c>
      <c r="B1988" t="s">
        <v>9</v>
      </c>
      <c r="G1988" t="s">
        <v>16</v>
      </c>
    </row>
    <row r="1989" spans="1:7">
      <c r="A1989" s="1">
        <f>HYPERLINK("https://cms.ls-nyc.org/matter/dynamic-profile/view/1878021","18-1878021")</f>
        <v>0</v>
      </c>
      <c r="B1989" t="s">
        <v>7</v>
      </c>
      <c r="G1989" t="s">
        <v>16</v>
      </c>
    </row>
    <row r="1990" spans="1:7">
      <c r="A1990" s="1">
        <f>HYPERLINK("https://cms.ls-nyc.org/matter/dynamic-profile/view/1878499","18-1878499")</f>
        <v>0</v>
      </c>
      <c r="B1990" t="s">
        <v>7</v>
      </c>
      <c r="G1990" t="s">
        <v>16</v>
      </c>
    </row>
    <row r="1991" spans="1:7">
      <c r="A1991" s="1">
        <f>HYPERLINK("https://cms.ls-nyc.org/matter/dynamic-profile/view/1901313","19-1901313")</f>
        <v>0</v>
      </c>
      <c r="B1991" t="s">
        <v>8</v>
      </c>
      <c r="G1991" t="s">
        <v>16</v>
      </c>
    </row>
    <row r="1992" spans="1:7">
      <c r="A1992" s="1">
        <f>HYPERLINK("https://cms.ls-nyc.org/matter/dynamic-profile/view/1901324","19-1901324")</f>
        <v>0</v>
      </c>
      <c r="B1992" t="s">
        <v>8</v>
      </c>
      <c r="G1992" t="s">
        <v>16</v>
      </c>
    </row>
    <row r="1993" spans="1:7">
      <c r="A1993" s="1">
        <f>HYPERLINK("https://cms.ls-nyc.org/matter/dynamic-profile/view/1867711","18-1867711")</f>
        <v>0</v>
      </c>
      <c r="B1993" t="s">
        <v>9</v>
      </c>
      <c r="G1993" t="s">
        <v>16</v>
      </c>
    </row>
    <row r="1994" spans="1:7">
      <c r="A1994" s="1">
        <f>HYPERLINK("https://cms.ls-nyc.org/matter/dynamic-profile/view/1878449","18-1878449")</f>
        <v>0</v>
      </c>
      <c r="B1994" t="s">
        <v>11</v>
      </c>
      <c r="G1994" t="s">
        <v>16</v>
      </c>
    </row>
    <row r="1995" spans="1:7">
      <c r="A1995" s="1">
        <f>HYPERLINK("https://cms.ls-nyc.org/matter/dynamic-profile/view/1893965","19-1893965")</f>
        <v>0</v>
      </c>
      <c r="B1995" t="s">
        <v>9</v>
      </c>
      <c r="G1995" t="s">
        <v>16</v>
      </c>
    </row>
    <row r="1996" spans="1:7">
      <c r="A1996" s="1">
        <f>HYPERLINK("https://cms.ls-nyc.org/matter/dynamic-profile/view/1882610","18-1882610")</f>
        <v>0</v>
      </c>
      <c r="B1996" t="s">
        <v>8</v>
      </c>
      <c r="E1996" t="s">
        <v>14</v>
      </c>
      <c r="G1996" t="s">
        <v>17</v>
      </c>
    </row>
    <row r="1997" spans="1:7">
      <c r="A1997" s="1">
        <f>HYPERLINK("https://cms.ls-nyc.org/matter/dynamic-profile/view/1880801","18-1880801")</f>
        <v>0</v>
      </c>
      <c r="B1997" t="s">
        <v>8</v>
      </c>
      <c r="F1997" t="s">
        <v>15</v>
      </c>
      <c r="G1997" t="s">
        <v>17</v>
      </c>
    </row>
    <row r="1998" spans="1:7">
      <c r="A1998" s="1">
        <f>HYPERLINK("https://cms.ls-nyc.org/matter/dynamic-profile/view/1884968","18-1884968")</f>
        <v>0</v>
      </c>
      <c r="B1998" t="s">
        <v>8</v>
      </c>
      <c r="G1998" t="s">
        <v>16</v>
      </c>
    </row>
    <row r="1999" spans="1:7">
      <c r="A1999" s="1">
        <f>HYPERLINK("https://cms.ls-nyc.org/matter/dynamic-profile/view/1886767","18-1886767")</f>
        <v>0</v>
      </c>
      <c r="B1999" t="s">
        <v>8</v>
      </c>
      <c r="G1999" t="s">
        <v>16</v>
      </c>
    </row>
    <row r="2000" spans="1:7">
      <c r="A2000" s="1">
        <f>HYPERLINK("https://cms.ls-nyc.org/matter/dynamic-profile/view/1882185","18-1882185")</f>
        <v>0</v>
      </c>
      <c r="B2000" t="s">
        <v>9</v>
      </c>
      <c r="G2000" t="s">
        <v>16</v>
      </c>
    </row>
    <row r="2001" spans="1:7">
      <c r="A2001" s="1">
        <f>HYPERLINK("https://cms.ls-nyc.org/matter/dynamic-profile/view/1883803","18-1883803")</f>
        <v>0</v>
      </c>
      <c r="B2001" t="s">
        <v>9</v>
      </c>
      <c r="G2001" t="s">
        <v>16</v>
      </c>
    </row>
    <row r="2002" spans="1:7">
      <c r="A2002" s="1">
        <f>HYPERLINK("https://cms.ls-nyc.org/matter/dynamic-profile/view/1886503","18-1886503")</f>
        <v>0</v>
      </c>
      <c r="B2002" t="s">
        <v>9</v>
      </c>
      <c r="G2002" t="s">
        <v>16</v>
      </c>
    </row>
    <row r="2003" spans="1:7">
      <c r="A2003" s="1">
        <f>HYPERLINK("https://cms.ls-nyc.org/matter/dynamic-profile/view/1874289","18-1874289")</f>
        <v>0</v>
      </c>
      <c r="B2003" t="s">
        <v>9</v>
      </c>
      <c r="G2003" t="s">
        <v>16</v>
      </c>
    </row>
    <row r="2004" spans="1:7">
      <c r="A2004" s="1">
        <f>HYPERLINK("https://cms.ls-nyc.org/matter/dynamic-profile/view/1874049","18-1874049")</f>
        <v>0</v>
      </c>
      <c r="B2004" t="s">
        <v>9</v>
      </c>
      <c r="G2004" t="s">
        <v>16</v>
      </c>
    </row>
    <row r="2005" spans="1:7">
      <c r="A2005" s="1">
        <f>HYPERLINK("https://cms.ls-nyc.org/matter/dynamic-profile/view/1885564","18-1885564")</f>
        <v>0</v>
      </c>
      <c r="B2005" t="s">
        <v>9</v>
      </c>
      <c r="G2005" t="s">
        <v>16</v>
      </c>
    </row>
    <row r="2006" spans="1:7">
      <c r="A2006" s="1">
        <f>HYPERLINK("https://cms.ls-nyc.org/matter/dynamic-profile/view/1874717","18-1874717")</f>
        <v>0</v>
      </c>
      <c r="B2006" t="s">
        <v>9</v>
      </c>
      <c r="F2006" t="s">
        <v>15</v>
      </c>
      <c r="G2006" t="s">
        <v>17</v>
      </c>
    </row>
    <row r="2007" spans="1:7">
      <c r="A2007" s="1">
        <f>HYPERLINK("https://cms.ls-nyc.org/matter/dynamic-profile/view/1874719","18-1874719")</f>
        <v>0</v>
      </c>
      <c r="B2007" t="s">
        <v>9</v>
      </c>
      <c r="G2007" t="s">
        <v>16</v>
      </c>
    </row>
    <row r="2008" spans="1:7">
      <c r="A2008" s="1">
        <f>HYPERLINK("https://cms.ls-nyc.org/matter/dynamic-profile/view/1890504","19-1890504")</f>
        <v>0</v>
      </c>
      <c r="B2008" t="s">
        <v>9</v>
      </c>
      <c r="G2008" t="s">
        <v>16</v>
      </c>
    </row>
    <row r="2009" spans="1:7">
      <c r="A2009" s="1">
        <f>HYPERLINK("https://cms.ls-nyc.org/matter/dynamic-profile/view/1890503","19-1890503")</f>
        <v>0</v>
      </c>
      <c r="B2009" t="s">
        <v>9</v>
      </c>
      <c r="G2009" t="s">
        <v>16</v>
      </c>
    </row>
    <row r="2010" spans="1:7">
      <c r="A2010" s="1">
        <f>HYPERLINK("https://cms.ls-nyc.org/matter/dynamic-profile/view/1871925","18-1871925")</f>
        <v>0</v>
      </c>
      <c r="B2010" t="s">
        <v>9</v>
      </c>
      <c r="G2010" t="s">
        <v>16</v>
      </c>
    </row>
    <row r="2011" spans="1:7">
      <c r="A2011" s="1">
        <f>HYPERLINK("https://cms.ls-nyc.org/matter/dynamic-profile/view/1882478","18-1882478")</f>
        <v>0</v>
      </c>
      <c r="B2011" t="s">
        <v>10</v>
      </c>
      <c r="G2011" t="s">
        <v>16</v>
      </c>
    </row>
    <row r="2012" spans="1:7">
      <c r="A2012" s="1">
        <f>HYPERLINK("https://cms.ls-nyc.org/matter/dynamic-profile/view/1870112","18-1870112")</f>
        <v>0</v>
      </c>
      <c r="B2012" t="s">
        <v>11</v>
      </c>
      <c r="E2012" t="s">
        <v>14</v>
      </c>
      <c r="G2012" t="s">
        <v>17</v>
      </c>
    </row>
    <row r="2013" spans="1:7">
      <c r="A2013" s="1">
        <f>HYPERLINK("https://cms.ls-nyc.org/matter/dynamic-profile/view/1873098","18-1873098")</f>
        <v>0</v>
      </c>
      <c r="B2013" t="s">
        <v>11</v>
      </c>
      <c r="G2013" t="s">
        <v>16</v>
      </c>
    </row>
    <row r="2014" spans="1:7">
      <c r="A2014" s="1">
        <f>HYPERLINK("https://cms.ls-nyc.org/matter/dynamic-profile/view/1863643","18-1863643")</f>
        <v>0</v>
      </c>
      <c r="B2014" t="s">
        <v>8</v>
      </c>
      <c r="G2014" t="s">
        <v>16</v>
      </c>
    </row>
    <row r="2015" spans="1:7">
      <c r="A2015" s="1">
        <f>HYPERLINK("https://cms.ls-nyc.org/matter/dynamic-profile/view/1878012","18-1878012")</f>
        <v>0</v>
      </c>
      <c r="B2015" t="s">
        <v>9</v>
      </c>
      <c r="G2015" t="s">
        <v>16</v>
      </c>
    </row>
    <row r="2016" spans="1:7">
      <c r="A2016" s="1">
        <f>HYPERLINK("https://cms.ls-nyc.org/matter/dynamic-profile/view/1889314","19-1889314")</f>
        <v>0</v>
      </c>
      <c r="B2016" t="s">
        <v>10</v>
      </c>
      <c r="G2016" t="s">
        <v>16</v>
      </c>
    </row>
    <row r="2017" spans="1:7">
      <c r="A2017" s="1">
        <f>HYPERLINK("https://cms.ls-nyc.org/matter/dynamic-profile/view/1895840","19-1895840")</f>
        <v>0</v>
      </c>
      <c r="B2017" t="s">
        <v>7</v>
      </c>
      <c r="G2017" t="s">
        <v>16</v>
      </c>
    </row>
    <row r="2018" spans="1:7">
      <c r="A2018" s="1">
        <f>HYPERLINK("https://cms.ls-nyc.org/matter/dynamic-profile/view/1895844","19-1895844")</f>
        <v>0</v>
      </c>
      <c r="B2018" t="s">
        <v>7</v>
      </c>
      <c r="G2018" t="s">
        <v>16</v>
      </c>
    </row>
    <row r="2019" spans="1:7">
      <c r="A2019" s="1">
        <f>HYPERLINK("https://cms.ls-nyc.org/matter/dynamic-profile/view/1891865","19-1891865")</f>
        <v>0</v>
      </c>
      <c r="B2019" t="s">
        <v>8</v>
      </c>
      <c r="E2019" t="s">
        <v>14</v>
      </c>
      <c r="F2019" t="s">
        <v>15</v>
      </c>
      <c r="G2019" t="s">
        <v>17</v>
      </c>
    </row>
    <row r="2020" spans="1:7">
      <c r="A2020" s="1">
        <f>HYPERLINK("https://cms.ls-nyc.org/matter/dynamic-profile/view/1895977","19-1895977")</f>
        <v>0</v>
      </c>
      <c r="B2020" t="s">
        <v>9</v>
      </c>
      <c r="F2020" t="s">
        <v>15</v>
      </c>
      <c r="G2020" t="s">
        <v>17</v>
      </c>
    </row>
    <row r="2021" spans="1:7">
      <c r="A2021" s="1">
        <f>HYPERLINK("https://cms.ls-nyc.org/matter/dynamic-profile/view/1884673","18-1884673")</f>
        <v>0</v>
      </c>
      <c r="B2021" t="s">
        <v>8</v>
      </c>
      <c r="G2021" t="s">
        <v>16</v>
      </c>
    </row>
    <row r="2022" spans="1:7">
      <c r="A2022" s="1">
        <f>HYPERLINK("https://cms.ls-nyc.org/matter/dynamic-profile/view/1884677","18-1884677")</f>
        <v>0</v>
      </c>
      <c r="B2022" t="s">
        <v>8</v>
      </c>
      <c r="G2022" t="s">
        <v>16</v>
      </c>
    </row>
    <row r="2023" spans="1:7">
      <c r="A2023" s="1">
        <f>HYPERLINK("https://cms.ls-nyc.org/matter/dynamic-profile/view/1897702","19-1897702")</f>
        <v>0</v>
      </c>
      <c r="B2023" t="s">
        <v>8</v>
      </c>
      <c r="E2023" t="s">
        <v>14</v>
      </c>
      <c r="F2023" t="s">
        <v>15</v>
      </c>
      <c r="G2023" t="s">
        <v>17</v>
      </c>
    </row>
    <row r="2024" spans="1:7">
      <c r="A2024" s="1">
        <f>HYPERLINK("https://cms.ls-nyc.org/matter/dynamic-profile/view/1897704","19-1897704")</f>
        <v>0</v>
      </c>
      <c r="B2024" t="s">
        <v>8</v>
      </c>
      <c r="E2024" t="s">
        <v>14</v>
      </c>
      <c r="F2024" t="s">
        <v>15</v>
      </c>
      <c r="G2024" t="s">
        <v>17</v>
      </c>
    </row>
    <row r="2025" spans="1:7">
      <c r="A2025" s="1">
        <f>HYPERLINK("https://cms.ls-nyc.org/matter/dynamic-profile/view/1889612","19-1889612")</f>
        <v>0</v>
      </c>
      <c r="B2025" t="s">
        <v>8</v>
      </c>
      <c r="G2025" t="s">
        <v>16</v>
      </c>
    </row>
    <row r="2026" spans="1:7">
      <c r="A2026" s="1">
        <f>HYPERLINK("https://cms.ls-nyc.org/matter/dynamic-profile/view/1899675","19-1899675")</f>
        <v>0</v>
      </c>
      <c r="B2026" t="s">
        <v>8</v>
      </c>
      <c r="E2026" t="s">
        <v>14</v>
      </c>
      <c r="G2026" t="s">
        <v>17</v>
      </c>
    </row>
    <row r="2027" spans="1:7">
      <c r="A2027" s="1">
        <f>HYPERLINK("https://cms.ls-nyc.org/matter/dynamic-profile/view/1887015","19-1887015")</f>
        <v>0</v>
      </c>
      <c r="B2027" t="s">
        <v>9</v>
      </c>
      <c r="G2027" t="s">
        <v>16</v>
      </c>
    </row>
    <row r="2028" spans="1:7">
      <c r="A2028" s="1">
        <f>HYPERLINK("https://cms.ls-nyc.org/matter/dynamic-profile/view/1869644","18-1869644")</f>
        <v>0</v>
      </c>
      <c r="B2028" t="s">
        <v>11</v>
      </c>
      <c r="G2028" t="s">
        <v>16</v>
      </c>
    </row>
    <row r="2029" spans="1:7">
      <c r="A2029" s="1">
        <f>HYPERLINK("https://cms.ls-nyc.org/matter/dynamic-profile/view/1883912","18-1883912")</f>
        <v>0</v>
      </c>
      <c r="B2029" t="s">
        <v>8</v>
      </c>
      <c r="G2029" t="s">
        <v>16</v>
      </c>
    </row>
    <row r="2030" spans="1:7">
      <c r="A2030" s="1">
        <f>HYPERLINK("https://cms.ls-nyc.org/matter/dynamic-profile/view/1880914","18-1880914")</f>
        <v>0</v>
      </c>
      <c r="B2030" t="s">
        <v>11</v>
      </c>
      <c r="G2030" t="s">
        <v>16</v>
      </c>
    </row>
    <row r="2031" spans="1:7">
      <c r="A2031" s="1">
        <f>HYPERLINK("https://cms.ls-nyc.org/matter/dynamic-profile/view/1890900","19-1890900")</f>
        <v>0</v>
      </c>
      <c r="B2031" t="s">
        <v>8</v>
      </c>
      <c r="F2031" t="s">
        <v>15</v>
      </c>
      <c r="G2031" t="s">
        <v>17</v>
      </c>
    </row>
    <row r="2032" spans="1:7">
      <c r="A2032" s="1">
        <f>HYPERLINK("https://cms.ls-nyc.org/matter/dynamic-profile/view/1885716","18-1885716")</f>
        <v>0</v>
      </c>
      <c r="B2032" t="s">
        <v>9</v>
      </c>
      <c r="F2032" t="s">
        <v>15</v>
      </c>
      <c r="G2032" t="s">
        <v>17</v>
      </c>
    </row>
    <row r="2033" spans="1:7">
      <c r="A2033" s="1">
        <f>HYPERLINK("https://cms.ls-nyc.org/matter/dynamic-profile/view/1876850","18-1876850")</f>
        <v>0</v>
      </c>
      <c r="B2033" t="s">
        <v>9</v>
      </c>
      <c r="G2033" t="s">
        <v>16</v>
      </c>
    </row>
    <row r="2034" spans="1:7">
      <c r="A2034" s="1">
        <f>HYPERLINK("https://cms.ls-nyc.org/matter/dynamic-profile/view/1884355","18-1884355")</f>
        <v>0</v>
      </c>
      <c r="B2034" t="s">
        <v>7</v>
      </c>
      <c r="G2034" t="s">
        <v>16</v>
      </c>
    </row>
    <row r="2035" spans="1:7">
      <c r="A2035" s="1">
        <f>HYPERLINK("https://cms.ls-nyc.org/matter/dynamic-profile/view/1896988","19-1896988")</f>
        <v>0</v>
      </c>
      <c r="B2035" t="s">
        <v>8</v>
      </c>
      <c r="G2035" t="s">
        <v>16</v>
      </c>
    </row>
    <row r="2036" spans="1:7">
      <c r="A2036" s="1">
        <f>HYPERLINK("https://cms.ls-nyc.org/matter/dynamic-profile/view/1900735","19-1900735")</f>
        <v>0</v>
      </c>
      <c r="B2036" t="s">
        <v>8</v>
      </c>
      <c r="E2036" t="s">
        <v>14</v>
      </c>
      <c r="G2036" t="s">
        <v>17</v>
      </c>
    </row>
    <row r="2037" spans="1:7">
      <c r="A2037" s="1">
        <f>HYPERLINK("https://cms.ls-nyc.org/matter/dynamic-profile/view/1895991","19-1895991")</f>
        <v>0</v>
      </c>
      <c r="B2037" t="s">
        <v>7</v>
      </c>
      <c r="G2037" t="s">
        <v>16</v>
      </c>
    </row>
    <row r="2038" spans="1:7">
      <c r="A2038" s="1">
        <f>HYPERLINK("https://cms.ls-nyc.org/matter/dynamic-profile/view/1882824","18-1882824")</f>
        <v>0</v>
      </c>
      <c r="B2038" t="s">
        <v>8</v>
      </c>
      <c r="G2038" t="s">
        <v>16</v>
      </c>
    </row>
    <row r="2039" spans="1:7">
      <c r="A2039" s="1">
        <f>HYPERLINK("https://cms.ls-nyc.org/matter/dynamic-profile/view/1895196","19-1895196")</f>
        <v>0</v>
      </c>
      <c r="B2039" t="s">
        <v>8</v>
      </c>
      <c r="G2039" t="s">
        <v>16</v>
      </c>
    </row>
    <row r="2040" spans="1:7">
      <c r="A2040" s="1">
        <f>HYPERLINK("https://cms.ls-nyc.org/matter/dynamic-profile/view/1893586","19-1893586")</f>
        <v>0</v>
      </c>
      <c r="B2040" t="s">
        <v>10</v>
      </c>
      <c r="G2040" t="s">
        <v>16</v>
      </c>
    </row>
    <row r="2041" spans="1:7">
      <c r="A2041" s="1">
        <f>HYPERLINK("https://cms.ls-nyc.org/matter/dynamic-profile/view/1894929","19-1894929")</f>
        <v>0</v>
      </c>
      <c r="B2041" t="s">
        <v>11</v>
      </c>
      <c r="F2041" t="s">
        <v>15</v>
      </c>
      <c r="G2041" t="s">
        <v>17</v>
      </c>
    </row>
    <row r="2042" spans="1:7">
      <c r="A2042" s="1">
        <f>HYPERLINK("https://cms.ls-nyc.org/matter/dynamic-profile/view/1894817","19-1894817")</f>
        <v>0</v>
      </c>
      <c r="B2042" t="s">
        <v>11</v>
      </c>
      <c r="G2042" t="s">
        <v>16</v>
      </c>
    </row>
    <row r="2043" spans="1:7">
      <c r="A2043" s="1">
        <f>HYPERLINK("https://cms.ls-nyc.org/matter/dynamic-profile/view/1892717","19-1892717")</f>
        <v>0</v>
      </c>
      <c r="B2043" t="s">
        <v>8</v>
      </c>
      <c r="G2043" t="s">
        <v>16</v>
      </c>
    </row>
    <row r="2044" spans="1:7">
      <c r="A2044" s="1">
        <f>HYPERLINK("https://cms.ls-nyc.org/matter/dynamic-profile/view/1898906","19-1898906")</f>
        <v>0</v>
      </c>
      <c r="B2044" t="s">
        <v>8</v>
      </c>
      <c r="G2044" t="s">
        <v>16</v>
      </c>
    </row>
    <row r="2045" spans="1:7">
      <c r="A2045" s="1">
        <f>HYPERLINK("https://cms.ls-nyc.org/matter/dynamic-profile/view/1882747","18-1882747")</f>
        <v>0</v>
      </c>
      <c r="B2045" t="s">
        <v>11</v>
      </c>
      <c r="G2045" t="s">
        <v>16</v>
      </c>
    </row>
    <row r="2046" spans="1:7">
      <c r="A2046" s="1">
        <f>HYPERLINK("https://cms.ls-nyc.org/matter/dynamic-profile/view/1865436","18-1865436")</f>
        <v>0</v>
      </c>
      <c r="B2046" t="s">
        <v>11</v>
      </c>
      <c r="G2046" t="s">
        <v>16</v>
      </c>
    </row>
    <row r="2047" spans="1:7">
      <c r="A2047" s="1">
        <f>HYPERLINK("https://cms.ls-nyc.org/matter/dynamic-profile/view/1882070","18-1882070")</f>
        <v>0</v>
      </c>
      <c r="B2047" t="s">
        <v>7</v>
      </c>
      <c r="G2047" t="s">
        <v>16</v>
      </c>
    </row>
    <row r="2048" spans="1:7">
      <c r="A2048" s="1">
        <f>HYPERLINK("https://cms.ls-nyc.org/matter/dynamic-profile/view/1881741","18-1881741")</f>
        <v>0</v>
      </c>
      <c r="B2048" t="s">
        <v>8</v>
      </c>
      <c r="G2048" t="s">
        <v>16</v>
      </c>
    </row>
    <row r="2049" spans="1:7">
      <c r="A2049" s="1">
        <f>HYPERLINK("https://cms.ls-nyc.org/matter/dynamic-profile/view/1882953","18-1882953")</f>
        <v>0</v>
      </c>
      <c r="B2049" t="s">
        <v>9</v>
      </c>
      <c r="G2049" t="s">
        <v>16</v>
      </c>
    </row>
    <row r="2050" spans="1:7">
      <c r="A2050" s="1">
        <f>HYPERLINK("https://cms.ls-nyc.org/matter/dynamic-profile/view/1882757","18-1882757")</f>
        <v>0</v>
      </c>
      <c r="B2050" t="s">
        <v>9</v>
      </c>
      <c r="G2050" t="s">
        <v>16</v>
      </c>
    </row>
    <row r="2051" spans="1:7">
      <c r="A2051" s="1">
        <f>HYPERLINK("https://cms.ls-nyc.org/matter/dynamic-profile/view/1872251","18-1872251")</f>
        <v>0</v>
      </c>
      <c r="B2051" t="s">
        <v>8</v>
      </c>
      <c r="G2051" t="s">
        <v>16</v>
      </c>
    </row>
    <row r="2052" spans="1:7">
      <c r="A2052" s="1">
        <f>HYPERLINK("https://cms.ls-nyc.org/matter/dynamic-profile/view/1868430","18-1868430")</f>
        <v>0</v>
      </c>
      <c r="B2052" t="s">
        <v>9</v>
      </c>
      <c r="G2052" t="s">
        <v>16</v>
      </c>
    </row>
    <row r="2053" spans="1:7">
      <c r="A2053" s="1">
        <f>HYPERLINK("https://cms.ls-nyc.org/matter/dynamic-profile/view/1877651","18-1877651")</f>
        <v>0</v>
      </c>
      <c r="B2053" t="s">
        <v>9</v>
      </c>
      <c r="G2053" t="s">
        <v>16</v>
      </c>
    </row>
    <row r="2054" spans="1:7">
      <c r="A2054" s="1">
        <f>HYPERLINK("https://cms.ls-nyc.org/matter/dynamic-profile/view/1880305","18-1880305")</f>
        <v>0</v>
      </c>
      <c r="B2054" t="s">
        <v>8</v>
      </c>
      <c r="G2054" t="s">
        <v>16</v>
      </c>
    </row>
    <row r="2055" spans="1:7">
      <c r="A2055" s="1">
        <f>HYPERLINK("https://cms.ls-nyc.org/matter/dynamic-profile/view/1895340","19-1895340")</f>
        <v>0</v>
      </c>
      <c r="B2055" t="s">
        <v>8</v>
      </c>
      <c r="G2055" t="s">
        <v>16</v>
      </c>
    </row>
    <row r="2056" spans="1:7">
      <c r="A2056" s="1">
        <f>HYPERLINK("https://cms.ls-nyc.org/matter/dynamic-profile/view/1880351","18-1880351")</f>
        <v>0</v>
      </c>
      <c r="B2056" t="s">
        <v>11</v>
      </c>
      <c r="G2056" t="s">
        <v>16</v>
      </c>
    </row>
    <row r="2057" spans="1:7">
      <c r="A2057" s="1">
        <f>HYPERLINK("https://cms.ls-nyc.org/matter/dynamic-profile/view/1878790","18-1878790")</f>
        <v>0</v>
      </c>
      <c r="B2057" t="s">
        <v>9</v>
      </c>
      <c r="G2057" t="s">
        <v>16</v>
      </c>
    </row>
    <row r="2058" spans="1:7">
      <c r="A2058" s="1">
        <f>HYPERLINK("https://cms.ls-nyc.org/matter/dynamic-profile/view/1890177","19-1890177")</f>
        <v>0</v>
      </c>
      <c r="B2058" t="s">
        <v>8</v>
      </c>
      <c r="G2058" t="s">
        <v>16</v>
      </c>
    </row>
    <row r="2059" spans="1:7">
      <c r="A2059" s="1">
        <f>HYPERLINK("https://cms.ls-nyc.org/matter/dynamic-profile/view/1891460","19-1891460")</f>
        <v>0</v>
      </c>
      <c r="B2059" t="s">
        <v>8</v>
      </c>
      <c r="E2059" t="s">
        <v>14</v>
      </c>
      <c r="G2059" t="s">
        <v>17</v>
      </c>
    </row>
    <row r="2060" spans="1:7">
      <c r="A2060" s="1">
        <f>HYPERLINK("https://cms.ls-nyc.org/matter/dynamic-profile/view/1875659","18-1875659")</f>
        <v>0</v>
      </c>
      <c r="B2060" t="s">
        <v>8</v>
      </c>
      <c r="G2060" t="s">
        <v>16</v>
      </c>
    </row>
    <row r="2061" spans="1:7">
      <c r="A2061" s="1">
        <f>HYPERLINK("https://cms.ls-nyc.org/matter/dynamic-profile/view/1895274","19-1895274")</f>
        <v>0</v>
      </c>
      <c r="B2061" t="s">
        <v>8</v>
      </c>
      <c r="G2061" t="s">
        <v>16</v>
      </c>
    </row>
    <row r="2062" spans="1:7">
      <c r="A2062" s="1">
        <f>HYPERLINK("https://cms.ls-nyc.org/matter/dynamic-profile/view/1891216","19-1891216")</f>
        <v>0</v>
      </c>
      <c r="B2062" t="s">
        <v>8</v>
      </c>
      <c r="G2062" t="s">
        <v>16</v>
      </c>
    </row>
    <row r="2063" spans="1:7">
      <c r="A2063" s="1">
        <f>HYPERLINK("https://cms.ls-nyc.org/matter/dynamic-profile/view/1890366","19-1890366")</f>
        <v>0</v>
      </c>
      <c r="B2063" t="s">
        <v>9</v>
      </c>
      <c r="G2063" t="s">
        <v>16</v>
      </c>
    </row>
    <row r="2064" spans="1:7">
      <c r="A2064" s="1">
        <f>HYPERLINK("https://cms.ls-nyc.org/matter/dynamic-profile/view/1898822","19-1898822")</f>
        <v>0</v>
      </c>
      <c r="B2064" t="s">
        <v>11</v>
      </c>
      <c r="G2064" t="s">
        <v>16</v>
      </c>
    </row>
    <row r="2065" spans="1:7">
      <c r="A2065" s="1">
        <f>HYPERLINK("https://cms.ls-nyc.org/matter/dynamic-profile/view/1876956","18-1876956")</f>
        <v>0</v>
      </c>
      <c r="B2065" t="s">
        <v>9</v>
      </c>
      <c r="G2065" t="s">
        <v>16</v>
      </c>
    </row>
    <row r="2066" spans="1:7">
      <c r="A2066" s="1">
        <f>HYPERLINK("https://cms.ls-nyc.org/matter/dynamic-profile/view/1881134","18-1881134")</f>
        <v>0</v>
      </c>
      <c r="B2066" t="s">
        <v>11</v>
      </c>
      <c r="G2066" t="s">
        <v>16</v>
      </c>
    </row>
    <row r="2067" spans="1:7">
      <c r="A2067" s="1">
        <f>HYPERLINK("https://cms.ls-nyc.org/matter/dynamic-profile/view/1875835","18-1875835")</f>
        <v>0</v>
      </c>
      <c r="B2067" t="s">
        <v>9</v>
      </c>
      <c r="G2067" t="s">
        <v>16</v>
      </c>
    </row>
    <row r="2068" spans="1:7">
      <c r="A2068" s="1">
        <f>HYPERLINK("https://cms.ls-nyc.org/matter/dynamic-profile/view/1878816","18-1878816")</f>
        <v>0</v>
      </c>
      <c r="B2068" t="s">
        <v>11</v>
      </c>
      <c r="G2068" t="s">
        <v>16</v>
      </c>
    </row>
    <row r="2069" spans="1:7">
      <c r="A2069" s="1">
        <f>HYPERLINK("https://cms.ls-nyc.org/matter/dynamic-profile/view/1885512","18-1885512")</f>
        <v>0</v>
      </c>
      <c r="B2069" t="s">
        <v>9</v>
      </c>
      <c r="F2069" t="s">
        <v>15</v>
      </c>
      <c r="G2069" t="s">
        <v>17</v>
      </c>
    </row>
    <row r="2070" spans="1:7">
      <c r="A2070" s="1">
        <f>HYPERLINK("https://cms.ls-nyc.org/matter/dynamic-profile/view/1874017","18-1874017")</f>
        <v>0</v>
      </c>
      <c r="B2070" t="s">
        <v>9</v>
      </c>
      <c r="G2070" t="s">
        <v>16</v>
      </c>
    </row>
    <row r="2071" spans="1:7">
      <c r="A2071" s="1">
        <f>HYPERLINK("https://cms.ls-nyc.org/matter/dynamic-profile/view/1900576","19-1900576")</f>
        <v>0</v>
      </c>
      <c r="B2071" t="s">
        <v>8</v>
      </c>
      <c r="G2071" t="s">
        <v>16</v>
      </c>
    </row>
    <row r="2072" spans="1:7">
      <c r="A2072" s="1">
        <f>HYPERLINK("https://cms.ls-nyc.org/matter/dynamic-profile/view/1880516","18-1880516")</f>
        <v>0</v>
      </c>
      <c r="B2072" t="s">
        <v>9</v>
      </c>
      <c r="G2072" t="s">
        <v>16</v>
      </c>
    </row>
    <row r="2073" spans="1:7">
      <c r="A2073" s="1">
        <f>HYPERLINK("https://cms.ls-nyc.org/matter/dynamic-profile/view/1896717","19-1896717")</f>
        <v>0</v>
      </c>
      <c r="B2073" t="s">
        <v>8</v>
      </c>
      <c r="F2073" t="s">
        <v>15</v>
      </c>
      <c r="G2073" t="s">
        <v>17</v>
      </c>
    </row>
    <row r="2074" spans="1:7">
      <c r="A2074" s="1">
        <f>HYPERLINK("https://cms.ls-nyc.org/matter/dynamic-profile/view/1885212","18-1885212")</f>
        <v>0</v>
      </c>
      <c r="B2074" t="s">
        <v>9</v>
      </c>
      <c r="G2074" t="s">
        <v>16</v>
      </c>
    </row>
    <row r="2075" spans="1:7">
      <c r="A2075" s="1">
        <f>HYPERLINK("https://cms.ls-nyc.org/matter/dynamic-profile/view/1898384","19-1898384")</f>
        <v>0</v>
      </c>
      <c r="B2075" t="s">
        <v>11</v>
      </c>
      <c r="G2075" t="s">
        <v>16</v>
      </c>
    </row>
    <row r="2076" spans="1:7">
      <c r="A2076" s="1">
        <f>HYPERLINK("https://cms.ls-nyc.org/matter/dynamic-profile/view/1892227","19-1892227")</f>
        <v>0</v>
      </c>
      <c r="B2076" t="s">
        <v>9</v>
      </c>
      <c r="G2076" t="s">
        <v>16</v>
      </c>
    </row>
    <row r="2077" spans="1:7">
      <c r="A2077" s="1">
        <f>HYPERLINK("https://cms.ls-nyc.org/matter/dynamic-profile/view/1884826","18-1884826")</f>
        <v>0</v>
      </c>
      <c r="B2077" t="s">
        <v>8</v>
      </c>
      <c r="G2077" t="s">
        <v>16</v>
      </c>
    </row>
    <row r="2078" spans="1:7">
      <c r="A2078" s="1">
        <f>HYPERLINK("https://cms.ls-nyc.org/matter/dynamic-profile/view/1897121","19-1897121")</f>
        <v>0</v>
      </c>
      <c r="B2078" t="s">
        <v>7</v>
      </c>
      <c r="G2078" t="s">
        <v>16</v>
      </c>
    </row>
    <row r="2079" spans="1:7">
      <c r="A2079" s="1">
        <f>HYPERLINK("https://cms.ls-nyc.org/matter/dynamic-profile/view/1875703","18-1875703")</f>
        <v>0</v>
      </c>
      <c r="B2079" t="s">
        <v>7</v>
      </c>
      <c r="G2079" t="s">
        <v>16</v>
      </c>
    </row>
    <row r="2080" spans="1:7">
      <c r="A2080" s="1">
        <f>HYPERLINK("https://cms.ls-nyc.org/matter/dynamic-profile/view/1879082","18-1879082")</f>
        <v>0</v>
      </c>
      <c r="B2080" t="s">
        <v>8</v>
      </c>
      <c r="G2080" t="s">
        <v>16</v>
      </c>
    </row>
    <row r="2081" spans="1:7">
      <c r="A2081" s="1">
        <f>HYPERLINK("https://cms.ls-nyc.org/matter/dynamic-profile/view/1879085","18-1879085")</f>
        <v>0</v>
      </c>
      <c r="B2081" t="s">
        <v>8</v>
      </c>
      <c r="G2081" t="s">
        <v>16</v>
      </c>
    </row>
    <row r="2082" spans="1:7">
      <c r="A2082" s="1">
        <f>HYPERLINK("https://cms.ls-nyc.org/matter/dynamic-profile/view/1879063","18-1879063")</f>
        <v>0</v>
      </c>
      <c r="B2082" t="s">
        <v>8</v>
      </c>
      <c r="G2082" t="s">
        <v>16</v>
      </c>
    </row>
    <row r="2083" spans="1:7">
      <c r="A2083" s="1">
        <f>HYPERLINK("https://cms.ls-nyc.org/matter/dynamic-profile/view/1879855","18-1879855")</f>
        <v>0</v>
      </c>
      <c r="B2083" t="s">
        <v>9</v>
      </c>
      <c r="G2083" t="s">
        <v>16</v>
      </c>
    </row>
    <row r="2084" spans="1:7">
      <c r="A2084" s="1">
        <f>HYPERLINK("https://cms.ls-nyc.org/matter/dynamic-profile/view/1874997","18-1874997")</f>
        <v>0</v>
      </c>
      <c r="B2084" t="s">
        <v>10</v>
      </c>
      <c r="G2084" t="s">
        <v>16</v>
      </c>
    </row>
    <row r="2085" spans="1:7">
      <c r="A2085" s="1">
        <f>HYPERLINK("https://cms.ls-nyc.org/matter/dynamic-profile/view/1885279","18-1885279")</f>
        <v>0</v>
      </c>
      <c r="B2085" t="s">
        <v>11</v>
      </c>
      <c r="G2085" t="s">
        <v>16</v>
      </c>
    </row>
    <row r="2086" spans="1:7">
      <c r="A2086" s="1">
        <f>HYPERLINK("https://cms.ls-nyc.org/matter/dynamic-profile/view/1876256","18-1876256")</f>
        <v>0</v>
      </c>
      <c r="B2086" t="s">
        <v>10</v>
      </c>
      <c r="F2086" t="s">
        <v>15</v>
      </c>
      <c r="G2086" t="s">
        <v>17</v>
      </c>
    </row>
    <row r="2087" spans="1:7">
      <c r="A2087" s="1">
        <f>HYPERLINK("https://cms.ls-nyc.org/matter/dynamic-profile/view/1881313","18-1881313")</f>
        <v>0</v>
      </c>
      <c r="B2087" t="s">
        <v>8</v>
      </c>
      <c r="G2087" t="s">
        <v>16</v>
      </c>
    </row>
    <row r="2088" spans="1:7">
      <c r="A2088" s="1">
        <f>HYPERLINK("https://cms.ls-nyc.org/matter/dynamic-profile/view/1891213","19-1891213")</f>
        <v>0</v>
      </c>
      <c r="B2088" t="s">
        <v>11</v>
      </c>
      <c r="G2088" t="s">
        <v>16</v>
      </c>
    </row>
    <row r="2089" spans="1:7">
      <c r="A2089" s="1">
        <f>HYPERLINK("https://cms.ls-nyc.org/matter/dynamic-profile/view/1874460","18-1874460")</f>
        <v>0</v>
      </c>
      <c r="B2089" t="s">
        <v>11</v>
      </c>
      <c r="G2089" t="s">
        <v>16</v>
      </c>
    </row>
    <row r="2090" spans="1:7">
      <c r="A2090" s="1">
        <f>HYPERLINK("https://cms.ls-nyc.org/matter/dynamic-profile/view/1885377","18-1885377")</f>
        <v>0</v>
      </c>
      <c r="B2090" t="s">
        <v>8</v>
      </c>
      <c r="G2090" t="s">
        <v>16</v>
      </c>
    </row>
    <row r="2091" spans="1:7">
      <c r="A2091" s="1">
        <f>HYPERLINK("https://cms.ls-nyc.org/matter/dynamic-profile/view/1882435","18-1882435")</f>
        <v>0</v>
      </c>
      <c r="B2091" t="s">
        <v>7</v>
      </c>
      <c r="G2091" t="s">
        <v>16</v>
      </c>
    </row>
    <row r="2092" spans="1:7">
      <c r="A2092" s="1">
        <f>HYPERLINK("https://cms.ls-nyc.org/matter/dynamic-profile/view/1894371","19-1894371")</f>
        <v>0</v>
      </c>
      <c r="B2092" t="s">
        <v>10</v>
      </c>
      <c r="G2092" t="s">
        <v>16</v>
      </c>
    </row>
    <row r="2093" spans="1:7">
      <c r="A2093" s="1">
        <f>HYPERLINK("https://cms.ls-nyc.org/matter/dynamic-profile/view/1900309","19-1900309")</f>
        <v>0</v>
      </c>
      <c r="B2093" t="s">
        <v>7</v>
      </c>
      <c r="C2093" t="s">
        <v>12</v>
      </c>
      <c r="G2093" t="s">
        <v>17</v>
      </c>
    </row>
    <row r="2094" spans="1:7">
      <c r="A2094" s="1">
        <f>HYPERLINK("https://cms.ls-nyc.org/matter/dynamic-profile/view/1879421","18-1879421")</f>
        <v>0</v>
      </c>
      <c r="B2094" t="s">
        <v>9</v>
      </c>
      <c r="G2094" t="s">
        <v>16</v>
      </c>
    </row>
    <row r="2095" spans="1:7">
      <c r="A2095" s="1">
        <f>HYPERLINK("https://cms.ls-nyc.org/matter/dynamic-profile/view/1874036","18-1874036")</f>
        <v>0</v>
      </c>
      <c r="B2095" t="s">
        <v>8</v>
      </c>
      <c r="G2095" t="s">
        <v>16</v>
      </c>
    </row>
    <row r="2096" spans="1:7">
      <c r="A2096" s="1">
        <f>HYPERLINK("https://cms.ls-nyc.org/matter/dynamic-profile/view/1898185","19-1898185")</f>
        <v>0</v>
      </c>
      <c r="B2096" t="s">
        <v>9</v>
      </c>
      <c r="G2096" t="s">
        <v>16</v>
      </c>
    </row>
    <row r="2097" spans="1:7">
      <c r="A2097" s="1">
        <f>HYPERLINK("https://cms.ls-nyc.org/matter/dynamic-profile/view/1889678","19-1889678")</f>
        <v>0</v>
      </c>
      <c r="B2097" t="s">
        <v>9</v>
      </c>
      <c r="G2097" t="s">
        <v>16</v>
      </c>
    </row>
    <row r="2098" spans="1:7">
      <c r="A2098" s="1">
        <f>HYPERLINK("https://cms.ls-nyc.org/matter/dynamic-profile/view/1901242","19-1901242")</f>
        <v>0</v>
      </c>
      <c r="B2098" t="s">
        <v>11</v>
      </c>
      <c r="G2098" t="s">
        <v>16</v>
      </c>
    </row>
    <row r="2099" spans="1:7">
      <c r="A2099" s="1">
        <f>HYPERLINK("https://cms.ls-nyc.org/matter/dynamic-profile/view/1879146","18-1879146")</f>
        <v>0</v>
      </c>
      <c r="B2099" t="s">
        <v>9</v>
      </c>
      <c r="G2099" t="s">
        <v>16</v>
      </c>
    </row>
    <row r="2100" spans="1:7">
      <c r="A2100" s="1">
        <f>HYPERLINK("https://cms.ls-nyc.org/matter/dynamic-profile/view/1888492","19-1888492")</f>
        <v>0</v>
      </c>
      <c r="B2100" t="s">
        <v>9</v>
      </c>
      <c r="G2100" t="s">
        <v>16</v>
      </c>
    </row>
    <row r="2101" spans="1:7">
      <c r="A2101" s="1">
        <f>HYPERLINK("https://cms.ls-nyc.org/matter/dynamic-profile/view/1872017","18-1872017")</f>
        <v>0</v>
      </c>
      <c r="B2101" t="s">
        <v>7</v>
      </c>
      <c r="G2101" t="s">
        <v>16</v>
      </c>
    </row>
    <row r="2102" spans="1:7">
      <c r="A2102" s="1">
        <f>HYPERLINK("https://cms.ls-nyc.org/matter/dynamic-profile/view/1884862","18-1884862")</f>
        <v>0</v>
      </c>
      <c r="B2102" t="s">
        <v>8</v>
      </c>
      <c r="G2102" t="s">
        <v>16</v>
      </c>
    </row>
    <row r="2103" spans="1:7">
      <c r="A2103" s="1">
        <f>HYPERLINK("https://cms.ls-nyc.org/matter/dynamic-profile/view/1878269","18-1878269")</f>
        <v>0</v>
      </c>
      <c r="B2103" t="s">
        <v>9</v>
      </c>
      <c r="G2103" t="s">
        <v>16</v>
      </c>
    </row>
    <row r="2104" spans="1:7">
      <c r="A2104" s="1">
        <f>HYPERLINK("https://cms.ls-nyc.org/matter/dynamic-profile/view/1890794","19-1890794")</f>
        <v>0</v>
      </c>
      <c r="B2104" t="s">
        <v>11</v>
      </c>
      <c r="G2104" t="s">
        <v>16</v>
      </c>
    </row>
    <row r="2105" spans="1:7">
      <c r="A2105" s="1">
        <f>HYPERLINK("https://cms.ls-nyc.org/matter/dynamic-profile/view/1871510","18-1871510")</f>
        <v>0</v>
      </c>
      <c r="B2105" t="s">
        <v>9</v>
      </c>
      <c r="G2105" t="s">
        <v>16</v>
      </c>
    </row>
    <row r="2106" spans="1:7">
      <c r="A2106" s="1">
        <f>HYPERLINK("https://cms.ls-nyc.org/matter/dynamic-profile/view/1886391","18-1886391")</f>
        <v>0</v>
      </c>
      <c r="B2106" t="s">
        <v>8</v>
      </c>
      <c r="E2106" t="s">
        <v>14</v>
      </c>
      <c r="F2106" t="s">
        <v>15</v>
      </c>
      <c r="G2106" t="s">
        <v>17</v>
      </c>
    </row>
    <row r="2107" spans="1:7">
      <c r="A2107" s="1">
        <f>HYPERLINK("https://cms.ls-nyc.org/matter/dynamic-profile/view/1888825","19-1888825")</f>
        <v>0</v>
      </c>
      <c r="B2107" t="s">
        <v>8</v>
      </c>
      <c r="G2107" t="s">
        <v>16</v>
      </c>
    </row>
    <row r="2108" spans="1:7">
      <c r="A2108" s="1">
        <f>HYPERLINK("https://cms.ls-nyc.org/matter/dynamic-profile/view/1887051","19-1887051")</f>
        <v>0</v>
      </c>
      <c r="B2108" t="s">
        <v>9</v>
      </c>
      <c r="G2108" t="s">
        <v>16</v>
      </c>
    </row>
    <row r="2109" spans="1:7">
      <c r="A2109" s="1">
        <f>HYPERLINK("https://cms.ls-nyc.org/matter/dynamic-profile/view/1887071","19-1887071")</f>
        <v>0</v>
      </c>
      <c r="B2109" t="s">
        <v>9</v>
      </c>
      <c r="G2109" t="s">
        <v>16</v>
      </c>
    </row>
    <row r="2110" spans="1:7">
      <c r="A2110" s="1">
        <f>HYPERLINK("https://cms.ls-nyc.org/matter/dynamic-profile/view/1874611","18-1874611")</f>
        <v>0</v>
      </c>
      <c r="B2110" t="s">
        <v>11</v>
      </c>
      <c r="E2110" t="s">
        <v>14</v>
      </c>
      <c r="G2110" t="s">
        <v>17</v>
      </c>
    </row>
    <row r="2111" spans="1:7">
      <c r="A2111" s="1">
        <f>HYPERLINK("https://cms.ls-nyc.org/matter/dynamic-profile/view/1877546","18-1877546")</f>
        <v>0</v>
      </c>
      <c r="B2111" t="s">
        <v>7</v>
      </c>
      <c r="G2111" t="s">
        <v>16</v>
      </c>
    </row>
    <row r="2112" spans="1:7">
      <c r="A2112" s="1">
        <f>HYPERLINK("https://cms.ls-nyc.org/matter/dynamic-profile/view/1897972","19-1897972")</f>
        <v>0</v>
      </c>
      <c r="B2112" t="s">
        <v>8</v>
      </c>
      <c r="G2112" t="s">
        <v>16</v>
      </c>
    </row>
    <row r="2113" spans="1:7">
      <c r="A2113" s="1">
        <f>HYPERLINK("https://cms.ls-nyc.org/matter/dynamic-profile/view/1887798","19-1887798")</f>
        <v>0</v>
      </c>
      <c r="B2113" t="s">
        <v>8</v>
      </c>
      <c r="G2113" t="s">
        <v>16</v>
      </c>
    </row>
    <row r="2114" spans="1:7">
      <c r="A2114" s="1">
        <f>HYPERLINK("https://cms.ls-nyc.org/matter/dynamic-profile/view/1895730","19-1895730")</f>
        <v>0</v>
      </c>
      <c r="B2114" t="s">
        <v>7</v>
      </c>
      <c r="G2114" t="s">
        <v>16</v>
      </c>
    </row>
    <row r="2115" spans="1:7">
      <c r="A2115" s="1">
        <f>HYPERLINK("https://cms.ls-nyc.org/matter/dynamic-profile/view/1885990","18-1885990")</f>
        <v>0</v>
      </c>
      <c r="B2115" t="s">
        <v>7</v>
      </c>
      <c r="G2115" t="s">
        <v>16</v>
      </c>
    </row>
    <row r="2116" spans="1:7">
      <c r="A2116" s="1">
        <f>HYPERLINK("https://cms.ls-nyc.org/matter/dynamic-profile/view/1880616","18-1880616")</f>
        <v>0</v>
      </c>
      <c r="B2116" t="s">
        <v>9</v>
      </c>
      <c r="G2116" t="s">
        <v>16</v>
      </c>
    </row>
    <row r="2117" spans="1:7">
      <c r="A2117" s="1">
        <f>HYPERLINK("https://cms.ls-nyc.org/matter/dynamic-profile/view/1872462","18-1872462")</f>
        <v>0</v>
      </c>
      <c r="B2117" t="s">
        <v>7</v>
      </c>
      <c r="G2117" t="s">
        <v>16</v>
      </c>
    </row>
    <row r="2118" spans="1:7">
      <c r="A2118" s="1">
        <f>HYPERLINK("https://cms.ls-nyc.org/matter/dynamic-profile/view/1878587","18-1878587")</f>
        <v>0</v>
      </c>
      <c r="B2118" t="s">
        <v>7</v>
      </c>
      <c r="G2118" t="s">
        <v>16</v>
      </c>
    </row>
    <row r="2119" spans="1:7">
      <c r="A2119" s="1">
        <f>HYPERLINK("https://cms.ls-nyc.org/matter/dynamic-profile/view/1892316","19-1892316")</f>
        <v>0</v>
      </c>
      <c r="B2119" t="s">
        <v>9</v>
      </c>
      <c r="F2119" t="s">
        <v>15</v>
      </c>
      <c r="G2119" t="s">
        <v>17</v>
      </c>
    </row>
    <row r="2120" spans="1:7">
      <c r="A2120" s="1">
        <f>HYPERLINK("https://cms.ls-nyc.org/matter/dynamic-profile/view/1891850","19-1891850")</f>
        <v>0</v>
      </c>
      <c r="B2120" t="s">
        <v>9</v>
      </c>
      <c r="F2120" t="s">
        <v>15</v>
      </c>
      <c r="G2120" t="s">
        <v>17</v>
      </c>
    </row>
    <row r="2121" spans="1:7">
      <c r="A2121" s="1">
        <f>HYPERLINK("https://cms.ls-nyc.org/matter/dynamic-profile/view/1899145","19-1899145")</f>
        <v>0</v>
      </c>
      <c r="B2121" t="s">
        <v>9</v>
      </c>
      <c r="G2121" t="s">
        <v>16</v>
      </c>
    </row>
    <row r="2122" spans="1:7">
      <c r="A2122" s="1">
        <f>HYPERLINK("https://cms.ls-nyc.org/matter/dynamic-profile/view/1900463","19-1900463")</f>
        <v>0</v>
      </c>
      <c r="B2122" t="s">
        <v>11</v>
      </c>
      <c r="G2122" t="s">
        <v>16</v>
      </c>
    </row>
    <row r="2123" spans="1:7">
      <c r="A2123" s="1">
        <f>HYPERLINK("https://cms.ls-nyc.org/matter/dynamic-profile/view/1891939","19-1891939")</f>
        <v>0</v>
      </c>
      <c r="B2123" t="s">
        <v>7</v>
      </c>
      <c r="G2123" t="s">
        <v>16</v>
      </c>
    </row>
    <row r="2124" spans="1:7">
      <c r="A2124" s="1">
        <f>HYPERLINK("https://cms.ls-nyc.org/matter/dynamic-profile/view/1883131","18-1883131")</f>
        <v>0</v>
      </c>
      <c r="B2124" t="s">
        <v>8</v>
      </c>
      <c r="G2124" t="s">
        <v>16</v>
      </c>
    </row>
    <row r="2125" spans="1:7">
      <c r="A2125" s="1">
        <f>HYPERLINK("https://cms.ls-nyc.org/matter/dynamic-profile/view/1891182","19-1891182")</f>
        <v>0</v>
      </c>
      <c r="B2125" t="s">
        <v>11</v>
      </c>
      <c r="G2125" t="s">
        <v>16</v>
      </c>
    </row>
    <row r="2126" spans="1:7">
      <c r="A2126" s="1">
        <f>HYPERLINK("https://cms.ls-nyc.org/matter/dynamic-profile/view/1894896","19-1894896")</f>
        <v>0</v>
      </c>
      <c r="B2126" t="s">
        <v>11</v>
      </c>
      <c r="F2126" t="s">
        <v>15</v>
      </c>
      <c r="G2126" t="s">
        <v>17</v>
      </c>
    </row>
    <row r="2127" spans="1:7">
      <c r="A2127" s="1">
        <f>HYPERLINK("https://cms.ls-nyc.org/matter/dynamic-profile/view/1895966","19-1895966")</f>
        <v>0</v>
      </c>
      <c r="B2127" t="s">
        <v>7</v>
      </c>
      <c r="G2127" t="s">
        <v>16</v>
      </c>
    </row>
    <row r="2128" spans="1:7">
      <c r="A2128" s="1">
        <f>HYPERLINK("https://cms.ls-nyc.org/matter/dynamic-profile/view/1896160","19-1896160")</f>
        <v>0</v>
      </c>
      <c r="B2128" t="s">
        <v>7</v>
      </c>
      <c r="G2128" t="s">
        <v>16</v>
      </c>
    </row>
    <row r="2129" spans="1:7">
      <c r="A2129" s="1">
        <f>HYPERLINK("https://cms.ls-nyc.org/matter/dynamic-profile/view/1896172","19-1896172")</f>
        <v>0</v>
      </c>
      <c r="B2129" t="s">
        <v>7</v>
      </c>
      <c r="G2129" t="s">
        <v>16</v>
      </c>
    </row>
    <row r="2130" spans="1:7">
      <c r="A2130" s="1">
        <f>HYPERLINK("https://cms.ls-nyc.org/matter/dynamic-profile/view/1880916","18-1880916")</f>
        <v>0</v>
      </c>
      <c r="B2130" t="s">
        <v>9</v>
      </c>
      <c r="G2130" t="s">
        <v>16</v>
      </c>
    </row>
    <row r="2131" spans="1:7">
      <c r="A2131" s="1">
        <f>HYPERLINK("https://cms.ls-nyc.org/matter/dynamic-profile/view/1900930","19-1900930")</f>
        <v>0</v>
      </c>
      <c r="B2131" t="s">
        <v>7</v>
      </c>
      <c r="F2131" t="s">
        <v>15</v>
      </c>
      <c r="G2131" t="s">
        <v>17</v>
      </c>
    </row>
    <row r="2132" spans="1:7">
      <c r="A2132" s="1">
        <f>HYPERLINK("https://cms.ls-nyc.org/matter/dynamic-profile/view/1875865","18-1875865")</f>
        <v>0</v>
      </c>
      <c r="B2132" t="s">
        <v>11</v>
      </c>
      <c r="G2132" t="s">
        <v>16</v>
      </c>
    </row>
    <row r="2133" spans="1:7">
      <c r="A2133" s="1">
        <f>HYPERLINK("https://cms.ls-nyc.org/matter/dynamic-profile/view/1883827","18-1883827")</f>
        <v>0</v>
      </c>
      <c r="B2133" t="s">
        <v>11</v>
      </c>
      <c r="E2133" t="s">
        <v>14</v>
      </c>
      <c r="G2133" t="s">
        <v>17</v>
      </c>
    </row>
    <row r="2134" spans="1:7">
      <c r="A2134" s="1">
        <f>HYPERLINK("https://cms.ls-nyc.org/matter/dynamic-profile/view/1878495","18-1878495")</f>
        <v>0</v>
      </c>
      <c r="B2134" t="s">
        <v>11</v>
      </c>
      <c r="G2134" t="s">
        <v>16</v>
      </c>
    </row>
    <row r="2135" spans="1:7">
      <c r="A2135" s="1">
        <f>HYPERLINK("https://cms.ls-nyc.org/matter/dynamic-profile/view/1872859","18-1872859")</f>
        <v>0</v>
      </c>
      <c r="B2135" t="s">
        <v>9</v>
      </c>
      <c r="G2135" t="s">
        <v>16</v>
      </c>
    </row>
    <row r="2136" spans="1:7">
      <c r="A2136" s="1">
        <f>HYPERLINK("https://cms.ls-nyc.org/matter/dynamic-profile/view/1897516","19-1897516")</f>
        <v>0</v>
      </c>
      <c r="B2136" t="s">
        <v>8</v>
      </c>
      <c r="E2136" t="s">
        <v>14</v>
      </c>
      <c r="F2136" t="s">
        <v>15</v>
      </c>
      <c r="G2136" t="s">
        <v>17</v>
      </c>
    </row>
    <row r="2137" spans="1:7">
      <c r="A2137" s="1">
        <f>HYPERLINK("https://cms.ls-nyc.org/matter/dynamic-profile/view/1897517","19-1897517")</f>
        <v>0</v>
      </c>
      <c r="B2137" t="s">
        <v>8</v>
      </c>
      <c r="E2137" t="s">
        <v>14</v>
      </c>
      <c r="F2137" t="s">
        <v>15</v>
      </c>
      <c r="G2137" t="s">
        <v>17</v>
      </c>
    </row>
    <row r="2138" spans="1:7">
      <c r="A2138" s="1">
        <f>HYPERLINK("https://cms.ls-nyc.org/matter/dynamic-profile/view/1873786","18-1873786")</f>
        <v>0</v>
      </c>
      <c r="B2138" t="s">
        <v>11</v>
      </c>
      <c r="G2138" t="s">
        <v>16</v>
      </c>
    </row>
    <row r="2139" spans="1:7">
      <c r="A2139" s="1">
        <f>HYPERLINK("https://cms.ls-nyc.org/matter/dynamic-profile/view/1875981","18-1875981")</f>
        <v>0</v>
      </c>
      <c r="B2139" t="s">
        <v>9</v>
      </c>
      <c r="G2139" t="s">
        <v>16</v>
      </c>
    </row>
    <row r="2140" spans="1:7">
      <c r="A2140" s="1">
        <f>HYPERLINK("https://cms.ls-nyc.org/matter/dynamic-profile/view/1880612","18-1880612")</f>
        <v>0</v>
      </c>
      <c r="B2140" t="s">
        <v>9</v>
      </c>
      <c r="G2140" t="s">
        <v>16</v>
      </c>
    </row>
    <row r="2141" spans="1:7">
      <c r="A2141" s="1">
        <f>HYPERLINK("https://cms.ls-nyc.org/matter/dynamic-profile/view/1874712","18-1874712")</f>
        <v>0</v>
      </c>
      <c r="B2141" t="s">
        <v>11</v>
      </c>
      <c r="G2141" t="s">
        <v>16</v>
      </c>
    </row>
    <row r="2142" spans="1:7">
      <c r="A2142" s="1">
        <f>HYPERLINK("https://cms.ls-nyc.org/matter/dynamic-profile/view/1877570","18-1877570")</f>
        <v>0</v>
      </c>
      <c r="B2142" t="s">
        <v>7</v>
      </c>
      <c r="G2142" t="s">
        <v>16</v>
      </c>
    </row>
    <row r="2143" spans="1:7">
      <c r="A2143" s="1">
        <f>HYPERLINK("https://cms.ls-nyc.org/matter/dynamic-profile/view/1897232","19-1897232")</f>
        <v>0</v>
      </c>
      <c r="B2143" t="s">
        <v>7</v>
      </c>
      <c r="G2143" t="s">
        <v>16</v>
      </c>
    </row>
    <row r="2144" spans="1:7">
      <c r="A2144" s="1">
        <f>HYPERLINK("https://cms.ls-nyc.org/matter/dynamic-profile/view/1897235","19-1897235")</f>
        <v>0</v>
      </c>
      <c r="B2144" t="s">
        <v>7</v>
      </c>
      <c r="G2144" t="s">
        <v>16</v>
      </c>
    </row>
    <row r="2145" spans="1:7">
      <c r="A2145" s="1">
        <f>HYPERLINK("https://cms.ls-nyc.org/matter/dynamic-profile/view/1895973","19-1895973")</f>
        <v>0</v>
      </c>
      <c r="B2145" t="s">
        <v>8</v>
      </c>
      <c r="G2145" t="s">
        <v>16</v>
      </c>
    </row>
    <row r="2146" spans="1:7">
      <c r="A2146" s="1">
        <f>HYPERLINK("https://cms.ls-nyc.org/matter/dynamic-profile/view/1892391","19-1892391")</f>
        <v>0</v>
      </c>
      <c r="B2146" t="s">
        <v>9</v>
      </c>
      <c r="G2146" t="s">
        <v>16</v>
      </c>
    </row>
    <row r="2147" spans="1:7">
      <c r="A2147" s="1">
        <f>HYPERLINK("https://cms.ls-nyc.org/matter/dynamic-profile/view/1893923","19-1893923")</f>
        <v>0</v>
      </c>
      <c r="B2147" t="s">
        <v>9</v>
      </c>
      <c r="G2147" t="s">
        <v>16</v>
      </c>
    </row>
    <row r="2148" spans="1:7">
      <c r="A2148" s="1">
        <f>HYPERLINK("https://cms.ls-nyc.org/matter/dynamic-profile/view/1879221","18-1879221")</f>
        <v>0</v>
      </c>
      <c r="B2148" t="s">
        <v>11</v>
      </c>
      <c r="G2148" t="s">
        <v>16</v>
      </c>
    </row>
    <row r="2149" spans="1:7">
      <c r="A2149" s="1">
        <f>HYPERLINK("https://cms.ls-nyc.org/matter/dynamic-profile/view/1881605","18-1881605")</f>
        <v>0</v>
      </c>
      <c r="B2149" t="s">
        <v>8</v>
      </c>
      <c r="F2149" t="s">
        <v>15</v>
      </c>
      <c r="G2149" t="s">
        <v>17</v>
      </c>
    </row>
    <row r="2150" spans="1:7">
      <c r="A2150" s="1">
        <f>HYPERLINK("https://cms.ls-nyc.org/matter/dynamic-profile/view/1883364","18-1883364")</f>
        <v>0</v>
      </c>
      <c r="B2150" t="s">
        <v>9</v>
      </c>
      <c r="F2150" t="s">
        <v>15</v>
      </c>
      <c r="G2150" t="s">
        <v>17</v>
      </c>
    </row>
    <row r="2151" spans="1:7">
      <c r="A2151" s="1">
        <f>HYPERLINK("https://cms.ls-nyc.org/matter/dynamic-profile/view/1886111","18-1886111")</f>
        <v>0</v>
      </c>
      <c r="B2151" t="s">
        <v>9</v>
      </c>
      <c r="G2151" t="s">
        <v>16</v>
      </c>
    </row>
    <row r="2152" spans="1:7">
      <c r="A2152" s="1">
        <f>HYPERLINK("https://cms.ls-nyc.org/matter/dynamic-profile/view/1883429","18-1883429")</f>
        <v>0</v>
      </c>
      <c r="B2152" t="s">
        <v>9</v>
      </c>
      <c r="G2152" t="s">
        <v>16</v>
      </c>
    </row>
    <row r="2153" spans="1:7">
      <c r="A2153" s="1">
        <f>HYPERLINK("https://cms.ls-nyc.org/matter/dynamic-profile/view/1877693","18-1877693")</f>
        <v>0</v>
      </c>
      <c r="B2153" t="s">
        <v>10</v>
      </c>
      <c r="G2153" t="s">
        <v>16</v>
      </c>
    </row>
    <row r="2154" spans="1:7">
      <c r="A2154" s="1">
        <f>HYPERLINK("https://cms.ls-nyc.org/matter/dynamic-profile/view/1878909","18-1878909")</f>
        <v>0</v>
      </c>
      <c r="B2154" t="s">
        <v>11</v>
      </c>
      <c r="F2154" t="s">
        <v>15</v>
      </c>
      <c r="G2154" t="s">
        <v>17</v>
      </c>
    </row>
    <row r="2155" spans="1:7">
      <c r="A2155" s="1">
        <f>HYPERLINK("https://cms.ls-nyc.org/matter/dynamic-profile/view/1885567","18-1885567")</f>
        <v>0</v>
      </c>
      <c r="B2155" t="s">
        <v>11</v>
      </c>
      <c r="G2155" t="s">
        <v>16</v>
      </c>
    </row>
    <row r="2156" spans="1:7">
      <c r="A2156" s="1">
        <f>HYPERLINK("https://cms.ls-nyc.org/matter/dynamic-profile/view/1885138","18-1885138")</f>
        <v>0</v>
      </c>
      <c r="B2156" t="s">
        <v>11</v>
      </c>
      <c r="G2156" t="s">
        <v>16</v>
      </c>
    </row>
    <row r="2157" spans="1:7">
      <c r="A2157" s="1">
        <f>HYPERLINK("https://cms.ls-nyc.org/matter/dynamic-profile/view/1893494","19-1893494")</f>
        <v>0</v>
      </c>
      <c r="B2157" t="s">
        <v>11</v>
      </c>
      <c r="G2157" t="s">
        <v>16</v>
      </c>
    </row>
    <row r="2158" spans="1:7">
      <c r="A2158" s="1">
        <f>HYPERLINK("https://cms.ls-nyc.org/matter/dynamic-profile/view/1875086","18-1875086")</f>
        <v>0</v>
      </c>
      <c r="B2158" t="s">
        <v>9</v>
      </c>
      <c r="G2158" t="s">
        <v>16</v>
      </c>
    </row>
    <row r="2159" spans="1:7">
      <c r="A2159" s="1">
        <f>HYPERLINK("https://cms.ls-nyc.org/matter/dynamic-profile/view/1896441","19-1896441")</f>
        <v>0</v>
      </c>
      <c r="B2159" t="s">
        <v>8</v>
      </c>
      <c r="C2159" t="s">
        <v>12</v>
      </c>
      <c r="E2159" t="s">
        <v>14</v>
      </c>
      <c r="G2159" t="s">
        <v>17</v>
      </c>
    </row>
    <row r="2160" spans="1:7">
      <c r="A2160" s="1">
        <f>HYPERLINK("https://cms.ls-nyc.org/matter/dynamic-profile/view/1896450","19-1896450")</f>
        <v>0</v>
      </c>
      <c r="B2160" t="s">
        <v>8</v>
      </c>
      <c r="C2160" t="s">
        <v>12</v>
      </c>
      <c r="E2160" t="s">
        <v>14</v>
      </c>
      <c r="G2160" t="s">
        <v>17</v>
      </c>
    </row>
    <row r="2161" spans="1:7">
      <c r="A2161" s="1">
        <f>HYPERLINK("https://cms.ls-nyc.org/matter/dynamic-profile/view/1872427","18-1872427")</f>
        <v>0</v>
      </c>
      <c r="B2161" t="s">
        <v>11</v>
      </c>
      <c r="G2161" t="s">
        <v>16</v>
      </c>
    </row>
    <row r="2162" spans="1:7">
      <c r="A2162" s="1">
        <f>HYPERLINK("https://cms.ls-nyc.org/matter/dynamic-profile/view/1889400","19-1889400")</f>
        <v>0</v>
      </c>
      <c r="B2162" t="s">
        <v>7</v>
      </c>
      <c r="G2162" t="s">
        <v>16</v>
      </c>
    </row>
    <row r="2163" spans="1:7">
      <c r="A2163" s="1">
        <f>HYPERLINK("https://cms.ls-nyc.org/matter/dynamic-profile/view/1895342","19-1895342")</f>
        <v>0</v>
      </c>
      <c r="B2163" t="s">
        <v>9</v>
      </c>
      <c r="G2163" t="s">
        <v>16</v>
      </c>
    </row>
    <row r="2164" spans="1:7">
      <c r="A2164" s="1">
        <f>HYPERLINK("https://cms.ls-nyc.org/matter/dynamic-profile/view/1876135","18-1876135")</f>
        <v>0</v>
      </c>
      <c r="B2164" t="s">
        <v>7</v>
      </c>
      <c r="G2164" t="s">
        <v>16</v>
      </c>
    </row>
    <row r="2165" spans="1:7">
      <c r="A2165" s="1">
        <f>HYPERLINK("https://cms.ls-nyc.org/matter/dynamic-profile/view/1872259","18-1872259")</f>
        <v>0</v>
      </c>
      <c r="B2165" t="s">
        <v>8</v>
      </c>
      <c r="G2165" t="s">
        <v>16</v>
      </c>
    </row>
    <row r="2166" spans="1:7">
      <c r="A2166" s="1">
        <f>HYPERLINK("https://cms.ls-nyc.org/matter/dynamic-profile/view/1887980","19-1887980")</f>
        <v>0</v>
      </c>
      <c r="B2166" t="s">
        <v>8</v>
      </c>
      <c r="F2166" t="s">
        <v>15</v>
      </c>
      <c r="G2166" t="s">
        <v>17</v>
      </c>
    </row>
    <row r="2167" spans="1:7">
      <c r="A2167" s="1">
        <f>HYPERLINK("https://cms.ls-nyc.org/matter/dynamic-profile/view/1875882","18-1875882")</f>
        <v>0</v>
      </c>
      <c r="B2167" t="s">
        <v>9</v>
      </c>
      <c r="G2167" t="s">
        <v>16</v>
      </c>
    </row>
    <row r="2168" spans="1:7">
      <c r="A2168" s="1">
        <f>HYPERLINK("https://cms.ls-nyc.org/matter/dynamic-profile/view/1884536","18-1884536")</f>
        <v>0</v>
      </c>
      <c r="B2168" t="s">
        <v>9</v>
      </c>
      <c r="F2168" t="s">
        <v>15</v>
      </c>
      <c r="G2168" t="s">
        <v>17</v>
      </c>
    </row>
    <row r="2169" spans="1:7">
      <c r="A2169" s="1">
        <f>HYPERLINK("https://cms.ls-nyc.org/matter/dynamic-profile/view/1886233","18-1886233")</f>
        <v>0</v>
      </c>
      <c r="B2169" t="s">
        <v>10</v>
      </c>
      <c r="G2169" t="s">
        <v>16</v>
      </c>
    </row>
    <row r="2170" spans="1:7">
      <c r="A2170" s="1">
        <f>HYPERLINK("https://cms.ls-nyc.org/matter/dynamic-profile/view/1891897","19-1891897")</f>
        <v>0</v>
      </c>
      <c r="B2170" t="s">
        <v>9</v>
      </c>
      <c r="G2170" t="s">
        <v>16</v>
      </c>
    </row>
    <row r="2171" spans="1:7">
      <c r="A2171" s="1">
        <f>HYPERLINK("https://cms.ls-nyc.org/matter/dynamic-profile/view/1897690","19-1897690")</f>
        <v>0</v>
      </c>
      <c r="B2171" t="s">
        <v>11</v>
      </c>
      <c r="G2171" t="s">
        <v>16</v>
      </c>
    </row>
    <row r="2172" spans="1:7">
      <c r="A2172" s="1">
        <f>HYPERLINK("https://cms.ls-nyc.org/matter/dynamic-profile/view/1889777","19-1889777")</f>
        <v>0</v>
      </c>
      <c r="B2172" t="s">
        <v>9</v>
      </c>
      <c r="G2172" t="s">
        <v>16</v>
      </c>
    </row>
    <row r="2173" spans="1:7">
      <c r="A2173" s="1">
        <f>HYPERLINK("https://cms.ls-nyc.org/matter/dynamic-profile/view/1880006","18-1880006")</f>
        <v>0</v>
      </c>
      <c r="B2173" t="s">
        <v>8</v>
      </c>
      <c r="G2173" t="s">
        <v>16</v>
      </c>
    </row>
    <row r="2174" spans="1:7">
      <c r="A2174" s="1">
        <f>HYPERLINK("https://cms.ls-nyc.org/matter/dynamic-profile/view/1891890","19-1891890")</f>
        <v>0</v>
      </c>
      <c r="B2174" t="s">
        <v>11</v>
      </c>
      <c r="G2174" t="s">
        <v>16</v>
      </c>
    </row>
    <row r="2175" spans="1:7">
      <c r="A2175" s="1">
        <f>HYPERLINK("https://cms.ls-nyc.org/matter/dynamic-profile/view/1888987","19-1888987")</f>
        <v>0</v>
      </c>
      <c r="B2175" t="s">
        <v>8</v>
      </c>
      <c r="G2175" t="s">
        <v>16</v>
      </c>
    </row>
    <row r="2176" spans="1:7">
      <c r="A2176" s="1">
        <f>HYPERLINK("https://cms.ls-nyc.org/matter/dynamic-profile/view/1878277","18-1878277")</f>
        <v>0</v>
      </c>
      <c r="B2176" t="s">
        <v>9</v>
      </c>
      <c r="G2176" t="s">
        <v>16</v>
      </c>
    </row>
    <row r="2177" spans="1:7">
      <c r="A2177" s="1">
        <f>HYPERLINK("https://cms.ls-nyc.org/matter/dynamic-profile/view/1876234","18-1876234")</f>
        <v>0</v>
      </c>
      <c r="B2177" t="s">
        <v>11</v>
      </c>
      <c r="G2177" t="s">
        <v>16</v>
      </c>
    </row>
    <row r="2178" spans="1:7">
      <c r="A2178" s="1">
        <f>HYPERLINK("https://cms.ls-nyc.org/matter/dynamic-profile/view/1884060","18-1884060")</f>
        <v>0</v>
      </c>
      <c r="B2178" t="s">
        <v>8</v>
      </c>
      <c r="G2178" t="s">
        <v>16</v>
      </c>
    </row>
    <row r="2179" spans="1:7">
      <c r="A2179" s="1">
        <f>HYPERLINK("https://cms.ls-nyc.org/matter/dynamic-profile/view/1895764","19-1895764")</f>
        <v>0</v>
      </c>
      <c r="B2179" t="s">
        <v>10</v>
      </c>
      <c r="G2179" t="s">
        <v>16</v>
      </c>
    </row>
    <row r="2180" spans="1:7">
      <c r="A2180" s="1">
        <f>HYPERLINK("https://cms.ls-nyc.org/matter/dynamic-profile/view/1890992","19-1890992")</f>
        <v>0</v>
      </c>
      <c r="B2180" t="s">
        <v>9</v>
      </c>
      <c r="G2180" t="s">
        <v>16</v>
      </c>
    </row>
    <row r="2181" spans="1:7">
      <c r="A2181" s="1">
        <f>HYPERLINK("https://cms.ls-nyc.org/matter/dynamic-profile/view/1877924","18-1877924")</f>
        <v>0</v>
      </c>
      <c r="B2181" t="s">
        <v>11</v>
      </c>
      <c r="G2181" t="s">
        <v>16</v>
      </c>
    </row>
    <row r="2182" spans="1:7">
      <c r="A2182" s="1">
        <f>HYPERLINK("https://cms.ls-nyc.org/matter/dynamic-profile/view/1891966","19-1891966")</f>
        <v>0</v>
      </c>
      <c r="B2182" t="s">
        <v>7</v>
      </c>
      <c r="G2182" t="s">
        <v>16</v>
      </c>
    </row>
    <row r="2183" spans="1:7">
      <c r="A2183" s="1">
        <f>HYPERLINK("https://cms.ls-nyc.org/matter/dynamic-profile/view/1899599","19-1899599")</f>
        <v>0</v>
      </c>
      <c r="B2183" t="s">
        <v>8</v>
      </c>
      <c r="G2183" t="s">
        <v>16</v>
      </c>
    </row>
    <row r="2184" spans="1:7">
      <c r="A2184" s="1">
        <f>HYPERLINK("https://cms.ls-nyc.org/matter/dynamic-profile/view/1899912","19-1899912")</f>
        <v>0</v>
      </c>
      <c r="B2184" t="s">
        <v>8</v>
      </c>
      <c r="G2184" t="s">
        <v>16</v>
      </c>
    </row>
    <row r="2185" spans="1:7">
      <c r="A2185" s="1">
        <f>HYPERLINK("https://cms.ls-nyc.org/matter/dynamic-profile/view/1895338","19-1895338")</f>
        <v>0</v>
      </c>
      <c r="B2185" t="s">
        <v>8</v>
      </c>
      <c r="C2185" t="s">
        <v>12</v>
      </c>
      <c r="E2185" t="s">
        <v>14</v>
      </c>
      <c r="G2185" t="s">
        <v>17</v>
      </c>
    </row>
    <row r="2186" spans="1:7">
      <c r="A2186" s="1">
        <f>HYPERLINK("https://cms.ls-nyc.org/matter/dynamic-profile/view/1881291","18-1881291")</f>
        <v>0</v>
      </c>
      <c r="B2186" t="s">
        <v>7</v>
      </c>
      <c r="G2186" t="s">
        <v>16</v>
      </c>
    </row>
    <row r="2187" spans="1:7">
      <c r="A2187" s="1">
        <f>HYPERLINK("https://cms.ls-nyc.org/matter/dynamic-profile/view/1875437","18-1875437")</f>
        <v>0</v>
      </c>
      <c r="B2187" t="s">
        <v>8</v>
      </c>
      <c r="F2187" t="s">
        <v>15</v>
      </c>
      <c r="G2187" t="s">
        <v>17</v>
      </c>
    </row>
    <row r="2188" spans="1:7">
      <c r="A2188" s="1">
        <f>HYPERLINK("https://cms.ls-nyc.org/matter/dynamic-profile/view/1880387","18-1880387")</f>
        <v>0</v>
      </c>
      <c r="B2188" t="s">
        <v>8</v>
      </c>
      <c r="G2188" t="s">
        <v>16</v>
      </c>
    </row>
    <row r="2189" spans="1:7">
      <c r="A2189" s="1">
        <f>HYPERLINK("https://cms.ls-nyc.org/matter/dynamic-profile/view/1885281","18-1885281")</f>
        <v>0</v>
      </c>
      <c r="B2189" t="s">
        <v>8</v>
      </c>
      <c r="C2189" t="s">
        <v>12</v>
      </c>
      <c r="E2189" t="s">
        <v>14</v>
      </c>
      <c r="G2189" t="s">
        <v>17</v>
      </c>
    </row>
    <row r="2190" spans="1:7">
      <c r="A2190" s="1">
        <f>HYPERLINK("https://cms.ls-nyc.org/matter/dynamic-profile/view/1885569","18-1885569")</f>
        <v>0</v>
      </c>
      <c r="B2190" t="s">
        <v>9</v>
      </c>
      <c r="G2190" t="s">
        <v>16</v>
      </c>
    </row>
    <row r="2191" spans="1:7">
      <c r="A2191" s="1">
        <f>HYPERLINK("https://cms.ls-nyc.org/matter/dynamic-profile/view/1882686","18-1882686")</f>
        <v>0</v>
      </c>
      <c r="B2191" t="s">
        <v>9</v>
      </c>
      <c r="G2191" t="s">
        <v>16</v>
      </c>
    </row>
    <row r="2192" spans="1:7">
      <c r="A2192" s="1">
        <f>HYPERLINK("https://cms.ls-nyc.org/matter/dynamic-profile/view/1882685","18-1882685")</f>
        <v>0</v>
      </c>
      <c r="B2192" t="s">
        <v>9</v>
      </c>
      <c r="G2192" t="s">
        <v>16</v>
      </c>
    </row>
    <row r="2193" spans="1:7">
      <c r="A2193" s="1">
        <f>HYPERLINK("https://cms.ls-nyc.org/matter/dynamic-profile/view/1891971","19-1891971")</f>
        <v>0</v>
      </c>
      <c r="B2193" t="s">
        <v>9</v>
      </c>
      <c r="G2193" t="s">
        <v>16</v>
      </c>
    </row>
    <row r="2194" spans="1:7">
      <c r="A2194" s="1">
        <f>HYPERLINK("https://cms.ls-nyc.org/matter/dynamic-profile/view/1875321","18-1875321")</f>
        <v>0</v>
      </c>
      <c r="B2194" t="s">
        <v>9</v>
      </c>
      <c r="F2194" t="s">
        <v>15</v>
      </c>
      <c r="G2194" t="s">
        <v>17</v>
      </c>
    </row>
    <row r="2195" spans="1:7">
      <c r="A2195" s="1">
        <f>HYPERLINK("https://cms.ls-nyc.org/matter/dynamic-profile/view/1881794","18-1881794")</f>
        <v>0</v>
      </c>
      <c r="B2195" t="s">
        <v>9</v>
      </c>
      <c r="G2195" t="s">
        <v>16</v>
      </c>
    </row>
    <row r="2196" spans="1:7">
      <c r="A2196" s="1">
        <f>HYPERLINK("https://cms.ls-nyc.org/matter/dynamic-profile/view/1873831","18-1873831")</f>
        <v>0</v>
      </c>
      <c r="B2196" t="s">
        <v>11</v>
      </c>
      <c r="G2196" t="s">
        <v>16</v>
      </c>
    </row>
    <row r="2197" spans="1:7">
      <c r="A2197" s="1">
        <f>HYPERLINK("https://cms.ls-nyc.org/matter/dynamic-profile/view/1900664","19-1900664")</f>
        <v>0</v>
      </c>
      <c r="B2197" t="s">
        <v>7</v>
      </c>
      <c r="E2197" t="s">
        <v>14</v>
      </c>
      <c r="G2197" t="s">
        <v>17</v>
      </c>
    </row>
    <row r="2198" spans="1:7">
      <c r="A2198" s="1">
        <f>HYPERLINK("https://cms.ls-nyc.org/matter/dynamic-profile/view/1891880","19-1891880")</f>
        <v>0</v>
      </c>
      <c r="B2198" t="s">
        <v>9</v>
      </c>
      <c r="F2198" t="s">
        <v>15</v>
      </c>
      <c r="G2198" t="s">
        <v>17</v>
      </c>
    </row>
    <row r="2199" spans="1:7">
      <c r="A2199" s="1">
        <f>HYPERLINK("https://cms.ls-nyc.org/matter/dynamic-profile/view/1892727","19-1892727")</f>
        <v>0</v>
      </c>
      <c r="B2199" t="s">
        <v>9</v>
      </c>
      <c r="F2199" t="s">
        <v>15</v>
      </c>
      <c r="G2199" t="s">
        <v>17</v>
      </c>
    </row>
    <row r="2200" spans="1:7">
      <c r="A2200" s="1">
        <f>HYPERLINK("https://cms.ls-nyc.org/matter/dynamic-profile/view/1888094","19-1888094")</f>
        <v>0</v>
      </c>
      <c r="B2200" t="s">
        <v>7</v>
      </c>
      <c r="G2200" t="s">
        <v>16</v>
      </c>
    </row>
    <row r="2201" spans="1:7">
      <c r="A2201" s="1">
        <f>HYPERLINK("https://cms.ls-nyc.org/matter/dynamic-profile/view/1892349","19-1892349")</f>
        <v>0</v>
      </c>
      <c r="B2201" t="s">
        <v>8</v>
      </c>
      <c r="G2201" t="s">
        <v>16</v>
      </c>
    </row>
    <row r="2202" spans="1:7">
      <c r="A2202" s="1">
        <f>HYPERLINK("https://cms.ls-nyc.org/matter/dynamic-profile/view/1892345","19-1892345")</f>
        <v>0</v>
      </c>
      <c r="B2202" t="s">
        <v>8</v>
      </c>
      <c r="G2202" t="s">
        <v>16</v>
      </c>
    </row>
    <row r="2203" spans="1:7">
      <c r="A2203" s="1">
        <f>HYPERLINK("https://cms.ls-nyc.org/matter/dynamic-profile/view/1892341","19-1892341")</f>
        <v>0</v>
      </c>
      <c r="B2203" t="s">
        <v>8</v>
      </c>
      <c r="G2203" t="s">
        <v>16</v>
      </c>
    </row>
    <row r="2204" spans="1:7">
      <c r="A2204" s="1">
        <f>HYPERLINK("https://cms.ls-nyc.org/matter/dynamic-profile/view/1893909","19-1893909")</f>
        <v>0</v>
      </c>
      <c r="B2204" t="s">
        <v>8</v>
      </c>
      <c r="G2204" t="s">
        <v>16</v>
      </c>
    </row>
    <row r="2205" spans="1:7">
      <c r="A2205" s="1">
        <f>HYPERLINK("https://cms.ls-nyc.org/matter/dynamic-profile/view/1886385","18-1886385")</f>
        <v>0</v>
      </c>
      <c r="B2205" t="s">
        <v>8</v>
      </c>
      <c r="F2205" t="s">
        <v>15</v>
      </c>
      <c r="G2205" t="s">
        <v>17</v>
      </c>
    </row>
    <row r="2206" spans="1:7">
      <c r="A2206" s="1">
        <f>HYPERLINK("https://cms.ls-nyc.org/matter/dynamic-profile/view/1879989","18-1879989")</f>
        <v>0</v>
      </c>
      <c r="B2206" t="s">
        <v>10</v>
      </c>
      <c r="G2206" t="s">
        <v>16</v>
      </c>
    </row>
    <row r="2207" spans="1:7">
      <c r="A2207" s="1">
        <f>HYPERLINK("https://cms.ls-nyc.org/matter/dynamic-profile/view/1877030","18-1877030")</f>
        <v>0</v>
      </c>
      <c r="B2207" t="s">
        <v>11</v>
      </c>
      <c r="G2207" t="s">
        <v>16</v>
      </c>
    </row>
    <row r="2208" spans="1:7">
      <c r="A2208" s="1">
        <f>HYPERLINK("https://cms.ls-nyc.org/matter/dynamic-profile/view/1880847","18-1880847")</f>
        <v>0</v>
      </c>
      <c r="B2208" t="s">
        <v>9</v>
      </c>
      <c r="F2208" t="s">
        <v>15</v>
      </c>
      <c r="G2208" t="s">
        <v>17</v>
      </c>
    </row>
    <row r="2209" spans="1:7">
      <c r="A2209" s="1">
        <f>HYPERLINK("https://cms.ls-nyc.org/matter/dynamic-profile/view/1880127","18-1880127")</f>
        <v>0</v>
      </c>
      <c r="B2209" t="s">
        <v>8</v>
      </c>
      <c r="G2209" t="s">
        <v>16</v>
      </c>
    </row>
    <row r="2210" spans="1:7">
      <c r="A2210" s="1">
        <f>HYPERLINK("https://cms.ls-nyc.org/matter/dynamic-profile/view/1892301","19-1892301")</f>
        <v>0</v>
      </c>
      <c r="B2210" t="s">
        <v>8</v>
      </c>
      <c r="G2210" t="s">
        <v>16</v>
      </c>
    </row>
    <row r="2211" spans="1:7">
      <c r="A2211" s="1">
        <f>HYPERLINK("https://cms.ls-nyc.org/matter/dynamic-profile/view/1892734","19-1892734")</f>
        <v>0</v>
      </c>
      <c r="B2211" t="s">
        <v>8</v>
      </c>
      <c r="G2211" t="s">
        <v>16</v>
      </c>
    </row>
    <row r="2212" spans="1:7">
      <c r="A2212" s="1">
        <f>HYPERLINK("https://cms.ls-nyc.org/matter/dynamic-profile/view/1885744","18-1885744")</f>
        <v>0</v>
      </c>
      <c r="B2212" t="s">
        <v>9</v>
      </c>
      <c r="F2212" t="s">
        <v>15</v>
      </c>
      <c r="G2212" t="s">
        <v>17</v>
      </c>
    </row>
    <row r="2213" spans="1:7">
      <c r="A2213" s="1">
        <f>HYPERLINK("https://cms.ls-nyc.org/matter/dynamic-profile/view/1872457","18-1872457")</f>
        <v>0</v>
      </c>
      <c r="B2213" t="s">
        <v>11</v>
      </c>
      <c r="G2213" t="s">
        <v>16</v>
      </c>
    </row>
    <row r="2214" spans="1:7">
      <c r="A2214" s="1">
        <f>HYPERLINK("https://cms.ls-nyc.org/matter/dynamic-profile/view/1883833","18-1883833")</f>
        <v>0</v>
      </c>
      <c r="B2214" t="s">
        <v>8</v>
      </c>
      <c r="G2214" t="s">
        <v>16</v>
      </c>
    </row>
    <row r="2215" spans="1:7">
      <c r="A2215" s="1">
        <f>HYPERLINK("https://cms.ls-nyc.org/matter/dynamic-profile/view/1871434","18-1871434")</f>
        <v>0</v>
      </c>
      <c r="B2215" t="s">
        <v>9</v>
      </c>
      <c r="G2215" t="s">
        <v>16</v>
      </c>
    </row>
    <row r="2216" spans="1:7">
      <c r="A2216" s="1">
        <f>HYPERLINK("https://cms.ls-nyc.org/matter/dynamic-profile/view/1871420","18-1871420")</f>
        <v>0</v>
      </c>
      <c r="B2216" t="s">
        <v>9</v>
      </c>
      <c r="G2216" t="s">
        <v>16</v>
      </c>
    </row>
    <row r="2217" spans="1:7">
      <c r="A2217" s="1">
        <f>HYPERLINK("https://cms.ls-nyc.org/matter/dynamic-profile/view/1872229","18-1872229")</f>
        <v>0</v>
      </c>
      <c r="B2217" t="s">
        <v>11</v>
      </c>
      <c r="G2217" t="s">
        <v>16</v>
      </c>
    </row>
    <row r="2218" spans="1:7">
      <c r="A2218" s="1">
        <f>HYPERLINK("https://cms.ls-nyc.org/matter/dynamic-profile/view/1872745","18-1872745")</f>
        <v>0</v>
      </c>
      <c r="B2218" t="s">
        <v>8</v>
      </c>
      <c r="F2218" t="s">
        <v>15</v>
      </c>
      <c r="G2218" t="s">
        <v>17</v>
      </c>
    </row>
    <row r="2219" spans="1:7">
      <c r="A2219" s="1">
        <f>HYPERLINK("https://cms.ls-nyc.org/matter/dynamic-profile/view/1893742","19-1893742")</f>
        <v>0</v>
      </c>
      <c r="B2219" t="s">
        <v>8</v>
      </c>
      <c r="C2219" t="s">
        <v>12</v>
      </c>
      <c r="E2219" t="s">
        <v>14</v>
      </c>
      <c r="G2219" t="s">
        <v>17</v>
      </c>
    </row>
    <row r="2220" spans="1:7">
      <c r="A2220" s="1">
        <f>HYPERLINK("https://cms.ls-nyc.org/matter/dynamic-profile/view/1895320","19-1895320")</f>
        <v>0</v>
      </c>
      <c r="B2220" t="s">
        <v>8</v>
      </c>
      <c r="C2220" t="s">
        <v>12</v>
      </c>
      <c r="E2220" t="s">
        <v>14</v>
      </c>
      <c r="G2220" t="s">
        <v>17</v>
      </c>
    </row>
    <row r="2221" spans="1:7">
      <c r="A2221" s="1">
        <f>HYPERLINK("https://cms.ls-nyc.org/matter/dynamic-profile/view/1895735","19-1895735")</f>
        <v>0</v>
      </c>
      <c r="B2221" t="s">
        <v>8</v>
      </c>
      <c r="G2221" t="s">
        <v>16</v>
      </c>
    </row>
    <row r="2222" spans="1:7">
      <c r="A2222" s="1">
        <f>HYPERLINK("https://cms.ls-nyc.org/matter/dynamic-profile/view/1857547","18-1857547")</f>
        <v>0</v>
      </c>
      <c r="B2222" t="s">
        <v>9</v>
      </c>
      <c r="D2222" t="s">
        <v>13</v>
      </c>
      <c r="E2222" t="s">
        <v>14</v>
      </c>
      <c r="G2222" t="s">
        <v>17</v>
      </c>
    </row>
    <row r="2223" spans="1:7">
      <c r="A2223" s="1">
        <f>HYPERLINK("https://cms.ls-nyc.org/matter/dynamic-profile/view/1885216","18-1885216")</f>
        <v>0</v>
      </c>
      <c r="B2223" t="s">
        <v>9</v>
      </c>
      <c r="G2223" t="s">
        <v>16</v>
      </c>
    </row>
    <row r="2224" spans="1:7">
      <c r="A2224" s="1">
        <f>HYPERLINK("https://cms.ls-nyc.org/matter/dynamic-profile/view/1883904","18-1883904")</f>
        <v>0</v>
      </c>
      <c r="B2224" t="s">
        <v>9</v>
      </c>
      <c r="G2224" t="s">
        <v>16</v>
      </c>
    </row>
    <row r="2225" spans="1:7">
      <c r="A2225" s="1">
        <f>HYPERLINK("https://cms.ls-nyc.org/matter/dynamic-profile/view/1886148","18-1886148")</f>
        <v>0</v>
      </c>
      <c r="B2225" t="s">
        <v>9</v>
      </c>
      <c r="G2225" t="s">
        <v>16</v>
      </c>
    </row>
    <row r="2226" spans="1:7">
      <c r="A2226" s="1">
        <f>HYPERLINK("https://cms.ls-nyc.org/matter/dynamic-profile/view/1878990","18-1878990")</f>
        <v>0</v>
      </c>
      <c r="B2226" t="s">
        <v>9</v>
      </c>
      <c r="G2226" t="s">
        <v>16</v>
      </c>
    </row>
    <row r="2227" spans="1:7">
      <c r="A2227" s="1">
        <f>HYPERLINK("https://cms.ls-nyc.org/matter/dynamic-profile/view/1877384","18-1877384")</f>
        <v>0</v>
      </c>
      <c r="B2227" t="s">
        <v>8</v>
      </c>
      <c r="G2227" t="s">
        <v>16</v>
      </c>
    </row>
    <row r="2228" spans="1:7">
      <c r="A2228" s="1">
        <f>HYPERLINK("https://cms.ls-nyc.org/matter/dynamic-profile/view/1882962","18-1882962")</f>
        <v>0</v>
      </c>
      <c r="B2228" t="s">
        <v>9</v>
      </c>
      <c r="G2228" t="s">
        <v>16</v>
      </c>
    </row>
    <row r="2229" spans="1:7">
      <c r="A2229" s="1">
        <f>HYPERLINK("https://cms.ls-nyc.org/matter/dynamic-profile/view/1882956","18-1882956")</f>
        <v>0</v>
      </c>
      <c r="B2229" t="s">
        <v>9</v>
      </c>
      <c r="G2229" t="s">
        <v>16</v>
      </c>
    </row>
    <row r="2230" spans="1:7">
      <c r="A2230" s="1">
        <f>HYPERLINK("https://cms.ls-nyc.org/matter/dynamic-profile/view/1872365","18-1872365")</f>
        <v>0</v>
      </c>
      <c r="B2230" t="s">
        <v>11</v>
      </c>
      <c r="G2230" t="s">
        <v>16</v>
      </c>
    </row>
    <row r="2231" spans="1:7">
      <c r="A2231" s="1">
        <f>HYPERLINK("https://cms.ls-nyc.org/matter/dynamic-profile/view/1891916","19-1891916")</f>
        <v>0</v>
      </c>
      <c r="B2231" t="s">
        <v>11</v>
      </c>
      <c r="G2231" t="s">
        <v>16</v>
      </c>
    </row>
    <row r="2232" spans="1:7">
      <c r="A2232" s="1">
        <f>HYPERLINK("https://cms.ls-nyc.org/matter/dynamic-profile/view/1878647","18-1878647")</f>
        <v>0</v>
      </c>
      <c r="B2232" t="s">
        <v>8</v>
      </c>
      <c r="G2232" t="s">
        <v>16</v>
      </c>
    </row>
    <row r="2233" spans="1:7">
      <c r="A2233" s="1">
        <f>HYPERLINK("https://cms.ls-nyc.org/matter/dynamic-profile/view/1878651","18-1878651")</f>
        <v>0</v>
      </c>
      <c r="B2233" t="s">
        <v>8</v>
      </c>
      <c r="G2233" t="s">
        <v>16</v>
      </c>
    </row>
    <row r="2234" spans="1:7">
      <c r="A2234" s="1">
        <f>HYPERLINK("https://cms.ls-nyc.org/matter/dynamic-profile/view/1878637","18-1878637")</f>
        <v>0</v>
      </c>
      <c r="B2234" t="s">
        <v>8</v>
      </c>
      <c r="G2234" t="s">
        <v>16</v>
      </c>
    </row>
    <row r="2235" spans="1:7">
      <c r="A2235" s="1">
        <f>HYPERLINK("https://cms.ls-nyc.org/matter/dynamic-profile/view/1893340","19-1893340")</f>
        <v>0</v>
      </c>
      <c r="B2235" t="s">
        <v>11</v>
      </c>
      <c r="G2235" t="s">
        <v>16</v>
      </c>
    </row>
    <row r="2236" spans="1:7">
      <c r="A2236" s="1">
        <f>HYPERLINK("https://cms.ls-nyc.org/matter/dynamic-profile/view/1892458","19-1892458")</f>
        <v>0</v>
      </c>
      <c r="B2236" t="s">
        <v>9</v>
      </c>
      <c r="F2236" t="s">
        <v>15</v>
      </c>
      <c r="G2236" t="s">
        <v>17</v>
      </c>
    </row>
    <row r="2237" spans="1:7">
      <c r="A2237" s="1">
        <f>HYPERLINK("https://cms.ls-nyc.org/matter/dynamic-profile/view/1892185","19-1892185")</f>
        <v>0</v>
      </c>
      <c r="B2237" t="s">
        <v>9</v>
      </c>
      <c r="F2237" t="s">
        <v>15</v>
      </c>
      <c r="G2237" t="s">
        <v>17</v>
      </c>
    </row>
    <row r="2238" spans="1:7">
      <c r="A2238" s="1">
        <f>HYPERLINK("https://cms.ls-nyc.org/matter/dynamic-profile/view/1872562","18-1872562")</f>
        <v>0</v>
      </c>
      <c r="B2238" t="s">
        <v>11</v>
      </c>
      <c r="G2238" t="s">
        <v>16</v>
      </c>
    </row>
    <row r="2239" spans="1:7">
      <c r="A2239" s="1">
        <f>HYPERLINK("https://cms.ls-nyc.org/matter/dynamic-profile/view/1876949","18-1876949")</f>
        <v>0</v>
      </c>
      <c r="B2239" t="s">
        <v>8</v>
      </c>
      <c r="E2239" t="s">
        <v>14</v>
      </c>
      <c r="G2239" t="s">
        <v>17</v>
      </c>
    </row>
    <row r="2240" spans="1:7">
      <c r="A2240" s="1">
        <f>HYPERLINK("https://cms.ls-nyc.org/matter/dynamic-profile/view/1891325","19-1891325")</f>
        <v>0</v>
      </c>
      <c r="B2240" t="s">
        <v>9</v>
      </c>
      <c r="F2240" t="s">
        <v>15</v>
      </c>
      <c r="G2240" t="s">
        <v>17</v>
      </c>
    </row>
    <row r="2241" spans="1:7">
      <c r="A2241" s="1">
        <f>HYPERLINK("https://cms.ls-nyc.org/matter/dynamic-profile/view/1891294","19-1891294")</f>
        <v>0</v>
      </c>
      <c r="B2241" t="s">
        <v>9</v>
      </c>
      <c r="F2241" t="s">
        <v>15</v>
      </c>
      <c r="G2241" t="s">
        <v>17</v>
      </c>
    </row>
    <row r="2242" spans="1:7">
      <c r="A2242" s="1">
        <f>HYPERLINK("https://cms.ls-nyc.org/matter/dynamic-profile/view/1894534","19-1894534")</f>
        <v>0</v>
      </c>
      <c r="B2242" t="s">
        <v>9</v>
      </c>
      <c r="F2242" t="s">
        <v>15</v>
      </c>
      <c r="G2242" t="s">
        <v>17</v>
      </c>
    </row>
    <row r="2243" spans="1:7">
      <c r="A2243" s="1">
        <f>HYPERLINK("https://cms.ls-nyc.org/matter/dynamic-profile/view/1893253","19-1893253")</f>
        <v>0</v>
      </c>
      <c r="B2243" t="s">
        <v>10</v>
      </c>
      <c r="G2243" t="s">
        <v>16</v>
      </c>
    </row>
    <row r="2244" spans="1:7">
      <c r="A2244" s="1">
        <f>HYPERLINK("https://cms.ls-nyc.org/matter/dynamic-profile/view/1892541","19-1892541")</f>
        <v>0</v>
      </c>
      <c r="B2244" t="s">
        <v>11</v>
      </c>
      <c r="G2244" t="s">
        <v>16</v>
      </c>
    </row>
    <row r="2245" spans="1:7">
      <c r="A2245" s="1">
        <f>HYPERLINK("https://cms.ls-nyc.org/matter/dynamic-profile/view/1894028","19-1894028")</f>
        <v>0</v>
      </c>
      <c r="B2245" t="s">
        <v>9</v>
      </c>
      <c r="F2245" t="s">
        <v>15</v>
      </c>
      <c r="G2245" t="s">
        <v>17</v>
      </c>
    </row>
    <row r="2246" spans="1:7">
      <c r="A2246" s="1">
        <f>HYPERLINK("https://cms.ls-nyc.org/matter/dynamic-profile/view/1885956","18-1885956")</f>
        <v>0</v>
      </c>
      <c r="B2246" t="s">
        <v>9</v>
      </c>
      <c r="G2246" t="s">
        <v>16</v>
      </c>
    </row>
    <row r="2247" spans="1:7">
      <c r="A2247" s="1">
        <f>HYPERLINK("https://cms.ls-nyc.org/matter/dynamic-profile/view/1885982","18-1885982")</f>
        <v>0</v>
      </c>
      <c r="B2247" t="s">
        <v>7</v>
      </c>
      <c r="G2247" t="s">
        <v>16</v>
      </c>
    </row>
    <row r="2248" spans="1:7">
      <c r="A2248" s="1">
        <f>HYPERLINK("https://cms.ls-nyc.org/matter/dynamic-profile/view/1876951","18-1876951")</f>
        <v>0</v>
      </c>
      <c r="B2248" t="s">
        <v>9</v>
      </c>
      <c r="G2248" t="s">
        <v>16</v>
      </c>
    </row>
    <row r="2249" spans="1:7">
      <c r="A2249" s="1">
        <f>HYPERLINK("https://cms.ls-nyc.org/matter/dynamic-profile/view/1875971","18-1875971")</f>
        <v>0</v>
      </c>
      <c r="B2249" t="s">
        <v>8</v>
      </c>
      <c r="G2249" t="s">
        <v>16</v>
      </c>
    </row>
    <row r="2250" spans="1:7">
      <c r="A2250" s="1">
        <f>HYPERLINK("https://cms.ls-nyc.org/matter/dynamic-profile/view/1873325","18-1873325")</f>
        <v>0</v>
      </c>
      <c r="B2250" t="s">
        <v>9</v>
      </c>
      <c r="G2250" t="s">
        <v>16</v>
      </c>
    </row>
    <row r="2251" spans="1:7">
      <c r="A2251" s="1">
        <f>HYPERLINK("https://cms.ls-nyc.org/matter/dynamic-profile/view/1879052","18-1879052")</f>
        <v>0</v>
      </c>
      <c r="B2251" t="s">
        <v>8</v>
      </c>
      <c r="G2251" t="s">
        <v>16</v>
      </c>
    </row>
    <row r="2252" spans="1:7">
      <c r="A2252" s="1">
        <f>HYPERLINK("https://cms.ls-nyc.org/matter/dynamic-profile/view/1879049","18-1879049")</f>
        <v>0</v>
      </c>
      <c r="B2252" t="s">
        <v>8</v>
      </c>
      <c r="G2252" t="s">
        <v>16</v>
      </c>
    </row>
    <row r="2253" spans="1:7">
      <c r="A2253" s="1">
        <f>HYPERLINK("https://cms.ls-nyc.org/matter/dynamic-profile/view/1879051","18-1879051")</f>
        <v>0</v>
      </c>
      <c r="B2253" t="s">
        <v>8</v>
      </c>
      <c r="G2253" t="s">
        <v>16</v>
      </c>
    </row>
    <row r="2254" spans="1:7">
      <c r="A2254" s="1">
        <f>HYPERLINK("https://cms.ls-nyc.org/matter/dynamic-profile/view/1874438","18-1874438")</f>
        <v>0</v>
      </c>
      <c r="B2254" t="s">
        <v>8</v>
      </c>
      <c r="G2254" t="s">
        <v>16</v>
      </c>
    </row>
    <row r="2255" spans="1:7">
      <c r="A2255" s="1">
        <f>HYPERLINK("https://cms.ls-nyc.org/matter/dynamic-profile/view/1880302","18-1880302")</f>
        <v>0</v>
      </c>
      <c r="B2255" t="s">
        <v>9</v>
      </c>
      <c r="G2255" t="s">
        <v>16</v>
      </c>
    </row>
    <row r="2256" spans="1:7">
      <c r="A2256" s="1">
        <f>HYPERLINK("https://cms.ls-nyc.org/matter/dynamic-profile/view/1883259","18-1883259")</f>
        <v>0</v>
      </c>
      <c r="B2256" t="s">
        <v>11</v>
      </c>
      <c r="G2256" t="s">
        <v>16</v>
      </c>
    </row>
    <row r="2257" spans="1:7">
      <c r="A2257" s="1">
        <f>HYPERLINK("https://cms.ls-nyc.org/matter/dynamic-profile/view/1893990","19-1893990")</f>
        <v>0</v>
      </c>
      <c r="B2257" t="s">
        <v>7</v>
      </c>
      <c r="G2257" t="s">
        <v>16</v>
      </c>
    </row>
    <row r="2258" spans="1:7">
      <c r="A2258" s="1">
        <f>HYPERLINK("https://cms.ls-nyc.org/matter/dynamic-profile/view/1888687","19-1888687")</f>
        <v>0</v>
      </c>
      <c r="B2258" t="s">
        <v>8</v>
      </c>
      <c r="G2258" t="s">
        <v>16</v>
      </c>
    </row>
    <row r="2259" spans="1:7">
      <c r="A2259" s="1">
        <f>HYPERLINK("https://cms.ls-nyc.org/matter/dynamic-profile/view/1892489","19-1892489")</f>
        <v>0</v>
      </c>
      <c r="B2259" t="s">
        <v>9</v>
      </c>
      <c r="G2259" t="s">
        <v>16</v>
      </c>
    </row>
    <row r="2260" spans="1:7">
      <c r="A2260" s="1">
        <f>HYPERLINK("https://cms.ls-nyc.org/matter/dynamic-profile/view/1889161","19-1889161")</f>
        <v>0</v>
      </c>
      <c r="B2260" t="s">
        <v>11</v>
      </c>
      <c r="G2260" t="s">
        <v>16</v>
      </c>
    </row>
    <row r="2261" spans="1:7">
      <c r="A2261" s="1">
        <f>HYPERLINK("https://cms.ls-nyc.org/matter/dynamic-profile/view/1893820","19-1893820")</f>
        <v>0</v>
      </c>
      <c r="B2261" t="s">
        <v>9</v>
      </c>
      <c r="G2261" t="s">
        <v>16</v>
      </c>
    </row>
    <row r="2262" spans="1:7">
      <c r="A2262" s="1">
        <f>HYPERLINK("https://cms.ls-nyc.org/matter/dynamic-profile/view/1882939","18-1882939")</f>
        <v>0</v>
      </c>
      <c r="B2262" t="s">
        <v>11</v>
      </c>
      <c r="G2262" t="s">
        <v>16</v>
      </c>
    </row>
    <row r="2263" spans="1:7">
      <c r="A2263" s="1">
        <f>HYPERLINK("https://cms.ls-nyc.org/matter/dynamic-profile/view/1879434","18-1879434")</f>
        <v>0</v>
      </c>
      <c r="B2263" t="s">
        <v>8</v>
      </c>
      <c r="F2263" t="s">
        <v>15</v>
      </c>
      <c r="G2263" t="s">
        <v>17</v>
      </c>
    </row>
    <row r="2264" spans="1:7">
      <c r="A2264" s="1">
        <f>HYPERLINK("https://cms.ls-nyc.org/matter/dynamic-profile/view/1874439","18-1874439")</f>
        <v>0</v>
      </c>
      <c r="B2264" t="s">
        <v>11</v>
      </c>
      <c r="F2264" t="s">
        <v>15</v>
      </c>
      <c r="G2264" t="s">
        <v>17</v>
      </c>
    </row>
    <row r="2265" spans="1:7">
      <c r="A2265" s="1">
        <f>HYPERLINK("https://cms.ls-nyc.org/matter/dynamic-profile/view/1889089","19-1889089")</f>
        <v>0</v>
      </c>
      <c r="B2265" t="s">
        <v>8</v>
      </c>
      <c r="G2265" t="s">
        <v>16</v>
      </c>
    </row>
    <row r="2266" spans="1:7">
      <c r="A2266" s="1">
        <f>HYPERLINK("https://cms.ls-nyc.org/matter/dynamic-profile/view/1889465","19-1889465")</f>
        <v>0</v>
      </c>
      <c r="B2266" t="s">
        <v>7</v>
      </c>
      <c r="G2266" t="s">
        <v>16</v>
      </c>
    </row>
    <row r="2267" spans="1:7">
      <c r="A2267" s="1">
        <f>HYPERLINK("https://cms.ls-nyc.org/matter/dynamic-profile/view/1880462","18-1880462")</f>
        <v>0</v>
      </c>
      <c r="B2267" t="s">
        <v>8</v>
      </c>
      <c r="G2267" t="s">
        <v>16</v>
      </c>
    </row>
    <row r="2268" spans="1:7">
      <c r="A2268" s="1">
        <f>HYPERLINK("https://cms.ls-nyc.org/matter/dynamic-profile/view/1885747","18-1885747")</f>
        <v>0</v>
      </c>
      <c r="B2268" t="s">
        <v>9</v>
      </c>
      <c r="G2268" t="s">
        <v>16</v>
      </c>
    </row>
    <row r="2269" spans="1:7">
      <c r="A2269" s="1">
        <f>HYPERLINK("https://cms.ls-nyc.org/matter/dynamic-profile/view/1873682","18-1873682")</f>
        <v>0</v>
      </c>
      <c r="B2269" t="s">
        <v>8</v>
      </c>
      <c r="G2269" t="s">
        <v>16</v>
      </c>
    </row>
    <row r="2270" spans="1:7">
      <c r="A2270" s="1">
        <f>HYPERLINK("https://cms.ls-nyc.org/matter/dynamic-profile/view/1897899","19-1897899")</f>
        <v>0</v>
      </c>
      <c r="B2270" t="s">
        <v>8</v>
      </c>
      <c r="G2270" t="s">
        <v>16</v>
      </c>
    </row>
    <row r="2271" spans="1:7">
      <c r="A2271" s="1">
        <f>HYPERLINK("https://cms.ls-nyc.org/matter/dynamic-profile/view/1870938","18-1870938")</f>
        <v>0</v>
      </c>
      <c r="B2271" t="s">
        <v>8</v>
      </c>
      <c r="G2271" t="s">
        <v>16</v>
      </c>
    </row>
    <row r="2272" spans="1:7">
      <c r="A2272" s="1">
        <f>HYPERLINK("https://cms.ls-nyc.org/matter/dynamic-profile/view/1871808","18-1871808")</f>
        <v>0</v>
      </c>
      <c r="B2272" t="s">
        <v>8</v>
      </c>
      <c r="F2272" t="s">
        <v>15</v>
      </c>
      <c r="G2272" t="s">
        <v>17</v>
      </c>
    </row>
    <row r="2273" spans="1:7">
      <c r="A2273" s="1">
        <f>HYPERLINK("https://cms.ls-nyc.org/matter/dynamic-profile/view/1882682","18-1882682")</f>
        <v>0</v>
      </c>
      <c r="B2273" t="s">
        <v>9</v>
      </c>
      <c r="G2273" t="s">
        <v>16</v>
      </c>
    </row>
    <row r="2274" spans="1:7">
      <c r="A2274" s="1">
        <f>HYPERLINK("https://cms.ls-nyc.org/matter/dynamic-profile/view/1882659","18-1882659")</f>
        <v>0</v>
      </c>
      <c r="B2274" t="s">
        <v>9</v>
      </c>
      <c r="G2274" t="s">
        <v>16</v>
      </c>
    </row>
    <row r="2275" spans="1:7">
      <c r="A2275" s="1">
        <f>HYPERLINK("https://cms.ls-nyc.org/matter/dynamic-profile/view/1877897","18-1877897")</f>
        <v>0</v>
      </c>
      <c r="B2275" t="s">
        <v>9</v>
      </c>
      <c r="G2275" t="s">
        <v>16</v>
      </c>
    </row>
    <row r="2276" spans="1:7">
      <c r="A2276" s="1">
        <f>HYPERLINK("https://cms.ls-nyc.org/matter/dynamic-profile/view/1882299","18-1882299")</f>
        <v>0</v>
      </c>
      <c r="B2276" t="s">
        <v>9</v>
      </c>
      <c r="G2276" t="s">
        <v>16</v>
      </c>
    </row>
    <row r="2277" spans="1:7">
      <c r="A2277" s="1">
        <f>HYPERLINK("https://cms.ls-nyc.org/matter/dynamic-profile/view/1887937","19-1887937")</f>
        <v>0</v>
      </c>
      <c r="B2277" t="s">
        <v>11</v>
      </c>
      <c r="G2277" t="s">
        <v>16</v>
      </c>
    </row>
    <row r="2278" spans="1:7">
      <c r="A2278" s="1">
        <f>HYPERLINK("https://cms.ls-nyc.org/matter/dynamic-profile/view/1878781","18-1878781")</f>
        <v>0</v>
      </c>
      <c r="B2278" t="s">
        <v>11</v>
      </c>
      <c r="G2278" t="s">
        <v>16</v>
      </c>
    </row>
    <row r="2279" spans="1:7">
      <c r="A2279" s="1">
        <f>HYPERLINK("https://cms.ls-nyc.org/matter/dynamic-profile/view/1882936","18-1882936")</f>
        <v>0</v>
      </c>
      <c r="B2279" t="s">
        <v>8</v>
      </c>
      <c r="G2279" t="s">
        <v>16</v>
      </c>
    </row>
    <row r="2280" spans="1:7">
      <c r="A2280" s="1">
        <f>HYPERLINK("https://cms.ls-nyc.org/matter/dynamic-profile/view/1877706","18-1877706")</f>
        <v>0</v>
      </c>
      <c r="B2280" t="s">
        <v>9</v>
      </c>
      <c r="G2280" t="s">
        <v>16</v>
      </c>
    </row>
    <row r="2281" spans="1:7">
      <c r="A2281" s="1">
        <f>HYPERLINK("https://cms.ls-nyc.org/matter/dynamic-profile/view/1871387","18-1871387")</f>
        <v>0</v>
      </c>
      <c r="B2281" t="s">
        <v>9</v>
      </c>
      <c r="E2281" t="s">
        <v>14</v>
      </c>
      <c r="G2281" t="s">
        <v>17</v>
      </c>
    </row>
    <row r="2282" spans="1:7">
      <c r="A2282" s="1">
        <f>HYPERLINK("https://cms.ls-nyc.org/matter/dynamic-profile/view/1877106","18-1877106")</f>
        <v>0</v>
      </c>
      <c r="B2282" t="s">
        <v>10</v>
      </c>
      <c r="G2282" t="s">
        <v>16</v>
      </c>
    </row>
    <row r="2283" spans="1:7">
      <c r="A2283" s="1">
        <f>HYPERLINK("https://cms.ls-nyc.org/matter/dynamic-profile/view/1875869","18-1875869")</f>
        <v>0</v>
      </c>
      <c r="B2283" t="s">
        <v>11</v>
      </c>
      <c r="G2283" t="s">
        <v>16</v>
      </c>
    </row>
    <row r="2284" spans="1:7">
      <c r="A2284" s="1">
        <f>HYPERLINK("https://cms.ls-nyc.org/matter/dynamic-profile/view/1900440","19-1900440")</f>
        <v>0</v>
      </c>
      <c r="B2284" t="s">
        <v>8</v>
      </c>
      <c r="E2284" t="s">
        <v>14</v>
      </c>
      <c r="G2284" t="s">
        <v>17</v>
      </c>
    </row>
    <row r="2285" spans="1:7">
      <c r="A2285" s="1">
        <f>HYPERLINK("https://cms.ls-nyc.org/matter/dynamic-profile/view/1896408","19-1896408")</f>
        <v>0</v>
      </c>
      <c r="B2285" t="s">
        <v>7</v>
      </c>
      <c r="G2285" t="s">
        <v>16</v>
      </c>
    </row>
    <row r="2286" spans="1:7">
      <c r="A2286" s="1">
        <f>HYPERLINK("https://cms.ls-nyc.org/matter/dynamic-profile/view/1883510","18-1883510")</f>
        <v>0</v>
      </c>
      <c r="B2286" t="s">
        <v>8</v>
      </c>
      <c r="C2286" t="s">
        <v>12</v>
      </c>
      <c r="G2286" t="s">
        <v>17</v>
      </c>
    </row>
    <row r="2287" spans="1:7">
      <c r="A2287" s="1">
        <f>HYPERLINK("https://cms.ls-nyc.org/matter/dynamic-profile/view/1872121","18-1872121")</f>
        <v>0</v>
      </c>
      <c r="B2287" t="s">
        <v>10</v>
      </c>
      <c r="G2287" t="s">
        <v>16</v>
      </c>
    </row>
    <row r="2288" spans="1:7">
      <c r="A2288" s="1">
        <f>HYPERLINK("https://cms.ls-nyc.org/matter/dynamic-profile/view/1876401","18-1876401")</f>
        <v>0</v>
      </c>
      <c r="B2288" t="s">
        <v>8</v>
      </c>
      <c r="E2288" t="s">
        <v>14</v>
      </c>
      <c r="G2288" t="s">
        <v>17</v>
      </c>
    </row>
    <row r="2289" spans="1:7">
      <c r="A2289" s="1">
        <f>HYPERLINK("https://cms.ls-nyc.org/matter/dynamic-profile/view/1886701","18-1886701")</f>
        <v>0</v>
      </c>
      <c r="B2289" t="s">
        <v>8</v>
      </c>
      <c r="G2289" t="s">
        <v>16</v>
      </c>
    </row>
    <row r="2290" spans="1:7">
      <c r="A2290" s="1">
        <f>HYPERLINK("https://cms.ls-nyc.org/matter/dynamic-profile/view/1881034","18-1881034")</f>
        <v>0</v>
      </c>
      <c r="B2290" t="s">
        <v>9</v>
      </c>
      <c r="G2290" t="s">
        <v>16</v>
      </c>
    </row>
    <row r="2291" spans="1:7">
      <c r="A2291" s="1">
        <f>HYPERLINK("https://cms.ls-nyc.org/matter/dynamic-profile/view/1873148","18-1873148")</f>
        <v>0</v>
      </c>
      <c r="B2291" t="s">
        <v>11</v>
      </c>
      <c r="G2291" t="s">
        <v>16</v>
      </c>
    </row>
    <row r="2292" spans="1:7">
      <c r="A2292" s="1">
        <f>HYPERLINK("https://cms.ls-nyc.org/matter/dynamic-profile/view/1879536","18-1879536")</f>
        <v>0</v>
      </c>
      <c r="B2292" t="s">
        <v>7</v>
      </c>
      <c r="G2292" t="s">
        <v>16</v>
      </c>
    </row>
    <row r="2293" spans="1:7">
      <c r="A2293" s="1">
        <f>HYPERLINK("https://cms.ls-nyc.org/matter/dynamic-profile/view/1877003","18-1877003")</f>
        <v>0</v>
      </c>
      <c r="B2293" t="s">
        <v>7</v>
      </c>
      <c r="G2293" t="s">
        <v>16</v>
      </c>
    </row>
    <row r="2294" spans="1:7">
      <c r="A2294" s="1">
        <f>HYPERLINK("https://cms.ls-nyc.org/matter/dynamic-profile/view/1890585","19-1890585")</f>
        <v>0</v>
      </c>
      <c r="B2294" t="s">
        <v>8</v>
      </c>
      <c r="E2294" t="s">
        <v>14</v>
      </c>
      <c r="F2294" t="s">
        <v>15</v>
      </c>
      <c r="G2294" t="s">
        <v>17</v>
      </c>
    </row>
    <row r="2295" spans="1:7">
      <c r="A2295" s="1">
        <f>HYPERLINK("https://cms.ls-nyc.org/matter/dynamic-profile/view/1891605","19-1891605")</f>
        <v>0</v>
      </c>
      <c r="B2295" t="s">
        <v>8</v>
      </c>
      <c r="E2295" t="s">
        <v>14</v>
      </c>
      <c r="F2295" t="s">
        <v>15</v>
      </c>
      <c r="G2295" t="s">
        <v>17</v>
      </c>
    </row>
    <row r="2296" spans="1:7">
      <c r="A2296" s="1">
        <f>HYPERLINK("https://cms.ls-nyc.org/matter/dynamic-profile/view/1884099","18-1884099")</f>
        <v>0</v>
      </c>
      <c r="B2296" t="s">
        <v>8</v>
      </c>
      <c r="G2296" t="s">
        <v>16</v>
      </c>
    </row>
    <row r="2297" spans="1:7">
      <c r="A2297" s="1">
        <f>HYPERLINK("https://cms.ls-nyc.org/matter/dynamic-profile/view/1898383","19-1898383")</f>
        <v>0</v>
      </c>
      <c r="B2297" t="s">
        <v>8</v>
      </c>
      <c r="E2297" t="s">
        <v>14</v>
      </c>
      <c r="F2297" t="s">
        <v>15</v>
      </c>
      <c r="G2297" t="s">
        <v>17</v>
      </c>
    </row>
    <row r="2298" spans="1:7">
      <c r="A2298" s="1">
        <f>HYPERLINK("https://cms.ls-nyc.org/matter/dynamic-profile/view/1898386","19-1898386")</f>
        <v>0</v>
      </c>
      <c r="B2298" t="s">
        <v>8</v>
      </c>
      <c r="E2298" t="s">
        <v>14</v>
      </c>
      <c r="F2298" t="s">
        <v>15</v>
      </c>
      <c r="G2298" t="s">
        <v>17</v>
      </c>
    </row>
    <row r="2299" spans="1:7">
      <c r="A2299" s="1">
        <f>HYPERLINK("https://cms.ls-nyc.org/matter/dynamic-profile/view/1897413","19-1897413")</f>
        <v>0</v>
      </c>
      <c r="B2299" t="s">
        <v>9</v>
      </c>
      <c r="G2299" t="s">
        <v>16</v>
      </c>
    </row>
    <row r="2300" spans="1:7">
      <c r="A2300" s="1">
        <f>HYPERLINK("https://cms.ls-nyc.org/matter/dynamic-profile/view/1897816","19-1897816")</f>
        <v>0</v>
      </c>
      <c r="B2300" t="s">
        <v>11</v>
      </c>
      <c r="F2300" t="s">
        <v>15</v>
      </c>
      <c r="G2300" t="s">
        <v>17</v>
      </c>
    </row>
    <row r="2301" spans="1:7">
      <c r="A2301" s="1">
        <f>HYPERLINK("https://cms.ls-nyc.org/matter/dynamic-profile/view/1901004","19-1901004")</f>
        <v>0</v>
      </c>
      <c r="B2301" t="s">
        <v>11</v>
      </c>
      <c r="G2301" t="s">
        <v>16</v>
      </c>
    </row>
    <row r="2302" spans="1:7">
      <c r="A2302" s="1">
        <f>HYPERLINK("https://cms.ls-nyc.org/matter/dynamic-profile/view/1901211","19-1901211")</f>
        <v>0</v>
      </c>
      <c r="B2302" t="s">
        <v>11</v>
      </c>
      <c r="G2302" t="s">
        <v>16</v>
      </c>
    </row>
    <row r="2303" spans="1:7">
      <c r="A2303" s="1">
        <f>HYPERLINK("https://cms.ls-nyc.org/matter/dynamic-profile/view/1881329","18-1881329")</f>
        <v>0</v>
      </c>
      <c r="B2303" t="s">
        <v>8</v>
      </c>
      <c r="G2303" t="s">
        <v>16</v>
      </c>
    </row>
    <row r="2304" spans="1:7">
      <c r="A2304" s="1">
        <f>HYPERLINK("https://cms.ls-nyc.org/matter/dynamic-profile/view/1874442","18-1874442")</f>
        <v>0</v>
      </c>
      <c r="B2304" t="s">
        <v>8</v>
      </c>
      <c r="G2304" t="s">
        <v>16</v>
      </c>
    </row>
    <row r="2305" spans="1:7">
      <c r="A2305" s="1">
        <f>HYPERLINK("https://cms.ls-nyc.org/matter/dynamic-profile/view/1888518","19-1888518")</f>
        <v>0</v>
      </c>
      <c r="B2305" t="s">
        <v>9</v>
      </c>
      <c r="G2305" t="s">
        <v>16</v>
      </c>
    </row>
    <row r="2306" spans="1:7">
      <c r="A2306" s="1">
        <f>HYPERLINK("https://cms.ls-nyc.org/matter/dynamic-profile/view/1875523","18-1875523")</f>
        <v>0</v>
      </c>
      <c r="B2306" t="s">
        <v>11</v>
      </c>
      <c r="G2306" t="s">
        <v>16</v>
      </c>
    </row>
    <row r="2307" spans="1:7">
      <c r="A2307" s="1">
        <f>HYPERLINK("https://cms.ls-nyc.org/matter/dynamic-profile/view/1891986","19-1891986")</f>
        <v>0</v>
      </c>
      <c r="B2307" t="s">
        <v>9</v>
      </c>
      <c r="G2307" t="s">
        <v>16</v>
      </c>
    </row>
    <row r="2308" spans="1:7">
      <c r="A2308" s="1">
        <f>HYPERLINK("https://cms.ls-nyc.org/matter/dynamic-profile/view/1890948","19-1890948")</f>
        <v>0</v>
      </c>
      <c r="B2308" t="s">
        <v>9</v>
      </c>
      <c r="G2308" t="s">
        <v>16</v>
      </c>
    </row>
    <row r="2309" spans="1:7">
      <c r="A2309" s="1">
        <f>HYPERLINK("https://cms.ls-nyc.org/matter/dynamic-profile/view/1890943","19-1890943")</f>
        <v>0</v>
      </c>
      <c r="B2309" t="s">
        <v>9</v>
      </c>
      <c r="G2309" t="s">
        <v>16</v>
      </c>
    </row>
    <row r="2310" spans="1:7">
      <c r="A2310" s="1">
        <f>HYPERLINK("https://cms.ls-nyc.org/matter/dynamic-profile/view/1890939","19-1890939")</f>
        <v>0</v>
      </c>
      <c r="B2310" t="s">
        <v>9</v>
      </c>
      <c r="G2310" t="s">
        <v>16</v>
      </c>
    </row>
    <row r="2311" spans="1:7">
      <c r="A2311" s="1">
        <f>HYPERLINK("https://cms.ls-nyc.org/matter/dynamic-profile/view/1875858","18-1875858")</f>
        <v>0</v>
      </c>
      <c r="B2311" t="s">
        <v>11</v>
      </c>
      <c r="E2311" t="s">
        <v>14</v>
      </c>
      <c r="G2311" t="s">
        <v>17</v>
      </c>
    </row>
    <row r="2312" spans="1:7">
      <c r="A2312" s="1">
        <f>HYPERLINK("https://cms.ls-nyc.org/matter/dynamic-profile/view/1884147","18-1884147")</f>
        <v>0</v>
      </c>
      <c r="B2312" t="s">
        <v>8</v>
      </c>
      <c r="G2312" t="s">
        <v>16</v>
      </c>
    </row>
    <row r="2313" spans="1:7">
      <c r="A2313" s="1">
        <f>HYPERLINK("https://cms.ls-nyc.org/matter/dynamic-profile/view/1877510","18-1877510")</f>
        <v>0</v>
      </c>
      <c r="B2313" t="s">
        <v>7</v>
      </c>
      <c r="G2313" t="s">
        <v>16</v>
      </c>
    </row>
    <row r="2314" spans="1:7">
      <c r="A2314" s="1">
        <f>HYPERLINK("https://cms.ls-nyc.org/matter/dynamic-profile/view/1900420","19-1900420")</f>
        <v>0</v>
      </c>
      <c r="B2314" t="s">
        <v>8</v>
      </c>
      <c r="C2314" t="s">
        <v>12</v>
      </c>
      <c r="E2314" t="s">
        <v>14</v>
      </c>
      <c r="G2314" t="s">
        <v>17</v>
      </c>
    </row>
    <row r="2315" spans="1:7">
      <c r="A2315" s="1">
        <f>HYPERLINK("https://cms.ls-nyc.org/matter/dynamic-profile/view/1873907","18-1873907")</f>
        <v>0</v>
      </c>
      <c r="B2315" t="s">
        <v>7</v>
      </c>
      <c r="G2315" t="s">
        <v>16</v>
      </c>
    </row>
    <row r="2316" spans="1:7">
      <c r="A2316" s="1">
        <f>HYPERLINK("https://cms.ls-nyc.org/matter/dynamic-profile/view/1882252","18-1882252")</f>
        <v>0</v>
      </c>
      <c r="B2316" t="s">
        <v>8</v>
      </c>
      <c r="G2316" t="s">
        <v>16</v>
      </c>
    </row>
    <row r="2317" spans="1:7">
      <c r="A2317" s="1">
        <f>HYPERLINK("https://cms.ls-nyc.org/matter/dynamic-profile/view/1888349","19-1888349")</f>
        <v>0</v>
      </c>
      <c r="B2317" t="s">
        <v>8</v>
      </c>
      <c r="G2317" t="s">
        <v>16</v>
      </c>
    </row>
    <row r="2318" spans="1:7">
      <c r="A2318" s="1">
        <f>HYPERLINK("https://cms.ls-nyc.org/matter/dynamic-profile/view/1879905","18-1879905")</f>
        <v>0</v>
      </c>
      <c r="B2318" t="s">
        <v>11</v>
      </c>
      <c r="E2318" t="s">
        <v>14</v>
      </c>
      <c r="F2318" t="s">
        <v>15</v>
      </c>
      <c r="G2318" t="s">
        <v>17</v>
      </c>
    </row>
    <row r="2319" spans="1:7">
      <c r="A2319" s="1">
        <f>HYPERLINK("https://cms.ls-nyc.org/matter/dynamic-profile/view/1900722","19-1900722")</f>
        <v>0</v>
      </c>
      <c r="B2319" t="s">
        <v>8</v>
      </c>
      <c r="G2319" t="s">
        <v>16</v>
      </c>
    </row>
    <row r="2320" spans="1:7">
      <c r="A2320" s="1">
        <f>HYPERLINK("https://cms.ls-nyc.org/matter/dynamic-profile/view/1895811","19-1895811")</f>
        <v>0</v>
      </c>
      <c r="B2320" t="s">
        <v>7</v>
      </c>
      <c r="G2320" t="s">
        <v>16</v>
      </c>
    </row>
    <row r="2321" spans="1:7">
      <c r="A2321" s="1">
        <f>HYPERLINK("https://cms.ls-nyc.org/matter/dynamic-profile/view/1895817","19-1895817")</f>
        <v>0</v>
      </c>
      <c r="B2321" t="s">
        <v>7</v>
      </c>
      <c r="G2321" t="s">
        <v>16</v>
      </c>
    </row>
    <row r="2322" spans="1:7">
      <c r="A2322" s="1">
        <f>HYPERLINK("https://cms.ls-nyc.org/matter/dynamic-profile/view/1898780","19-1898780")</f>
        <v>0</v>
      </c>
      <c r="B2322" t="s">
        <v>8</v>
      </c>
      <c r="C2322" t="s">
        <v>12</v>
      </c>
      <c r="E2322" t="s">
        <v>14</v>
      </c>
      <c r="G2322" t="s">
        <v>17</v>
      </c>
    </row>
    <row r="2323" spans="1:7">
      <c r="A2323" s="1">
        <f>HYPERLINK("https://cms.ls-nyc.org/matter/dynamic-profile/view/1885062","18-1885062")</f>
        <v>0</v>
      </c>
      <c r="B2323" t="s">
        <v>8</v>
      </c>
      <c r="F2323" t="s">
        <v>15</v>
      </c>
      <c r="G2323" t="s">
        <v>17</v>
      </c>
    </row>
    <row r="2324" spans="1:7">
      <c r="A2324" s="1">
        <f>HYPERLINK("https://cms.ls-nyc.org/matter/dynamic-profile/view/1891823","19-1891823")</f>
        <v>0</v>
      </c>
      <c r="B2324" t="s">
        <v>10</v>
      </c>
      <c r="G2324" t="s">
        <v>16</v>
      </c>
    </row>
    <row r="2325" spans="1:7">
      <c r="A2325" s="1">
        <f>HYPERLINK("https://cms.ls-nyc.org/matter/dynamic-profile/view/1874705","18-1874705")</f>
        <v>0</v>
      </c>
      <c r="B2325" t="s">
        <v>11</v>
      </c>
      <c r="G2325" t="s">
        <v>16</v>
      </c>
    </row>
    <row r="2326" spans="1:7">
      <c r="A2326" s="1">
        <f>HYPERLINK("https://cms.ls-nyc.org/matter/dynamic-profile/view/1869551","18-1869551")</f>
        <v>0</v>
      </c>
      <c r="B2326" t="s">
        <v>9</v>
      </c>
      <c r="G2326" t="s">
        <v>16</v>
      </c>
    </row>
    <row r="2327" spans="1:7">
      <c r="A2327" s="1">
        <f>HYPERLINK("https://cms.ls-nyc.org/matter/dynamic-profile/view/1872412","18-1872412")</f>
        <v>0</v>
      </c>
      <c r="B2327" t="s">
        <v>8</v>
      </c>
      <c r="G2327" t="s">
        <v>16</v>
      </c>
    </row>
    <row r="2328" spans="1:7">
      <c r="A2328" s="1">
        <f>HYPERLINK("https://cms.ls-nyc.org/matter/dynamic-profile/view/1881226","18-1881226")</f>
        <v>0</v>
      </c>
      <c r="B2328" t="s">
        <v>11</v>
      </c>
      <c r="F2328" t="s">
        <v>15</v>
      </c>
      <c r="G2328" t="s">
        <v>17</v>
      </c>
    </row>
    <row r="2329" spans="1:7">
      <c r="A2329" s="1">
        <f>HYPERLINK("https://cms.ls-nyc.org/matter/dynamic-profile/view/1880682","18-1880682")</f>
        <v>0</v>
      </c>
      <c r="B2329" t="s">
        <v>8</v>
      </c>
      <c r="G2329" t="s">
        <v>16</v>
      </c>
    </row>
    <row r="2330" spans="1:7">
      <c r="A2330" s="1">
        <f>HYPERLINK("https://cms.ls-nyc.org/matter/dynamic-profile/view/1899297","19-1899297")</f>
        <v>0</v>
      </c>
      <c r="B2330" t="s">
        <v>7</v>
      </c>
      <c r="G2330" t="s">
        <v>16</v>
      </c>
    </row>
    <row r="2331" spans="1:7">
      <c r="A2331" s="1">
        <f>HYPERLINK("https://cms.ls-nyc.org/matter/dynamic-profile/view/1889697","19-1889697")</f>
        <v>0</v>
      </c>
      <c r="B2331" t="s">
        <v>9</v>
      </c>
      <c r="G2331" t="s">
        <v>16</v>
      </c>
    </row>
    <row r="2332" spans="1:7">
      <c r="A2332" s="1">
        <f>HYPERLINK("https://cms.ls-nyc.org/matter/dynamic-profile/view/1889816","19-1889816")</f>
        <v>0</v>
      </c>
      <c r="B2332" t="s">
        <v>10</v>
      </c>
      <c r="G2332" t="s">
        <v>16</v>
      </c>
    </row>
    <row r="2333" spans="1:7">
      <c r="A2333" s="1">
        <f>HYPERLINK("https://cms.ls-nyc.org/matter/dynamic-profile/view/1874586","18-1874586")</f>
        <v>0</v>
      </c>
      <c r="B2333" t="s">
        <v>7</v>
      </c>
      <c r="G2333" t="s">
        <v>16</v>
      </c>
    </row>
    <row r="2334" spans="1:7">
      <c r="A2334" s="1">
        <f>HYPERLINK("https://cms.ls-nyc.org/matter/dynamic-profile/view/1875714","18-1875714")</f>
        <v>0</v>
      </c>
      <c r="B2334" t="s">
        <v>7</v>
      </c>
      <c r="F2334" t="s">
        <v>15</v>
      </c>
      <c r="G2334" t="s">
        <v>17</v>
      </c>
    </row>
    <row r="2335" spans="1:7">
      <c r="A2335" s="1">
        <f>HYPERLINK("https://cms.ls-nyc.org/matter/dynamic-profile/view/1885588","18-1885588")</f>
        <v>0</v>
      </c>
      <c r="B2335" t="s">
        <v>9</v>
      </c>
      <c r="G2335" t="s">
        <v>16</v>
      </c>
    </row>
    <row r="2336" spans="1:7">
      <c r="A2336" s="1">
        <f>HYPERLINK("https://cms.ls-nyc.org/matter/dynamic-profile/view/1887430","19-1887430")</f>
        <v>0</v>
      </c>
      <c r="B2336" t="s">
        <v>9</v>
      </c>
      <c r="G2336" t="s">
        <v>16</v>
      </c>
    </row>
    <row r="2337" spans="1:7">
      <c r="A2337" s="1">
        <f>HYPERLINK("https://cms.ls-nyc.org/matter/dynamic-profile/view/1877362","18-1877362")</f>
        <v>0</v>
      </c>
      <c r="B2337" t="s">
        <v>11</v>
      </c>
      <c r="G2337" t="s">
        <v>16</v>
      </c>
    </row>
    <row r="2338" spans="1:7">
      <c r="A2338" s="1">
        <f>HYPERLINK("https://cms.ls-nyc.org/matter/dynamic-profile/view/1878536","18-1878536")</f>
        <v>0</v>
      </c>
      <c r="B2338" t="s">
        <v>8</v>
      </c>
      <c r="F2338" t="s">
        <v>15</v>
      </c>
      <c r="G2338" t="s">
        <v>17</v>
      </c>
    </row>
    <row r="2339" spans="1:7">
      <c r="A2339" s="1">
        <f>HYPERLINK("https://cms.ls-nyc.org/matter/dynamic-profile/view/1877043","18-1877043")</f>
        <v>0</v>
      </c>
      <c r="B2339" t="s">
        <v>9</v>
      </c>
      <c r="G2339" t="s">
        <v>16</v>
      </c>
    </row>
    <row r="2340" spans="1:7">
      <c r="A2340" s="1">
        <f>HYPERLINK("https://cms.ls-nyc.org/matter/dynamic-profile/view/1888303","19-1888303")</f>
        <v>0</v>
      </c>
      <c r="B2340" t="s">
        <v>9</v>
      </c>
      <c r="G2340" t="s">
        <v>16</v>
      </c>
    </row>
    <row r="2341" spans="1:7">
      <c r="A2341" s="1">
        <f>HYPERLINK("https://cms.ls-nyc.org/matter/dynamic-profile/view/1897797","19-1897797")</f>
        <v>0</v>
      </c>
      <c r="B2341" t="s">
        <v>11</v>
      </c>
      <c r="G2341" t="s">
        <v>16</v>
      </c>
    </row>
    <row r="2342" spans="1:7">
      <c r="A2342" s="1">
        <f>HYPERLINK("https://cms.ls-nyc.org/matter/dynamic-profile/view/1895312","19-1895312")</f>
        <v>0</v>
      </c>
      <c r="B2342" t="s">
        <v>8</v>
      </c>
      <c r="G2342" t="s">
        <v>16</v>
      </c>
    </row>
    <row r="2343" spans="1:7">
      <c r="A2343" s="1">
        <f>HYPERLINK("https://cms.ls-nyc.org/matter/dynamic-profile/view/1883464","18-1883464")</f>
        <v>0</v>
      </c>
      <c r="B2343" t="s">
        <v>9</v>
      </c>
      <c r="G2343" t="s">
        <v>16</v>
      </c>
    </row>
    <row r="2344" spans="1:7">
      <c r="A2344" s="1">
        <f>HYPERLINK("https://cms.ls-nyc.org/matter/dynamic-profile/view/1900670","19-1900670")</f>
        <v>0</v>
      </c>
      <c r="B2344" t="s">
        <v>7</v>
      </c>
      <c r="E2344" t="s">
        <v>14</v>
      </c>
      <c r="G2344" t="s">
        <v>17</v>
      </c>
    </row>
    <row r="2345" spans="1:7">
      <c r="A2345" s="1">
        <f>HYPERLINK("https://cms.ls-nyc.org/matter/dynamic-profile/view/1881235","18-1881235")</f>
        <v>0</v>
      </c>
      <c r="B2345" t="s">
        <v>11</v>
      </c>
      <c r="G2345" t="s">
        <v>16</v>
      </c>
    </row>
    <row r="2346" spans="1:7">
      <c r="A2346" s="1">
        <f>HYPERLINK("https://cms.ls-nyc.org/matter/dynamic-profile/view/1895385","19-1895385")</f>
        <v>0</v>
      </c>
      <c r="B2346" t="s">
        <v>8</v>
      </c>
      <c r="C2346" t="s">
        <v>12</v>
      </c>
      <c r="E2346" t="s">
        <v>14</v>
      </c>
      <c r="G2346" t="s">
        <v>17</v>
      </c>
    </row>
    <row r="2347" spans="1:7">
      <c r="A2347" s="1">
        <f>HYPERLINK("https://cms.ls-nyc.org/matter/dynamic-profile/view/1890689","19-1890689")</f>
        <v>0</v>
      </c>
      <c r="B2347" t="s">
        <v>11</v>
      </c>
      <c r="G2347" t="s">
        <v>16</v>
      </c>
    </row>
    <row r="2348" spans="1:7">
      <c r="A2348" s="1">
        <f>HYPERLINK("https://cms.ls-nyc.org/matter/dynamic-profile/view/1873214","18-1873214")</f>
        <v>0</v>
      </c>
      <c r="B2348" t="s">
        <v>10</v>
      </c>
      <c r="G2348" t="s">
        <v>16</v>
      </c>
    </row>
    <row r="2349" spans="1:7">
      <c r="A2349" s="1">
        <f>HYPERLINK("https://cms.ls-nyc.org/matter/dynamic-profile/view/1890637","19-1890637")</f>
        <v>0</v>
      </c>
      <c r="B2349" t="s">
        <v>8</v>
      </c>
      <c r="E2349" t="s">
        <v>14</v>
      </c>
      <c r="F2349" t="s">
        <v>15</v>
      </c>
      <c r="G2349" t="s">
        <v>17</v>
      </c>
    </row>
    <row r="2350" spans="1:7">
      <c r="A2350" s="1">
        <f>HYPERLINK("https://cms.ls-nyc.org/matter/dynamic-profile/view/1891624","19-1891624")</f>
        <v>0</v>
      </c>
      <c r="B2350" t="s">
        <v>8</v>
      </c>
      <c r="E2350" t="s">
        <v>14</v>
      </c>
      <c r="F2350" t="s">
        <v>15</v>
      </c>
      <c r="G2350" t="s">
        <v>17</v>
      </c>
    </row>
    <row r="2351" spans="1:7">
      <c r="A2351" s="1">
        <f>HYPERLINK("https://cms.ls-nyc.org/matter/dynamic-profile/view/1895803","19-1895803")</f>
        <v>0</v>
      </c>
      <c r="B2351" t="s">
        <v>7</v>
      </c>
      <c r="G2351" t="s">
        <v>16</v>
      </c>
    </row>
    <row r="2352" spans="1:7">
      <c r="A2352" s="1">
        <f>HYPERLINK("https://cms.ls-nyc.org/matter/dynamic-profile/view/1895808","19-1895808")</f>
        <v>0</v>
      </c>
      <c r="B2352" t="s">
        <v>7</v>
      </c>
      <c r="G2352" t="s">
        <v>16</v>
      </c>
    </row>
    <row r="2353" spans="1:7">
      <c r="A2353" s="1">
        <f>HYPERLINK("https://cms.ls-nyc.org/matter/dynamic-profile/view/1892495","19-1892495")</f>
        <v>0</v>
      </c>
      <c r="B2353" t="s">
        <v>8</v>
      </c>
      <c r="F2353" t="s">
        <v>15</v>
      </c>
      <c r="G2353" t="s">
        <v>17</v>
      </c>
    </row>
    <row r="2354" spans="1:7">
      <c r="A2354" s="1">
        <f>HYPERLINK("https://cms.ls-nyc.org/matter/dynamic-profile/view/1897550","19-1897550")</f>
        <v>0</v>
      </c>
      <c r="B2354" t="s">
        <v>11</v>
      </c>
      <c r="G2354" t="s">
        <v>16</v>
      </c>
    </row>
    <row r="2355" spans="1:7">
      <c r="A2355" s="1">
        <f>HYPERLINK("https://cms.ls-nyc.org/matter/dynamic-profile/view/1895463","19-1895463")</f>
        <v>0</v>
      </c>
      <c r="B2355" t="s">
        <v>8</v>
      </c>
      <c r="G2355" t="s">
        <v>16</v>
      </c>
    </row>
    <row r="2356" spans="1:7">
      <c r="A2356" s="1">
        <f>HYPERLINK("https://cms.ls-nyc.org/matter/dynamic-profile/view/1895477","19-1895477")</f>
        <v>0</v>
      </c>
      <c r="B2356" t="s">
        <v>8</v>
      </c>
      <c r="G2356" t="s">
        <v>16</v>
      </c>
    </row>
    <row r="2357" spans="1:7">
      <c r="A2357" s="1">
        <f>HYPERLINK("https://cms.ls-nyc.org/matter/dynamic-profile/view/1871927","18-1871927")</f>
        <v>0</v>
      </c>
      <c r="B2357" t="s">
        <v>9</v>
      </c>
      <c r="G2357" t="s">
        <v>16</v>
      </c>
    </row>
    <row r="2358" spans="1:7">
      <c r="A2358" s="1">
        <f>HYPERLINK("https://cms.ls-nyc.org/matter/dynamic-profile/view/1882015","18-1882015")</f>
        <v>0</v>
      </c>
      <c r="B2358" t="s">
        <v>11</v>
      </c>
      <c r="G2358" t="s">
        <v>16</v>
      </c>
    </row>
    <row r="2359" spans="1:7">
      <c r="A2359" s="1">
        <f>HYPERLINK("https://cms.ls-nyc.org/matter/dynamic-profile/view/1876512","18-1876512")</f>
        <v>0</v>
      </c>
      <c r="B2359" t="s">
        <v>8</v>
      </c>
      <c r="G2359" t="s">
        <v>16</v>
      </c>
    </row>
    <row r="2360" spans="1:7">
      <c r="A2360" s="1">
        <f>HYPERLINK("https://cms.ls-nyc.org/matter/dynamic-profile/view/1884560","18-1884560")</f>
        <v>0</v>
      </c>
      <c r="B2360" t="s">
        <v>9</v>
      </c>
      <c r="G2360" t="s">
        <v>16</v>
      </c>
    </row>
    <row r="2361" spans="1:7">
      <c r="A2361" s="1">
        <f>HYPERLINK("https://cms.ls-nyc.org/matter/dynamic-profile/view/1894159","19-1894159")</f>
        <v>0</v>
      </c>
      <c r="B2361" t="s">
        <v>9</v>
      </c>
      <c r="G2361" t="s">
        <v>16</v>
      </c>
    </row>
    <row r="2362" spans="1:7">
      <c r="A2362" s="1">
        <f>HYPERLINK("https://cms.ls-nyc.org/matter/dynamic-profile/view/1880323","18-1880323")</f>
        <v>0</v>
      </c>
      <c r="B2362" t="s">
        <v>8</v>
      </c>
      <c r="C2362" t="s">
        <v>12</v>
      </c>
      <c r="E2362" t="s">
        <v>14</v>
      </c>
      <c r="G2362" t="s">
        <v>17</v>
      </c>
    </row>
    <row r="2363" spans="1:7">
      <c r="A2363" s="1">
        <f>HYPERLINK("https://cms.ls-nyc.org/matter/dynamic-profile/view/1891682","19-1891682")</f>
        <v>0</v>
      </c>
      <c r="B2363" t="s">
        <v>9</v>
      </c>
      <c r="G2363" t="s">
        <v>16</v>
      </c>
    </row>
    <row r="2364" spans="1:7">
      <c r="A2364" s="1">
        <f>HYPERLINK("https://cms.ls-nyc.org/matter/dynamic-profile/view/1872225","18-1872225")</f>
        <v>0</v>
      </c>
      <c r="B2364" t="s">
        <v>10</v>
      </c>
      <c r="G2364" t="s">
        <v>16</v>
      </c>
    </row>
    <row r="2365" spans="1:7">
      <c r="A2365" s="1">
        <f>HYPERLINK("https://cms.ls-nyc.org/matter/dynamic-profile/view/1891715","19-1891715")</f>
        <v>0</v>
      </c>
      <c r="B2365" t="s">
        <v>8</v>
      </c>
      <c r="G2365" t="s">
        <v>16</v>
      </c>
    </row>
    <row r="2366" spans="1:7">
      <c r="A2366" s="1">
        <f>HYPERLINK("https://cms.ls-nyc.org/matter/dynamic-profile/view/1876857","18-1876857")</f>
        <v>0</v>
      </c>
      <c r="B2366" t="s">
        <v>9</v>
      </c>
      <c r="G2366" t="s">
        <v>16</v>
      </c>
    </row>
    <row r="2367" spans="1:7">
      <c r="A2367" s="1">
        <f>HYPERLINK("https://cms.ls-nyc.org/matter/dynamic-profile/view/1876855","18-1876855")</f>
        <v>0</v>
      </c>
      <c r="B2367" t="s">
        <v>9</v>
      </c>
      <c r="G2367" t="s">
        <v>16</v>
      </c>
    </row>
    <row r="2368" spans="1:7">
      <c r="A2368" s="1">
        <f>HYPERLINK("https://cms.ls-nyc.org/matter/dynamic-profile/view/1874688","18-1874688")</f>
        <v>0</v>
      </c>
      <c r="B2368" t="s">
        <v>11</v>
      </c>
      <c r="G2368" t="s">
        <v>16</v>
      </c>
    </row>
    <row r="2369" spans="1:7">
      <c r="A2369" s="1">
        <f>HYPERLINK("https://cms.ls-nyc.org/matter/dynamic-profile/view/1881708","18-1881708")</f>
        <v>0</v>
      </c>
      <c r="B2369" t="s">
        <v>7</v>
      </c>
      <c r="G2369" t="s">
        <v>16</v>
      </c>
    </row>
    <row r="2370" spans="1:7">
      <c r="A2370" s="1">
        <f>HYPERLINK("https://cms.ls-nyc.org/matter/dynamic-profile/view/1891688","19-1891688")</f>
        <v>0</v>
      </c>
      <c r="B2370" t="s">
        <v>9</v>
      </c>
      <c r="G2370" t="s">
        <v>16</v>
      </c>
    </row>
    <row r="2371" spans="1:7">
      <c r="A2371" s="1">
        <f>HYPERLINK("https://cms.ls-nyc.org/matter/dynamic-profile/view/1884940","18-1884940")</f>
        <v>0</v>
      </c>
      <c r="B2371" t="s">
        <v>9</v>
      </c>
      <c r="G2371" t="s">
        <v>16</v>
      </c>
    </row>
    <row r="2372" spans="1:7">
      <c r="A2372" s="1">
        <f>HYPERLINK("https://cms.ls-nyc.org/matter/dynamic-profile/view/1881710","18-1881710")</f>
        <v>0</v>
      </c>
      <c r="B2372" t="s">
        <v>9</v>
      </c>
      <c r="F2372" t="s">
        <v>15</v>
      </c>
      <c r="G2372" t="s">
        <v>17</v>
      </c>
    </row>
    <row r="2373" spans="1:7">
      <c r="A2373" s="1">
        <f>HYPERLINK("https://cms.ls-nyc.org/matter/dynamic-profile/view/1893434","19-1893434")</f>
        <v>0</v>
      </c>
      <c r="B2373" t="s">
        <v>9</v>
      </c>
      <c r="G2373" t="s">
        <v>16</v>
      </c>
    </row>
    <row r="2374" spans="1:7">
      <c r="A2374" s="1">
        <f>HYPERLINK("https://cms.ls-nyc.org/matter/dynamic-profile/view/1880593","18-1880593")</f>
        <v>0</v>
      </c>
      <c r="B2374" t="s">
        <v>9</v>
      </c>
      <c r="G2374" t="s">
        <v>16</v>
      </c>
    </row>
    <row r="2375" spans="1:7">
      <c r="A2375" s="1">
        <f>HYPERLINK("https://cms.ls-nyc.org/matter/dynamic-profile/view/1890363","19-1890363")</f>
        <v>0</v>
      </c>
      <c r="B2375" t="s">
        <v>11</v>
      </c>
      <c r="G2375" t="s">
        <v>16</v>
      </c>
    </row>
    <row r="2376" spans="1:7">
      <c r="A2376" s="1">
        <f>HYPERLINK("https://cms.ls-nyc.org/matter/dynamic-profile/view/1893044","19-1893044")</f>
        <v>0</v>
      </c>
      <c r="B2376" t="s">
        <v>8</v>
      </c>
      <c r="G2376" t="s">
        <v>16</v>
      </c>
    </row>
    <row r="2377" spans="1:7">
      <c r="A2377" s="1">
        <f>HYPERLINK("https://cms.ls-nyc.org/matter/dynamic-profile/view/1894799","19-1894799")</f>
        <v>0</v>
      </c>
      <c r="B2377" t="s">
        <v>8</v>
      </c>
      <c r="G2377" t="s">
        <v>16</v>
      </c>
    </row>
    <row r="2378" spans="1:7">
      <c r="A2378" s="1">
        <f>HYPERLINK("https://cms.ls-nyc.org/matter/dynamic-profile/view/1890376","19-1890376")</f>
        <v>0</v>
      </c>
      <c r="B2378" t="s">
        <v>10</v>
      </c>
      <c r="G2378" t="s">
        <v>16</v>
      </c>
    </row>
    <row r="2379" spans="1:7">
      <c r="A2379" s="1">
        <f>HYPERLINK("https://cms.ls-nyc.org/matter/dynamic-profile/view/1891718","19-1891718")</f>
        <v>0</v>
      </c>
      <c r="B2379" t="s">
        <v>8</v>
      </c>
      <c r="G2379" t="s">
        <v>16</v>
      </c>
    </row>
    <row r="2380" spans="1:7">
      <c r="A2380" s="1">
        <f>HYPERLINK("https://cms.ls-nyc.org/matter/dynamic-profile/view/1869794","18-1869794")</f>
        <v>0</v>
      </c>
      <c r="B2380" t="s">
        <v>11</v>
      </c>
      <c r="D2380" t="s">
        <v>13</v>
      </c>
      <c r="E2380" t="s">
        <v>14</v>
      </c>
      <c r="G2380" t="s">
        <v>17</v>
      </c>
    </row>
    <row r="2381" spans="1:7">
      <c r="A2381" s="1">
        <f>HYPERLINK("https://cms.ls-nyc.org/matter/dynamic-profile/view/1901186","19-1901186")</f>
        <v>0</v>
      </c>
      <c r="B2381" t="s">
        <v>11</v>
      </c>
      <c r="G2381" t="s">
        <v>16</v>
      </c>
    </row>
    <row r="2382" spans="1:7">
      <c r="A2382" s="1">
        <f>HYPERLINK("https://cms.ls-nyc.org/matter/dynamic-profile/view/1876321","18-1876321")</f>
        <v>0</v>
      </c>
      <c r="B2382" t="s">
        <v>7</v>
      </c>
      <c r="G2382" t="s">
        <v>16</v>
      </c>
    </row>
    <row r="2383" spans="1:7">
      <c r="A2383" s="1">
        <f>HYPERLINK("https://cms.ls-nyc.org/matter/dynamic-profile/view/1883662","18-1883662")</f>
        <v>0</v>
      </c>
      <c r="B2383" t="s">
        <v>9</v>
      </c>
      <c r="G2383" t="s">
        <v>16</v>
      </c>
    </row>
    <row r="2384" spans="1:7">
      <c r="A2384" s="1">
        <f>HYPERLINK("https://cms.ls-nyc.org/matter/dynamic-profile/view/1873258","18-1873258")</f>
        <v>0</v>
      </c>
      <c r="B2384" t="s">
        <v>11</v>
      </c>
      <c r="G2384" t="s">
        <v>16</v>
      </c>
    </row>
    <row r="2385" spans="1:7">
      <c r="A2385" s="1">
        <f>HYPERLINK("https://cms.ls-nyc.org/matter/dynamic-profile/view/1890333","19-1890333")</f>
        <v>0</v>
      </c>
      <c r="B2385" t="s">
        <v>9</v>
      </c>
      <c r="F2385" t="s">
        <v>15</v>
      </c>
      <c r="G2385" t="s">
        <v>17</v>
      </c>
    </row>
    <row r="2386" spans="1:7">
      <c r="A2386" s="1">
        <f>HYPERLINK("https://cms.ls-nyc.org/matter/dynamic-profile/view/1897445","19-1897445")</f>
        <v>0</v>
      </c>
      <c r="B2386" t="s">
        <v>10</v>
      </c>
      <c r="G2386" t="s">
        <v>16</v>
      </c>
    </row>
    <row r="2387" spans="1:7">
      <c r="A2387" s="1">
        <f>HYPERLINK("https://cms.ls-nyc.org/matter/dynamic-profile/view/1898568","19-1898568")</f>
        <v>0</v>
      </c>
      <c r="B2387" t="s">
        <v>11</v>
      </c>
      <c r="G2387" t="s">
        <v>16</v>
      </c>
    </row>
    <row r="2388" spans="1:7">
      <c r="A2388" s="1">
        <f>HYPERLINK("https://cms.ls-nyc.org/matter/dynamic-profile/view/1895988","19-1895988")</f>
        <v>0</v>
      </c>
      <c r="B2388" t="s">
        <v>8</v>
      </c>
      <c r="F2388" t="s">
        <v>15</v>
      </c>
      <c r="G2388" t="s">
        <v>17</v>
      </c>
    </row>
    <row r="2389" spans="1:7">
      <c r="A2389" s="1">
        <f>HYPERLINK("https://cms.ls-nyc.org/matter/dynamic-profile/view/1857034","18-1857034")</f>
        <v>0</v>
      </c>
      <c r="B2389" t="s">
        <v>9</v>
      </c>
      <c r="G2389" t="s">
        <v>16</v>
      </c>
    </row>
    <row r="2390" spans="1:7">
      <c r="A2390" s="1">
        <f>HYPERLINK("https://cms.ls-nyc.org/matter/dynamic-profile/view/1886611","18-1886611")</f>
        <v>0</v>
      </c>
      <c r="B2390" t="s">
        <v>7</v>
      </c>
      <c r="G2390" t="s">
        <v>16</v>
      </c>
    </row>
    <row r="2391" spans="1:7">
      <c r="A2391" s="1">
        <f>HYPERLINK("https://cms.ls-nyc.org/matter/dynamic-profile/view/1873746","18-1873746")</f>
        <v>0</v>
      </c>
      <c r="B2391" t="s">
        <v>7</v>
      </c>
      <c r="G2391" t="s">
        <v>16</v>
      </c>
    </row>
    <row r="2392" spans="1:7">
      <c r="A2392" s="1">
        <f>HYPERLINK("https://cms.ls-nyc.org/matter/dynamic-profile/view/1880702","18-1880702")</f>
        <v>0</v>
      </c>
      <c r="B2392" t="s">
        <v>7</v>
      </c>
      <c r="G2392" t="s">
        <v>16</v>
      </c>
    </row>
    <row r="2393" spans="1:7">
      <c r="A2393" s="1">
        <f>HYPERLINK("https://cms.ls-nyc.org/matter/dynamic-profile/view/1873153","18-1873153")</f>
        <v>0</v>
      </c>
      <c r="B2393" t="s">
        <v>7</v>
      </c>
      <c r="G2393" t="s">
        <v>16</v>
      </c>
    </row>
    <row r="2394" spans="1:7">
      <c r="A2394" s="1">
        <f>HYPERLINK("https://cms.ls-nyc.org/matter/dynamic-profile/view/1863782","18-1863782")</f>
        <v>0</v>
      </c>
      <c r="B2394" t="s">
        <v>8</v>
      </c>
      <c r="F2394" t="s">
        <v>15</v>
      </c>
      <c r="G2394" t="s">
        <v>17</v>
      </c>
    </row>
    <row r="2395" spans="1:7">
      <c r="A2395" s="1">
        <f>HYPERLINK("https://cms.ls-nyc.org/matter/dynamic-profile/view/1864898","18-1864898")</f>
        <v>0</v>
      </c>
      <c r="B2395" t="s">
        <v>8</v>
      </c>
      <c r="F2395" t="s">
        <v>15</v>
      </c>
      <c r="G2395" t="s">
        <v>17</v>
      </c>
    </row>
    <row r="2396" spans="1:7">
      <c r="A2396" s="1">
        <f>HYPERLINK("https://cms.ls-nyc.org/matter/dynamic-profile/view/1876008","18-1876008")</f>
        <v>0</v>
      </c>
      <c r="B2396" t="s">
        <v>8</v>
      </c>
      <c r="G2396" t="s">
        <v>16</v>
      </c>
    </row>
    <row r="2397" spans="1:7">
      <c r="A2397" s="1">
        <f>HYPERLINK("https://cms.ls-nyc.org/matter/dynamic-profile/view/1884939","18-1884939")</f>
        <v>0</v>
      </c>
      <c r="B2397" t="s">
        <v>9</v>
      </c>
      <c r="G2397" t="s">
        <v>16</v>
      </c>
    </row>
    <row r="2398" spans="1:7">
      <c r="A2398" s="1">
        <f>HYPERLINK("https://cms.ls-nyc.org/matter/dynamic-profile/view/1887550","19-1887550")</f>
        <v>0</v>
      </c>
      <c r="B2398" t="s">
        <v>9</v>
      </c>
      <c r="G2398" t="s">
        <v>16</v>
      </c>
    </row>
    <row r="2399" spans="1:7">
      <c r="A2399" s="1">
        <f>HYPERLINK("https://cms.ls-nyc.org/matter/dynamic-profile/view/1871844","18-1871844")</f>
        <v>0</v>
      </c>
      <c r="B2399" t="s">
        <v>9</v>
      </c>
      <c r="G2399" t="s">
        <v>16</v>
      </c>
    </row>
    <row r="2400" spans="1:7">
      <c r="A2400" s="1">
        <f>HYPERLINK("https://cms.ls-nyc.org/matter/dynamic-profile/view/1879898","18-1879898")</f>
        <v>0</v>
      </c>
      <c r="B2400" t="s">
        <v>11</v>
      </c>
      <c r="G2400" t="s">
        <v>16</v>
      </c>
    </row>
    <row r="2401" spans="1:7">
      <c r="A2401" s="1">
        <f>HYPERLINK("https://cms.ls-nyc.org/matter/dynamic-profile/view/1867788","18-1867788")</f>
        <v>0</v>
      </c>
      <c r="B2401" t="s">
        <v>11</v>
      </c>
      <c r="G2401" t="s">
        <v>16</v>
      </c>
    </row>
    <row r="2402" spans="1:7">
      <c r="A2402" s="1">
        <f>HYPERLINK("https://cms.ls-nyc.org/matter/dynamic-profile/view/1873550","18-1873550")</f>
        <v>0</v>
      </c>
      <c r="B2402" t="s">
        <v>9</v>
      </c>
      <c r="G2402" t="s">
        <v>16</v>
      </c>
    </row>
    <row r="2403" spans="1:7">
      <c r="A2403" s="1">
        <f>HYPERLINK("https://cms.ls-nyc.org/matter/dynamic-profile/view/1892505","19-1892505")</f>
        <v>0</v>
      </c>
      <c r="B2403" t="s">
        <v>8</v>
      </c>
      <c r="E2403" t="s">
        <v>14</v>
      </c>
      <c r="F2403" t="s">
        <v>15</v>
      </c>
      <c r="G2403" t="s">
        <v>17</v>
      </c>
    </row>
    <row r="2404" spans="1:7">
      <c r="A2404" s="1">
        <f>HYPERLINK("https://cms.ls-nyc.org/matter/dynamic-profile/view/1892508","19-1892508")</f>
        <v>0</v>
      </c>
      <c r="B2404" t="s">
        <v>8</v>
      </c>
      <c r="E2404" t="s">
        <v>14</v>
      </c>
      <c r="F2404" t="s">
        <v>15</v>
      </c>
      <c r="G2404" t="s">
        <v>17</v>
      </c>
    </row>
    <row r="2405" spans="1:7">
      <c r="A2405" s="1">
        <f>HYPERLINK("https://cms.ls-nyc.org/matter/dynamic-profile/view/1887057","19-1887057")</f>
        <v>0</v>
      </c>
      <c r="B2405" t="s">
        <v>10</v>
      </c>
      <c r="G2405" t="s">
        <v>16</v>
      </c>
    </row>
    <row r="2406" spans="1:7">
      <c r="A2406" s="1">
        <f>HYPERLINK("https://cms.ls-nyc.org/matter/dynamic-profile/view/1900602","19-1900602")</f>
        <v>0</v>
      </c>
      <c r="B2406" t="s">
        <v>7</v>
      </c>
      <c r="E2406" t="s">
        <v>14</v>
      </c>
      <c r="G2406" t="s">
        <v>17</v>
      </c>
    </row>
    <row r="2407" spans="1:7">
      <c r="A2407" s="1">
        <f>HYPERLINK("https://cms.ls-nyc.org/matter/dynamic-profile/view/1879944","18-1879944")</f>
        <v>0</v>
      </c>
      <c r="B2407" t="s">
        <v>8</v>
      </c>
      <c r="F2407" t="s">
        <v>15</v>
      </c>
      <c r="G2407" t="s">
        <v>17</v>
      </c>
    </row>
    <row r="2408" spans="1:7">
      <c r="A2408" s="1">
        <f>HYPERLINK("https://cms.ls-nyc.org/matter/dynamic-profile/view/1879507","18-1879507")</f>
        <v>0</v>
      </c>
      <c r="B2408" t="s">
        <v>8</v>
      </c>
      <c r="E2408" t="s">
        <v>14</v>
      </c>
      <c r="G2408" t="s">
        <v>17</v>
      </c>
    </row>
    <row r="2409" spans="1:7">
      <c r="A2409" s="1">
        <f>HYPERLINK("https://cms.ls-nyc.org/matter/dynamic-profile/view/1872328","18-1872328")</f>
        <v>0</v>
      </c>
      <c r="B2409" t="s">
        <v>11</v>
      </c>
      <c r="F2409" t="s">
        <v>15</v>
      </c>
      <c r="G2409" t="s">
        <v>17</v>
      </c>
    </row>
    <row r="2410" spans="1:7">
      <c r="A2410" s="1">
        <f>HYPERLINK("https://cms.ls-nyc.org/matter/dynamic-profile/view/1895258","19-1895258")</f>
        <v>0</v>
      </c>
      <c r="B2410" t="s">
        <v>7</v>
      </c>
      <c r="G2410" t="s">
        <v>16</v>
      </c>
    </row>
    <row r="2411" spans="1:7">
      <c r="A2411" s="1">
        <f>HYPERLINK("https://cms.ls-nyc.org/matter/dynamic-profile/view/1895629","19-1895629")</f>
        <v>0</v>
      </c>
      <c r="B2411" t="s">
        <v>8</v>
      </c>
      <c r="F2411" t="s">
        <v>15</v>
      </c>
      <c r="G2411" t="s">
        <v>17</v>
      </c>
    </row>
    <row r="2412" spans="1:7">
      <c r="A2412" s="1">
        <f>HYPERLINK("https://cms.ls-nyc.org/matter/dynamic-profile/view/1900103","19-1900103")</f>
        <v>0</v>
      </c>
      <c r="B2412" t="s">
        <v>8</v>
      </c>
      <c r="F2412" t="s">
        <v>15</v>
      </c>
      <c r="G2412" t="s">
        <v>17</v>
      </c>
    </row>
    <row r="2413" spans="1:7">
      <c r="A2413" s="1">
        <f>HYPERLINK("https://cms.ls-nyc.org/matter/dynamic-profile/view/1900984","19-1900984")</f>
        <v>0</v>
      </c>
      <c r="B2413" t="s">
        <v>8</v>
      </c>
      <c r="F2413" t="s">
        <v>15</v>
      </c>
      <c r="G2413" t="s">
        <v>17</v>
      </c>
    </row>
    <row r="2414" spans="1:7">
      <c r="A2414" s="1">
        <f>HYPERLINK("https://cms.ls-nyc.org/matter/dynamic-profile/view/1884993","18-1884993")</f>
        <v>0</v>
      </c>
      <c r="B2414" t="s">
        <v>7</v>
      </c>
      <c r="G2414" t="s">
        <v>16</v>
      </c>
    </row>
    <row r="2415" spans="1:7">
      <c r="A2415" s="1">
        <f>HYPERLINK("https://cms.ls-nyc.org/matter/dynamic-profile/view/1886536","18-1886536")</f>
        <v>0</v>
      </c>
      <c r="B2415" t="s">
        <v>8</v>
      </c>
      <c r="G2415" t="s">
        <v>16</v>
      </c>
    </row>
    <row r="2416" spans="1:7">
      <c r="A2416" s="1">
        <f>HYPERLINK("https://cms.ls-nyc.org/matter/dynamic-profile/view/1886444","18-1886444")</f>
        <v>0</v>
      </c>
      <c r="B2416" t="s">
        <v>8</v>
      </c>
      <c r="G2416" t="s">
        <v>16</v>
      </c>
    </row>
    <row r="2417" spans="1:7">
      <c r="A2417" s="1">
        <f>HYPERLINK("https://cms.ls-nyc.org/matter/dynamic-profile/view/1901217","19-1901217")</f>
        <v>0</v>
      </c>
      <c r="B2417" t="s">
        <v>11</v>
      </c>
      <c r="G2417" t="s">
        <v>16</v>
      </c>
    </row>
    <row r="2418" spans="1:7">
      <c r="A2418" s="1">
        <f>HYPERLINK("https://cms.ls-nyc.org/matter/dynamic-profile/view/1887928","19-1887928")</f>
        <v>0</v>
      </c>
      <c r="B2418" t="s">
        <v>8</v>
      </c>
      <c r="G2418" t="s">
        <v>16</v>
      </c>
    </row>
    <row r="2419" spans="1:7">
      <c r="A2419" s="1">
        <f>HYPERLINK("https://cms.ls-nyc.org/matter/dynamic-profile/view/1887643","19-1887643")</f>
        <v>0</v>
      </c>
      <c r="B2419" t="s">
        <v>8</v>
      </c>
      <c r="G2419" t="s">
        <v>16</v>
      </c>
    </row>
    <row r="2420" spans="1:7">
      <c r="A2420" s="1">
        <f>HYPERLINK("https://cms.ls-nyc.org/matter/dynamic-profile/view/1861899","18-1861899")</f>
        <v>0</v>
      </c>
      <c r="B2420" t="s">
        <v>7</v>
      </c>
      <c r="G2420" t="s">
        <v>16</v>
      </c>
    </row>
    <row r="2421" spans="1:7">
      <c r="A2421" s="1">
        <f>HYPERLINK("https://cms.ls-nyc.org/matter/dynamic-profile/view/1895929","19-1895929")</f>
        <v>0</v>
      </c>
      <c r="B2421" t="s">
        <v>9</v>
      </c>
      <c r="G2421" t="s">
        <v>16</v>
      </c>
    </row>
    <row r="2422" spans="1:7">
      <c r="A2422" s="1">
        <f>HYPERLINK("https://cms.ls-nyc.org/matter/dynamic-profile/view/1887097","19-1887097")</f>
        <v>0</v>
      </c>
      <c r="B2422" t="s">
        <v>8</v>
      </c>
      <c r="G2422" t="s">
        <v>16</v>
      </c>
    </row>
    <row r="2423" spans="1:7">
      <c r="A2423" s="1">
        <f>HYPERLINK("https://cms.ls-nyc.org/matter/dynamic-profile/view/1900691","19-1900691")</f>
        <v>0</v>
      </c>
      <c r="B2423" t="s">
        <v>8</v>
      </c>
      <c r="G2423" t="s">
        <v>16</v>
      </c>
    </row>
    <row r="2424" spans="1:7">
      <c r="A2424" s="1">
        <f>HYPERLINK("https://cms.ls-nyc.org/matter/dynamic-profile/view/1886706","18-1886706")</f>
        <v>0</v>
      </c>
      <c r="B2424" t="s">
        <v>9</v>
      </c>
      <c r="G2424" t="s">
        <v>16</v>
      </c>
    </row>
    <row r="2425" spans="1:7">
      <c r="A2425" s="1">
        <f>HYPERLINK("https://cms.ls-nyc.org/matter/dynamic-profile/view/1896691","19-1896691")</f>
        <v>0</v>
      </c>
      <c r="B2425" t="s">
        <v>7</v>
      </c>
      <c r="G2425" t="s">
        <v>16</v>
      </c>
    </row>
    <row r="2426" spans="1:7">
      <c r="A2426" s="1">
        <f>HYPERLINK("https://cms.ls-nyc.org/matter/dynamic-profile/view/1897656","19-1897656")</f>
        <v>0</v>
      </c>
      <c r="B2426" t="s">
        <v>7</v>
      </c>
      <c r="G2426" t="s">
        <v>16</v>
      </c>
    </row>
    <row r="2427" spans="1:7">
      <c r="A2427" s="1">
        <f>HYPERLINK("https://cms.ls-nyc.org/matter/dynamic-profile/view/1890630","19-1890630")</f>
        <v>0</v>
      </c>
      <c r="B2427" t="s">
        <v>8</v>
      </c>
      <c r="E2427" t="s">
        <v>14</v>
      </c>
      <c r="F2427" t="s">
        <v>15</v>
      </c>
      <c r="G2427" t="s">
        <v>17</v>
      </c>
    </row>
    <row r="2428" spans="1:7">
      <c r="A2428" s="1">
        <f>HYPERLINK("https://cms.ls-nyc.org/matter/dynamic-profile/view/1891875","19-1891875")</f>
        <v>0</v>
      </c>
      <c r="B2428" t="s">
        <v>8</v>
      </c>
      <c r="E2428" t="s">
        <v>14</v>
      </c>
      <c r="F2428" t="s">
        <v>15</v>
      </c>
      <c r="G2428" t="s">
        <v>17</v>
      </c>
    </row>
    <row r="2429" spans="1:7">
      <c r="A2429" s="1">
        <f>HYPERLINK("https://cms.ls-nyc.org/matter/dynamic-profile/view/1883360","18-1883360")</f>
        <v>0</v>
      </c>
      <c r="B2429" t="s">
        <v>9</v>
      </c>
      <c r="G2429" t="s">
        <v>16</v>
      </c>
    </row>
    <row r="2430" spans="1:7">
      <c r="A2430" s="1">
        <f>HYPERLINK("https://cms.ls-nyc.org/matter/dynamic-profile/view/1873795","18-1873795")</f>
        <v>0</v>
      </c>
      <c r="B2430" t="s">
        <v>11</v>
      </c>
      <c r="G2430" t="s">
        <v>16</v>
      </c>
    </row>
    <row r="2431" spans="1:7">
      <c r="A2431" s="1">
        <f>HYPERLINK("https://cms.ls-nyc.org/matter/dynamic-profile/view/1873265","18-1873265")</f>
        <v>0</v>
      </c>
      <c r="B2431" t="s">
        <v>7</v>
      </c>
      <c r="G2431" t="s">
        <v>16</v>
      </c>
    </row>
    <row r="2432" spans="1:7">
      <c r="A2432" s="1">
        <f>HYPERLINK("https://cms.ls-nyc.org/matter/dynamic-profile/view/1873222","18-1873222")</f>
        <v>0</v>
      </c>
      <c r="B2432" t="s">
        <v>11</v>
      </c>
      <c r="G2432" t="s">
        <v>16</v>
      </c>
    </row>
    <row r="2433" spans="1:7">
      <c r="A2433" s="1">
        <f>HYPERLINK("https://cms.ls-nyc.org/matter/dynamic-profile/view/1873224","18-1873224")</f>
        <v>0</v>
      </c>
      <c r="B2433" t="s">
        <v>11</v>
      </c>
      <c r="G2433" t="s">
        <v>16</v>
      </c>
    </row>
    <row r="2434" spans="1:7">
      <c r="A2434" s="1">
        <f>HYPERLINK("https://cms.ls-nyc.org/matter/dynamic-profile/view/1875252","18-1875252")</f>
        <v>0</v>
      </c>
      <c r="B2434" t="s">
        <v>8</v>
      </c>
      <c r="E2434" t="s">
        <v>14</v>
      </c>
      <c r="G2434" t="s">
        <v>17</v>
      </c>
    </row>
    <row r="2435" spans="1:7">
      <c r="A2435" s="1">
        <f>HYPERLINK("https://cms.ls-nyc.org/matter/dynamic-profile/view/1896120","19-1896120")</f>
        <v>0</v>
      </c>
      <c r="B2435" t="s">
        <v>8</v>
      </c>
      <c r="C2435" t="s">
        <v>12</v>
      </c>
      <c r="E2435" t="s">
        <v>14</v>
      </c>
      <c r="G2435" t="s">
        <v>17</v>
      </c>
    </row>
    <row r="2436" spans="1:7">
      <c r="A2436" s="1">
        <f>HYPERLINK("https://cms.ls-nyc.org/matter/dynamic-profile/view/1872615","18-1872615")</f>
        <v>0</v>
      </c>
      <c r="B2436" t="s">
        <v>9</v>
      </c>
      <c r="G2436" t="s">
        <v>16</v>
      </c>
    </row>
    <row r="2437" spans="1:7">
      <c r="A2437" s="1">
        <f>HYPERLINK("https://cms.ls-nyc.org/matter/dynamic-profile/view/1874233","18-1874233")</f>
        <v>0</v>
      </c>
      <c r="B2437" t="s">
        <v>11</v>
      </c>
      <c r="G2437" t="s">
        <v>16</v>
      </c>
    </row>
    <row r="2438" spans="1:7">
      <c r="A2438" s="1">
        <f>HYPERLINK("https://cms.ls-nyc.org/matter/dynamic-profile/view/1886968","19-1886968")</f>
        <v>0</v>
      </c>
      <c r="B2438" t="s">
        <v>8</v>
      </c>
      <c r="G2438" t="s">
        <v>16</v>
      </c>
    </row>
    <row r="2439" spans="1:7">
      <c r="A2439" s="1">
        <f>HYPERLINK("https://cms.ls-nyc.org/matter/dynamic-profile/view/1900693","19-1900693")</f>
        <v>0</v>
      </c>
      <c r="B2439" t="s">
        <v>8</v>
      </c>
      <c r="G2439" t="s">
        <v>16</v>
      </c>
    </row>
    <row r="2440" spans="1:7">
      <c r="A2440" s="1">
        <f>HYPERLINK("https://cms.ls-nyc.org/matter/dynamic-profile/view/1890572","19-1890572")</f>
        <v>0</v>
      </c>
      <c r="B2440" t="s">
        <v>8</v>
      </c>
      <c r="E2440" t="s">
        <v>14</v>
      </c>
      <c r="F2440" t="s">
        <v>15</v>
      </c>
      <c r="G2440" t="s">
        <v>17</v>
      </c>
    </row>
    <row r="2441" spans="1:7">
      <c r="A2441" s="1">
        <f>HYPERLINK("https://cms.ls-nyc.org/matter/dynamic-profile/view/1891871","19-1891871")</f>
        <v>0</v>
      </c>
      <c r="B2441" t="s">
        <v>8</v>
      </c>
      <c r="E2441" t="s">
        <v>14</v>
      </c>
      <c r="F2441" t="s">
        <v>15</v>
      </c>
      <c r="G2441" t="s">
        <v>17</v>
      </c>
    </row>
    <row r="2442" spans="1:7">
      <c r="A2442" s="1">
        <f>HYPERLINK("https://cms.ls-nyc.org/matter/dynamic-profile/view/1898818","19-1898818")</f>
        <v>0</v>
      </c>
      <c r="B2442" t="s">
        <v>11</v>
      </c>
      <c r="G2442" t="s">
        <v>16</v>
      </c>
    </row>
    <row r="2443" spans="1:7">
      <c r="A2443" s="1">
        <f>HYPERLINK("https://cms.ls-nyc.org/matter/dynamic-profile/view/1880060","18-1880060")</f>
        <v>0</v>
      </c>
      <c r="B2443" t="s">
        <v>10</v>
      </c>
      <c r="G2443" t="s">
        <v>16</v>
      </c>
    </row>
    <row r="2444" spans="1:7">
      <c r="A2444" s="1">
        <f>HYPERLINK("https://cms.ls-nyc.org/matter/dynamic-profile/view/1891783","19-1891783")</f>
        <v>0</v>
      </c>
      <c r="B2444" t="s">
        <v>9</v>
      </c>
      <c r="G2444" t="s">
        <v>16</v>
      </c>
    </row>
    <row r="2445" spans="1:7">
      <c r="A2445" s="1">
        <f>HYPERLINK("https://cms.ls-nyc.org/matter/dynamic-profile/view/1886622","18-1886622")</f>
        <v>0</v>
      </c>
      <c r="B2445" t="s">
        <v>9</v>
      </c>
      <c r="G2445" t="s">
        <v>16</v>
      </c>
    </row>
    <row r="2446" spans="1:7">
      <c r="A2446" s="1">
        <f>HYPERLINK("https://cms.ls-nyc.org/matter/dynamic-profile/view/1891401","19-1891401")</f>
        <v>0</v>
      </c>
      <c r="B2446" t="s">
        <v>9</v>
      </c>
      <c r="G2446" t="s">
        <v>16</v>
      </c>
    </row>
    <row r="2447" spans="1:7">
      <c r="A2447" s="1">
        <f>HYPERLINK("https://cms.ls-nyc.org/matter/dynamic-profile/view/1891397","19-1891397")</f>
        <v>0</v>
      </c>
      <c r="B2447" t="s">
        <v>9</v>
      </c>
      <c r="G2447" t="s">
        <v>16</v>
      </c>
    </row>
    <row r="2448" spans="1:7">
      <c r="A2448" s="1">
        <f>HYPERLINK("https://cms.ls-nyc.org/matter/dynamic-profile/view/1877540","18-1877540")</f>
        <v>0</v>
      </c>
      <c r="B2448" t="s">
        <v>7</v>
      </c>
      <c r="G2448" t="s">
        <v>16</v>
      </c>
    </row>
    <row r="2449" spans="1:7">
      <c r="A2449" s="1">
        <f>HYPERLINK("https://cms.ls-nyc.org/matter/dynamic-profile/view/1886574","18-1886574")</f>
        <v>0</v>
      </c>
      <c r="B2449" t="s">
        <v>9</v>
      </c>
      <c r="G2449" t="s">
        <v>16</v>
      </c>
    </row>
    <row r="2450" spans="1:7">
      <c r="A2450" s="1">
        <f>HYPERLINK("https://cms.ls-nyc.org/matter/dynamic-profile/view/1880603","18-1880603")</f>
        <v>0</v>
      </c>
      <c r="B2450" t="s">
        <v>7</v>
      </c>
      <c r="G2450" t="s">
        <v>16</v>
      </c>
    </row>
    <row r="2451" spans="1:7">
      <c r="A2451" s="1">
        <f>HYPERLINK("https://cms.ls-nyc.org/matter/dynamic-profile/view/1882273","18-1882273")</f>
        <v>0</v>
      </c>
      <c r="B2451" t="s">
        <v>7</v>
      </c>
      <c r="G2451" t="s">
        <v>16</v>
      </c>
    </row>
    <row r="2452" spans="1:7">
      <c r="A2452" s="1">
        <f>HYPERLINK("https://cms.ls-nyc.org/matter/dynamic-profile/view/1898030","19-1898030")</f>
        <v>0</v>
      </c>
      <c r="B2452" t="s">
        <v>8</v>
      </c>
      <c r="E2452" t="s">
        <v>14</v>
      </c>
      <c r="F2452" t="s">
        <v>15</v>
      </c>
      <c r="G2452" t="s">
        <v>17</v>
      </c>
    </row>
    <row r="2453" spans="1:7">
      <c r="A2453" s="1">
        <f>HYPERLINK("https://cms.ls-nyc.org/matter/dynamic-profile/view/1898037","19-1898037")</f>
        <v>0</v>
      </c>
      <c r="B2453" t="s">
        <v>8</v>
      </c>
      <c r="E2453" t="s">
        <v>14</v>
      </c>
      <c r="F2453" t="s">
        <v>15</v>
      </c>
      <c r="G2453" t="s">
        <v>17</v>
      </c>
    </row>
    <row r="2454" spans="1:7">
      <c r="A2454" s="1">
        <f>HYPERLINK("https://cms.ls-nyc.org/matter/dynamic-profile/view/1872604","18-1872604")</f>
        <v>0</v>
      </c>
      <c r="B2454" t="s">
        <v>9</v>
      </c>
      <c r="G2454" t="s">
        <v>16</v>
      </c>
    </row>
    <row r="2455" spans="1:7">
      <c r="A2455" s="1">
        <f>HYPERLINK("https://cms.ls-nyc.org/matter/dynamic-profile/view/1874396","18-1874396")</f>
        <v>0</v>
      </c>
      <c r="B2455" t="s">
        <v>11</v>
      </c>
      <c r="G2455" t="s">
        <v>16</v>
      </c>
    </row>
    <row r="2456" spans="1:7">
      <c r="A2456" s="1">
        <f>HYPERLINK("https://cms.ls-nyc.org/matter/dynamic-profile/view/1892667","19-1892667")</f>
        <v>0</v>
      </c>
      <c r="B2456" t="s">
        <v>8</v>
      </c>
      <c r="E2456" t="s">
        <v>14</v>
      </c>
      <c r="F2456" t="s">
        <v>15</v>
      </c>
      <c r="G2456" t="s">
        <v>17</v>
      </c>
    </row>
    <row r="2457" spans="1:7">
      <c r="A2457" s="1">
        <f>HYPERLINK("https://cms.ls-nyc.org/matter/dynamic-profile/view/1892672","19-1892672")</f>
        <v>0</v>
      </c>
      <c r="B2457" t="s">
        <v>8</v>
      </c>
      <c r="E2457" t="s">
        <v>14</v>
      </c>
      <c r="F2457" t="s">
        <v>15</v>
      </c>
      <c r="G2457" t="s">
        <v>17</v>
      </c>
    </row>
    <row r="2458" spans="1:7">
      <c r="A2458" s="1">
        <f>HYPERLINK("https://cms.ls-nyc.org/matter/dynamic-profile/view/1893228","19-1893228")</f>
        <v>0</v>
      </c>
      <c r="B2458" t="s">
        <v>11</v>
      </c>
      <c r="G2458" t="s">
        <v>16</v>
      </c>
    </row>
    <row r="2459" spans="1:7">
      <c r="A2459" s="1">
        <f>HYPERLINK("https://cms.ls-nyc.org/matter/dynamic-profile/view/1901019","19-1901019")</f>
        <v>0</v>
      </c>
      <c r="B2459" t="s">
        <v>11</v>
      </c>
      <c r="F2459" t="s">
        <v>15</v>
      </c>
      <c r="G2459" t="s">
        <v>17</v>
      </c>
    </row>
    <row r="2460" spans="1:7">
      <c r="A2460" s="1">
        <f>HYPERLINK("https://cms.ls-nyc.org/matter/dynamic-profile/view/1882161","18-1882161")</f>
        <v>0</v>
      </c>
      <c r="B2460" t="s">
        <v>8</v>
      </c>
      <c r="G2460" t="s">
        <v>16</v>
      </c>
    </row>
    <row r="2461" spans="1:7">
      <c r="A2461" s="1">
        <f>HYPERLINK("https://cms.ls-nyc.org/matter/dynamic-profile/view/1879590","18-1879590")</f>
        <v>0</v>
      </c>
      <c r="B2461" t="s">
        <v>8</v>
      </c>
      <c r="G2461" t="s">
        <v>16</v>
      </c>
    </row>
    <row r="2462" spans="1:7">
      <c r="A2462" s="1">
        <f>HYPERLINK("https://cms.ls-nyc.org/matter/dynamic-profile/view/1867470","18-1867470")</f>
        <v>0</v>
      </c>
      <c r="B2462" t="s">
        <v>8</v>
      </c>
      <c r="G2462" t="s">
        <v>16</v>
      </c>
    </row>
    <row r="2463" spans="1:7">
      <c r="A2463" s="1">
        <f>HYPERLINK("https://cms.ls-nyc.org/matter/dynamic-profile/view/1882564","18-1882564")</f>
        <v>0</v>
      </c>
      <c r="B2463" t="s">
        <v>11</v>
      </c>
      <c r="G2463" t="s">
        <v>16</v>
      </c>
    </row>
    <row r="2464" spans="1:7">
      <c r="A2464" s="1">
        <f>HYPERLINK("https://cms.ls-nyc.org/matter/dynamic-profile/view/1900955","19-1900955")</f>
        <v>0</v>
      </c>
      <c r="B2464" t="s">
        <v>11</v>
      </c>
      <c r="C2464" t="s">
        <v>12</v>
      </c>
      <c r="E2464" t="s">
        <v>14</v>
      </c>
      <c r="G2464" t="s">
        <v>17</v>
      </c>
    </row>
    <row r="2465" spans="1:7">
      <c r="A2465" s="1">
        <f>HYPERLINK("https://cms.ls-nyc.org/matter/dynamic-profile/view/1883176","18-1883176")</f>
        <v>0</v>
      </c>
      <c r="B2465" t="s">
        <v>8</v>
      </c>
      <c r="G2465" t="s">
        <v>16</v>
      </c>
    </row>
    <row r="2466" spans="1:7">
      <c r="A2466" s="1">
        <f>HYPERLINK("https://cms.ls-nyc.org/matter/dynamic-profile/view/1880681","18-1880681")</f>
        <v>0</v>
      </c>
      <c r="B2466" t="s">
        <v>11</v>
      </c>
      <c r="G2466" t="s">
        <v>16</v>
      </c>
    </row>
    <row r="2467" spans="1:7">
      <c r="A2467" s="1">
        <f>HYPERLINK("https://cms.ls-nyc.org/matter/dynamic-profile/view/1877960","18-1877960")</f>
        <v>0</v>
      </c>
      <c r="B2467" t="s">
        <v>11</v>
      </c>
      <c r="G2467" t="s">
        <v>16</v>
      </c>
    </row>
    <row r="2468" spans="1:7">
      <c r="A2468" s="1">
        <f>HYPERLINK("https://cms.ls-nyc.org/matter/dynamic-profile/view/1885589","18-1885589")</f>
        <v>0</v>
      </c>
      <c r="B2468" t="s">
        <v>9</v>
      </c>
      <c r="G2468" t="s">
        <v>16</v>
      </c>
    </row>
    <row r="2469" spans="1:7">
      <c r="A2469" s="1">
        <f>HYPERLINK("https://cms.ls-nyc.org/matter/dynamic-profile/view/1891698","19-1891698")</f>
        <v>0</v>
      </c>
      <c r="B2469" t="s">
        <v>9</v>
      </c>
      <c r="G2469" t="s">
        <v>16</v>
      </c>
    </row>
    <row r="2470" spans="1:7">
      <c r="A2470" s="1">
        <f>HYPERLINK("https://cms.ls-nyc.org/matter/dynamic-profile/view/1892005","19-1892005")</f>
        <v>0</v>
      </c>
      <c r="B2470" t="s">
        <v>11</v>
      </c>
      <c r="G2470" t="s">
        <v>16</v>
      </c>
    </row>
    <row r="2471" spans="1:7">
      <c r="A2471" s="1">
        <f>HYPERLINK("https://cms.ls-nyc.org/matter/dynamic-profile/view/1880776","18-1880776")</f>
        <v>0</v>
      </c>
      <c r="B2471" t="s">
        <v>9</v>
      </c>
      <c r="G2471" t="s">
        <v>16</v>
      </c>
    </row>
    <row r="2472" spans="1:7">
      <c r="A2472" s="1">
        <f>HYPERLINK("https://cms.ls-nyc.org/matter/dynamic-profile/view/1901181","19-1901181")</f>
        <v>0</v>
      </c>
      <c r="B2472" t="s">
        <v>11</v>
      </c>
      <c r="G2472" t="s">
        <v>16</v>
      </c>
    </row>
    <row r="2473" spans="1:7">
      <c r="A2473" s="1">
        <f>HYPERLINK("https://cms.ls-nyc.org/matter/dynamic-profile/view/1898805","19-1898805")</f>
        <v>0</v>
      </c>
      <c r="B2473" t="s">
        <v>11</v>
      </c>
      <c r="G2473" t="s">
        <v>16</v>
      </c>
    </row>
    <row r="2474" spans="1:7">
      <c r="A2474" s="1">
        <f>HYPERLINK("https://cms.ls-nyc.org/matter/dynamic-profile/view/1882142","18-1882142")</f>
        <v>0</v>
      </c>
      <c r="B2474" t="s">
        <v>7</v>
      </c>
      <c r="G2474" t="s">
        <v>16</v>
      </c>
    </row>
    <row r="2475" spans="1:7">
      <c r="A2475" s="1">
        <f>HYPERLINK("https://cms.ls-nyc.org/matter/dynamic-profile/view/1880693","18-1880693")</f>
        <v>0</v>
      </c>
      <c r="B2475" t="s">
        <v>8</v>
      </c>
      <c r="G2475" t="s">
        <v>16</v>
      </c>
    </row>
    <row r="2476" spans="1:7">
      <c r="A2476" s="1">
        <f>HYPERLINK("https://cms.ls-nyc.org/matter/dynamic-profile/view/1900631","19-1900631")</f>
        <v>0</v>
      </c>
      <c r="B2476" t="s">
        <v>8</v>
      </c>
      <c r="G2476" t="s">
        <v>16</v>
      </c>
    </row>
    <row r="2477" spans="1:7">
      <c r="A2477" s="1">
        <f>HYPERLINK("https://cms.ls-nyc.org/matter/dynamic-profile/view/1882164","18-1882164")</f>
        <v>0</v>
      </c>
      <c r="B2477" t="s">
        <v>8</v>
      </c>
      <c r="G2477" t="s">
        <v>16</v>
      </c>
    </row>
    <row r="2478" spans="1:7">
      <c r="A2478" s="1">
        <f>HYPERLINK("https://cms.ls-nyc.org/matter/dynamic-profile/view/1886128","18-1886128")</f>
        <v>0</v>
      </c>
      <c r="B2478" t="s">
        <v>9</v>
      </c>
      <c r="G2478" t="s">
        <v>16</v>
      </c>
    </row>
    <row r="2479" spans="1:7">
      <c r="A2479" s="1">
        <f>HYPERLINK("https://cms.ls-nyc.org/matter/dynamic-profile/view/1895465","19-1895465")</f>
        <v>0</v>
      </c>
      <c r="B2479" t="s">
        <v>8</v>
      </c>
      <c r="G2479" t="s">
        <v>16</v>
      </c>
    </row>
    <row r="2480" spans="1:7">
      <c r="A2480" s="1">
        <f>HYPERLINK("https://cms.ls-nyc.org/matter/dynamic-profile/view/1895474","19-1895474")</f>
        <v>0</v>
      </c>
      <c r="B2480" t="s">
        <v>8</v>
      </c>
      <c r="G2480" t="s">
        <v>16</v>
      </c>
    </row>
    <row r="2481" spans="1:7">
      <c r="A2481" s="1">
        <f>HYPERLINK("https://cms.ls-nyc.org/matter/dynamic-profile/view/1890441","19-1890441")</f>
        <v>0</v>
      </c>
      <c r="B2481" t="s">
        <v>9</v>
      </c>
      <c r="G2481" t="s">
        <v>16</v>
      </c>
    </row>
    <row r="2482" spans="1:7">
      <c r="A2482" s="1">
        <f>HYPERLINK("https://cms.ls-nyc.org/matter/dynamic-profile/view/1890433","19-1890433")</f>
        <v>0</v>
      </c>
      <c r="B2482" t="s">
        <v>9</v>
      </c>
      <c r="G2482" t="s">
        <v>16</v>
      </c>
    </row>
    <row r="2483" spans="1:7">
      <c r="A2483" s="1">
        <f>HYPERLINK("https://cms.ls-nyc.org/matter/dynamic-profile/view/1884286","18-1884286")</f>
        <v>0</v>
      </c>
      <c r="B2483" t="s">
        <v>9</v>
      </c>
      <c r="G2483" t="s">
        <v>16</v>
      </c>
    </row>
    <row r="2484" spans="1:7">
      <c r="A2484" s="1">
        <f>HYPERLINK("https://cms.ls-nyc.org/matter/dynamic-profile/view/1875857","18-1875857")</f>
        <v>0</v>
      </c>
      <c r="B2484" t="s">
        <v>11</v>
      </c>
      <c r="G2484" t="s">
        <v>16</v>
      </c>
    </row>
    <row r="2485" spans="1:7">
      <c r="A2485" s="1">
        <f>HYPERLINK("https://cms.ls-nyc.org/matter/dynamic-profile/view/1881268","18-1881268")</f>
        <v>0</v>
      </c>
      <c r="B2485" t="s">
        <v>11</v>
      </c>
      <c r="G2485" t="s">
        <v>16</v>
      </c>
    </row>
    <row r="2486" spans="1:7">
      <c r="A2486" s="1">
        <f>HYPERLINK("https://cms.ls-nyc.org/matter/dynamic-profile/view/1897061","19-1897061")</f>
        <v>0</v>
      </c>
      <c r="B2486" t="s">
        <v>11</v>
      </c>
      <c r="G2486" t="s">
        <v>16</v>
      </c>
    </row>
    <row r="2487" spans="1:7">
      <c r="A2487" s="1">
        <f>HYPERLINK("https://cms.ls-nyc.org/matter/dynamic-profile/view/1849721","17-1849721")</f>
        <v>0</v>
      </c>
      <c r="B2487" t="s">
        <v>11</v>
      </c>
      <c r="D2487" t="s">
        <v>13</v>
      </c>
      <c r="G2487" t="s">
        <v>17</v>
      </c>
    </row>
    <row r="2488" spans="1:7">
      <c r="A2488" s="1">
        <f>HYPERLINK("https://cms.ls-nyc.org/matter/dynamic-profile/view/1893957","19-1893957")</f>
        <v>0</v>
      </c>
      <c r="B2488" t="s">
        <v>9</v>
      </c>
      <c r="G2488" t="s">
        <v>16</v>
      </c>
    </row>
    <row r="2489" spans="1:7">
      <c r="A2489" s="1">
        <f>HYPERLINK("https://cms.ls-nyc.org/matter/dynamic-profile/view/1888399","19-1888399")</f>
        <v>0</v>
      </c>
      <c r="B2489" t="s">
        <v>11</v>
      </c>
      <c r="G2489" t="s">
        <v>16</v>
      </c>
    </row>
    <row r="2490" spans="1:7">
      <c r="A2490" s="1">
        <f>HYPERLINK("https://cms.ls-nyc.org/matter/dynamic-profile/view/1897124","19-1897124")</f>
        <v>0</v>
      </c>
      <c r="B2490" t="s">
        <v>7</v>
      </c>
      <c r="G2490" t="s">
        <v>16</v>
      </c>
    </row>
    <row r="2491" spans="1:7">
      <c r="A2491" s="1">
        <f>HYPERLINK("https://cms.ls-nyc.org/matter/dynamic-profile/view/1893945","19-1893945")</f>
        <v>0</v>
      </c>
      <c r="B2491" t="s">
        <v>7</v>
      </c>
      <c r="G2491" t="s">
        <v>16</v>
      </c>
    </row>
    <row r="2492" spans="1:7">
      <c r="A2492" s="1">
        <f>HYPERLINK("https://cms.ls-nyc.org/matter/dynamic-profile/view/1899661","19-1899661")</f>
        <v>0</v>
      </c>
      <c r="B2492" t="s">
        <v>8</v>
      </c>
      <c r="E2492" t="s">
        <v>14</v>
      </c>
      <c r="G2492" t="s">
        <v>17</v>
      </c>
    </row>
    <row r="2493" spans="1:7">
      <c r="A2493" s="1">
        <f>HYPERLINK("https://cms.ls-nyc.org/matter/dynamic-profile/view/1890547","19-1890547")</f>
        <v>0</v>
      </c>
      <c r="B2493" t="s">
        <v>9</v>
      </c>
      <c r="G2493" t="s">
        <v>16</v>
      </c>
    </row>
    <row r="2494" spans="1:7">
      <c r="A2494" s="1">
        <f>HYPERLINK("https://cms.ls-nyc.org/matter/dynamic-profile/view/1878313","18-1878313")</f>
        <v>0</v>
      </c>
      <c r="B2494" t="s">
        <v>11</v>
      </c>
      <c r="G2494" t="s">
        <v>16</v>
      </c>
    </row>
    <row r="2495" spans="1:7">
      <c r="A2495" s="1">
        <f>HYPERLINK("https://cms.ls-nyc.org/matter/dynamic-profile/view/1873754","18-1873754")</f>
        <v>0</v>
      </c>
      <c r="B2495" t="s">
        <v>9</v>
      </c>
      <c r="G2495" t="s">
        <v>16</v>
      </c>
    </row>
    <row r="2496" spans="1:7">
      <c r="A2496" s="1">
        <f>HYPERLINK("https://cms.ls-nyc.org/matter/dynamic-profile/view/1895315","19-1895315")</f>
        <v>0</v>
      </c>
      <c r="B2496" t="s">
        <v>8</v>
      </c>
      <c r="C2496" t="s">
        <v>12</v>
      </c>
      <c r="E2496" t="s">
        <v>14</v>
      </c>
      <c r="G2496" t="s">
        <v>17</v>
      </c>
    </row>
    <row r="2497" spans="1:7">
      <c r="A2497" s="1">
        <f>HYPERLINK("https://cms.ls-nyc.org/matter/dynamic-profile/view/1889954","19-1889954")</f>
        <v>0</v>
      </c>
      <c r="B2497" t="s">
        <v>9</v>
      </c>
      <c r="G2497" t="s">
        <v>16</v>
      </c>
    </row>
    <row r="2498" spans="1:7">
      <c r="A2498" s="1">
        <f>HYPERLINK("https://cms.ls-nyc.org/matter/dynamic-profile/view/1889980","19-1889980")</f>
        <v>0</v>
      </c>
      <c r="B2498" t="s">
        <v>9</v>
      </c>
      <c r="G2498" t="s">
        <v>16</v>
      </c>
    </row>
    <row r="2499" spans="1:7">
      <c r="A2499" s="1">
        <f>HYPERLINK("https://cms.ls-nyc.org/matter/dynamic-profile/view/1876963","18-1876963")</f>
        <v>0</v>
      </c>
      <c r="B2499" t="s">
        <v>10</v>
      </c>
      <c r="F2499" t="s">
        <v>15</v>
      </c>
      <c r="G2499" t="s">
        <v>17</v>
      </c>
    </row>
    <row r="2500" spans="1:7">
      <c r="A2500" s="1">
        <f>HYPERLINK("https://cms.ls-nyc.org/matter/dynamic-profile/view/1891601","19-1891601")</f>
        <v>0</v>
      </c>
      <c r="B2500" t="s">
        <v>11</v>
      </c>
      <c r="C2500" t="s">
        <v>12</v>
      </c>
      <c r="E2500" t="s">
        <v>14</v>
      </c>
      <c r="G2500" t="s">
        <v>17</v>
      </c>
    </row>
    <row r="2501" spans="1:7">
      <c r="A2501" s="1">
        <f>HYPERLINK("https://cms.ls-nyc.org/matter/dynamic-profile/view/1898973","19-1898973")</f>
        <v>0</v>
      </c>
      <c r="B2501" t="s">
        <v>11</v>
      </c>
      <c r="G2501" t="s">
        <v>16</v>
      </c>
    </row>
    <row r="2502" spans="1:7">
      <c r="A2502" s="1">
        <f>HYPERLINK("https://cms.ls-nyc.org/matter/dynamic-profile/view/1894678","19-1894678")</f>
        <v>0</v>
      </c>
      <c r="B2502" t="s">
        <v>11</v>
      </c>
      <c r="G2502" t="s">
        <v>16</v>
      </c>
    </row>
    <row r="2503" spans="1:7">
      <c r="A2503" s="1">
        <f>HYPERLINK("https://cms.ls-nyc.org/matter/dynamic-profile/view/1877487","18-1877487")</f>
        <v>0</v>
      </c>
      <c r="B2503" t="s">
        <v>8</v>
      </c>
      <c r="G2503" t="s">
        <v>16</v>
      </c>
    </row>
    <row r="2504" spans="1:7">
      <c r="A2504" s="1">
        <f>HYPERLINK("https://cms.ls-nyc.org/matter/dynamic-profile/view/1889830","19-1889830")</f>
        <v>0</v>
      </c>
      <c r="B2504" t="s">
        <v>9</v>
      </c>
      <c r="G2504" t="s">
        <v>16</v>
      </c>
    </row>
    <row r="2505" spans="1:7">
      <c r="A2505" s="1">
        <f>HYPERLINK("https://cms.ls-nyc.org/matter/dynamic-profile/view/1895560","19-1895560")</f>
        <v>0</v>
      </c>
      <c r="B2505" t="s">
        <v>10</v>
      </c>
      <c r="C2505" t="s">
        <v>12</v>
      </c>
      <c r="E2505" t="s">
        <v>14</v>
      </c>
      <c r="G2505" t="s">
        <v>17</v>
      </c>
    </row>
    <row r="2506" spans="1:7">
      <c r="A2506" s="1">
        <f>HYPERLINK("https://cms.ls-nyc.org/matter/dynamic-profile/view/1877180","18-1877180")</f>
        <v>0</v>
      </c>
      <c r="B2506" t="s">
        <v>8</v>
      </c>
      <c r="G2506" t="s">
        <v>16</v>
      </c>
    </row>
    <row r="2507" spans="1:7">
      <c r="A2507" s="1">
        <f>HYPERLINK("https://cms.ls-nyc.org/matter/dynamic-profile/view/1891717","19-1891717")</f>
        <v>0</v>
      </c>
      <c r="B2507" t="s">
        <v>8</v>
      </c>
      <c r="G2507" t="s">
        <v>16</v>
      </c>
    </row>
    <row r="2508" spans="1:7">
      <c r="A2508" s="1">
        <f>HYPERLINK("https://cms.ls-nyc.org/matter/dynamic-profile/view/1875602","18-1875602")</f>
        <v>0</v>
      </c>
      <c r="B2508" t="s">
        <v>7</v>
      </c>
      <c r="G2508" t="s">
        <v>16</v>
      </c>
    </row>
    <row r="2509" spans="1:7">
      <c r="A2509" s="1">
        <f>HYPERLINK("https://cms.ls-nyc.org/matter/dynamic-profile/view/1878187","18-1878187")</f>
        <v>0</v>
      </c>
      <c r="B2509" t="s">
        <v>7</v>
      </c>
      <c r="G2509" t="s">
        <v>16</v>
      </c>
    </row>
    <row r="2510" spans="1:7">
      <c r="A2510" s="1">
        <f>HYPERLINK("https://cms.ls-nyc.org/matter/dynamic-profile/view/1875562","18-1875562")</f>
        <v>0</v>
      </c>
      <c r="B2510" t="s">
        <v>9</v>
      </c>
      <c r="G2510" t="s">
        <v>16</v>
      </c>
    </row>
    <row r="2511" spans="1:7">
      <c r="A2511" s="1">
        <f>HYPERLINK("https://cms.ls-nyc.org/matter/dynamic-profile/view/1900641","19-1900641")</f>
        <v>0</v>
      </c>
      <c r="B2511" t="s">
        <v>8</v>
      </c>
      <c r="E2511" t="s">
        <v>14</v>
      </c>
      <c r="G2511" t="s">
        <v>17</v>
      </c>
    </row>
    <row r="2512" spans="1:7">
      <c r="A2512" s="1">
        <f>HYPERLINK("https://cms.ls-nyc.org/matter/dynamic-profile/view/1895303","19-1895303")</f>
        <v>0</v>
      </c>
      <c r="B2512" t="s">
        <v>8</v>
      </c>
      <c r="G2512" t="s">
        <v>16</v>
      </c>
    </row>
    <row r="2513" spans="1:7">
      <c r="A2513" s="1">
        <f>HYPERLINK("https://cms.ls-nyc.org/matter/dynamic-profile/view/1887469","19-1887469")</f>
        <v>0</v>
      </c>
      <c r="B2513" t="s">
        <v>10</v>
      </c>
      <c r="F2513" t="s">
        <v>15</v>
      </c>
      <c r="G2513" t="s">
        <v>17</v>
      </c>
    </row>
    <row r="2514" spans="1:7">
      <c r="A2514" s="1">
        <f>HYPERLINK("https://cms.ls-nyc.org/matter/dynamic-profile/view/1872538","18-1872538")</f>
        <v>0</v>
      </c>
      <c r="B2514" t="s">
        <v>7</v>
      </c>
      <c r="G2514" t="s">
        <v>16</v>
      </c>
    </row>
    <row r="2515" spans="1:7">
      <c r="A2515" s="1">
        <f>HYPERLINK("https://cms.ls-nyc.org/matter/dynamic-profile/view/1876715","18-1876715")</f>
        <v>0</v>
      </c>
      <c r="B2515" t="s">
        <v>9</v>
      </c>
      <c r="G2515" t="s">
        <v>16</v>
      </c>
    </row>
    <row r="2516" spans="1:7">
      <c r="A2516" s="1">
        <f>HYPERLINK("https://cms.ls-nyc.org/matter/dynamic-profile/view/1876718","18-1876718")</f>
        <v>0</v>
      </c>
      <c r="B2516" t="s">
        <v>9</v>
      </c>
      <c r="G2516" t="s">
        <v>16</v>
      </c>
    </row>
    <row r="2517" spans="1:7">
      <c r="A2517" s="1">
        <f>HYPERLINK("https://cms.ls-nyc.org/matter/dynamic-profile/view/1888896","19-1888896")</f>
        <v>0</v>
      </c>
      <c r="B2517" t="s">
        <v>9</v>
      </c>
      <c r="G2517" t="s">
        <v>16</v>
      </c>
    </row>
    <row r="2518" spans="1:7">
      <c r="A2518" s="1">
        <f>HYPERLINK("https://cms.ls-nyc.org/matter/dynamic-profile/view/1895413","19-1895413")</f>
        <v>0</v>
      </c>
      <c r="B2518" t="s">
        <v>9</v>
      </c>
      <c r="G2518" t="s">
        <v>16</v>
      </c>
    </row>
    <row r="2519" spans="1:7">
      <c r="A2519" s="1">
        <f>HYPERLINK("https://cms.ls-nyc.org/matter/dynamic-profile/view/1891835","19-1891835")</f>
        <v>0</v>
      </c>
      <c r="B2519" t="s">
        <v>9</v>
      </c>
      <c r="G2519" t="s">
        <v>16</v>
      </c>
    </row>
    <row r="2520" spans="1:7">
      <c r="A2520" s="1">
        <f>HYPERLINK("https://cms.ls-nyc.org/matter/dynamic-profile/view/1891826","19-1891826")</f>
        <v>0</v>
      </c>
      <c r="B2520" t="s">
        <v>9</v>
      </c>
      <c r="G2520" t="s">
        <v>16</v>
      </c>
    </row>
    <row r="2521" spans="1:7">
      <c r="A2521" s="1">
        <f>HYPERLINK("https://cms.ls-nyc.org/matter/dynamic-profile/view/1879323","18-1879323")</f>
        <v>0</v>
      </c>
      <c r="B2521" t="s">
        <v>7</v>
      </c>
      <c r="G2521" t="s">
        <v>16</v>
      </c>
    </row>
    <row r="2522" spans="1:7">
      <c r="A2522" s="1">
        <f>HYPERLINK("https://cms.ls-nyc.org/matter/dynamic-profile/view/1889616","19-1889616")</f>
        <v>0</v>
      </c>
      <c r="B2522" t="s">
        <v>8</v>
      </c>
      <c r="F2522" t="s">
        <v>15</v>
      </c>
      <c r="G2522" t="s">
        <v>17</v>
      </c>
    </row>
    <row r="2523" spans="1:7">
      <c r="A2523" s="1">
        <f>HYPERLINK("https://cms.ls-nyc.org/matter/dynamic-profile/view/1895693","19-1895693")</f>
        <v>0</v>
      </c>
      <c r="B2523" t="s">
        <v>8</v>
      </c>
      <c r="C2523" t="s">
        <v>12</v>
      </c>
      <c r="E2523" t="s">
        <v>14</v>
      </c>
      <c r="G2523" t="s">
        <v>17</v>
      </c>
    </row>
    <row r="2524" spans="1:7">
      <c r="A2524" s="1">
        <f>HYPERLINK("https://cms.ls-nyc.org/matter/dynamic-profile/view/1874880","18-1874880")</f>
        <v>0</v>
      </c>
      <c r="B2524" t="s">
        <v>8</v>
      </c>
      <c r="G2524" t="s">
        <v>16</v>
      </c>
    </row>
    <row r="2525" spans="1:7">
      <c r="A2525" s="1">
        <f>HYPERLINK("https://cms.ls-nyc.org/matter/dynamic-profile/view/1875210","18-1875210")</f>
        <v>0</v>
      </c>
      <c r="B2525" t="s">
        <v>8</v>
      </c>
      <c r="G2525" t="s">
        <v>16</v>
      </c>
    </row>
    <row r="2526" spans="1:7">
      <c r="A2526" s="1">
        <f>HYPERLINK("https://cms.ls-nyc.org/matter/dynamic-profile/view/1881758","18-1881758")</f>
        <v>0</v>
      </c>
      <c r="B2526" t="s">
        <v>8</v>
      </c>
      <c r="G2526" t="s">
        <v>16</v>
      </c>
    </row>
    <row r="2527" spans="1:7">
      <c r="A2527" s="1">
        <f>HYPERLINK("https://cms.ls-nyc.org/matter/dynamic-profile/view/1877561","18-1877561")</f>
        <v>0</v>
      </c>
      <c r="B2527" t="s">
        <v>7</v>
      </c>
      <c r="G2527" t="s">
        <v>16</v>
      </c>
    </row>
    <row r="2528" spans="1:7">
      <c r="A2528" s="1">
        <f>HYPERLINK("https://cms.ls-nyc.org/matter/dynamic-profile/view/1875983","18-1875983")</f>
        <v>0</v>
      </c>
      <c r="B2528" t="s">
        <v>9</v>
      </c>
      <c r="G2528" t="s">
        <v>16</v>
      </c>
    </row>
    <row r="2529" spans="1:7">
      <c r="A2529" s="1">
        <f>HYPERLINK("https://cms.ls-nyc.org/matter/dynamic-profile/view/1880618","18-1880618")</f>
        <v>0</v>
      </c>
      <c r="B2529" t="s">
        <v>9</v>
      </c>
      <c r="G2529" t="s">
        <v>16</v>
      </c>
    </row>
    <row r="2530" spans="1:7">
      <c r="A2530" s="1">
        <f>HYPERLINK("https://cms.ls-nyc.org/matter/dynamic-profile/view/1872290","18-1872290")</f>
        <v>0</v>
      </c>
      <c r="B2530" t="s">
        <v>9</v>
      </c>
      <c r="G2530" t="s">
        <v>16</v>
      </c>
    </row>
    <row r="2531" spans="1:7">
      <c r="A2531" s="1">
        <f>HYPERLINK("https://cms.ls-nyc.org/matter/dynamic-profile/view/1875679","18-1875679")</f>
        <v>0</v>
      </c>
      <c r="B2531" t="s">
        <v>9</v>
      </c>
      <c r="G2531" t="s">
        <v>16</v>
      </c>
    </row>
    <row r="2532" spans="1:7">
      <c r="A2532" s="1">
        <f>HYPERLINK("https://cms.ls-nyc.org/matter/dynamic-profile/view/1891317","19-1891317")</f>
        <v>0</v>
      </c>
      <c r="B2532" t="s">
        <v>9</v>
      </c>
      <c r="G2532" t="s">
        <v>16</v>
      </c>
    </row>
    <row r="2533" spans="1:7">
      <c r="A2533" s="1">
        <f>HYPERLINK("https://cms.ls-nyc.org/matter/dynamic-profile/view/1891311","19-1891311")</f>
        <v>0</v>
      </c>
      <c r="B2533" t="s">
        <v>9</v>
      </c>
      <c r="G2533" t="s">
        <v>16</v>
      </c>
    </row>
    <row r="2534" spans="1:7">
      <c r="A2534" s="1">
        <f>HYPERLINK("https://cms.ls-nyc.org/matter/dynamic-profile/view/1881667","18-1881667")</f>
        <v>0</v>
      </c>
      <c r="B2534" t="s">
        <v>8</v>
      </c>
      <c r="G2534" t="s">
        <v>16</v>
      </c>
    </row>
    <row r="2535" spans="1:7">
      <c r="A2535" s="1">
        <f>HYPERLINK("https://cms.ls-nyc.org/matter/dynamic-profile/view/1875483","18-1875483")</f>
        <v>0</v>
      </c>
      <c r="B2535" t="s">
        <v>8</v>
      </c>
      <c r="G2535" t="s">
        <v>16</v>
      </c>
    </row>
    <row r="2536" spans="1:7">
      <c r="A2536" s="1">
        <f>HYPERLINK("https://cms.ls-nyc.org/matter/dynamic-profile/view/1883696","18-1883696")</f>
        <v>0</v>
      </c>
      <c r="B2536" t="s">
        <v>8</v>
      </c>
      <c r="G2536" t="s">
        <v>16</v>
      </c>
    </row>
    <row r="2537" spans="1:7">
      <c r="A2537" s="1">
        <f>HYPERLINK("https://cms.ls-nyc.org/matter/dynamic-profile/view/1876143","18-1876143")</f>
        <v>0</v>
      </c>
      <c r="B2537" t="s">
        <v>10</v>
      </c>
      <c r="G2537" t="s">
        <v>16</v>
      </c>
    </row>
    <row r="2538" spans="1:7">
      <c r="A2538" s="1">
        <f>HYPERLINK("https://cms.ls-nyc.org/matter/dynamic-profile/view/1871517","18-1871517")</f>
        <v>0</v>
      </c>
      <c r="B2538" t="s">
        <v>7</v>
      </c>
      <c r="G2538" t="s">
        <v>16</v>
      </c>
    </row>
    <row r="2539" spans="1:7">
      <c r="A2539" s="1">
        <f>HYPERLINK("https://cms.ls-nyc.org/matter/dynamic-profile/view/1882383","18-1882383")</f>
        <v>0</v>
      </c>
      <c r="B2539" t="s">
        <v>8</v>
      </c>
      <c r="G2539" t="s">
        <v>16</v>
      </c>
    </row>
    <row r="2540" spans="1:7">
      <c r="A2540" s="1">
        <f>HYPERLINK("https://cms.ls-nyc.org/matter/dynamic-profile/view/1880273","18-1880273")</f>
        <v>0</v>
      </c>
      <c r="B2540" t="s">
        <v>9</v>
      </c>
      <c r="G2540" t="s">
        <v>16</v>
      </c>
    </row>
    <row r="2541" spans="1:7">
      <c r="A2541" s="1">
        <f>HYPERLINK("https://cms.ls-nyc.org/matter/dynamic-profile/view/1897518","19-1897518")</f>
        <v>0</v>
      </c>
      <c r="B2541" t="s">
        <v>8</v>
      </c>
      <c r="E2541" t="s">
        <v>14</v>
      </c>
      <c r="F2541" t="s">
        <v>15</v>
      </c>
      <c r="G2541" t="s">
        <v>17</v>
      </c>
    </row>
    <row r="2542" spans="1:7">
      <c r="A2542" s="1">
        <f>HYPERLINK("https://cms.ls-nyc.org/matter/dynamic-profile/view/1897521","19-1897521")</f>
        <v>0</v>
      </c>
      <c r="B2542" t="s">
        <v>8</v>
      </c>
      <c r="E2542" t="s">
        <v>14</v>
      </c>
      <c r="F2542" t="s">
        <v>15</v>
      </c>
      <c r="G2542" t="s">
        <v>17</v>
      </c>
    </row>
    <row r="2543" spans="1:7">
      <c r="A2543" s="1">
        <f>HYPERLINK("https://cms.ls-nyc.org/matter/dynamic-profile/view/1900677","19-1900677")</f>
        <v>0</v>
      </c>
      <c r="B2543" t="s">
        <v>8</v>
      </c>
      <c r="F2543" t="s">
        <v>15</v>
      </c>
      <c r="G2543" t="s">
        <v>17</v>
      </c>
    </row>
    <row r="2544" spans="1:7">
      <c r="A2544" s="1">
        <f>HYPERLINK("https://cms.ls-nyc.org/matter/dynamic-profile/view/1900983","19-1900983")</f>
        <v>0</v>
      </c>
      <c r="B2544" t="s">
        <v>11</v>
      </c>
      <c r="G2544" t="s">
        <v>16</v>
      </c>
    </row>
    <row r="2545" spans="1:7">
      <c r="A2545" s="1">
        <f>HYPERLINK("https://cms.ls-nyc.org/matter/dynamic-profile/view/1884541","18-1884541")</f>
        <v>0</v>
      </c>
      <c r="B2545" t="s">
        <v>9</v>
      </c>
      <c r="G2545" t="s">
        <v>16</v>
      </c>
    </row>
    <row r="2546" spans="1:7">
      <c r="A2546" s="1">
        <f>HYPERLINK("https://cms.ls-nyc.org/matter/dynamic-profile/view/1882916","18-1882916")</f>
        <v>0</v>
      </c>
      <c r="B2546" t="s">
        <v>8</v>
      </c>
      <c r="G2546" t="s">
        <v>16</v>
      </c>
    </row>
    <row r="2547" spans="1:7">
      <c r="A2547" s="1">
        <f>HYPERLINK("https://cms.ls-nyc.org/matter/dynamic-profile/view/1880089","18-1880089")</f>
        <v>0</v>
      </c>
      <c r="B2547" t="s">
        <v>7</v>
      </c>
      <c r="G2547" t="s">
        <v>16</v>
      </c>
    </row>
    <row r="2548" spans="1:7">
      <c r="A2548" s="1">
        <f>HYPERLINK("https://cms.ls-nyc.org/matter/dynamic-profile/view/1873362","18-1873362")</f>
        <v>0</v>
      </c>
      <c r="B2548" t="s">
        <v>7</v>
      </c>
      <c r="G2548" t="s">
        <v>16</v>
      </c>
    </row>
    <row r="2549" spans="1:7">
      <c r="A2549" s="1">
        <f>HYPERLINK("https://cms.ls-nyc.org/matter/dynamic-profile/view/1897091","19-1897091")</f>
        <v>0</v>
      </c>
      <c r="B2549" t="s">
        <v>7</v>
      </c>
      <c r="G2549" t="s">
        <v>16</v>
      </c>
    </row>
    <row r="2550" spans="1:7">
      <c r="A2550" s="1">
        <f>HYPERLINK("https://cms.ls-nyc.org/matter/dynamic-profile/view/1897102","19-1897102")</f>
        <v>0</v>
      </c>
      <c r="B2550" t="s">
        <v>7</v>
      </c>
      <c r="G2550" t="s">
        <v>16</v>
      </c>
    </row>
    <row r="2551" spans="1:7">
      <c r="A2551" s="1">
        <f>HYPERLINK("https://cms.ls-nyc.org/matter/dynamic-profile/view/1875209","18-1875209")</f>
        <v>0</v>
      </c>
      <c r="B2551" t="s">
        <v>8</v>
      </c>
      <c r="G2551" t="s">
        <v>16</v>
      </c>
    </row>
    <row r="2552" spans="1:7">
      <c r="A2552" s="1">
        <f>HYPERLINK("https://cms.ls-nyc.org/matter/dynamic-profile/view/1882511","18-1882511")</f>
        <v>0</v>
      </c>
      <c r="B2552" t="s">
        <v>8</v>
      </c>
      <c r="G2552" t="s">
        <v>16</v>
      </c>
    </row>
    <row r="2553" spans="1:7">
      <c r="A2553" s="1">
        <f>HYPERLINK("https://cms.ls-nyc.org/matter/dynamic-profile/view/1889610","19-1889610")</f>
        <v>0</v>
      </c>
      <c r="B2553" t="s">
        <v>9</v>
      </c>
      <c r="G2553" t="s">
        <v>16</v>
      </c>
    </row>
    <row r="2554" spans="1:7">
      <c r="A2554" s="1">
        <f>HYPERLINK("https://cms.ls-nyc.org/matter/dynamic-profile/view/1886734","18-1886734")</f>
        <v>0</v>
      </c>
      <c r="B2554" t="s">
        <v>8</v>
      </c>
      <c r="G2554" t="s">
        <v>16</v>
      </c>
    </row>
    <row r="2555" spans="1:7">
      <c r="A2555" s="1">
        <f>HYPERLINK("https://cms.ls-nyc.org/matter/dynamic-profile/view/1890827","19-1890827")</f>
        <v>0</v>
      </c>
      <c r="B2555" t="s">
        <v>11</v>
      </c>
      <c r="G2555" t="s">
        <v>16</v>
      </c>
    </row>
    <row r="2556" spans="1:7">
      <c r="A2556" s="1">
        <f>HYPERLINK("https://cms.ls-nyc.org/matter/dynamic-profile/view/1885027","18-1885027")</f>
        <v>0</v>
      </c>
      <c r="B2556" t="s">
        <v>8</v>
      </c>
      <c r="G2556" t="s">
        <v>16</v>
      </c>
    </row>
    <row r="2557" spans="1:7">
      <c r="A2557" s="1">
        <f>HYPERLINK("https://cms.ls-nyc.org/matter/dynamic-profile/view/1885020","18-1885020")</f>
        <v>0</v>
      </c>
      <c r="B2557" t="s">
        <v>8</v>
      </c>
      <c r="G2557" t="s">
        <v>16</v>
      </c>
    </row>
    <row r="2558" spans="1:7">
      <c r="A2558" s="1">
        <f>HYPERLINK("https://cms.ls-nyc.org/matter/dynamic-profile/view/1880278","18-1880278")</f>
        <v>0</v>
      </c>
      <c r="B2558" t="s">
        <v>8</v>
      </c>
      <c r="G2558" t="s">
        <v>16</v>
      </c>
    </row>
    <row r="2559" spans="1:7">
      <c r="A2559" s="1">
        <f>HYPERLINK("https://cms.ls-nyc.org/matter/dynamic-profile/view/1880598","18-1880598")</f>
        <v>0</v>
      </c>
      <c r="B2559" t="s">
        <v>7</v>
      </c>
      <c r="G2559" t="s">
        <v>16</v>
      </c>
    </row>
    <row r="2560" spans="1:7">
      <c r="A2560" s="1">
        <f>HYPERLINK("https://cms.ls-nyc.org/matter/dynamic-profile/view/1878588","18-1878588")</f>
        <v>0</v>
      </c>
      <c r="B2560" t="s">
        <v>7</v>
      </c>
      <c r="G2560" t="s">
        <v>16</v>
      </c>
    </row>
    <row r="2561" spans="1:7">
      <c r="A2561" s="1">
        <f>HYPERLINK("https://cms.ls-nyc.org/matter/dynamic-profile/view/1894821","19-1894821")</f>
        <v>0</v>
      </c>
      <c r="B2561" t="s">
        <v>8</v>
      </c>
      <c r="G2561" t="s">
        <v>16</v>
      </c>
    </row>
    <row r="2562" spans="1:7">
      <c r="A2562" s="1">
        <f>HYPERLINK("https://cms.ls-nyc.org/matter/dynamic-profile/view/1874517","18-1874517")</f>
        <v>0</v>
      </c>
      <c r="B2562" t="s">
        <v>8</v>
      </c>
      <c r="G2562" t="s">
        <v>16</v>
      </c>
    </row>
    <row r="2563" spans="1:7">
      <c r="A2563" s="1">
        <f>HYPERLINK("https://cms.ls-nyc.org/matter/dynamic-profile/view/1875683","18-1875683")</f>
        <v>0</v>
      </c>
      <c r="B2563" t="s">
        <v>8</v>
      </c>
      <c r="G2563" t="s">
        <v>16</v>
      </c>
    </row>
    <row r="2564" spans="1:7">
      <c r="A2564" s="1">
        <f>HYPERLINK("https://cms.ls-nyc.org/matter/dynamic-profile/view/1895278","19-1895278")</f>
        <v>0</v>
      </c>
      <c r="B2564" t="s">
        <v>7</v>
      </c>
      <c r="G2564" t="s">
        <v>16</v>
      </c>
    </row>
    <row r="2565" spans="1:7">
      <c r="A2565" s="1">
        <f>HYPERLINK("https://cms.ls-nyc.org/matter/dynamic-profile/view/1889370","19-1889370")</f>
        <v>0</v>
      </c>
      <c r="B2565" t="s">
        <v>11</v>
      </c>
      <c r="G2565" t="s">
        <v>16</v>
      </c>
    </row>
    <row r="2566" spans="1:7">
      <c r="A2566" s="1">
        <f>HYPERLINK("https://cms.ls-nyc.org/matter/dynamic-profile/view/1892128","19-1892128")</f>
        <v>0</v>
      </c>
      <c r="B2566" t="s">
        <v>9</v>
      </c>
      <c r="G2566" t="s">
        <v>16</v>
      </c>
    </row>
    <row r="2567" spans="1:7">
      <c r="A2567" s="1">
        <f>HYPERLINK("https://cms.ls-nyc.org/matter/dynamic-profile/view/1884698","18-1884698")</f>
        <v>0</v>
      </c>
      <c r="B2567" t="s">
        <v>7</v>
      </c>
      <c r="G2567" t="s">
        <v>16</v>
      </c>
    </row>
    <row r="2568" spans="1:7">
      <c r="A2568" s="1">
        <f>HYPERLINK("https://cms.ls-nyc.org/matter/dynamic-profile/view/1883353","18-1883353")</f>
        <v>0</v>
      </c>
      <c r="B2568" t="s">
        <v>8</v>
      </c>
      <c r="G2568" t="s">
        <v>16</v>
      </c>
    </row>
    <row r="2569" spans="1:7">
      <c r="A2569" s="1">
        <f>HYPERLINK("https://cms.ls-nyc.org/matter/dynamic-profile/view/1874486","18-1874486")</f>
        <v>0</v>
      </c>
      <c r="B2569" t="s">
        <v>8</v>
      </c>
      <c r="G2569" t="s">
        <v>16</v>
      </c>
    </row>
    <row r="2570" spans="1:7">
      <c r="A2570" s="1">
        <f>HYPERLINK("https://cms.ls-nyc.org/matter/dynamic-profile/view/1870199","18-1870199")</f>
        <v>0</v>
      </c>
      <c r="B2570" t="s">
        <v>8</v>
      </c>
      <c r="F2570" t="s">
        <v>15</v>
      </c>
      <c r="G2570" t="s">
        <v>17</v>
      </c>
    </row>
    <row r="2571" spans="1:7">
      <c r="A2571" s="1">
        <f>HYPERLINK("https://cms.ls-nyc.org/matter/dynamic-profile/view/1872357","18-1872357")</f>
        <v>0</v>
      </c>
      <c r="B2571" t="s">
        <v>11</v>
      </c>
      <c r="G2571" t="s">
        <v>16</v>
      </c>
    </row>
    <row r="2572" spans="1:7">
      <c r="A2572" s="1">
        <f>HYPERLINK("https://cms.ls-nyc.org/matter/dynamic-profile/view/1890579","19-1890579")</f>
        <v>0</v>
      </c>
      <c r="B2572" t="s">
        <v>8</v>
      </c>
      <c r="E2572" t="s">
        <v>14</v>
      </c>
      <c r="F2572" t="s">
        <v>15</v>
      </c>
      <c r="G2572" t="s">
        <v>17</v>
      </c>
    </row>
    <row r="2573" spans="1:7">
      <c r="A2573" s="1">
        <f>HYPERLINK("https://cms.ls-nyc.org/matter/dynamic-profile/view/1891872","19-1891872")</f>
        <v>0</v>
      </c>
      <c r="B2573" t="s">
        <v>8</v>
      </c>
      <c r="E2573" t="s">
        <v>14</v>
      </c>
      <c r="F2573" t="s">
        <v>15</v>
      </c>
      <c r="G2573" t="s">
        <v>17</v>
      </c>
    </row>
    <row r="2574" spans="1:7">
      <c r="A2574" s="1">
        <f>HYPERLINK("https://cms.ls-nyc.org/matter/dynamic-profile/view/1900617","19-1900617")</f>
        <v>0</v>
      </c>
      <c r="B2574" t="s">
        <v>8</v>
      </c>
      <c r="E2574" t="s">
        <v>14</v>
      </c>
      <c r="G2574" t="s">
        <v>17</v>
      </c>
    </row>
    <row r="2575" spans="1:7">
      <c r="A2575" s="1">
        <f>HYPERLINK("https://cms.ls-nyc.org/matter/dynamic-profile/view/1866708","18-1866708")</f>
        <v>0</v>
      </c>
      <c r="B2575" t="s">
        <v>8</v>
      </c>
      <c r="G2575" t="s">
        <v>16</v>
      </c>
    </row>
    <row r="2576" spans="1:7">
      <c r="A2576" s="1">
        <f>HYPERLINK("https://cms.ls-nyc.org/matter/dynamic-profile/view/1875272","18-1875272")</f>
        <v>0</v>
      </c>
      <c r="B2576" t="s">
        <v>8</v>
      </c>
      <c r="G2576" t="s">
        <v>16</v>
      </c>
    </row>
    <row r="2577" spans="1:7">
      <c r="A2577" s="1">
        <f>HYPERLINK("https://cms.ls-nyc.org/matter/dynamic-profile/view/1881597","18-1881597")</f>
        <v>0</v>
      </c>
      <c r="B2577" t="s">
        <v>10</v>
      </c>
      <c r="G2577" t="s">
        <v>16</v>
      </c>
    </row>
    <row r="2578" spans="1:7">
      <c r="A2578" s="1">
        <f>HYPERLINK("https://cms.ls-nyc.org/matter/dynamic-profile/view/1890540","19-1890540")</f>
        <v>0</v>
      </c>
      <c r="B2578" t="s">
        <v>8</v>
      </c>
      <c r="E2578" t="s">
        <v>14</v>
      </c>
      <c r="F2578" t="s">
        <v>15</v>
      </c>
      <c r="G2578" t="s">
        <v>17</v>
      </c>
    </row>
    <row r="2579" spans="1:7">
      <c r="A2579" s="1">
        <f>HYPERLINK("https://cms.ls-nyc.org/matter/dynamic-profile/view/1891859","19-1891859")</f>
        <v>0</v>
      </c>
      <c r="B2579" t="s">
        <v>8</v>
      </c>
      <c r="E2579" t="s">
        <v>14</v>
      </c>
      <c r="F2579" t="s">
        <v>15</v>
      </c>
      <c r="G2579" t="s">
        <v>17</v>
      </c>
    </row>
    <row r="2580" spans="1:7">
      <c r="A2580" s="1">
        <f>HYPERLINK("https://cms.ls-nyc.org/matter/dynamic-profile/view/1884601","18-1884601")</f>
        <v>0</v>
      </c>
      <c r="B2580" t="s">
        <v>9</v>
      </c>
      <c r="G2580" t="s">
        <v>16</v>
      </c>
    </row>
    <row r="2581" spans="1:7">
      <c r="A2581" s="1">
        <f>HYPERLINK("https://cms.ls-nyc.org/matter/dynamic-profile/view/1871581","18-1871581")</f>
        <v>0</v>
      </c>
      <c r="B2581" t="s">
        <v>9</v>
      </c>
      <c r="G2581" t="s">
        <v>16</v>
      </c>
    </row>
    <row r="2582" spans="1:7">
      <c r="A2582" s="1">
        <f>HYPERLINK("https://cms.ls-nyc.org/matter/dynamic-profile/view/1890374","19-1890374")</f>
        <v>0</v>
      </c>
      <c r="B2582" t="s">
        <v>8</v>
      </c>
      <c r="G2582" t="s">
        <v>16</v>
      </c>
    </row>
    <row r="2583" spans="1:7">
      <c r="A2583" s="1">
        <f>HYPERLINK("https://cms.ls-nyc.org/matter/dynamic-profile/view/1899088","19-1899088")</f>
        <v>0</v>
      </c>
      <c r="B2583" t="s">
        <v>11</v>
      </c>
      <c r="G2583" t="s">
        <v>16</v>
      </c>
    </row>
    <row r="2584" spans="1:7">
      <c r="A2584" s="1">
        <f>HYPERLINK("https://cms.ls-nyc.org/matter/dynamic-profile/view/1880272","18-1880272")</f>
        <v>0</v>
      </c>
      <c r="B2584" t="s">
        <v>8</v>
      </c>
      <c r="F2584" t="s">
        <v>15</v>
      </c>
      <c r="G2584" t="s">
        <v>17</v>
      </c>
    </row>
    <row r="2585" spans="1:7">
      <c r="A2585" s="1">
        <f>HYPERLINK("https://cms.ls-nyc.org/matter/dynamic-profile/view/1886018","18-1886018")</f>
        <v>0</v>
      </c>
      <c r="B2585" t="s">
        <v>11</v>
      </c>
      <c r="E2585" t="s">
        <v>14</v>
      </c>
      <c r="G2585" t="s">
        <v>17</v>
      </c>
    </row>
    <row r="2586" spans="1:7">
      <c r="A2586" s="1">
        <f>HYPERLINK("https://cms.ls-nyc.org/matter/dynamic-profile/view/1892757","19-1892757")</f>
        <v>0</v>
      </c>
      <c r="B2586" t="s">
        <v>7</v>
      </c>
      <c r="G2586" t="s">
        <v>16</v>
      </c>
    </row>
    <row r="2587" spans="1:7">
      <c r="A2587" s="1">
        <f>HYPERLINK("https://cms.ls-nyc.org/matter/dynamic-profile/view/1899992","19-1899992")</f>
        <v>0</v>
      </c>
      <c r="B2587" t="s">
        <v>7</v>
      </c>
      <c r="G2587" t="s">
        <v>16</v>
      </c>
    </row>
    <row r="2588" spans="1:7">
      <c r="A2588" s="1">
        <f>HYPERLINK("https://cms.ls-nyc.org/matter/dynamic-profile/view/1891635","19-1891635")</f>
        <v>0</v>
      </c>
      <c r="B2588" t="s">
        <v>8</v>
      </c>
      <c r="E2588" t="s">
        <v>14</v>
      </c>
      <c r="F2588" t="s">
        <v>15</v>
      </c>
      <c r="G2588" t="s">
        <v>17</v>
      </c>
    </row>
    <row r="2589" spans="1:7">
      <c r="A2589" s="1">
        <f>HYPERLINK("https://cms.ls-nyc.org/matter/dynamic-profile/view/1891660","19-1891660")</f>
        <v>0</v>
      </c>
      <c r="B2589" t="s">
        <v>8</v>
      </c>
      <c r="E2589" t="s">
        <v>14</v>
      </c>
      <c r="F2589" t="s">
        <v>15</v>
      </c>
      <c r="G2589" t="s">
        <v>17</v>
      </c>
    </row>
    <row r="2590" spans="1:7">
      <c r="A2590" s="1">
        <f>HYPERLINK("https://cms.ls-nyc.org/matter/dynamic-profile/view/1878945","18-1878945")</f>
        <v>0</v>
      </c>
      <c r="B2590" t="s">
        <v>11</v>
      </c>
      <c r="G2590" t="s">
        <v>16</v>
      </c>
    </row>
    <row r="2591" spans="1:7">
      <c r="A2591" s="1">
        <f>HYPERLINK("https://cms.ls-nyc.org/matter/dynamic-profile/view/1901185","19-1901185")</f>
        <v>0</v>
      </c>
      <c r="B2591" t="s">
        <v>11</v>
      </c>
      <c r="C2591" t="s">
        <v>12</v>
      </c>
      <c r="G2591" t="s">
        <v>17</v>
      </c>
    </row>
    <row r="2592" spans="1:7">
      <c r="A2592" s="1">
        <f>HYPERLINK("https://cms.ls-nyc.org/matter/dynamic-profile/view/1882937","18-1882937")</f>
        <v>0</v>
      </c>
      <c r="B2592" t="s">
        <v>9</v>
      </c>
      <c r="F2592" t="s">
        <v>15</v>
      </c>
      <c r="G2592" t="s">
        <v>17</v>
      </c>
    </row>
    <row r="2593" spans="1:7">
      <c r="A2593" s="1">
        <f>HYPERLINK("https://cms.ls-nyc.org/matter/dynamic-profile/view/1887522","19-1887522")</f>
        <v>0</v>
      </c>
      <c r="B2593" t="s">
        <v>9</v>
      </c>
      <c r="G2593" t="s">
        <v>16</v>
      </c>
    </row>
    <row r="2594" spans="1:7">
      <c r="A2594" s="1">
        <f>HYPERLINK("https://cms.ls-nyc.org/matter/dynamic-profile/view/1894414","19-1894414")</f>
        <v>0</v>
      </c>
      <c r="B2594" t="s">
        <v>9</v>
      </c>
      <c r="G2594" t="s">
        <v>16</v>
      </c>
    </row>
    <row r="2595" spans="1:7">
      <c r="A2595" s="1">
        <f>HYPERLINK("https://cms.ls-nyc.org/matter/dynamic-profile/view/1889409","19-1889409")</f>
        <v>0</v>
      </c>
      <c r="B2595" t="s">
        <v>10</v>
      </c>
      <c r="G2595" t="s">
        <v>16</v>
      </c>
    </row>
    <row r="2596" spans="1:7">
      <c r="A2596" s="1">
        <f>HYPERLINK("https://cms.ls-nyc.org/matter/dynamic-profile/view/1885560","18-1885560")</f>
        <v>0</v>
      </c>
      <c r="B2596" t="s">
        <v>11</v>
      </c>
      <c r="G2596" t="s">
        <v>16</v>
      </c>
    </row>
    <row r="2597" spans="1:7">
      <c r="A2597" s="1">
        <f>HYPERLINK("https://cms.ls-nyc.org/matter/dynamic-profile/view/1878486","18-1878486")</f>
        <v>0</v>
      </c>
      <c r="B2597" t="s">
        <v>8</v>
      </c>
      <c r="G2597" t="s">
        <v>16</v>
      </c>
    </row>
    <row r="2598" spans="1:7">
      <c r="A2598" s="1">
        <f>HYPERLINK("https://cms.ls-nyc.org/matter/dynamic-profile/view/1888629","19-1888629")</f>
        <v>0</v>
      </c>
      <c r="B2598" t="s">
        <v>8</v>
      </c>
      <c r="G2598" t="s">
        <v>16</v>
      </c>
    </row>
    <row r="2599" spans="1:7">
      <c r="A2599" s="1">
        <f>HYPERLINK("https://cms.ls-nyc.org/matter/dynamic-profile/view/1888601","19-1888601")</f>
        <v>0</v>
      </c>
      <c r="B2599" t="s">
        <v>8</v>
      </c>
      <c r="G2599" t="s">
        <v>16</v>
      </c>
    </row>
    <row r="2600" spans="1:7">
      <c r="A2600" s="1">
        <f>HYPERLINK("https://cms.ls-nyc.org/matter/dynamic-profile/view/1891324","19-1891324")</f>
        <v>0</v>
      </c>
      <c r="B2600" t="s">
        <v>9</v>
      </c>
      <c r="F2600" t="s">
        <v>15</v>
      </c>
      <c r="G2600" t="s">
        <v>17</v>
      </c>
    </row>
    <row r="2601" spans="1:7">
      <c r="A2601" s="1">
        <f>HYPERLINK("https://cms.ls-nyc.org/matter/dynamic-profile/view/1891319","19-1891319")</f>
        <v>0</v>
      </c>
      <c r="B2601" t="s">
        <v>9</v>
      </c>
      <c r="F2601" t="s">
        <v>15</v>
      </c>
      <c r="G2601" t="s">
        <v>17</v>
      </c>
    </row>
    <row r="2602" spans="1:7">
      <c r="A2602" s="1">
        <f>HYPERLINK("https://cms.ls-nyc.org/matter/dynamic-profile/view/1880163","18-1880163")</f>
        <v>0</v>
      </c>
      <c r="B2602" t="s">
        <v>8</v>
      </c>
      <c r="G2602" t="s">
        <v>16</v>
      </c>
    </row>
    <row r="2603" spans="1:7">
      <c r="A2603" s="1">
        <f>HYPERLINK("https://cms.ls-nyc.org/matter/dynamic-profile/view/1877261","18-1877261")</f>
        <v>0</v>
      </c>
      <c r="B2603" t="s">
        <v>8</v>
      </c>
      <c r="G2603" t="s">
        <v>16</v>
      </c>
    </row>
    <row r="2604" spans="1:7">
      <c r="A2604" s="1">
        <f>HYPERLINK("https://cms.ls-nyc.org/matter/dynamic-profile/view/1874115","18-1874115")</f>
        <v>0</v>
      </c>
      <c r="B2604" t="s">
        <v>11</v>
      </c>
      <c r="G2604" t="s">
        <v>16</v>
      </c>
    </row>
    <row r="2605" spans="1:7">
      <c r="A2605" s="1">
        <f>HYPERLINK("https://cms.ls-nyc.org/matter/dynamic-profile/view/1897394","19-1897394")</f>
        <v>0</v>
      </c>
      <c r="B2605" t="s">
        <v>7</v>
      </c>
      <c r="F2605" t="s">
        <v>15</v>
      </c>
      <c r="G2605" t="s">
        <v>17</v>
      </c>
    </row>
    <row r="2606" spans="1:7">
      <c r="A2606" s="1">
        <f>HYPERLINK("https://cms.ls-nyc.org/matter/dynamic-profile/view/1881264","18-1881264")</f>
        <v>0</v>
      </c>
      <c r="B2606" t="s">
        <v>11</v>
      </c>
      <c r="G2606" t="s">
        <v>16</v>
      </c>
    </row>
    <row r="2607" spans="1:7">
      <c r="A2607" s="1">
        <f>HYPERLINK("https://cms.ls-nyc.org/matter/dynamic-profile/view/1880686","18-1880686")</f>
        <v>0</v>
      </c>
      <c r="B2607" t="s">
        <v>8</v>
      </c>
      <c r="G2607" t="s">
        <v>16</v>
      </c>
    </row>
    <row r="2608" spans="1:7">
      <c r="A2608" s="1">
        <f>HYPERLINK("https://cms.ls-nyc.org/matter/dynamic-profile/view/1886037","18-1886037")</f>
        <v>0</v>
      </c>
      <c r="B2608" t="s">
        <v>9</v>
      </c>
      <c r="G2608" t="s">
        <v>16</v>
      </c>
    </row>
    <row r="2609" spans="1:7">
      <c r="A2609" s="1">
        <f>HYPERLINK("https://cms.ls-nyc.org/matter/dynamic-profile/view/1879126","18-1879126")</f>
        <v>0</v>
      </c>
      <c r="B2609" t="s">
        <v>9</v>
      </c>
      <c r="G2609" t="s">
        <v>16</v>
      </c>
    </row>
    <row r="2610" spans="1:7">
      <c r="A2610" s="1">
        <f>HYPERLINK("https://cms.ls-nyc.org/matter/dynamic-profile/view/1874885","18-1874885")</f>
        <v>0</v>
      </c>
      <c r="B2610" t="s">
        <v>7</v>
      </c>
      <c r="G2610" t="s">
        <v>16</v>
      </c>
    </row>
    <row r="2611" spans="1:7">
      <c r="A2611" s="1">
        <f>HYPERLINK("https://cms.ls-nyc.org/matter/dynamic-profile/view/1871201","18-1871201")</f>
        <v>0</v>
      </c>
      <c r="B2611" t="s">
        <v>8</v>
      </c>
      <c r="D2611" t="s">
        <v>13</v>
      </c>
      <c r="E2611" t="s">
        <v>14</v>
      </c>
      <c r="G2611" t="s">
        <v>17</v>
      </c>
    </row>
    <row r="2612" spans="1:7">
      <c r="A2612" s="1">
        <f>HYPERLINK("https://cms.ls-nyc.org/matter/dynamic-profile/view/1873418","18-1873418")</f>
        <v>0</v>
      </c>
      <c r="B2612" t="s">
        <v>8</v>
      </c>
      <c r="G2612" t="s">
        <v>16</v>
      </c>
    </row>
    <row r="2613" spans="1:7">
      <c r="A2613" s="1">
        <f>HYPERLINK("https://cms.ls-nyc.org/matter/dynamic-profile/view/1871016","18-1871016")</f>
        <v>0</v>
      </c>
      <c r="B2613" t="s">
        <v>9</v>
      </c>
      <c r="E2613" t="s">
        <v>14</v>
      </c>
      <c r="G2613" t="s">
        <v>17</v>
      </c>
    </row>
    <row r="2614" spans="1:7">
      <c r="A2614" s="1">
        <f>HYPERLINK("https://cms.ls-nyc.org/matter/dynamic-profile/view/1874072","18-1874072")</f>
        <v>0</v>
      </c>
      <c r="B2614" t="s">
        <v>11</v>
      </c>
      <c r="G2614" t="s">
        <v>16</v>
      </c>
    </row>
    <row r="2615" spans="1:7">
      <c r="A2615" s="1">
        <f>HYPERLINK("https://cms.ls-nyc.org/matter/dynamic-profile/view/1885156","18-1885156")</f>
        <v>0</v>
      </c>
      <c r="B2615" t="s">
        <v>11</v>
      </c>
      <c r="G2615" t="s">
        <v>16</v>
      </c>
    </row>
    <row r="2616" spans="1:7">
      <c r="A2616" s="1">
        <f>HYPERLINK("https://cms.ls-nyc.org/matter/dynamic-profile/view/1872923","18-1872923")</f>
        <v>0</v>
      </c>
      <c r="B2616" t="s">
        <v>11</v>
      </c>
      <c r="E2616" t="s">
        <v>14</v>
      </c>
      <c r="G2616" t="s">
        <v>17</v>
      </c>
    </row>
    <row r="2617" spans="1:7">
      <c r="A2617" s="1">
        <f>HYPERLINK("https://cms.ls-nyc.org/matter/dynamic-profile/view/1900672","19-1900672")</f>
        <v>0</v>
      </c>
      <c r="B2617" t="s">
        <v>8</v>
      </c>
      <c r="G2617" t="s">
        <v>16</v>
      </c>
    </row>
    <row r="2618" spans="1:7">
      <c r="A2618" s="1">
        <f>HYPERLINK("https://cms.ls-nyc.org/matter/dynamic-profile/view/1892748","19-1892748")</f>
        <v>0</v>
      </c>
      <c r="B2618" t="s">
        <v>9</v>
      </c>
      <c r="G2618" t="s">
        <v>16</v>
      </c>
    </row>
    <row r="2619" spans="1:7">
      <c r="A2619" s="1">
        <f>HYPERLINK("https://cms.ls-nyc.org/matter/dynamic-profile/view/1881696","18-1881696")</f>
        <v>0</v>
      </c>
      <c r="B2619" t="s">
        <v>8</v>
      </c>
      <c r="G2619" t="s">
        <v>16</v>
      </c>
    </row>
    <row r="2620" spans="1:7">
      <c r="A2620" s="1">
        <f>HYPERLINK("https://cms.ls-nyc.org/matter/dynamic-profile/view/1879223","18-1879223")</f>
        <v>0</v>
      </c>
      <c r="B2620" t="s">
        <v>8</v>
      </c>
      <c r="G2620" t="s">
        <v>16</v>
      </c>
    </row>
    <row r="2621" spans="1:7">
      <c r="A2621" s="1">
        <f>HYPERLINK("https://cms.ls-nyc.org/matter/dynamic-profile/view/1875551","18-1875551")</f>
        <v>0</v>
      </c>
      <c r="B2621" t="s">
        <v>9</v>
      </c>
      <c r="G2621" t="s">
        <v>16</v>
      </c>
    </row>
    <row r="2622" spans="1:7">
      <c r="A2622" s="1">
        <f>HYPERLINK("https://cms.ls-nyc.org/matter/dynamic-profile/view/1890003","19-1890003")</f>
        <v>0</v>
      </c>
      <c r="B2622" t="s">
        <v>11</v>
      </c>
      <c r="G2622" t="s">
        <v>16</v>
      </c>
    </row>
    <row r="2623" spans="1:7">
      <c r="A2623" s="1">
        <f>HYPERLINK("https://cms.ls-nyc.org/matter/dynamic-profile/view/1897727","19-1897727")</f>
        <v>0</v>
      </c>
      <c r="B2623" t="s">
        <v>11</v>
      </c>
      <c r="G2623" t="s">
        <v>16</v>
      </c>
    </row>
    <row r="2624" spans="1:7">
      <c r="A2624" s="1">
        <f>HYPERLINK("https://cms.ls-nyc.org/matter/dynamic-profile/view/1882669","18-1882669")</f>
        <v>0</v>
      </c>
      <c r="B2624" t="s">
        <v>7</v>
      </c>
      <c r="G2624" t="s">
        <v>16</v>
      </c>
    </row>
    <row r="2625" spans="1:7">
      <c r="A2625" s="1">
        <f>HYPERLINK("https://cms.ls-nyc.org/matter/dynamic-profile/view/1879813","18-1879813")</f>
        <v>0</v>
      </c>
      <c r="B2625" t="s">
        <v>8</v>
      </c>
      <c r="G2625" t="s">
        <v>16</v>
      </c>
    </row>
    <row r="2626" spans="1:7">
      <c r="A2626" s="1">
        <f>HYPERLINK("https://cms.ls-nyc.org/matter/dynamic-profile/view/1879828","18-1879828")</f>
        <v>0</v>
      </c>
      <c r="B2626" t="s">
        <v>8</v>
      </c>
      <c r="G2626" t="s">
        <v>16</v>
      </c>
    </row>
    <row r="2627" spans="1:7">
      <c r="A2627" s="1">
        <f>HYPERLINK("https://cms.ls-nyc.org/matter/dynamic-profile/view/1888152","19-1888152")</f>
        <v>0</v>
      </c>
      <c r="B2627" t="s">
        <v>11</v>
      </c>
      <c r="F2627" t="s">
        <v>15</v>
      </c>
      <c r="G2627" t="s">
        <v>17</v>
      </c>
    </row>
    <row r="2628" spans="1:7">
      <c r="A2628" s="1">
        <f>HYPERLINK("https://cms.ls-nyc.org/matter/dynamic-profile/view/1874218","18-1874218")</f>
        <v>0</v>
      </c>
      <c r="B2628" t="s">
        <v>8</v>
      </c>
      <c r="G2628" t="s">
        <v>16</v>
      </c>
    </row>
    <row r="2629" spans="1:7">
      <c r="A2629" s="1">
        <f>HYPERLINK("https://cms.ls-nyc.org/matter/dynamic-profile/view/1866186","18-1866186")</f>
        <v>0</v>
      </c>
      <c r="B2629" t="s">
        <v>8</v>
      </c>
      <c r="D2629" t="s">
        <v>13</v>
      </c>
      <c r="G2629" t="s">
        <v>17</v>
      </c>
    </row>
    <row r="2630" spans="1:7">
      <c r="A2630" s="1">
        <f>HYPERLINK("https://cms.ls-nyc.org/matter/dynamic-profile/view/1874407","18-1874407")</f>
        <v>0</v>
      </c>
      <c r="B2630" t="s">
        <v>11</v>
      </c>
      <c r="G2630" t="s">
        <v>16</v>
      </c>
    </row>
    <row r="2631" spans="1:7">
      <c r="A2631" s="1">
        <f>HYPERLINK("https://cms.ls-nyc.org/matter/dynamic-profile/view/1898372","19-1898372")</f>
        <v>0</v>
      </c>
      <c r="B2631" t="s">
        <v>7</v>
      </c>
      <c r="G2631" t="s">
        <v>16</v>
      </c>
    </row>
    <row r="2632" spans="1:7">
      <c r="A2632" s="1">
        <f>HYPERLINK("https://cms.ls-nyc.org/matter/dynamic-profile/view/1880073","18-1880073")</f>
        <v>0</v>
      </c>
      <c r="B2632" t="s">
        <v>7</v>
      </c>
      <c r="G2632" t="s">
        <v>16</v>
      </c>
    </row>
    <row r="2633" spans="1:7">
      <c r="A2633" s="1">
        <f>HYPERLINK("https://cms.ls-nyc.org/matter/dynamic-profile/view/1899896","19-1899896")</f>
        <v>0</v>
      </c>
      <c r="B2633" t="s">
        <v>8</v>
      </c>
      <c r="G2633" t="s">
        <v>16</v>
      </c>
    </row>
    <row r="2634" spans="1:7">
      <c r="A2634" s="1">
        <f>HYPERLINK("https://cms.ls-nyc.org/matter/dynamic-profile/view/1894638","19-1894638")</f>
        <v>0</v>
      </c>
      <c r="B2634" t="s">
        <v>8</v>
      </c>
      <c r="F2634" t="s">
        <v>15</v>
      </c>
      <c r="G2634" t="s">
        <v>17</v>
      </c>
    </row>
    <row r="2635" spans="1:7">
      <c r="A2635" s="1">
        <f>HYPERLINK("https://cms.ls-nyc.org/matter/dynamic-profile/view/1894656","19-1894656")</f>
        <v>0</v>
      </c>
      <c r="B2635" t="s">
        <v>8</v>
      </c>
      <c r="F2635" t="s">
        <v>15</v>
      </c>
      <c r="G2635" t="s">
        <v>17</v>
      </c>
    </row>
    <row r="2636" spans="1:7">
      <c r="A2636" s="1">
        <f>HYPERLINK("https://cms.ls-nyc.org/matter/dynamic-profile/view/1895658","19-1895658")</f>
        <v>0</v>
      </c>
      <c r="B2636" t="s">
        <v>8</v>
      </c>
      <c r="F2636" t="s">
        <v>15</v>
      </c>
      <c r="G2636" t="s">
        <v>17</v>
      </c>
    </row>
    <row r="2637" spans="1:7">
      <c r="A2637" s="1">
        <f>HYPERLINK("https://cms.ls-nyc.org/matter/dynamic-profile/view/1892034","19-1892034")</f>
        <v>0</v>
      </c>
      <c r="B2637" t="s">
        <v>8</v>
      </c>
      <c r="G2637" t="s">
        <v>16</v>
      </c>
    </row>
    <row r="2638" spans="1:7">
      <c r="A2638" s="1">
        <f>HYPERLINK("https://cms.ls-nyc.org/matter/dynamic-profile/view/1891952","19-1891952")</f>
        <v>0</v>
      </c>
      <c r="B2638" t="s">
        <v>7</v>
      </c>
      <c r="G2638" t="s">
        <v>16</v>
      </c>
    </row>
    <row r="2639" spans="1:7">
      <c r="A2639" s="1">
        <f>HYPERLINK("https://cms.ls-nyc.org/matter/dynamic-profile/view/1887309","19-1887309")</f>
        <v>0</v>
      </c>
      <c r="B2639" t="s">
        <v>8</v>
      </c>
      <c r="G2639" t="s">
        <v>16</v>
      </c>
    </row>
    <row r="2640" spans="1:7">
      <c r="A2640" s="1">
        <f>HYPERLINK("https://cms.ls-nyc.org/matter/dynamic-profile/view/1887009","19-1887009")</f>
        <v>0</v>
      </c>
      <c r="B2640" t="s">
        <v>11</v>
      </c>
      <c r="G2640" t="s">
        <v>16</v>
      </c>
    </row>
    <row r="2641" spans="1:7">
      <c r="A2641" s="1">
        <f>HYPERLINK("https://cms.ls-nyc.org/matter/dynamic-profile/view/1891751","19-1891751")</f>
        <v>0</v>
      </c>
      <c r="B2641" t="s">
        <v>8</v>
      </c>
      <c r="F2641" t="s">
        <v>15</v>
      </c>
      <c r="G2641" t="s">
        <v>17</v>
      </c>
    </row>
    <row r="2642" spans="1:7">
      <c r="A2642" s="1">
        <f>HYPERLINK("https://cms.ls-nyc.org/matter/dynamic-profile/view/1899126","19-1899126")</f>
        <v>0</v>
      </c>
      <c r="B2642" t="s">
        <v>11</v>
      </c>
      <c r="C2642" t="s">
        <v>12</v>
      </c>
      <c r="E2642" t="s">
        <v>14</v>
      </c>
      <c r="F2642" t="s">
        <v>15</v>
      </c>
      <c r="G2642" t="s">
        <v>17</v>
      </c>
    </row>
    <row r="2643" spans="1:7">
      <c r="A2643" s="1">
        <f>HYPERLINK("https://cms.ls-nyc.org/matter/dynamic-profile/view/1887677","18-1887677")</f>
        <v>0</v>
      </c>
      <c r="B2643" t="s">
        <v>9</v>
      </c>
      <c r="G2643" t="s">
        <v>16</v>
      </c>
    </row>
    <row r="2644" spans="1:7">
      <c r="A2644" s="1">
        <f>HYPERLINK("https://cms.ls-nyc.org/matter/dynamic-profile/view/1890790","19-1890790")</f>
        <v>0</v>
      </c>
      <c r="B2644" t="s">
        <v>9</v>
      </c>
      <c r="G2644" t="s">
        <v>16</v>
      </c>
    </row>
    <row r="2645" spans="1:7">
      <c r="A2645" s="1">
        <f>HYPERLINK("https://cms.ls-nyc.org/matter/dynamic-profile/view/1890778","19-1890778")</f>
        <v>0</v>
      </c>
      <c r="B2645" t="s">
        <v>9</v>
      </c>
      <c r="G2645" t="s">
        <v>16</v>
      </c>
    </row>
    <row r="2646" spans="1:7">
      <c r="A2646" s="1">
        <f>HYPERLINK("https://cms.ls-nyc.org/matter/dynamic-profile/view/1892214","19-1892214")</f>
        <v>0</v>
      </c>
      <c r="B2646" t="s">
        <v>8</v>
      </c>
      <c r="F2646" t="s">
        <v>15</v>
      </c>
      <c r="G2646" t="s">
        <v>17</v>
      </c>
    </row>
    <row r="2647" spans="1:7">
      <c r="A2647" s="1">
        <f>HYPERLINK("https://cms.ls-nyc.org/matter/dynamic-profile/view/1897575","19-1897575")</f>
        <v>0</v>
      </c>
      <c r="B2647" t="s">
        <v>11</v>
      </c>
      <c r="G2647" t="s">
        <v>16</v>
      </c>
    </row>
    <row r="2648" spans="1:7">
      <c r="A2648" s="1">
        <f>HYPERLINK("https://cms.ls-nyc.org/matter/dynamic-profile/view/1879751","18-1879751")</f>
        <v>0</v>
      </c>
      <c r="B2648" t="s">
        <v>9</v>
      </c>
      <c r="G2648" t="s">
        <v>16</v>
      </c>
    </row>
    <row r="2649" spans="1:7">
      <c r="A2649" s="1">
        <f>HYPERLINK("https://cms.ls-nyc.org/matter/dynamic-profile/view/1875460","18-1875460")</f>
        <v>0</v>
      </c>
      <c r="B2649" t="s">
        <v>9</v>
      </c>
      <c r="G2649" t="s">
        <v>16</v>
      </c>
    </row>
    <row r="2650" spans="1:7">
      <c r="A2650" s="1">
        <f>HYPERLINK("https://cms.ls-nyc.org/matter/dynamic-profile/view/1887669","19-1887669")</f>
        <v>0</v>
      </c>
      <c r="B2650" t="s">
        <v>9</v>
      </c>
      <c r="E2650" t="s">
        <v>14</v>
      </c>
      <c r="F2650" t="s">
        <v>15</v>
      </c>
      <c r="G2650" t="s">
        <v>17</v>
      </c>
    </row>
    <row r="2651" spans="1:7">
      <c r="A2651" s="1">
        <f>HYPERLINK("https://cms.ls-nyc.org/matter/dynamic-profile/view/1875691","18-1875691")</f>
        <v>0</v>
      </c>
      <c r="B2651" t="s">
        <v>11</v>
      </c>
      <c r="G2651" t="s">
        <v>16</v>
      </c>
    </row>
    <row r="2652" spans="1:7">
      <c r="A2652" s="1">
        <f>HYPERLINK("https://cms.ls-nyc.org/matter/dynamic-profile/view/1876504","18-1876504")</f>
        <v>0</v>
      </c>
      <c r="B2652" t="s">
        <v>8</v>
      </c>
      <c r="G2652" t="s">
        <v>16</v>
      </c>
    </row>
    <row r="2653" spans="1:7">
      <c r="A2653" s="1">
        <f>HYPERLINK("https://cms.ls-nyc.org/matter/dynamic-profile/view/1860824","18-1860824")</f>
        <v>0</v>
      </c>
      <c r="B2653" t="s">
        <v>7</v>
      </c>
      <c r="G2653" t="s">
        <v>16</v>
      </c>
    </row>
    <row r="2654" spans="1:7">
      <c r="A2654" s="1">
        <f>HYPERLINK("https://cms.ls-nyc.org/matter/dynamic-profile/view/1880157","18-1880157")</f>
        <v>0</v>
      </c>
      <c r="B2654" t="s">
        <v>7</v>
      </c>
      <c r="G2654" t="s">
        <v>16</v>
      </c>
    </row>
    <row r="2655" spans="1:7">
      <c r="A2655" s="1">
        <f>HYPERLINK("https://cms.ls-nyc.org/matter/dynamic-profile/view/1897574","19-1897574")</f>
        <v>0</v>
      </c>
      <c r="B2655" t="s">
        <v>8</v>
      </c>
      <c r="E2655" t="s">
        <v>14</v>
      </c>
      <c r="F2655" t="s">
        <v>15</v>
      </c>
      <c r="G2655" t="s">
        <v>17</v>
      </c>
    </row>
    <row r="2656" spans="1:7">
      <c r="A2656" s="1">
        <f>HYPERLINK("https://cms.ls-nyc.org/matter/dynamic-profile/view/1857511","18-1857511")</f>
        <v>0</v>
      </c>
      <c r="B2656" t="s">
        <v>9</v>
      </c>
      <c r="G2656" t="s">
        <v>16</v>
      </c>
    </row>
    <row r="2657" spans="1:7">
      <c r="A2657" s="1">
        <f>HYPERLINK("https://cms.ls-nyc.org/matter/dynamic-profile/view/1877294","18-1877294")</f>
        <v>0</v>
      </c>
      <c r="B2657" t="s">
        <v>9</v>
      </c>
      <c r="G2657" t="s">
        <v>16</v>
      </c>
    </row>
    <row r="2658" spans="1:7">
      <c r="A2658" s="1">
        <f>HYPERLINK("https://cms.ls-nyc.org/matter/dynamic-profile/view/1875578","18-1875578")</f>
        <v>0</v>
      </c>
      <c r="B2658" t="s">
        <v>8</v>
      </c>
      <c r="G2658" t="s">
        <v>16</v>
      </c>
    </row>
    <row r="2659" spans="1:7">
      <c r="A2659" s="1">
        <f>HYPERLINK("https://cms.ls-nyc.org/matter/dynamic-profile/view/1888142","19-1888142")</f>
        <v>0</v>
      </c>
      <c r="B2659" t="s">
        <v>8</v>
      </c>
      <c r="F2659" t="s">
        <v>15</v>
      </c>
      <c r="G2659" t="s">
        <v>17</v>
      </c>
    </row>
    <row r="2660" spans="1:7">
      <c r="A2660" s="1">
        <f>HYPERLINK("https://cms.ls-nyc.org/matter/dynamic-profile/view/1879892","18-1879892")</f>
        <v>0</v>
      </c>
      <c r="B2660" t="s">
        <v>11</v>
      </c>
      <c r="G2660" t="s">
        <v>16</v>
      </c>
    </row>
    <row r="2661" spans="1:7">
      <c r="A2661" s="1">
        <f>HYPERLINK("https://cms.ls-nyc.org/matter/dynamic-profile/view/1884361","18-1884361")</f>
        <v>0</v>
      </c>
      <c r="B2661" t="s">
        <v>8</v>
      </c>
      <c r="G2661" t="s">
        <v>16</v>
      </c>
    </row>
    <row r="2662" spans="1:7">
      <c r="A2662" s="1">
        <f>HYPERLINK("https://cms.ls-nyc.org/matter/dynamic-profile/view/1872377","18-1872377")</f>
        <v>0</v>
      </c>
      <c r="B2662" t="s">
        <v>9</v>
      </c>
      <c r="G2662" t="s">
        <v>16</v>
      </c>
    </row>
    <row r="2663" spans="1:7">
      <c r="A2663" s="1">
        <f>HYPERLINK("https://cms.ls-nyc.org/matter/dynamic-profile/view/1875906","18-1875906")</f>
        <v>0</v>
      </c>
      <c r="B2663" t="s">
        <v>11</v>
      </c>
      <c r="G2663" t="s">
        <v>16</v>
      </c>
    </row>
    <row r="2664" spans="1:7">
      <c r="A2664" s="1">
        <f>HYPERLINK("https://cms.ls-nyc.org/matter/dynamic-profile/view/1879973","18-1879973")</f>
        <v>0</v>
      </c>
      <c r="B2664" t="s">
        <v>9</v>
      </c>
      <c r="F2664" t="s">
        <v>15</v>
      </c>
      <c r="G2664" t="s">
        <v>17</v>
      </c>
    </row>
    <row r="2665" spans="1:7">
      <c r="A2665" s="1">
        <f>HYPERLINK("https://cms.ls-nyc.org/matter/dynamic-profile/view/1899551","19-1899551")</f>
        <v>0</v>
      </c>
      <c r="B2665" t="s">
        <v>8</v>
      </c>
      <c r="G2665" t="s">
        <v>16</v>
      </c>
    </row>
    <row r="2666" spans="1:7">
      <c r="A2666" s="1">
        <f>HYPERLINK("https://cms.ls-nyc.org/matter/dynamic-profile/view/1868024","18-1868024")</f>
        <v>0</v>
      </c>
      <c r="B2666" t="s">
        <v>8</v>
      </c>
      <c r="E2666" t="s">
        <v>14</v>
      </c>
      <c r="F2666" t="s">
        <v>15</v>
      </c>
      <c r="G2666" t="s">
        <v>17</v>
      </c>
    </row>
    <row r="2667" spans="1:7">
      <c r="A2667" s="1">
        <f>HYPERLINK("https://cms.ls-nyc.org/matter/dynamic-profile/view/1881860","18-1881860")</f>
        <v>0</v>
      </c>
      <c r="B2667" t="s">
        <v>9</v>
      </c>
      <c r="G2667" t="s">
        <v>16</v>
      </c>
    </row>
    <row r="2668" spans="1:7">
      <c r="A2668" s="1">
        <f>HYPERLINK("https://cms.ls-nyc.org/matter/dynamic-profile/view/1884708","18-1884708")</f>
        <v>0</v>
      </c>
      <c r="B2668" t="s">
        <v>9</v>
      </c>
      <c r="G2668" t="s">
        <v>16</v>
      </c>
    </row>
    <row r="2669" spans="1:7">
      <c r="A2669" s="1">
        <f>HYPERLINK("https://cms.ls-nyc.org/matter/dynamic-profile/view/1891637","19-1891637")</f>
        <v>0</v>
      </c>
      <c r="B2669" t="s">
        <v>10</v>
      </c>
      <c r="C2669" t="s">
        <v>12</v>
      </c>
      <c r="E2669" t="s">
        <v>14</v>
      </c>
      <c r="G2669" t="s">
        <v>17</v>
      </c>
    </row>
    <row r="2670" spans="1:7">
      <c r="A2670" s="1">
        <f>HYPERLINK("https://cms.ls-nyc.org/matter/dynamic-profile/view/1872874","18-1872874")</f>
        <v>0</v>
      </c>
      <c r="B2670" t="s">
        <v>11</v>
      </c>
      <c r="G2670" t="s">
        <v>16</v>
      </c>
    </row>
    <row r="2671" spans="1:7">
      <c r="A2671" s="1">
        <f>HYPERLINK("https://cms.ls-nyc.org/matter/dynamic-profile/view/0815813","16-0815813")</f>
        <v>0</v>
      </c>
      <c r="B2671" t="s">
        <v>9</v>
      </c>
      <c r="G2671" t="s">
        <v>16</v>
      </c>
    </row>
    <row r="2672" spans="1:7">
      <c r="A2672" s="1">
        <f>HYPERLINK("https://cms.ls-nyc.org/matter/dynamic-profile/view/1890535","19-1890535")</f>
        <v>0</v>
      </c>
      <c r="B2672" t="s">
        <v>8</v>
      </c>
      <c r="E2672" t="s">
        <v>14</v>
      </c>
      <c r="F2672" t="s">
        <v>15</v>
      </c>
      <c r="G2672" t="s">
        <v>17</v>
      </c>
    </row>
    <row r="2673" spans="1:7">
      <c r="A2673" s="1">
        <f>HYPERLINK("https://cms.ls-nyc.org/matter/dynamic-profile/view/1891469","19-1891469")</f>
        <v>0</v>
      </c>
      <c r="B2673" t="s">
        <v>8</v>
      </c>
      <c r="E2673" t="s">
        <v>14</v>
      </c>
      <c r="F2673" t="s">
        <v>15</v>
      </c>
      <c r="G2673" t="s">
        <v>17</v>
      </c>
    </row>
    <row r="2674" spans="1:7">
      <c r="A2674" s="1">
        <f>HYPERLINK("https://cms.ls-nyc.org/matter/dynamic-profile/view/1898091","19-1898091")</f>
        <v>0</v>
      </c>
      <c r="B2674" t="s">
        <v>8</v>
      </c>
      <c r="F2674" t="s">
        <v>15</v>
      </c>
      <c r="G2674" t="s">
        <v>17</v>
      </c>
    </row>
    <row r="2675" spans="1:7">
      <c r="A2675" s="1">
        <f>HYPERLINK("https://cms.ls-nyc.org/matter/dynamic-profile/view/1899523","19-1899523")</f>
        <v>0</v>
      </c>
      <c r="B2675" t="s">
        <v>8</v>
      </c>
      <c r="G2675" t="s">
        <v>16</v>
      </c>
    </row>
    <row r="2676" spans="1:7">
      <c r="A2676" s="1">
        <f>HYPERLINK("https://cms.ls-nyc.org/matter/dynamic-profile/view/1878956","18-1878956")</f>
        <v>0</v>
      </c>
      <c r="B2676" t="s">
        <v>11</v>
      </c>
      <c r="G2676" t="s">
        <v>16</v>
      </c>
    </row>
    <row r="2677" spans="1:7">
      <c r="A2677" s="1">
        <f>HYPERLINK("https://cms.ls-nyc.org/matter/dynamic-profile/view/1890434","19-1890434")</f>
        <v>0</v>
      </c>
      <c r="B2677" t="s">
        <v>11</v>
      </c>
      <c r="G2677" t="s">
        <v>16</v>
      </c>
    </row>
    <row r="2678" spans="1:7">
      <c r="A2678" s="1">
        <f>HYPERLINK("https://cms.ls-nyc.org/matter/dynamic-profile/view/1886416","18-1886416")</f>
        <v>0</v>
      </c>
      <c r="B2678" t="s">
        <v>8</v>
      </c>
      <c r="G2678" t="s">
        <v>16</v>
      </c>
    </row>
    <row r="2679" spans="1:7">
      <c r="A2679" s="1">
        <f>HYPERLINK("https://cms.ls-nyc.org/matter/dynamic-profile/view/1891925","19-1891925")</f>
        <v>0</v>
      </c>
      <c r="B2679" t="s">
        <v>8</v>
      </c>
      <c r="E2679" t="s">
        <v>14</v>
      </c>
      <c r="F2679" t="s">
        <v>15</v>
      </c>
      <c r="G2679" t="s">
        <v>17</v>
      </c>
    </row>
    <row r="2680" spans="1:7">
      <c r="A2680" s="1">
        <f>HYPERLINK("https://cms.ls-nyc.org/matter/dynamic-profile/view/1891930","19-1891930")</f>
        <v>0</v>
      </c>
      <c r="B2680" t="s">
        <v>8</v>
      </c>
      <c r="E2680" t="s">
        <v>14</v>
      </c>
      <c r="F2680" t="s">
        <v>15</v>
      </c>
      <c r="G2680" t="s">
        <v>17</v>
      </c>
    </row>
    <row r="2681" spans="1:7">
      <c r="A2681" s="1">
        <f>HYPERLINK("https://cms.ls-nyc.org/matter/dynamic-profile/view/1871698","18-1871698")</f>
        <v>0</v>
      </c>
      <c r="B2681" t="s">
        <v>7</v>
      </c>
      <c r="G2681" t="s">
        <v>16</v>
      </c>
    </row>
    <row r="2682" spans="1:7">
      <c r="A2682" s="1">
        <f>HYPERLINK("https://cms.ls-nyc.org/matter/dynamic-profile/view/1876570","18-1876570")</f>
        <v>0</v>
      </c>
      <c r="B2682" t="s">
        <v>8</v>
      </c>
      <c r="G2682" t="s">
        <v>16</v>
      </c>
    </row>
    <row r="2683" spans="1:7">
      <c r="A2683" s="1">
        <f>HYPERLINK("https://cms.ls-nyc.org/matter/dynamic-profile/view/1876567","18-1876567")</f>
        <v>0</v>
      </c>
      <c r="B2683" t="s">
        <v>8</v>
      </c>
      <c r="G2683" t="s">
        <v>16</v>
      </c>
    </row>
    <row r="2684" spans="1:7">
      <c r="A2684" s="1">
        <f>HYPERLINK("https://cms.ls-nyc.org/matter/dynamic-profile/view/1885992","18-1885992")</f>
        <v>0</v>
      </c>
      <c r="B2684" t="s">
        <v>9</v>
      </c>
      <c r="G2684" t="s">
        <v>16</v>
      </c>
    </row>
    <row r="2685" spans="1:7">
      <c r="A2685" s="1">
        <f>HYPERLINK("https://cms.ls-nyc.org/matter/dynamic-profile/view/1886012","18-1886012")</f>
        <v>0</v>
      </c>
      <c r="B2685" t="s">
        <v>9</v>
      </c>
      <c r="F2685" t="s">
        <v>15</v>
      </c>
      <c r="G2685" t="s">
        <v>17</v>
      </c>
    </row>
    <row r="2686" spans="1:7">
      <c r="A2686" s="1">
        <f>HYPERLINK("https://cms.ls-nyc.org/matter/dynamic-profile/view/1876352","18-1876352")</f>
        <v>0</v>
      </c>
      <c r="B2686" t="s">
        <v>9</v>
      </c>
      <c r="G2686" t="s">
        <v>16</v>
      </c>
    </row>
    <row r="2687" spans="1:7">
      <c r="A2687" s="1">
        <f>HYPERLINK("https://cms.ls-nyc.org/matter/dynamic-profile/view/1880627","18-1880627")</f>
        <v>0</v>
      </c>
      <c r="B2687" t="s">
        <v>9</v>
      </c>
      <c r="G2687" t="s">
        <v>16</v>
      </c>
    </row>
    <row r="2688" spans="1:7">
      <c r="A2688" s="1">
        <f>HYPERLINK("https://cms.ls-nyc.org/matter/dynamic-profile/view/1876858","18-1876858")</f>
        <v>0</v>
      </c>
      <c r="B2688" t="s">
        <v>10</v>
      </c>
      <c r="F2688" t="s">
        <v>15</v>
      </c>
      <c r="G2688" t="s">
        <v>17</v>
      </c>
    </row>
    <row r="2689" spans="1:7">
      <c r="A2689" s="1">
        <f>HYPERLINK("https://cms.ls-nyc.org/matter/dynamic-profile/view/1879017","18-1879017")</f>
        <v>0</v>
      </c>
      <c r="B2689" t="s">
        <v>11</v>
      </c>
      <c r="G2689" t="s">
        <v>16</v>
      </c>
    </row>
    <row r="2690" spans="1:7">
      <c r="A2690" s="1">
        <f>HYPERLINK("https://cms.ls-nyc.org/matter/dynamic-profile/view/1898376","19-1898376")</f>
        <v>0</v>
      </c>
      <c r="B2690" t="s">
        <v>8</v>
      </c>
      <c r="E2690" t="s">
        <v>14</v>
      </c>
      <c r="F2690" t="s">
        <v>15</v>
      </c>
      <c r="G2690" t="s">
        <v>17</v>
      </c>
    </row>
    <row r="2691" spans="1:7">
      <c r="A2691" s="1">
        <f>HYPERLINK("https://cms.ls-nyc.org/matter/dynamic-profile/view/1898379","19-1898379")</f>
        <v>0</v>
      </c>
      <c r="B2691" t="s">
        <v>8</v>
      </c>
      <c r="E2691" t="s">
        <v>14</v>
      </c>
      <c r="F2691" t="s">
        <v>15</v>
      </c>
      <c r="G2691" t="s">
        <v>17</v>
      </c>
    </row>
    <row r="2692" spans="1:7">
      <c r="A2692" s="1">
        <f>HYPERLINK("https://cms.ls-nyc.org/matter/dynamic-profile/view/1889010","19-1889010")</f>
        <v>0</v>
      </c>
      <c r="B2692" t="s">
        <v>8</v>
      </c>
      <c r="C2692" t="s">
        <v>12</v>
      </c>
      <c r="F2692" t="s">
        <v>15</v>
      </c>
      <c r="G2692" t="s">
        <v>17</v>
      </c>
    </row>
    <row r="2693" spans="1:7">
      <c r="A2693" s="1">
        <f>HYPERLINK("https://cms.ls-nyc.org/matter/dynamic-profile/view/1889256","19-1889256")</f>
        <v>0</v>
      </c>
      <c r="B2693" t="s">
        <v>8</v>
      </c>
      <c r="C2693" t="s">
        <v>12</v>
      </c>
      <c r="F2693" t="s">
        <v>15</v>
      </c>
      <c r="G2693" t="s">
        <v>17</v>
      </c>
    </row>
    <row r="2694" spans="1:7">
      <c r="A2694" s="1">
        <f>HYPERLINK("https://cms.ls-nyc.org/matter/dynamic-profile/view/1892654","19-1892654")</f>
        <v>0</v>
      </c>
      <c r="B2694" t="s">
        <v>9</v>
      </c>
      <c r="G2694" t="s">
        <v>16</v>
      </c>
    </row>
    <row r="2695" spans="1:7">
      <c r="A2695" s="1">
        <f>HYPERLINK("https://cms.ls-nyc.org/matter/dynamic-profile/view/1887229","19-1887229")</f>
        <v>0</v>
      </c>
      <c r="B2695" t="s">
        <v>11</v>
      </c>
      <c r="G2695" t="s">
        <v>16</v>
      </c>
    </row>
    <row r="2696" spans="1:7">
      <c r="A2696" s="1">
        <f>HYPERLINK("https://cms.ls-nyc.org/matter/dynamic-profile/view/1887242","19-1887242")</f>
        <v>0</v>
      </c>
      <c r="B2696" t="s">
        <v>11</v>
      </c>
      <c r="G2696" t="s">
        <v>16</v>
      </c>
    </row>
    <row r="2697" spans="1:7">
      <c r="A2697" s="1">
        <f>HYPERLINK("https://cms.ls-nyc.org/matter/dynamic-profile/view/1868183","18-1868183")</f>
        <v>0</v>
      </c>
      <c r="B2697" t="s">
        <v>9</v>
      </c>
      <c r="G2697" t="s">
        <v>16</v>
      </c>
    </row>
    <row r="2698" spans="1:7">
      <c r="A2698" s="1">
        <f>HYPERLINK("https://cms.ls-nyc.org/matter/dynamic-profile/view/1875479","18-1875479")</f>
        <v>0</v>
      </c>
      <c r="B2698" t="s">
        <v>9</v>
      </c>
      <c r="G2698" t="s">
        <v>16</v>
      </c>
    </row>
    <row r="2699" spans="1:7">
      <c r="A2699" s="1">
        <f>HYPERLINK("https://cms.ls-nyc.org/matter/dynamic-profile/view/1875019","18-1875019")</f>
        <v>0</v>
      </c>
      <c r="B2699" t="s">
        <v>9</v>
      </c>
      <c r="F2699" t="s">
        <v>15</v>
      </c>
      <c r="G2699" t="s">
        <v>17</v>
      </c>
    </row>
    <row r="2700" spans="1:7">
      <c r="A2700" s="1">
        <f>HYPERLINK("https://cms.ls-nyc.org/matter/dynamic-profile/view/1877045","18-1877045")</f>
        <v>0</v>
      </c>
      <c r="B2700" t="s">
        <v>10</v>
      </c>
      <c r="G2700" t="s">
        <v>16</v>
      </c>
    </row>
    <row r="2701" spans="1:7">
      <c r="A2701" s="1">
        <f>HYPERLINK("https://cms.ls-nyc.org/matter/dynamic-profile/view/1872350","18-1872350")</f>
        <v>0</v>
      </c>
      <c r="B2701" t="s">
        <v>11</v>
      </c>
      <c r="G2701" t="s">
        <v>16</v>
      </c>
    </row>
    <row r="2702" spans="1:7">
      <c r="A2702" s="1">
        <f>HYPERLINK("https://cms.ls-nyc.org/matter/dynamic-profile/view/1881586","18-1881586")</f>
        <v>0</v>
      </c>
      <c r="B2702" t="s">
        <v>11</v>
      </c>
      <c r="G2702" t="s">
        <v>16</v>
      </c>
    </row>
    <row r="2703" spans="1:7">
      <c r="A2703" s="1">
        <f>HYPERLINK("https://cms.ls-nyc.org/matter/dynamic-profile/view/1873521","18-1873521")</f>
        <v>0</v>
      </c>
      <c r="B2703" t="s">
        <v>11</v>
      </c>
      <c r="G2703" t="s">
        <v>16</v>
      </c>
    </row>
    <row r="2704" spans="1:7">
      <c r="A2704" s="1">
        <f>HYPERLINK("https://cms.ls-nyc.org/matter/dynamic-profile/view/1867593","18-1867593")</f>
        <v>0</v>
      </c>
      <c r="B2704" t="s">
        <v>8</v>
      </c>
      <c r="D2704" t="s">
        <v>13</v>
      </c>
      <c r="G2704" t="s">
        <v>17</v>
      </c>
    </row>
    <row r="2705" spans="1:7">
      <c r="A2705" s="1">
        <f>HYPERLINK("https://cms.ls-nyc.org/matter/dynamic-profile/view/1900402","19-1900402")</f>
        <v>0</v>
      </c>
      <c r="B2705" t="s">
        <v>8</v>
      </c>
      <c r="C2705" t="s">
        <v>12</v>
      </c>
      <c r="E2705" t="s">
        <v>14</v>
      </c>
      <c r="G2705" t="s">
        <v>17</v>
      </c>
    </row>
    <row r="2706" spans="1:7">
      <c r="A2706" s="1">
        <f>HYPERLINK("https://cms.ls-nyc.org/matter/dynamic-profile/view/1891912","19-1891912")</f>
        <v>0</v>
      </c>
      <c r="B2706" t="s">
        <v>11</v>
      </c>
      <c r="G2706" t="s">
        <v>16</v>
      </c>
    </row>
    <row r="2707" spans="1:7">
      <c r="A2707" s="1">
        <f>HYPERLINK("https://cms.ls-nyc.org/matter/dynamic-profile/view/1851783","17-1851783")</f>
        <v>0</v>
      </c>
      <c r="B2707" t="s">
        <v>10</v>
      </c>
      <c r="G2707" t="s">
        <v>16</v>
      </c>
    </row>
    <row r="2708" spans="1:7">
      <c r="A2708" s="1">
        <f>HYPERLINK("https://cms.ls-nyc.org/matter/dynamic-profile/view/1893448","19-1893448")</f>
        <v>0</v>
      </c>
      <c r="B2708" t="s">
        <v>8</v>
      </c>
      <c r="G2708" t="s">
        <v>16</v>
      </c>
    </row>
    <row r="2709" spans="1:7">
      <c r="A2709" s="1">
        <f>HYPERLINK("https://cms.ls-nyc.org/matter/dynamic-profile/view/1891226","19-1891226")</f>
        <v>0</v>
      </c>
      <c r="B2709" t="s">
        <v>11</v>
      </c>
      <c r="G2709" t="s">
        <v>16</v>
      </c>
    </row>
    <row r="2710" spans="1:7">
      <c r="A2710" s="1">
        <f>HYPERLINK("https://cms.ls-nyc.org/matter/dynamic-profile/view/1891500","19-1891500")</f>
        <v>0</v>
      </c>
      <c r="B2710" t="s">
        <v>8</v>
      </c>
      <c r="E2710" t="s">
        <v>14</v>
      </c>
      <c r="F2710" t="s">
        <v>15</v>
      </c>
      <c r="G2710" t="s">
        <v>17</v>
      </c>
    </row>
    <row r="2711" spans="1:7">
      <c r="A2711" s="1">
        <f>HYPERLINK("https://cms.ls-nyc.org/matter/dynamic-profile/view/1891502","19-1891502")</f>
        <v>0</v>
      </c>
      <c r="B2711" t="s">
        <v>8</v>
      </c>
      <c r="E2711" t="s">
        <v>14</v>
      </c>
      <c r="F2711" t="s">
        <v>15</v>
      </c>
      <c r="G2711" t="s">
        <v>17</v>
      </c>
    </row>
    <row r="2712" spans="1:7">
      <c r="A2712" s="1">
        <f>HYPERLINK("https://cms.ls-nyc.org/matter/dynamic-profile/view/1898022","19-1898022")</f>
        <v>0</v>
      </c>
      <c r="B2712" t="s">
        <v>8</v>
      </c>
      <c r="E2712" t="s">
        <v>14</v>
      </c>
      <c r="G2712" t="s">
        <v>17</v>
      </c>
    </row>
    <row r="2713" spans="1:7">
      <c r="A2713" s="1">
        <f>HYPERLINK("https://cms.ls-nyc.org/matter/dynamic-profile/view/1898027","19-1898027")</f>
        <v>0</v>
      </c>
      <c r="B2713" t="s">
        <v>8</v>
      </c>
      <c r="E2713" t="s">
        <v>14</v>
      </c>
      <c r="G2713" t="s">
        <v>17</v>
      </c>
    </row>
    <row r="2714" spans="1:7">
      <c r="A2714" s="1">
        <f>HYPERLINK("https://cms.ls-nyc.org/matter/dynamic-profile/view/1892656","19-1892656")</f>
        <v>0</v>
      </c>
      <c r="B2714" t="s">
        <v>11</v>
      </c>
      <c r="G2714" t="s">
        <v>16</v>
      </c>
    </row>
    <row r="2715" spans="1:7">
      <c r="A2715" s="1">
        <f>HYPERLINK("https://cms.ls-nyc.org/matter/dynamic-profile/view/1875736","18-1875736")</f>
        <v>0</v>
      </c>
      <c r="B2715" t="s">
        <v>7</v>
      </c>
      <c r="G2715" t="s">
        <v>16</v>
      </c>
    </row>
    <row r="2716" spans="1:7">
      <c r="A2716" s="1">
        <f>HYPERLINK("https://cms.ls-nyc.org/matter/dynamic-profile/view/1872414","18-1872414")</f>
        <v>0</v>
      </c>
      <c r="B2716" t="s">
        <v>9</v>
      </c>
      <c r="G2716" t="s">
        <v>16</v>
      </c>
    </row>
    <row r="2717" spans="1:7">
      <c r="A2717" s="1">
        <f>HYPERLINK("https://cms.ls-nyc.org/matter/dynamic-profile/view/1871560","18-1871560")</f>
        <v>0</v>
      </c>
      <c r="B2717" t="s">
        <v>11</v>
      </c>
      <c r="G2717" t="s">
        <v>16</v>
      </c>
    </row>
    <row r="2718" spans="1:7">
      <c r="A2718" s="1">
        <f>HYPERLINK("https://cms.ls-nyc.org/matter/dynamic-profile/view/1895182","19-1895182")</f>
        <v>0</v>
      </c>
      <c r="B2718" t="s">
        <v>8</v>
      </c>
      <c r="C2718" t="s">
        <v>12</v>
      </c>
      <c r="E2718" t="s">
        <v>14</v>
      </c>
      <c r="G2718" t="s">
        <v>17</v>
      </c>
    </row>
    <row r="2719" spans="1:7">
      <c r="A2719" s="1">
        <f>HYPERLINK("https://cms.ls-nyc.org/matter/dynamic-profile/view/1879253","18-1879253")</f>
        <v>0</v>
      </c>
      <c r="B2719" t="s">
        <v>9</v>
      </c>
      <c r="G2719" t="s">
        <v>16</v>
      </c>
    </row>
    <row r="2720" spans="1:7">
      <c r="A2720" s="1">
        <f>HYPERLINK("https://cms.ls-nyc.org/matter/dynamic-profile/view/1875680","18-1875680")</f>
        <v>0</v>
      </c>
      <c r="B2720" t="s">
        <v>9</v>
      </c>
      <c r="G2720" t="s">
        <v>16</v>
      </c>
    </row>
    <row r="2721" spans="1:7">
      <c r="A2721" s="1">
        <f>HYPERLINK("https://cms.ls-nyc.org/matter/dynamic-profile/view/1885387","18-1885387")</f>
        <v>0</v>
      </c>
      <c r="B2721" t="s">
        <v>9</v>
      </c>
      <c r="G2721" t="s">
        <v>16</v>
      </c>
    </row>
    <row r="2722" spans="1:7">
      <c r="A2722" s="1">
        <f>HYPERLINK("https://cms.ls-nyc.org/matter/dynamic-profile/view/1864002","18-1864002")</f>
        <v>0</v>
      </c>
      <c r="B2722" t="s">
        <v>8</v>
      </c>
      <c r="G2722" t="s">
        <v>16</v>
      </c>
    </row>
    <row r="2723" spans="1:7">
      <c r="A2723" s="1">
        <f>HYPERLINK("https://cms.ls-nyc.org/matter/dynamic-profile/view/1892591","19-1892591")</f>
        <v>0</v>
      </c>
      <c r="B2723" t="s">
        <v>7</v>
      </c>
      <c r="F2723" t="s">
        <v>15</v>
      </c>
      <c r="G2723" t="s">
        <v>17</v>
      </c>
    </row>
    <row r="2724" spans="1:7">
      <c r="A2724" s="1">
        <f>HYPERLINK("https://cms.ls-nyc.org/matter/dynamic-profile/view/1880365","18-1880365")</f>
        <v>0</v>
      </c>
      <c r="B2724" t="s">
        <v>8</v>
      </c>
      <c r="G2724" t="s">
        <v>16</v>
      </c>
    </row>
    <row r="2725" spans="1:7">
      <c r="A2725" s="1">
        <f>HYPERLINK("https://cms.ls-nyc.org/matter/dynamic-profile/view/1892183","19-1892183")</f>
        <v>0</v>
      </c>
      <c r="B2725" t="s">
        <v>8</v>
      </c>
      <c r="G2725" t="s">
        <v>16</v>
      </c>
    </row>
    <row r="2726" spans="1:7">
      <c r="A2726" s="1">
        <f>HYPERLINK("https://cms.ls-nyc.org/matter/dynamic-profile/view/1896389","19-1896389")</f>
        <v>0</v>
      </c>
      <c r="B2726" t="s">
        <v>8</v>
      </c>
      <c r="C2726" t="s">
        <v>12</v>
      </c>
      <c r="E2726" t="s">
        <v>14</v>
      </c>
      <c r="F2726" t="s">
        <v>15</v>
      </c>
      <c r="G2726" t="s">
        <v>17</v>
      </c>
    </row>
    <row r="2727" spans="1:7">
      <c r="A2727" s="1">
        <f>HYPERLINK("https://cms.ls-nyc.org/matter/dynamic-profile/view/1875098","18-1875098")</f>
        <v>0</v>
      </c>
      <c r="B2727" t="s">
        <v>8</v>
      </c>
      <c r="G2727" t="s">
        <v>16</v>
      </c>
    </row>
    <row r="2728" spans="1:7">
      <c r="A2728" s="1">
        <f>HYPERLINK("https://cms.ls-nyc.org/matter/dynamic-profile/view/1890561","19-1890561")</f>
        <v>0</v>
      </c>
      <c r="B2728" t="s">
        <v>8</v>
      </c>
      <c r="E2728" t="s">
        <v>14</v>
      </c>
      <c r="F2728" t="s">
        <v>15</v>
      </c>
      <c r="G2728" t="s">
        <v>17</v>
      </c>
    </row>
    <row r="2729" spans="1:7">
      <c r="A2729" s="1">
        <f>HYPERLINK("https://cms.ls-nyc.org/matter/dynamic-profile/view/1891867","19-1891867")</f>
        <v>0</v>
      </c>
      <c r="B2729" t="s">
        <v>8</v>
      </c>
      <c r="E2729" t="s">
        <v>14</v>
      </c>
      <c r="F2729" t="s">
        <v>15</v>
      </c>
      <c r="G2729" t="s">
        <v>17</v>
      </c>
    </row>
    <row r="2730" spans="1:7">
      <c r="A2730" s="1">
        <f>HYPERLINK("https://cms.ls-nyc.org/matter/dynamic-profile/view/1880111","18-1880111")</f>
        <v>0</v>
      </c>
      <c r="B2730" t="s">
        <v>11</v>
      </c>
      <c r="G2730" t="s">
        <v>16</v>
      </c>
    </row>
    <row r="2731" spans="1:7">
      <c r="A2731" s="1">
        <f>HYPERLINK("https://cms.ls-nyc.org/matter/dynamic-profile/view/1859333","18-1859333")</f>
        <v>0</v>
      </c>
      <c r="B2731" t="s">
        <v>8</v>
      </c>
      <c r="C2731" t="s">
        <v>12</v>
      </c>
      <c r="E2731" t="s">
        <v>14</v>
      </c>
      <c r="F2731" t="s">
        <v>15</v>
      </c>
      <c r="G2731" t="s">
        <v>17</v>
      </c>
    </row>
    <row r="2732" spans="1:7">
      <c r="A2732" s="1">
        <f>HYPERLINK("https://cms.ls-nyc.org/matter/dynamic-profile/view/1885761","18-1885761")</f>
        <v>0</v>
      </c>
      <c r="B2732" t="s">
        <v>11</v>
      </c>
      <c r="F2732" t="s">
        <v>15</v>
      </c>
      <c r="G2732" t="s">
        <v>17</v>
      </c>
    </row>
    <row r="2733" spans="1:7">
      <c r="A2733" s="1">
        <f>HYPERLINK("https://cms.ls-nyc.org/matter/dynamic-profile/view/1891447","19-1891447")</f>
        <v>0</v>
      </c>
      <c r="B2733" t="s">
        <v>8</v>
      </c>
      <c r="F2733" t="s">
        <v>15</v>
      </c>
      <c r="G2733" t="s">
        <v>17</v>
      </c>
    </row>
    <row r="2734" spans="1:7">
      <c r="A2734" s="1">
        <f>HYPERLINK("https://cms.ls-nyc.org/matter/dynamic-profile/view/1900793","19-1900793")</f>
        <v>0</v>
      </c>
      <c r="B2734" t="s">
        <v>8</v>
      </c>
      <c r="G2734" t="s">
        <v>16</v>
      </c>
    </row>
    <row r="2735" spans="1:7">
      <c r="A2735" s="1">
        <f>HYPERLINK("https://cms.ls-nyc.org/matter/dynamic-profile/view/1875670","18-1875670")</f>
        <v>0</v>
      </c>
      <c r="B2735" t="s">
        <v>9</v>
      </c>
      <c r="F2735" t="s">
        <v>15</v>
      </c>
      <c r="G2735" t="s">
        <v>17</v>
      </c>
    </row>
    <row r="2736" spans="1:7">
      <c r="A2736" s="1">
        <f>HYPERLINK("https://cms.ls-nyc.org/matter/dynamic-profile/view/1875665","18-1875665")</f>
        <v>0</v>
      </c>
      <c r="B2736" t="s">
        <v>9</v>
      </c>
      <c r="F2736" t="s">
        <v>15</v>
      </c>
      <c r="G2736" t="s">
        <v>17</v>
      </c>
    </row>
    <row r="2737" spans="1:7">
      <c r="A2737" s="1">
        <f>HYPERLINK("https://cms.ls-nyc.org/matter/dynamic-profile/view/1898288","19-1898288")</f>
        <v>0</v>
      </c>
      <c r="B2737" t="s">
        <v>8</v>
      </c>
      <c r="G2737" t="s">
        <v>16</v>
      </c>
    </row>
    <row r="2738" spans="1:7">
      <c r="A2738" s="1">
        <f>HYPERLINK("https://cms.ls-nyc.org/matter/dynamic-profile/view/1897635","19-1897635")</f>
        <v>0</v>
      </c>
      <c r="B2738" t="s">
        <v>11</v>
      </c>
      <c r="F2738" t="s">
        <v>15</v>
      </c>
      <c r="G2738" t="s">
        <v>17</v>
      </c>
    </row>
    <row r="2739" spans="1:7">
      <c r="A2739" s="1">
        <f>HYPERLINK("https://cms.ls-nyc.org/matter/dynamic-profile/view/1897707","19-1897707")</f>
        <v>0</v>
      </c>
      <c r="B2739" t="s">
        <v>11</v>
      </c>
      <c r="G2739" t="s">
        <v>16</v>
      </c>
    </row>
    <row r="2740" spans="1:7">
      <c r="A2740" s="1">
        <f>HYPERLINK("https://cms.ls-nyc.org/matter/dynamic-profile/view/1898102","19-1898102")</f>
        <v>0</v>
      </c>
      <c r="B2740" t="s">
        <v>11</v>
      </c>
      <c r="G2740" t="s">
        <v>16</v>
      </c>
    </row>
    <row r="2741" spans="1:7">
      <c r="A2741" s="1">
        <f>HYPERLINK("https://cms.ls-nyc.org/matter/dynamic-profile/view/1899149","19-1899149")</f>
        <v>0</v>
      </c>
      <c r="B2741" t="s">
        <v>9</v>
      </c>
      <c r="G2741" t="s">
        <v>16</v>
      </c>
    </row>
    <row r="2742" spans="1:7">
      <c r="A2742" s="1">
        <f>HYPERLINK("https://cms.ls-nyc.org/matter/dynamic-profile/view/1895472","19-1895472")</f>
        <v>0</v>
      </c>
      <c r="B2742" t="s">
        <v>9</v>
      </c>
      <c r="G2742" t="s">
        <v>16</v>
      </c>
    </row>
    <row r="2743" spans="1:7">
      <c r="A2743" s="1">
        <f>HYPERLINK("https://cms.ls-nyc.org/matter/dynamic-profile/view/1890447","19-1890447")</f>
        <v>0</v>
      </c>
      <c r="B2743" t="s">
        <v>8</v>
      </c>
      <c r="F2743" t="s">
        <v>15</v>
      </c>
      <c r="G2743" t="s">
        <v>17</v>
      </c>
    </row>
    <row r="2744" spans="1:7">
      <c r="A2744" s="1">
        <f>HYPERLINK("https://cms.ls-nyc.org/matter/dynamic-profile/view/1890592","19-1890592")</f>
        <v>0</v>
      </c>
      <c r="B2744" t="s">
        <v>8</v>
      </c>
      <c r="F2744" t="s">
        <v>15</v>
      </c>
      <c r="G2744" t="s">
        <v>17</v>
      </c>
    </row>
    <row r="2745" spans="1:7">
      <c r="A2745" s="1">
        <f>HYPERLINK("https://cms.ls-nyc.org/matter/dynamic-profile/view/1892876","19-1892876")</f>
        <v>0</v>
      </c>
      <c r="B2745" t="s">
        <v>8</v>
      </c>
      <c r="F2745" t="s">
        <v>15</v>
      </c>
      <c r="G2745" t="s">
        <v>17</v>
      </c>
    </row>
    <row r="2746" spans="1:7">
      <c r="A2746" s="1">
        <f>HYPERLINK("https://cms.ls-nyc.org/matter/dynamic-profile/view/1891141","19-1891141")</f>
        <v>0</v>
      </c>
      <c r="B2746" t="s">
        <v>8</v>
      </c>
      <c r="G2746" t="s">
        <v>16</v>
      </c>
    </row>
    <row r="2747" spans="1:7">
      <c r="A2747" s="1">
        <f>HYPERLINK("https://cms.ls-nyc.org/matter/dynamic-profile/view/1898991","19-1898991")</f>
        <v>0</v>
      </c>
      <c r="B2747" t="s">
        <v>11</v>
      </c>
      <c r="G2747" t="s">
        <v>16</v>
      </c>
    </row>
    <row r="2748" spans="1:7">
      <c r="A2748" s="1">
        <f>HYPERLINK("https://cms.ls-nyc.org/matter/dynamic-profile/view/1881763","18-1881763")</f>
        <v>0</v>
      </c>
      <c r="B2748" t="s">
        <v>8</v>
      </c>
      <c r="G2748" t="s">
        <v>16</v>
      </c>
    </row>
    <row r="2749" spans="1:7">
      <c r="A2749" s="1">
        <f>HYPERLINK("https://cms.ls-nyc.org/matter/dynamic-profile/view/1876471","18-1876471")</f>
        <v>0</v>
      </c>
      <c r="B2749" t="s">
        <v>9</v>
      </c>
      <c r="G2749" t="s">
        <v>16</v>
      </c>
    </row>
    <row r="2750" spans="1:7">
      <c r="A2750" s="1">
        <f>HYPERLINK("https://cms.ls-nyc.org/matter/dynamic-profile/view/1896914","19-1896914")</f>
        <v>0</v>
      </c>
      <c r="B2750" t="s">
        <v>11</v>
      </c>
      <c r="G2750" t="s">
        <v>16</v>
      </c>
    </row>
    <row r="2751" spans="1:7">
      <c r="A2751" s="1">
        <f>HYPERLINK("https://cms.ls-nyc.org/matter/dynamic-profile/view/1879248","18-1879248")</f>
        <v>0</v>
      </c>
      <c r="B2751" t="s">
        <v>8</v>
      </c>
      <c r="G2751" t="s">
        <v>16</v>
      </c>
    </row>
    <row r="2752" spans="1:7">
      <c r="A2752" s="1">
        <f>HYPERLINK("https://cms.ls-nyc.org/matter/dynamic-profile/view/1886113","18-1886113")</f>
        <v>0</v>
      </c>
      <c r="B2752" t="s">
        <v>8</v>
      </c>
      <c r="F2752" t="s">
        <v>15</v>
      </c>
      <c r="G2752" t="s">
        <v>17</v>
      </c>
    </row>
    <row r="2753" spans="1:7">
      <c r="A2753" s="1">
        <f>HYPERLINK("https://cms.ls-nyc.org/matter/dynamic-profile/view/1879151","18-1879151")</f>
        <v>0</v>
      </c>
      <c r="B2753" t="s">
        <v>9</v>
      </c>
      <c r="G2753" t="s">
        <v>16</v>
      </c>
    </row>
    <row r="2754" spans="1:7">
      <c r="A2754" s="1">
        <f>HYPERLINK("https://cms.ls-nyc.org/matter/dynamic-profile/view/1885352","18-1885352")</f>
        <v>0</v>
      </c>
      <c r="B2754" t="s">
        <v>11</v>
      </c>
      <c r="G2754" t="s">
        <v>16</v>
      </c>
    </row>
    <row r="2755" spans="1:7">
      <c r="A2755" s="1">
        <f>HYPERLINK("https://cms.ls-nyc.org/matter/dynamic-profile/view/1893680","19-1893680")</f>
        <v>0</v>
      </c>
      <c r="B2755" t="s">
        <v>10</v>
      </c>
      <c r="G2755" t="s">
        <v>16</v>
      </c>
    </row>
    <row r="2756" spans="1:7">
      <c r="A2756" s="1">
        <f>HYPERLINK("https://cms.ls-nyc.org/matter/dynamic-profile/view/1874893","18-1874893")</f>
        <v>0</v>
      </c>
      <c r="B2756" t="s">
        <v>7</v>
      </c>
      <c r="G2756" t="s">
        <v>16</v>
      </c>
    </row>
    <row r="2757" spans="1:7">
      <c r="A2757" s="1">
        <f>HYPERLINK("https://cms.ls-nyc.org/matter/dynamic-profile/view/1881779","18-1881779")</f>
        <v>0</v>
      </c>
      <c r="B2757" t="s">
        <v>8</v>
      </c>
      <c r="G2757" t="s">
        <v>16</v>
      </c>
    </row>
    <row r="2758" spans="1:7">
      <c r="A2758" s="1">
        <f>HYPERLINK("https://cms.ls-nyc.org/matter/dynamic-profile/view/1883435","18-1883435")</f>
        <v>0</v>
      </c>
      <c r="B2758" t="s">
        <v>9</v>
      </c>
      <c r="G2758" t="s">
        <v>16</v>
      </c>
    </row>
    <row r="2759" spans="1:7">
      <c r="A2759" s="1">
        <f>HYPERLINK("https://cms.ls-nyc.org/matter/dynamic-profile/view/1892720","19-1892720")</f>
        <v>0</v>
      </c>
      <c r="B2759" t="s">
        <v>11</v>
      </c>
      <c r="G2759" t="s">
        <v>16</v>
      </c>
    </row>
    <row r="2760" spans="1:7">
      <c r="A2760" s="1">
        <f>HYPERLINK("https://cms.ls-nyc.org/matter/dynamic-profile/view/1894498","19-1894498")</f>
        <v>0</v>
      </c>
      <c r="B2760" t="s">
        <v>9</v>
      </c>
      <c r="F2760" t="s">
        <v>15</v>
      </c>
      <c r="G2760" t="s">
        <v>17</v>
      </c>
    </row>
    <row r="2761" spans="1:7">
      <c r="A2761" s="1">
        <f>HYPERLINK("https://cms.ls-nyc.org/matter/dynamic-profile/view/1894488","19-1894488")</f>
        <v>0</v>
      </c>
      <c r="B2761" t="s">
        <v>9</v>
      </c>
      <c r="F2761" t="s">
        <v>15</v>
      </c>
      <c r="G2761" t="s">
        <v>17</v>
      </c>
    </row>
    <row r="2762" spans="1:7">
      <c r="A2762" s="1">
        <f>HYPERLINK("https://cms.ls-nyc.org/matter/dynamic-profile/view/1900478","19-1900478")</f>
        <v>0</v>
      </c>
      <c r="B2762" t="s">
        <v>11</v>
      </c>
      <c r="G2762" t="s">
        <v>16</v>
      </c>
    </row>
    <row r="2763" spans="1:7">
      <c r="A2763" s="1">
        <f>HYPERLINK("https://cms.ls-nyc.org/matter/dynamic-profile/view/1877335","18-1877335")</f>
        <v>0</v>
      </c>
      <c r="B2763" t="s">
        <v>11</v>
      </c>
      <c r="F2763" t="s">
        <v>15</v>
      </c>
      <c r="G2763" t="s">
        <v>17</v>
      </c>
    </row>
    <row r="2764" spans="1:7">
      <c r="A2764" s="1">
        <f>HYPERLINK("https://cms.ls-nyc.org/matter/dynamic-profile/view/1883805","18-1883805")</f>
        <v>0</v>
      </c>
      <c r="B2764" t="s">
        <v>8</v>
      </c>
      <c r="G2764" t="s">
        <v>16</v>
      </c>
    </row>
    <row r="2765" spans="1:7">
      <c r="A2765" s="1">
        <f>HYPERLINK("https://cms.ls-nyc.org/matter/dynamic-profile/view/1873600","18-1873600")</f>
        <v>0</v>
      </c>
      <c r="B2765" t="s">
        <v>11</v>
      </c>
      <c r="F2765" t="s">
        <v>15</v>
      </c>
      <c r="G2765" t="s">
        <v>17</v>
      </c>
    </row>
    <row r="2766" spans="1:7">
      <c r="A2766" s="1">
        <f>HYPERLINK("https://cms.ls-nyc.org/matter/dynamic-profile/view/1875383","18-1875383")</f>
        <v>0</v>
      </c>
      <c r="B2766" t="s">
        <v>8</v>
      </c>
      <c r="G2766" t="s">
        <v>16</v>
      </c>
    </row>
    <row r="2767" spans="1:7">
      <c r="A2767" s="1">
        <f>HYPERLINK("https://cms.ls-nyc.org/matter/dynamic-profile/view/1900658","19-1900658")</f>
        <v>0</v>
      </c>
      <c r="B2767" t="s">
        <v>8</v>
      </c>
      <c r="G2767" t="s">
        <v>16</v>
      </c>
    </row>
    <row r="2768" spans="1:7">
      <c r="A2768" s="1">
        <f>HYPERLINK("https://cms.ls-nyc.org/matter/dynamic-profile/view/1895319","19-1895319")</f>
        <v>0</v>
      </c>
      <c r="B2768" t="s">
        <v>8</v>
      </c>
      <c r="G2768" t="s">
        <v>16</v>
      </c>
    </row>
    <row r="2769" spans="1:7">
      <c r="A2769" s="1">
        <f>HYPERLINK("https://cms.ls-nyc.org/matter/dynamic-profile/view/1898207","19-1898207")</f>
        <v>0</v>
      </c>
      <c r="B2769" t="s">
        <v>8</v>
      </c>
      <c r="F2769" t="s">
        <v>15</v>
      </c>
      <c r="G2769" t="s">
        <v>17</v>
      </c>
    </row>
    <row r="2770" spans="1:7">
      <c r="A2770" s="1">
        <f>HYPERLINK("https://cms.ls-nyc.org/matter/dynamic-profile/view/1893833","19-1893833")</f>
        <v>0</v>
      </c>
      <c r="B2770" t="s">
        <v>9</v>
      </c>
      <c r="G2770" t="s">
        <v>16</v>
      </c>
    </row>
    <row r="2771" spans="1:7">
      <c r="A2771" s="1">
        <f>HYPERLINK("https://cms.ls-nyc.org/matter/dynamic-profile/view/1877223","18-1877223")</f>
        <v>0</v>
      </c>
      <c r="B2771" t="s">
        <v>8</v>
      </c>
      <c r="G2771" t="s">
        <v>16</v>
      </c>
    </row>
    <row r="2772" spans="1:7">
      <c r="A2772" s="1">
        <f>HYPERLINK("https://cms.ls-nyc.org/matter/dynamic-profile/view/1885272","18-1885272")</f>
        <v>0</v>
      </c>
      <c r="B2772" t="s">
        <v>11</v>
      </c>
      <c r="G2772" t="s">
        <v>16</v>
      </c>
    </row>
    <row r="2773" spans="1:7">
      <c r="A2773" s="1">
        <f>HYPERLINK("https://cms.ls-nyc.org/matter/dynamic-profile/view/1873364","18-1873364")</f>
        <v>0</v>
      </c>
      <c r="B2773" t="s">
        <v>8</v>
      </c>
      <c r="G2773" t="s">
        <v>16</v>
      </c>
    </row>
    <row r="2774" spans="1:7">
      <c r="A2774" s="1">
        <f>HYPERLINK("https://cms.ls-nyc.org/matter/dynamic-profile/view/1887628","19-1887628")</f>
        <v>0</v>
      </c>
      <c r="B2774" t="s">
        <v>8</v>
      </c>
      <c r="G2774" t="s">
        <v>16</v>
      </c>
    </row>
    <row r="2775" spans="1:7">
      <c r="A2775" s="1">
        <f>HYPERLINK("https://cms.ls-nyc.org/matter/dynamic-profile/view/1876998","18-1876998")</f>
        <v>0</v>
      </c>
      <c r="B2775" t="s">
        <v>8</v>
      </c>
      <c r="G2775" t="s">
        <v>16</v>
      </c>
    </row>
    <row r="2776" spans="1:7">
      <c r="A2776" s="1">
        <f>HYPERLINK("https://cms.ls-nyc.org/matter/dynamic-profile/view/1897522","19-1897522")</f>
        <v>0</v>
      </c>
      <c r="B2776" t="s">
        <v>8</v>
      </c>
      <c r="E2776" t="s">
        <v>14</v>
      </c>
      <c r="F2776" t="s">
        <v>15</v>
      </c>
      <c r="G2776" t="s">
        <v>17</v>
      </c>
    </row>
    <row r="2777" spans="1:7">
      <c r="A2777" s="1">
        <f>HYPERLINK("https://cms.ls-nyc.org/matter/dynamic-profile/view/1897526","19-1897526")</f>
        <v>0</v>
      </c>
      <c r="B2777" t="s">
        <v>8</v>
      </c>
      <c r="E2777" t="s">
        <v>14</v>
      </c>
      <c r="F2777" t="s">
        <v>15</v>
      </c>
      <c r="G2777" t="s">
        <v>17</v>
      </c>
    </row>
    <row r="2778" spans="1:7">
      <c r="A2778" s="1">
        <f>HYPERLINK("https://cms.ls-nyc.org/matter/dynamic-profile/view/1897399","19-1897399")</f>
        <v>0</v>
      </c>
      <c r="B2778" t="s">
        <v>8</v>
      </c>
      <c r="E2778" t="s">
        <v>14</v>
      </c>
      <c r="F2778" t="s">
        <v>15</v>
      </c>
      <c r="G2778" t="s">
        <v>17</v>
      </c>
    </row>
    <row r="2779" spans="1:7">
      <c r="A2779" s="1">
        <f>HYPERLINK("https://cms.ls-nyc.org/matter/dynamic-profile/view/1898976","19-1898976")</f>
        <v>0</v>
      </c>
      <c r="B2779" t="s">
        <v>8</v>
      </c>
      <c r="E2779" t="s">
        <v>14</v>
      </c>
      <c r="F2779" t="s">
        <v>15</v>
      </c>
      <c r="G2779" t="s">
        <v>17</v>
      </c>
    </row>
    <row r="2780" spans="1:7">
      <c r="A2780" s="1">
        <f>HYPERLINK("https://cms.ls-nyc.org/matter/dynamic-profile/view/1897400","19-1897400")</f>
        <v>0</v>
      </c>
      <c r="B2780" t="s">
        <v>8</v>
      </c>
      <c r="E2780" t="s">
        <v>14</v>
      </c>
      <c r="F2780" t="s">
        <v>15</v>
      </c>
      <c r="G2780" t="s">
        <v>17</v>
      </c>
    </row>
    <row r="2781" spans="1:7">
      <c r="A2781" s="1">
        <f>HYPERLINK("https://cms.ls-nyc.org/matter/dynamic-profile/view/1898979","19-1898979")</f>
        <v>0</v>
      </c>
      <c r="B2781" t="s">
        <v>8</v>
      </c>
      <c r="E2781" t="s">
        <v>14</v>
      </c>
      <c r="F2781" t="s">
        <v>15</v>
      </c>
      <c r="G2781" t="s">
        <v>17</v>
      </c>
    </row>
    <row r="2782" spans="1:7">
      <c r="A2782" s="1">
        <f>HYPERLINK("https://cms.ls-nyc.org/matter/dynamic-profile/view/1897366","19-1897366")</f>
        <v>0</v>
      </c>
      <c r="B2782" t="s">
        <v>8</v>
      </c>
      <c r="F2782" t="s">
        <v>15</v>
      </c>
      <c r="G2782" t="s">
        <v>17</v>
      </c>
    </row>
    <row r="2783" spans="1:7">
      <c r="A2783" s="1">
        <f>HYPERLINK("https://cms.ls-nyc.org/matter/dynamic-profile/view/1900745","19-1900745")</f>
        <v>0</v>
      </c>
      <c r="B2783" t="s">
        <v>8</v>
      </c>
      <c r="F2783" t="s">
        <v>15</v>
      </c>
      <c r="G2783" t="s">
        <v>17</v>
      </c>
    </row>
    <row r="2784" spans="1:7">
      <c r="A2784" s="1">
        <f>HYPERLINK("https://cms.ls-nyc.org/matter/dynamic-profile/view/1901259","19-1901259")</f>
        <v>0</v>
      </c>
      <c r="B2784" t="s">
        <v>8</v>
      </c>
      <c r="C2784" t="s">
        <v>12</v>
      </c>
      <c r="F2784" t="s">
        <v>15</v>
      </c>
      <c r="G2784" t="s">
        <v>17</v>
      </c>
    </row>
    <row r="2785" spans="1:7">
      <c r="A2785" s="1">
        <f>HYPERLINK("https://cms.ls-nyc.org/matter/dynamic-profile/view/1895371","19-1895371")</f>
        <v>0</v>
      </c>
      <c r="B2785" t="s">
        <v>8</v>
      </c>
      <c r="C2785" t="s">
        <v>12</v>
      </c>
      <c r="E2785" t="s">
        <v>14</v>
      </c>
      <c r="G2785" t="s">
        <v>17</v>
      </c>
    </row>
    <row r="2786" spans="1:7">
      <c r="A2786" s="1">
        <f>HYPERLINK("https://cms.ls-nyc.org/matter/dynamic-profile/view/1874834","18-1874834")</f>
        <v>0</v>
      </c>
      <c r="B2786" t="s">
        <v>11</v>
      </c>
      <c r="E2786" t="s">
        <v>14</v>
      </c>
      <c r="F2786" t="s">
        <v>15</v>
      </c>
      <c r="G2786" t="s">
        <v>17</v>
      </c>
    </row>
    <row r="2787" spans="1:7">
      <c r="A2787" s="1">
        <f>HYPERLINK("https://cms.ls-nyc.org/matter/dynamic-profile/view/1884559","18-1884559")</f>
        <v>0</v>
      </c>
      <c r="B2787" t="s">
        <v>8</v>
      </c>
      <c r="F2787" t="s">
        <v>15</v>
      </c>
      <c r="G2787" t="s">
        <v>17</v>
      </c>
    </row>
    <row r="2788" spans="1:7">
      <c r="A2788" s="1">
        <f>HYPERLINK("https://cms.ls-nyc.org/matter/dynamic-profile/view/1887343","19-1887343")</f>
        <v>0</v>
      </c>
      <c r="B2788" t="s">
        <v>8</v>
      </c>
      <c r="G2788" t="s">
        <v>16</v>
      </c>
    </row>
    <row r="2789" spans="1:7">
      <c r="A2789" s="1">
        <f>HYPERLINK("https://cms.ls-nyc.org/matter/dynamic-profile/view/1870630","18-1870630")</f>
        <v>0</v>
      </c>
      <c r="B2789" t="s">
        <v>11</v>
      </c>
      <c r="G2789" t="s">
        <v>16</v>
      </c>
    </row>
    <row r="2790" spans="1:7">
      <c r="A2790" s="1">
        <f>HYPERLINK("https://cms.ls-nyc.org/matter/dynamic-profile/view/1834332","17-1834332")</f>
        <v>0</v>
      </c>
      <c r="B2790" t="s">
        <v>11</v>
      </c>
      <c r="D2790" t="s">
        <v>13</v>
      </c>
      <c r="E2790" t="s">
        <v>14</v>
      </c>
      <c r="G2790" t="s">
        <v>17</v>
      </c>
    </row>
    <row r="2791" spans="1:7">
      <c r="A2791" s="1">
        <f>HYPERLINK("https://cms.ls-nyc.org/matter/dynamic-profile/view/1889002","19-1889002")</f>
        <v>0</v>
      </c>
      <c r="B2791" t="s">
        <v>11</v>
      </c>
      <c r="G2791" t="s">
        <v>16</v>
      </c>
    </row>
    <row r="2792" spans="1:7">
      <c r="A2792" s="1">
        <f>HYPERLINK("https://cms.ls-nyc.org/matter/dynamic-profile/view/1889884","19-1889884")</f>
        <v>0</v>
      </c>
      <c r="B2792" t="s">
        <v>7</v>
      </c>
      <c r="G2792" t="s">
        <v>16</v>
      </c>
    </row>
    <row r="2793" spans="1:7">
      <c r="A2793" s="1">
        <f>HYPERLINK("https://cms.ls-nyc.org/matter/dynamic-profile/view/1839710","17-1839710")</f>
        <v>0</v>
      </c>
      <c r="B2793" t="s">
        <v>10</v>
      </c>
      <c r="G2793" t="s">
        <v>16</v>
      </c>
    </row>
    <row r="2794" spans="1:7">
      <c r="A2794" s="1">
        <f>HYPERLINK("https://cms.ls-nyc.org/matter/dynamic-profile/view/1895618","19-1895618")</f>
        <v>0</v>
      </c>
      <c r="B2794" t="s">
        <v>8</v>
      </c>
      <c r="F2794" t="s">
        <v>15</v>
      </c>
      <c r="G2794" t="s">
        <v>17</v>
      </c>
    </row>
    <row r="2795" spans="1:7">
      <c r="A2795" s="1">
        <f>HYPERLINK("https://cms.ls-nyc.org/matter/dynamic-profile/view/1865917","18-1865917")</f>
        <v>0</v>
      </c>
      <c r="B2795" t="s">
        <v>8</v>
      </c>
      <c r="G2795" t="s">
        <v>16</v>
      </c>
    </row>
    <row r="2796" spans="1:7">
      <c r="A2796" s="1">
        <f>HYPERLINK("https://cms.ls-nyc.org/matter/dynamic-profile/view/1889859","19-1889859")</f>
        <v>0</v>
      </c>
      <c r="B2796" t="s">
        <v>9</v>
      </c>
      <c r="G2796" t="s">
        <v>16</v>
      </c>
    </row>
    <row r="2797" spans="1:7">
      <c r="A2797" s="1">
        <f>HYPERLINK("https://cms.ls-nyc.org/matter/dynamic-profile/view/1875358","18-1875358")</f>
        <v>0</v>
      </c>
      <c r="B2797" t="s">
        <v>11</v>
      </c>
      <c r="G2797" t="s">
        <v>16</v>
      </c>
    </row>
    <row r="2798" spans="1:7">
      <c r="A2798" s="1">
        <f>HYPERLINK("https://cms.ls-nyc.org/matter/dynamic-profile/view/1892392","19-1892392")</f>
        <v>0</v>
      </c>
      <c r="B2798" t="s">
        <v>7</v>
      </c>
      <c r="F2798" t="s">
        <v>15</v>
      </c>
      <c r="G2798" t="s">
        <v>17</v>
      </c>
    </row>
    <row r="2799" spans="1:7">
      <c r="A2799" s="1">
        <f>HYPERLINK("https://cms.ls-nyc.org/matter/dynamic-profile/view/1890108","19-1890108")</f>
        <v>0</v>
      </c>
      <c r="B2799" t="s">
        <v>8</v>
      </c>
      <c r="G2799" t="s">
        <v>16</v>
      </c>
    </row>
    <row r="2800" spans="1:7">
      <c r="A2800" s="1">
        <f>HYPERLINK("https://cms.ls-nyc.org/matter/dynamic-profile/view/1892453","19-1892453")</f>
        <v>0</v>
      </c>
      <c r="B2800" t="s">
        <v>9</v>
      </c>
      <c r="G2800" t="s">
        <v>16</v>
      </c>
    </row>
    <row r="2801" spans="1:7">
      <c r="A2801" s="1">
        <f>HYPERLINK("https://cms.ls-nyc.org/matter/dynamic-profile/view/1894102","19-1894102")</f>
        <v>0</v>
      </c>
      <c r="B2801" t="s">
        <v>9</v>
      </c>
      <c r="G2801" t="s">
        <v>16</v>
      </c>
    </row>
    <row r="2802" spans="1:7">
      <c r="A2802" s="1">
        <f>HYPERLINK("https://cms.ls-nyc.org/matter/dynamic-profile/view/1892162","19-1892162")</f>
        <v>0</v>
      </c>
      <c r="B2802" t="s">
        <v>9</v>
      </c>
      <c r="G2802" t="s">
        <v>16</v>
      </c>
    </row>
    <row r="2803" spans="1:7">
      <c r="A2803" s="1">
        <f>HYPERLINK("https://cms.ls-nyc.org/matter/dynamic-profile/view/1894099","19-1894099")</f>
        <v>0</v>
      </c>
      <c r="B2803" t="s">
        <v>9</v>
      </c>
      <c r="G2803" t="s">
        <v>16</v>
      </c>
    </row>
    <row r="2804" spans="1:7">
      <c r="A2804" s="1">
        <f>HYPERLINK("https://cms.ls-nyc.org/matter/dynamic-profile/view/1901251","19-1901251")</f>
        <v>0</v>
      </c>
      <c r="B2804" t="s">
        <v>11</v>
      </c>
      <c r="G2804" t="s">
        <v>16</v>
      </c>
    </row>
    <row r="2805" spans="1:7">
      <c r="A2805" s="1">
        <f>HYPERLINK("https://cms.ls-nyc.org/matter/dynamic-profile/view/1892379","19-1892379")</f>
        <v>0</v>
      </c>
      <c r="B2805" t="s">
        <v>11</v>
      </c>
      <c r="G2805" t="s">
        <v>16</v>
      </c>
    </row>
    <row r="2806" spans="1:7">
      <c r="A2806" s="1">
        <f>HYPERLINK("https://cms.ls-nyc.org/matter/dynamic-profile/view/1893591","19-1893591")</f>
        <v>0</v>
      </c>
      <c r="B2806" t="s">
        <v>11</v>
      </c>
      <c r="F2806" t="s">
        <v>15</v>
      </c>
      <c r="G2806" t="s">
        <v>17</v>
      </c>
    </row>
    <row r="2807" spans="1:7">
      <c r="A2807" s="1">
        <f>HYPERLINK("https://cms.ls-nyc.org/matter/dynamic-profile/view/1887611","19-1887611")</f>
        <v>0</v>
      </c>
      <c r="B2807" t="s">
        <v>8</v>
      </c>
      <c r="G2807" t="s">
        <v>16</v>
      </c>
    </row>
    <row r="2808" spans="1:7">
      <c r="A2808" s="1">
        <f>HYPERLINK("https://cms.ls-nyc.org/matter/dynamic-profile/view/1885019","18-1885019")</f>
        <v>0</v>
      </c>
      <c r="B2808" t="s">
        <v>8</v>
      </c>
      <c r="G2808" t="s">
        <v>16</v>
      </c>
    </row>
    <row r="2809" spans="1:7">
      <c r="A2809" s="1">
        <f>HYPERLINK("https://cms.ls-nyc.org/matter/dynamic-profile/view/1876080","18-1876080")</f>
        <v>0</v>
      </c>
      <c r="B2809" t="s">
        <v>8</v>
      </c>
      <c r="G2809" t="s">
        <v>16</v>
      </c>
    </row>
    <row r="2810" spans="1:7">
      <c r="A2810" s="1">
        <f>HYPERLINK("https://cms.ls-nyc.org/matter/dynamic-profile/view/1885016","18-1885016")</f>
        <v>0</v>
      </c>
      <c r="B2810" t="s">
        <v>8</v>
      </c>
      <c r="G2810" t="s">
        <v>16</v>
      </c>
    </row>
    <row r="2811" spans="1:7">
      <c r="A2811" s="1">
        <f>HYPERLINK("https://cms.ls-nyc.org/matter/dynamic-profile/view/1888002","19-1888002")</f>
        <v>0</v>
      </c>
      <c r="B2811" t="s">
        <v>11</v>
      </c>
      <c r="G2811" t="s">
        <v>16</v>
      </c>
    </row>
    <row r="2812" spans="1:7">
      <c r="A2812" s="1">
        <f>HYPERLINK("https://cms.ls-nyc.org/matter/dynamic-profile/view/1873837","18-1873837")</f>
        <v>0</v>
      </c>
      <c r="B2812" t="s">
        <v>11</v>
      </c>
      <c r="G2812" t="s">
        <v>16</v>
      </c>
    </row>
    <row r="2813" spans="1:7">
      <c r="A2813" s="1">
        <f>HYPERLINK("https://cms.ls-nyc.org/matter/dynamic-profile/view/1877136","18-1877136")</f>
        <v>0</v>
      </c>
      <c r="B2813" t="s">
        <v>8</v>
      </c>
      <c r="G2813" t="s">
        <v>16</v>
      </c>
    </row>
    <row r="2814" spans="1:7">
      <c r="A2814" s="1">
        <f>HYPERLINK("https://cms.ls-nyc.org/matter/dynamic-profile/view/1886105","18-1886105")</f>
        <v>0</v>
      </c>
      <c r="B2814" t="s">
        <v>11</v>
      </c>
      <c r="G2814" t="s">
        <v>16</v>
      </c>
    </row>
    <row r="2815" spans="1:7">
      <c r="A2815" s="1">
        <f>HYPERLINK("https://cms.ls-nyc.org/matter/dynamic-profile/view/1891677","19-1891677")</f>
        <v>0</v>
      </c>
      <c r="B2815" t="s">
        <v>9</v>
      </c>
      <c r="G2815" t="s">
        <v>16</v>
      </c>
    </row>
    <row r="2816" spans="1:7">
      <c r="A2816" s="1">
        <f>HYPERLINK("https://cms.ls-nyc.org/matter/dynamic-profile/view/1873125","18-1873125")</f>
        <v>0</v>
      </c>
      <c r="B2816" t="s">
        <v>8</v>
      </c>
      <c r="G2816" t="s">
        <v>16</v>
      </c>
    </row>
    <row r="2817" spans="1:7">
      <c r="A2817" s="1">
        <f>HYPERLINK("https://cms.ls-nyc.org/matter/dynamic-profile/view/1878601","18-1878601")</f>
        <v>0</v>
      </c>
      <c r="B2817" t="s">
        <v>8</v>
      </c>
      <c r="G2817" t="s">
        <v>16</v>
      </c>
    </row>
    <row r="2818" spans="1:7">
      <c r="A2818" s="1">
        <f>HYPERLINK("https://cms.ls-nyc.org/matter/dynamic-profile/view/1878609","18-1878609")</f>
        <v>0</v>
      </c>
      <c r="B2818" t="s">
        <v>8</v>
      </c>
      <c r="G2818" t="s">
        <v>16</v>
      </c>
    </row>
    <row r="2819" spans="1:7">
      <c r="A2819" s="1">
        <f>HYPERLINK("https://cms.ls-nyc.org/matter/dynamic-profile/view/1876272","18-1876272")</f>
        <v>0</v>
      </c>
      <c r="B2819" t="s">
        <v>8</v>
      </c>
      <c r="G2819" t="s">
        <v>16</v>
      </c>
    </row>
    <row r="2820" spans="1:7">
      <c r="A2820" s="1">
        <f>HYPERLINK("https://cms.ls-nyc.org/matter/dynamic-profile/view/1876634","18-1876634")</f>
        <v>0</v>
      </c>
      <c r="B2820" t="s">
        <v>9</v>
      </c>
      <c r="G2820" t="s">
        <v>16</v>
      </c>
    </row>
    <row r="2821" spans="1:7">
      <c r="A2821" s="1">
        <f>HYPERLINK("https://cms.ls-nyc.org/matter/dynamic-profile/view/1887945","19-1887945")</f>
        <v>0</v>
      </c>
      <c r="B2821" t="s">
        <v>11</v>
      </c>
      <c r="G2821" t="s">
        <v>16</v>
      </c>
    </row>
    <row r="2822" spans="1:7">
      <c r="A2822" s="1">
        <f>HYPERLINK("https://cms.ls-nyc.org/matter/dynamic-profile/view/1876353","18-1876353")</f>
        <v>0</v>
      </c>
      <c r="B2822" t="s">
        <v>11</v>
      </c>
      <c r="G2822" t="s">
        <v>16</v>
      </c>
    </row>
    <row r="2823" spans="1:7">
      <c r="A2823" s="1">
        <f>HYPERLINK("https://cms.ls-nyc.org/matter/dynamic-profile/view/1885655","18-1885655")</f>
        <v>0</v>
      </c>
      <c r="B2823" t="s">
        <v>9</v>
      </c>
      <c r="G2823" t="s">
        <v>16</v>
      </c>
    </row>
    <row r="2824" spans="1:7">
      <c r="A2824" s="1">
        <f>HYPERLINK("https://cms.ls-nyc.org/matter/dynamic-profile/view/1874324","18-1874324")</f>
        <v>0</v>
      </c>
      <c r="B2824" t="s">
        <v>11</v>
      </c>
      <c r="G2824" t="s">
        <v>16</v>
      </c>
    </row>
    <row r="2825" spans="1:7">
      <c r="A2825" s="1">
        <f>HYPERLINK("https://cms.ls-nyc.org/matter/dynamic-profile/view/1883152","18-1883152")</f>
        <v>0</v>
      </c>
      <c r="B2825" t="s">
        <v>8</v>
      </c>
      <c r="G2825" t="s">
        <v>16</v>
      </c>
    </row>
    <row r="2826" spans="1:7">
      <c r="A2826" s="1">
        <f>HYPERLINK("https://cms.ls-nyc.org/matter/dynamic-profile/view/1872240","18-1872240")</f>
        <v>0</v>
      </c>
      <c r="B2826" t="s">
        <v>11</v>
      </c>
      <c r="G2826" t="s">
        <v>16</v>
      </c>
    </row>
    <row r="2827" spans="1:7">
      <c r="A2827" s="1">
        <f>HYPERLINK("https://cms.ls-nyc.org/matter/dynamic-profile/view/1857079","18-1857079")</f>
        <v>0</v>
      </c>
      <c r="B2827" t="s">
        <v>9</v>
      </c>
      <c r="E2827" t="s">
        <v>14</v>
      </c>
      <c r="G2827" t="s">
        <v>17</v>
      </c>
    </row>
    <row r="2828" spans="1:7">
      <c r="A2828" s="1">
        <f>HYPERLINK("https://cms.ls-nyc.org/matter/dynamic-profile/view/1877590","18-1877590")</f>
        <v>0</v>
      </c>
      <c r="B2828" t="s">
        <v>8</v>
      </c>
      <c r="G2828" t="s">
        <v>16</v>
      </c>
    </row>
    <row r="2829" spans="1:7">
      <c r="A2829" s="1">
        <f>HYPERLINK("https://cms.ls-nyc.org/matter/dynamic-profile/view/1891654","19-1891654")</f>
        <v>0</v>
      </c>
      <c r="B2829" t="s">
        <v>8</v>
      </c>
      <c r="C2829" t="s">
        <v>12</v>
      </c>
      <c r="E2829" t="s">
        <v>14</v>
      </c>
      <c r="G2829" t="s">
        <v>17</v>
      </c>
    </row>
    <row r="2830" spans="1:7">
      <c r="A2830" s="1">
        <f>HYPERLINK("https://cms.ls-nyc.org/matter/dynamic-profile/view/1892142","19-1892142")</f>
        <v>0</v>
      </c>
      <c r="B2830" t="s">
        <v>11</v>
      </c>
      <c r="G2830" t="s">
        <v>16</v>
      </c>
    </row>
    <row r="2831" spans="1:7">
      <c r="A2831" s="1">
        <f>HYPERLINK("https://cms.ls-nyc.org/matter/dynamic-profile/view/1874321","18-1874321")</f>
        <v>0</v>
      </c>
      <c r="B2831" t="s">
        <v>11</v>
      </c>
      <c r="G2831" t="s">
        <v>16</v>
      </c>
    </row>
    <row r="2832" spans="1:7">
      <c r="A2832" s="1">
        <f>HYPERLINK("https://cms.ls-nyc.org/matter/dynamic-profile/view/1887511","19-1887511")</f>
        <v>0</v>
      </c>
      <c r="B2832" t="s">
        <v>8</v>
      </c>
      <c r="D2832" t="s">
        <v>13</v>
      </c>
      <c r="G2832" t="s">
        <v>17</v>
      </c>
    </row>
    <row r="2833" spans="1:7">
      <c r="A2833" s="1">
        <f>HYPERLINK("https://cms.ls-nyc.org/matter/dynamic-profile/view/1887516","19-1887516")</f>
        <v>0</v>
      </c>
      <c r="B2833" t="s">
        <v>8</v>
      </c>
      <c r="G2833" t="s">
        <v>16</v>
      </c>
    </row>
    <row r="2834" spans="1:7">
      <c r="A2834" s="1">
        <f>HYPERLINK("https://cms.ls-nyc.org/matter/dynamic-profile/view/1887518","19-1887518")</f>
        <v>0</v>
      </c>
      <c r="B2834" t="s">
        <v>8</v>
      </c>
      <c r="G2834" t="s">
        <v>16</v>
      </c>
    </row>
    <row r="2835" spans="1:7">
      <c r="A2835" s="1">
        <f>HYPERLINK("https://cms.ls-nyc.org/matter/dynamic-profile/view/1865688","18-1865688")</f>
        <v>0</v>
      </c>
      <c r="B2835" t="s">
        <v>8</v>
      </c>
      <c r="F2835" t="s">
        <v>15</v>
      </c>
      <c r="G2835" t="s">
        <v>17</v>
      </c>
    </row>
    <row r="2836" spans="1:7">
      <c r="A2836" s="1">
        <f>HYPERLINK("https://cms.ls-nyc.org/matter/dynamic-profile/view/1885876","18-1885876")</f>
        <v>0</v>
      </c>
      <c r="B2836" t="s">
        <v>9</v>
      </c>
      <c r="G2836" t="s">
        <v>16</v>
      </c>
    </row>
    <row r="2837" spans="1:7">
      <c r="A2837" s="1">
        <f>HYPERLINK("https://cms.ls-nyc.org/matter/dynamic-profile/view/1877657","18-1877657")</f>
        <v>0</v>
      </c>
      <c r="B2837" t="s">
        <v>9</v>
      </c>
      <c r="F2837" t="s">
        <v>15</v>
      </c>
      <c r="G2837" t="s">
        <v>17</v>
      </c>
    </row>
    <row r="2838" spans="1:7">
      <c r="A2838" s="1">
        <f>HYPERLINK("https://cms.ls-nyc.org/matter/dynamic-profile/view/1874178","18-1874178")</f>
        <v>0</v>
      </c>
      <c r="B2838" t="s">
        <v>11</v>
      </c>
      <c r="G2838" t="s">
        <v>16</v>
      </c>
    </row>
    <row r="2839" spans="1:7">
      <c r="A2839" s="1">
        <f>HYPERLINK("https://cms.ls-nyc.org/matter/dynamic-profile/view/1897191","19-1897191")</f>
        <v>0</v>
      </c>
      <c r="B2839" t="s">
        <v>11</v>
      </c>
      <c r="F2839" t="s">
        <v>15</v>
      </c>
      <c r="G2839" t="s">
        <v>17</v>
      </c>
    </row>
    <row r="2840" spans="1:7">
      <c r="A2840" s="1">
        <f>HYPERLINK("https://cms.ls-nyc.org/matter/dynamic-profile/view/1875257","18-1875257")</f>
        <v>0</v>
      </c>
      <c r="B2840" t="s">
        <v>9</v>
      </c>
      <c r="G2840" t="s">
        <v>16</v>
      </c>
    </row>
    <row r="2841" spans="1:7">
      <c r="A2841" s="1">
        <f>HYPERLINK("https://cms.ls-nyc.org/matter/dynamic-profile/view/1878846","18-1878846")</f>
        <v>0</v>
      </c>
      <c r="B2841" t="s">
        <v>11</v>
      </c>
      <c r="G2841" t="s">
        <v>16</v>
      </c>
    </row>
    <row r="2842" spans="1:7">
      <c r="A2842" s="1">
        <f>HYPERLINK("https://cms.ls-nyc.org/matter/dynamic-profile/view/1880467","18-1880467")</f>
        <v>0</v>
      </c>
      <c r="B2842" t="s">
        <v>9</v>
      </c>
      <c r="G2842" t="s">
        <v>16</v>
      </c>
    </row>
    <row r="2843" spans="1:7">
      <c r="A2843" s="1">
        <f>HYPERLINK("https://cms.ls-nyc.org/matter/dynamic-profile/view/1895306","19-1895306")</f>
        <v>0</v>
      </c>
      <c r="B2843" t="s">
        <v>8</v>
      </c>
      <c r="G2843" t="s">
        <v>16</v>
      </c>
    </row>
    <row r="2844" spans="1:7">
      <c r="A2844" s="1">
        <f>HYPERLINK("https://cms.ls-nyc.org/matter/dynamic-profile/view/1898323","19-1898323")</f>
        <v>0</v>
      </c>
      <c r="B2844" t="s">
        <v>8</v>
      </c>
      <c r="F2844" t="s">
        <v>15</v>
      </c>
      <c r="G2844" t="s">
        <v>17</v>
      </c>
    </row>
    <row r="2845" spans="1:7">
      <c r="A2845" s="1">
        <f>HYPERLINK("https://cms.ls-nyc.org/matter/dynamic-profile/view/1893485","19-1893485")</f>
        <v>0</v>
      </c>
      <c r="B2845" t="s">
        <v>11</v>
      </c>
      <c r="G2845" t="s">
        <v>16</v>
      </c>
    </row>
    <row r="2846" spans="1:7">
      <c r="A2846" s="1">
        <f>HYPERLINK("https://cms.ls-nyc.org/matter/dynamic-profile/view/1882922","18-1882922")</f>
        <v>0</v>
      </c>
      <c r="B2846" t="s">
        <v>11</v>
      </c>
      <c r="G2846" t="s">
        <v>16</v>
      </c>
    </row>
    <row r="2847" spans="1:7">
      <c r="A2847" s="1">
        <f>HYPERLINK("https://cms.ls-nyc.org/matter/dynamic-profile/view/1883034","18-1883034")</f>
        <v>0</v>
      </c>
      <c r="B2847" t="s">
        <v>11</v>
      </c>
      <c r="G2847" t="s">
        <v>16</v>
      </c>
    </row>
    <row r="2848" spans="1:7">
      <c r="A2848" s="1">
        <f>HYPERLINK("https://cms.ls-nyc.org/matter/dynamic-profile/view/1898838","19-1898838")</f>
        <v>0</v>
      </c>
      <c r="B2848" t="s">
        <v>8</v>
      </c>
      <c r="E2848" t="s">
        <v>14</v>
      </c>
      <c r="F2848" t="s">
        <v>15</v>
      </c>
      <c r="G2848" t="s">
        <v>17</v>
      </c>
    </row>
    <row r="2849" spans="1:7">
      <c r="A2849" s="1">
        <f>HYPERLINK("https://cms.ls-nyc.org/matter/dynamic-profile/view/1898842","19-1898842")</f>
        <v>0</v>
      </c>
      <c r="B2849" t="s">
        <v>8</v>
      </c>
      <c r="E2849" t="s">
        <v>14</v>
      </c>
      <c r="F2849" t="s">
        <v>15</v>
      </c>
      <c r="G2849" t="s">
        <v>17</v>
      </c>
    </row>
    <row r="2850" spans="1:7">
      <c r="A2850" s="1">
        <f>HYPERLINK("https://cms.ls-nyc.org/matter/dynamic-profile/view/1876666","18-1876666")</f>
        <v>0</v>
      </c>
      <c r="B2850" t="s">
        <v>9</v>
      </c>
      <c r="G2850" t="s">
        <v>16</v>
      </c>
    </row>
    <row r="2851" spans="1:7">
      <c r="A2851" s="1">
        <f>HYPERLINK("https://cms.ls-nyc.org/matter/dynamic-profile/view/1868150","18-1868150")</f>
        <v>0</v>
      </c>
      <c r="B2851" t="s">
        <v>11</v>
      </c>
      <c r="G2851" t="s">
        <v>16</v>
      </c>
    </row>
    <row r="2852" spans="1:7">
      <c r="A2852" s="1">
        <f>HYPERLINK("https://cms.ls-nyc.org/matter/dynamic-profile/view/1857538","18-1857538")</f>
        <v>0</v>
      </c>
      <c r="B2852" t="s">
        <v>9</v>
      </c>
      <c r="E2852" t="s">
        <v>14</v>
      </c>
      <c r="G2852" t="s">
        <v>17</v>
      </c>
    </row>
    <row r="2853" spans="1:7">
      <c r="A2853" s="1">
        <f>HYPERLINK("https://cms.ls-nyc.org/matter/dynamic-profile/view/1891891","19-1891891")</f>
        <v>0</v>
      </c>
      <c r="B2853" t="s">
        <v>8</v>
      </c>
      <c r="C2853" t="s">
        <v>12</v>
      </c>
      <c r="E2853" t="s">
        <v>14</v>
      </c>
      <c r="F2853" t="s">
        <v>15</v>
      </c>
      <c r="G2853" t="s">
        <v>17</v>
      </c>
    </row>
    <row r="2854" spans="1:7">
      <c r="A2854" s="1">
        <f>HYPERLINK("https://cms.ls-nyc.org/matter/dynamic-profile/view/1891899","19-1891899")</f>
        <v>0</v>
      </c>
      <c r="B2854" t="s">
        <v>8</v>
      </c>
      <c r="C2854" t="s">
        <v>12</v>
      </c>
      <c r="E2854" t="s">
        <v>14</v>
      </c>
      <c r="F2854" t="s">
        <v>15</v>
      </c>
      <c r="G2854" t="s">
        <v>17</v>
      </c>
    </row>
    <row r="2855" spans="1:7">
      <c r="A2855" s="1">
        <f>HYPERLINK("https://cms.ls-nyc.org/matter/dynamic-profile/view/1876809","18-1876809")</f>
        <v>0</v>
      </c>
      <c r="B2855" t="s">
        <v>9</v>
      </c>
      <c r="G2855" t="s">
        <v>16</v>
      </c>
    </row>
    <row r="2856" spans="1:7">
      <c r="A2856" s="1">
        <f>HYPERLINK("https://cms.ls-nyc.org/matter/dynamic-profile/view/1886106","18-1886106")</f>
        <v>0</v>
      </c>
      <c r="B2856" t="s">
        <v>9</v>
      </c>
      <c r="G2856" t="s">
        <v>16</v>
      </c>
    </row>
    <row r="2857" spans="1:7">
      <c r="A2857" s="1">
        <f>HYPERLINK("https://cms.ls-nyc.org/matter/dynamic-profile/view/1876807","18-1876807")</f>
        <v>0</v>
      </c>
      <c r="B2857" t="s">
        <v>9</v>
      </c>
      <c r="G2857" t="s">
        <v>16</v>
      </c>
    </row>
    <row r="2858" spans="1:7">
      <c r="A2858" s="1">
        <f>HYPERLINK("https://cms.ls-nyc.org/matter/dynamic-profile/view/1873190","18-1873190")</f>
        <v>0</v>
      </c>
      <c r="B2858" t="s">
        <v>11</v>
      </c>
      <c r="G2858" t="s">
        <v>16</v>
      </c>
    </row>
    <row r="2859" spans="1:7">
      <c r="A2859" s="1">
        <f>HYPERLINK("https://cms.ls-nyc.org/matter/dynamic-profile/view/1870620","18-1870620")</f>
        <v>0</v>
      </c>
      <c r="B2859" t="s">
        <v>8</v>
      </c>
      <c r="G2859" t="s">
        <v>16</v>
      </c>
    </row>
    <row r="2860" spans="1:7">
      <c r="A2860" s="1">
        <f>HYPERLINK("https://cms.ls-nyc.org/matter/dynamic-profile/view/1875686","18-1875686")</f>
        <v>0</v>
      </c>
      <c r="B2860" t="s">
        <v>8</v>
      </c>
      <c r="G2860" t="s">
        <v>16</v>
      </c>
    </row>
    <row r="2861" spans="1:7">
      <c r="A2861" s="1">
        <f>HYPERLINK("https://cms.ls-nyc.org/matter/dynamic-profile/view/1889983","19-1889983")</f>
        <v>0</v>
      </c>
      <c r="B2861" t="s">
        <v>9</v>
      </c>
      <c r="G2861" t="s">
        <v>16</v>
      </c>
    </row>
    <row r="2862" spans="1:7">
      <c r="A2862" s="1">
        <f>HYPERLINK("https://cms.ls-nyc.org/matter/dynamic-profile/view/1889981","19-1889981")</f>
        <v>0</v>
      </c>
      <c r="B2862" t="s">
        <v>9</v>
      </c>
      <c r="G2862" t="s">
        <v>16</v>
      </c>
    </row>
    <row r="2863" spans="1:7">
      <c r="A2863" s="1">
        <f>HYPERLINK("https://cms.ls-nyc.org/matter/dynamic-profile/view/1897609","19-1897609")</f>
        <v>0</v>
      </c>
      <c r="B2863" t="s">
        <v>8</v>
      </c>
      <c r="E2863" t="s">
        <v>14</v>
      </c>
      <c r="F2863" t="s">
        <v>15</v>
      </c>
      <c r="G2863" t="s">
        <v>17</v>
      </c>
    </row>
    <row r="2864" spans="1:7">
      <c r="A2864" s="1">
        <f>HYPERLINK("https://cms.ls-nyc.org/matter/dynamic-profile/view/1897614","19-1897614")</f>
        <v>0</v>
      </c>
      <c r="B2864" t="s">
        <v>8</v>
      </c>
      <c r="E2864" t="s">
        <v>14</v>
      </c>
      <c r="F2864" t="s">
        <v>15</v>
      </c>
      <c r="G2864" t="s">
        <v>17</v>
      </c>
    </row>
    <row r="2865" spans="1:7">
      <c r="A2865" s="1">
        <f>HYPERLINK("https://cms.ls-nyc.org/matter/dynamic-profile/view/1876519","18-1876519")</f>
        <v>0</v>
      </c>
      <c r="B2865" t="s">
        <v>8</v>
      </c>
      <c r="G2865" t="s">
        <v>16</v>
      </c>
    </row>
    <row r="2866" spans="1:7">
      <c r="A2866" s="1">
        <f>HYPERLINK("https://cms.ls-nyc.org/matter/dynamic-profile/view/1882830","18-1882830")</f>
        <v>0</v>
      </c>
      <c r="B2866" t="s">
        <v>8</v>
      </c>
      <c r="F2866" t="s">
        <v>15</v>
      </c>
      <c r="G2866" t="s">
        <v>17</v>
      </c>
    </row>
    <row r="2867" spans="1:7">
      <c r="A2867" s="1">
        <f>HYPERLINK("https://cms.ls-nyc.org/matter/dynamic-profile/view/1886038","18-1886038")</f>
        <v>0</v>
      </c>
      <c r="B2867" t="s">
        <v>9</v>
      </c>
      <c r="G2867" t="s">
        <v>16</v>
      </c>
    </row>
    <row r="2868" spans="1:7">
      <c r="A2868" s="1">
        <f>HYPERLINK("https://cms.ls-nyc.org/matter/dynamic-profile/view/1882809","18-1882809")</f>
        <v>0</v>
      </c>
      <c r="B2868" t="s">
        <v>9</v>
      </c>
      <c r="G2868" t="s">
        <v>16</v>
      </c>
    </row>
    <row r="2869" spans="1:7">
      <c r="A2869" s="1">
        <f>HYPERLINK("https://cms.ls-nyc.org/matter/dynamic-profile/view/1870803","18-1870803")</f>
        <v>0</v>
      </c>
      <c r="B2869" t="s">
        <v>8</v>
      </c>
      <c r="G2869" t="s">
        <v>16</v>
      </c>
    </row>
    <row r="2870" spans="1:7">
      <c r="A2870" s="1">
        <f>HYPERLINK("https://cms.ls-nyc.org/matter/dynamic-profile/view/1883006","18-1883006")</f>
        <v>0</v>
      </c>
      <c r="B2870" t="s">
        <v>8</v>
      </c>
      <c r="G2870" t="s">
        <v>16</v>
      </c>
    </row>
    <row r="2871" spans="1:7">
      <c r="A2871" s="1">
        <f>HYPERLINK("https://cms.ls-nyc.org/matter/dynamic-profile/view/1885631","18-1885631")</f>
        <v>0</v>
      </c>
      <c r="B2871" t="s">
        <v>9</v>
      </c>
      <c r="F2871" t="s">
        <v>15</v>
      </c>
      <c r="G2871" t="s">
        <v>17</v>
      </c>
    </row>
    <row r="2872" spans="1:7">
      <c r="A2872" s="1">
        <f>HYPERLINK("https://cms.ls-nyc.org/matter/dynamic-profile/view/1899657","19-1899657")</f>
        <v>0</v>
      </c>
      <c r="B2872" t="s">
        <v>8</v>
      </c>
      <c r="G2872" t="s">
        <v>16</v>
      </c>
    </row>
    <row r="2873" spans="1:7">
      <c r="A2873" s="1">
        <f>HYPERLINK("https://cms.ls-nyc.org/matter/dynamic-profile/view/1873585","18-1873585")</f>
        <v>0</v>
      </c>
      <c r="B2873" t="s">
        <v>11</v>
      </c>
      <c r="G2873" t="s">
        <v>16</v>
      </c>
    </row>
    <row r="2874" spans="1:7">
      <c r="A2874" s="1">
        <f>HYPERLINK("https://cms.ls-nyc.org/matter/dynamic-profile/view/1872526","18-1872526")</f>
        <v>0</v>
      </c>
      <c r="B2874" t="s">
        <v>11</v>
      </c>
      <c r="E2874" t="s">
        <v>14</v>
      </c>
      <c r="G2874" t="s">
        <v>17</v>
      </c>
    </row>
    <row r="2875" spans="1:7">
      <c r="A2875" s="1">
        <f>HYPERLINK("https://cms.ls-nyc.org/matter/dynamic-profile/view/1894918","19-1894918")</f>
        <v>0</v>
      </c>
      <c r="B2875" t="s">
        <v>8</v>
      </c>
      <c r="F2875" t="s">
        <v>15</v>
      </c>
      <c r="G2875" t="s">
        <v>17</v>
      </c>
    </row>
    <row r="2876" spans="1:7">
      <c r="A2876" s="1">
        <f>HYPERLINK("https://cms.ls-nyc.org/matter/dynamic-profile/view/1871500","18-1871500")</f>
        <v>0</v>
      </c>
      <c r="B2876" t="s">
        <v>9</v>
      </c>
      <c r="E2876" t="s">
        <v>14</v>
      </c>
      <c r="G2876" t="s">
        <v>17</v>
      </c>
    </row>
    <row r="2877" spans="1:7">
      <c r="A2877" s="1">
        <f>HYPERLINK("https://cms.ls-nyc.org/matter/dynamic-profile/view/1871490","18-1871490")</f>
        <v>0</v>
      </c>
      <c r="B2877" t="s">
        <v>9</v>
      </c>
      <c r="G2877" t="s">
        <v>16</v>
      </c>
    </row>
    <row r="2878" spans="1:7">
      <c r="A2878" s="1">
        <f>HYPERLINK("https://cms.ls-nyc.org/matter/dynamic-profile/view/1890995","19-1890995")</f>
        <v>0</v>
      </c>
      <c r="B2878" t="s">
        <v>9</v>
      </c>
      <c r="G2878" t="s">
        <v>16</v>
      </c>
    </row>
    <row r="2879" spans="1:7">
      <c r="A2879" s="1">
        <f>HYPERLINK("https://cms.ls-nyc.org/matter/dynamic-profile/view/1897205","19-1897205")</f>
        <v>0</v>
      </c>
      <c r="B2879" t="s">
        <v>8</v>
      </c>
      <c r="E2879" t="s">
        <v>14</v>
      </c>
      <c r="F2879" t="s">
        <v>15</v>
      </c>
      <c r="G2879" t="s">
        <v>17</v>
      </c>
    </row>
    <row r="2880" spans="1:7">
      <c r="A2880" s="1">
        <f>HYPERLINK("https://cms.ls-nyc.org/matter/dynamic-profile/view/1897206","19-1897206")</f>
        <v>0</v>
      </c>
      <c r="B2880" t="s">
        <v>8</v>
      </c>
      <c r="E2880" t="s">
        <v>14</v>
      </c>
      <c r="F2880" t="s">
        <v>15</v>
      </c>
      <c r="G2880" t="s">
        <v>17</v>
      </c>
    </row>
    <row r="2881" spans="1:7">
      <c r="A2881" s="1">
        <f>HYPERLINK("https://cms.ls-nyc.org/matter/dynamic-profile/view/1886133","18-1886133")</f>
        <v>0</v>
      </c>
      <c r="B2881" t="s">
        <v>9</v>
      </c>
      <c r="G2881" t="s">
        <v>16</v>
      </c>
    </row>
    <row r="2882" spans="1:7">
      <c r="A2882" s="1">
        <f>HYPERLINK("https://cms.ls-nyc.org/matter/dynamic-profile/view/1874347","18-1874347")</f>
        <v>0</v>
      </c>
      <c r="B2882" t="s">
        <v>11</v>
      </c>
      <c r="G2882" t="s">
        <v>16</v>
      </c>
    </row>
    <row r="2883" spans="1:7">
      <c r="A2883" s="1">
        <f>HYPERLINK("https://cms.ls-nyc.org/matter/dynamic-profile/view/1897404","19-1897404")</f>
        <v>0</v>
      </c>
      <c r="B2883" t="s">
        <v>8</v>
      </c>
      <c r="E2883" t="s">
        <v>14</v>
      </c>
      <c r="F2883" t="s">
        <v>15</v>
      </c>
      <c r="G2883" t="s">
        <v>17</v>
      </c>
    </row>
    <row r="2884" spans="1:7">
      <c r="A2884" s="1">
        <f>HYPERLINK("https://cms.ls-nyc.org/matter/dynamic-profile/view/1897534","19-1897534")</f>
        <v>0</v>
      </c>
      <c r="B2884" t="s">
        <v>8</v>
      </c>
      <c r="E2884" t="s">
        <v>14</v>
      </c>
      <c r="F2884" t="s">
        <v>15</v>
      </c>
      <c r="G2884" t="s">
        <v>17</v>
      </c>
    </row>
    <row r="2885" spans="1:7">
      <c r="A2885" s="1">
        <f>HYPERLINK("https://cms.ls-nyc.org/matter/dynamic-profile/view/1898966","19-1898966")</f>
        <v>0</v>
      </c>
      <c r="B2885" t="s">
        <v>8</v>
      </c>
      <c r="E2885" t="s">
        <v>14</v>
      </c>
      <c r="F2885" t="s">
        <v>15</v>
      </c>
      <c r="G2885" t="s">
        <v>17</v>
      </c>
    </row>
    <row r="2886" spans="1:7">
      <c r="A2886" s="1">
        <f>HYPERLINK("https://cms.ls-nyc.org/matter/dynamic-profile/view/1897535","19-1897535")</f>
        <v>0</v>
      </c>
      <c r="B2886" t="s">
        <v>8</v>
      </c>
      <c r="E2886" t="s">
        <v>14</v>
      </c>
      <c r="F2886" t="s">
        <v>15</v>
      </c>
      <c r="G2886" t="s">
        <v>17</v>
      </c>
    </row>
    <row r="2887" spans="1:7">
      <c r="A2887" s="1">
        <f>HYPERLINK("https://cms.ls-nyc.org/matter/dynamic-profile/view/1898972","19-1898972")</f>
        <v>0</v>
      </c>
      <c r="B2887" t="s">
        <v>8</v>
      </c>
      <c r="E2887" t="s">
        <v>14</v>
      </c>
      <c r="F2887" t="s">
        <v>15</v>
      </c>
      <c r="G2887" t="s">
        <v>17</v>
      </c>
    </row>
    <row r="2888" spans="1:7">
      <c r="A2888" s="1">
        <f>HYPERLINK("https://cms.ls-nyc.org/matter/dynamic-profile/view/1897406","19-1897406")</f>
        <v>0</v>
      </c>
      <c r="B2888" t="s">
        <v>8</v>
      </c>
      <c r="E2888" t="s">
        <v>14</v>
      </c>
      <c r="F2888" t="s">
        <v>15</v>
      </c>
      <c r="G2888" t="s">
        <v>17</v>
      </c>
    </row>
    <row r="2889" spans="1:7">
      <c r="A2889" s="1">
        <f>HYPERLINK("https://cms.ls-nyc.org/matter/dynamic-profile/view/1895326","19-1895326")</f>
        <v>0</v>
      </c>
      <c r="B2889" t="s">
        <v>8</v>
      </c>
      <c r="C2889" t="s">
        <v>12</v>
      </c>
      <c r="E2889" t="s">
        <v>14</v>
      </c>
      <c r="G2889" t="s">
        <v>17</v>
      </c>
    </row>
    <row r="2890" spans="1:7">
      <c r="A2890" s="1">
        <f>HYPERLINK("https://cms.ls-nyc.org/matter/dynamic-profile/view/1884623","18-1884623")</f>
        <v>0</v>
      </c>
      <c r="B2890" t="s">
        <v>11</v>
      </c>
      <c r="F2890" t="s">
        <v>15</v>
      </c>
      <c r="G2890" t="s">
        <v>17</v>
      </c>
    </row>
    <row r="2891" spans="1:7">
      <c r="A2891" s="1">
        <f>HYPERLINK("https://cms.ls-nyc.org/matter/dynamic-profile/view/1897345","19-1897345")</f>
        <v>0</v>
      </c>
      <c r="B2891" t="s">
        <v>8</v>
      </c>
      <c r="E2891" t="s">
        <v>14</v>
      </c>
      <c r="F2891" t="s">
        <v>15</v>
      </c>
      <c r="G2891" t="s">
        <v>17</v>
      </c>
    </row>
    <row r="2892" spans="1:7">
      <c r="A2892" s="1">
        <f>HYPERLINK("https://cms.ls-nyc.org/matter/dynamic-profile/view/1897349","19-1897349")</f>
        <v>0</v>
      </c>
      <c r="B2892" t="s">
        <v>8</v>
      </c>
      <c r="E2892" t="s">
        <v>14</v>
      </c>
      <c r="F2892" t="s">
        <v>15</v>
      </c>
      <c r="G2892" t="s">
        <v>17</v>
      </c>
    </row>
    <row r="2893" spans="1:7">
      <c r="A2893" s="1">
        <f>HYPERLINK("https://cms.ls-nyc.org/matter/dynamic-profile/view/1891244","19-1891244")</f>
        <v>0</v>
      </c>
      <c r="B2893" t="s">
        <v>9</v>
      </c>
      <c r="G2893" t="s">
        <v>16</v>
      </c>
    </row>
    <row r="2894" spans="1:7">
      <c r="A2894" s="1">
        <f>HYPERLINK("https://cms.ls-nyc.org/matter/dynamic-profile/view/1889324","19-1889324")</f>
        <v>0</v>
      </c>
      <c r="B2894" t="s">
        <v>11</v>
      </c>
      <c r="G2894" t="s">
        <v>16</v>
      </c>
    </row>
    <row r="2895" spans="1:7">
      <c r="A2895" s="1">
        <f>HYPERLINK("https://cms.ls-nyc.org/matter/dynamic-profile/view/1881890","18-1881890")</f>
        <v>0</v>
      </c>
      <c r="B2895" t="s">
        <v>7</v>
      </c>
      <c r="G2895" t="s">
        <v>16</v>
      </c>
    </row>
    <row r="2896" spans="1:7">
      <c r="A2896" s="1">
        <f>HYPERLINK("https://cms.ls-nyc.org/matter/dynamic-profile/view/1872266","18-1872266")</f>
        <v>0</v>
      </c>
      <c r="B2896" t="s">
        <v>11</v>
      </c>
      <c r="G2896" t="s">
        <v>16</v>
      </c>
    </row>
    <row r="2897" spans="1:7">
      <c r="A2897" s="1">
        <f>HYPERLINK("https://cms.ls-nyc.org/matter/dynamic-profile/view/1873426","18-1873426")</f>
        <v>0</v>
      </c>
      <c r="B2897" t="s">
        <v>11</v>
      </c>
      <c r="E2897" t="s">
        <v>14</v>
      </c>
      <c r="F2897" t="s">
        <v>15</v>
      </c>
      <c r="G2897" t="s">
        <v>17</v>
      </c>
    </row>
    <row r="2898" spans="1:7">
      <c r="A2898" s="1">
        <f>HYPERLINK("https://cms.ls-nyc.org/matter/dynamic-profile/view/1878069","18-1878069")</f>
        <v>0</v>
      </c>
      <c r="B2898" t="s">
        <v>8</v>
      </c>
      <c r="G2898" t="s">
        <v>16</v>
      </c>
    </row>
    <row r="2899" spans="1:7">
      <c r="A2899" s="1">
        <f>HYPERLINK("https://cms.ls-nyc.org/matter/dynamic-profile/view/1899122","19-1899122")</f>
        <v>0</v>
      </c>
      <c r="B2899" t="s">
        <v>9</v>
      </c>
      <c r="G2899" t="s">
        <v>16</v>
      </c>
    </row>
    <row r="2900" spans="1:7">
      <c r="A2900" s="1">
        <f>HYPERLINK("https://cms.ls-nyc.org/matter/dynamic-profile/view/1896439","19-1896439")</f>
        <v>0</v>
      </c>
      <c r="B2900" t="s">
        <v>11</v>
      </c>
      <c r="G2900" t="s">
        <v>16</v>
      </c>
    </row>
    <row r="2901" spans="1:7">
      <c r="A2901" s="1">
        <f>HYPERLINK("https://cms.ls-nyc.org/matter/dynamic-profile/view/1879014","18-1879014")</f>
        <v>0</v>
      </c>
      <c r="B2901" t="s">
        <v>11</v>
      </c>
      <c r="G2901" t="s">
        <v>16</v>
      </c>
    </row>
    <row r="2902" spans="1:7">
      <c r="A2902" s="1">
        <f>HYPERLINK("https://cms.ls-nyc.org/matter/dynamic-profile/view/1893470","19-1893470")</f>
        <v>0</v>
      </c>
      <c r="B2902" t="s">
        <v>7</v>
      </c>
      <c r="G2902" t="s">
        <v>16</v>
      </c>
    </row>
    <row r="2903" spans="1:7">
      <c r="A2903" s="1">
        <f>HYPERLINK("https://cms.ls-nyc.org/matter/dynamic-profile/view/1891580","19-1891580")</f>
        <v>0</v>
      </c>
      <c r="B2903" t="s">
        <v>8</v>
      </c>
      <c r="E2903" t="s">
        <v>14</v>
      </c>
      <c r="F2903" t="s">
        <v>15</v>
      </c>
      <c r="G2903" t="s">
        <v>17</v>
      </c>
    </row>
    <row r="2904" spans="1:7">
      <c r="A2904" s="1">
        <f>HYPERLINK("https://cms.ls-nyc.org/matter/dynamic-profile/view/1891583","19-1891583")</f>
        <v>0</v>
      </c>
      <c r="B2904" t="s">
        <v>8</v>
      </c>
      <c r="E2904" t="s">
        <v>14</v>
      </c>
      <c r="F2904" t="s">
        <v>15</v>
      </c>
      <c r="G2904" t="s">
        <v>17</v>
      </c>
    </row>
    <row r="2905" spans="1:7">
      <c r="A2905" s="1">
        <f>HYPERLINK("https://cms.ls-nyc.org/matter/dynamic-profile/view/1897696","19-1897696")</f>
        <v>0</v>
      </c>
      <c r="B2905" t="s">
        <v>11</v>
      </c>
      <c r="F2905" t="s">
        <v>15</v>
      </c>
      <c r="G2905" t="s">
        <v>17</v>
      </c>
    </row>
    <row r="2906" spans="1:7">
      <c r="A2906" s="1">
        <f>HYPERLINK("https://cms.ls-nyc.org/matter/dynamic-profile/view/1889297","19-1889297")</f>
        <v>0</v>
      </c>
      <c r="B2906" t="s">
        <v>11</v>
      </c>
      <c r="G2906" t="s">
        <v>16</v>
      </c>
    </row>
    <row r="2907" spans="1:7">
      <c r="A2907" s="1">
        <f>HYPERLINK("https://cms.ls-nyc.org/matter/dynamic-profile/view/1871282","18-1871282")</f>
        <v>0</v>
      </c>
      <c r="B2907" t="s">
        <v>10</v>
      </c>
      <c r="G2907" t="s">
        <v>16</v>
      </c>
    </row>
    <row r="2908" spans="1:7">
      <c r="A2908" s="1">
        <f>HYPERLINK("https://cms.ls-nyc.org/matter/dynamic-profile/view/1898243","19-1898243")</f>
        <v>0</v>
      </c>
      <c r="B2908" t="s">
        <v>8</v>
      </c>
      <c r="E2908" t="s">
        <v>14</v>
      </c>
      <c r="F2908" t="s">
        <v>15</v>
      </c>
      <c r="G2908" t="s">
        <v>17</v>
      </c>
    </row>
    <row r="2909" spans="1:7">
      <c r="A2909" s="1">
        <f>HYPERLINK("https://cms.ls-nyc.org/matter/dynamic-profile/view/1898244","19-1898244")</f>
        <v>0</v>
      </c>
      <c r="B2909" t="s">
        <v>8</v>
      </c>
      <c r="E2909" t="s">
        <v>14</v>
      </c>
      <c r="F2909" t="s">
        <v>15</v>
      </c>
      <c r="G2909" t="s">
        <v>17</v>
      </c>
    </row>
    <row r="2910" spans="1:7">
      <c r="A2910" s="1">
        <f>HYPERLINK("https://cms.ls-nyc.org/matter/dynamic-profile/view/1894029","19-1894029")</f>
        <v>0</v>
      </c>
      <c r="B2910" t="s">
        <v>8</v>
      </c>
      <c r="G2910" t="s">
        <v>16</v>
      </c>
    </row>
    <row r="2911" spans="1:7">
      <c r="A2911" s="1">
        <f>HYPERLINK("https://cms.ls-nyc.org/matter/dynamic-profile/view/1898606","19-1898606")</f>
        <v>0</v>
      </c>
      <c r="B2911" t="s">
        <v>11</v>
      </c>
      <c r="G2911" t="s">
        <v>16</v>
      </c>
    </row>
    <row r="2912" spans="1:7">
      <c r="A2912" s="1">
        <f>HYPERLINK("https://cms.ls-nyc.org/matter/dynamic-profile/view/1879059","18-1879059")</f>
        <v>0</v>
      </c>
      <c r="B2912" t="s">
        <v>8</v>
      </c>
      <c r="G2912" t="s">
        <v>16</v>
      </c>
    </row>
    <row r="2913" spans="1:7">
      <c r="A2913" s="1">
        <f>HYPERLINK("https://cms.ls-nyc.org/matter/dynamic-profile/view/1879060","18-1879060")</f>
        <v>0</v>
      </c>
      <c r="B2913" t="s">
        <v>8</v>
      </c>
      <c r="G2913" t="s">
        <v>16</v>
      </c>
    </row>
    <row r="2914" spans="1:7">
      <c r="A2914" s="1">
        <f>HYPERLINK("https://cms.ls-nyc.org/matter/dynamic-profile/view/1879056","18-1879056")</f>
        <v>0</v>
      </c>
      <c r="B2914" t="s">
        <v>8</v>
      </c>
      <c r="G2914" t="s">
        <v>16</v>
      </c>
    </row>
    <row r="2915" spans="1:7">
      <c r="A2915" s="1">
        <f>HYPERLINK("https://cms.ls-nyc.org/matter/dynamic-profile/view/1879176","18-1879176")</f>
        <v>0</v>
      </c>
      <c r="B2915" t="s">
        <v>9</v>
      </c>
      <c r="G2915" t="s">
        <v>16</v>
      </c>
    </row>
    <row r="2916" spans="1:7">
      <c r="A2916" s="1">
        <f>HYPERLINK("https://cms.ls-nyc.org/matter/dynamic-profile/view/1901171","19-1901171")</f>
        <v>0</v>
      </c>
      <c r="B2916" t="s">
        <v>11</v>
      </c>
      <c r="G2916" t="s">
        <v>16</v>
      </c>
    </row>
    <row r="2917" spans="1:7">
      <c r="A2917" s="1">
        <f>HYPERLINK("https://cms.ls-nyc.org/matter/dynamic-profile/view/1872236","18-1872236")</f>
        <v>0</v>
      </c>
      <c r="B2917" t="s">
        <v>11</v>
      </c>
      <c r="F2917" t="s">
        <v>15</v>
      </c>
      <c r="G2917" t="s">
        <v>17</v>
      </c>
    </row>
    <row r="2918" spans="1:7">
      <c r="A2918" s="1">
        <f>HYPERLINK("https://cms.ls-nyc.org/matter/dynamic-profile/view/1883016","18-1883016")</f>
        <v>0</v>
      </c>
      <c r="B2918" t="s">
        <v>7</v>
      </c>
      <c r="G2918" t="s">
        <v>16</v>
      </c>
    </row>
    <row r="2919" spans="1:7">
      <c r="A2919" s="1">
        <f>HYPERLINK("https://cms.ls-nyc.org/matter/dynamic-profile/view/1886811","19-1886811")</f>
        <v>0</v>
      </c>
      <c r="B2919" t="s">
        <v>10</v>
      </c>
      <c r="G2919" t="s">
        <v>16</v>
      </c>
    </row>
    <row r="2920" spans="1:7">
      <c r="A2920" s="1">
        <f>HYPERLINK("https://cms.ls-nyc.org/matter/dynamic-profile/view/1883427","18-1883427")</f>
        <v>0</v>
      </c>
      <c r="B2920" t="s">
        <v>9</v>
      </c>
      <c r="G2920" t="s">
        <v>16</v>
      </c>
    </row>
    <row r="2921" spans="1:7">
      <c r="A2921" s="1">
        <f>HYPERLINK("https://cms.ls-nyc.org/matter/dynamic-profile/view/1894926","19-1894926")</f>
        <v>0</v>
      </c>
      <c r="B2921" t="s">
        <v>10</v>
      </c>
      <c r="G2921" t="s">
        <v>16</v>
      </c>
    </row>
    <row r="2922" spans="1:7">
      <c r="A2922" s="1">
        <f>HYPERLINK("https://cms.ls-nyc.org/matter/dynamic-profile/view/1879724","18-1879724")</f>
        <v>0</v>
      </c>
      <c r="B2922" t="s">
        <v>8</v>
      </c>
      <c r="F2922" t="s">
        <v>15</v>
      </c>
      <c r="G2922" t="s">
        <v>17</v>
      </c>
    </row>
    <row r="2923" spans="1:7">
      <c r="A2923" s="1">
        <f>HYPERLINK("https://cms.ls-nyc.org/matter/dynamic-profile/view/1891284","19-1891284")</f>
        <v>0</v>
      </c>
      <c r="B2923" t="s">
        <v>8</v>
      </c>
      <c r="F2923" t="s">
        <v>15</v>
      </c>
      <c r="G2923" t="s">
        <v>17</v>
      </c>
    </row>
    <row r="2924" spans="1:7">
      <c r="A2924" s="1">
        <f>HYPERLINK("https://cms.ls-nyc.org/matter/dynamic-profile/view/1884268","18-1884268")</f>
        <v>0</v>
      </c>
      <c r="B2924" t="s">
        <v>8</v>
      </c>
      <c r="F2924" t="s">
        <v>15</v>
      </c>
      <c r="G2924" t="s">
        <v>17</v>
      </c>
    </row>
    <row r="2925" spans="1:7">
      <c r="A2925" s="1">
        <f>HYPERLINK("https://cms.ls-nyc.org/matter/dynamic-profile/view/1870821","18-1870821")</f>
        <v>0</v>
      </c>
      <c r="B2925" t="s">
        <v>11</v>
      </c>
      <c r="G2925" t="s">
        <v>16</v>
      </c>
    </row>
    <row r="2926" spans="1:7">
      <c r="A2926" s="1">
        <f>HYPERLINK("https://cms.ls-nyc.org/matter/dynamic-profile/view/1892521","19-1892521")</f>
        <v>0</v>
      </c>
      <c r="B2926" t="s">
        <v>8</v>
      </c>
      <c r="E2926" t="s">
        <v>14</v>
      </c>
      <c r="F2926" t="s">
        <v>15</v>
      </c>
      <c r="G2926" t="s">
        <v>17</v>
      </c>
    </row>
    <row r="2927" spans="1:7">
      <c r="A2927" s="1">
        <f>HYPERLINK("https://cms.ls-nyc.org/matter/dynamic-profile/view/1892522","19-1892522")</f>
        <v>0</v>
      </c>
      <c r="B2927" t="s">
        <v>8</v>
      </c>
      <c r="E2927" t="s">
        <v>14</v>
      </c>
      <c r="F2927" t="s">
        <v>15</v>
      </c>
      <c r="G2927" t="s">
        <v>17</v>
      </c>
    </row>
    <row r="2928" spans="1:7">
      <c r="A2928" s="1">
        <f>HYPERLINK("https://cms.ls-nyc.org/matter/dynamic-profile/view/1893454","19-1893454")</f>
        <v>0</v>
      </c>
      <c r="B2928" t="s">
        <v>8</v>
      </c>
      <c r="F2928" t="s">
        <v>15</v>
      </c>
      <c r="G2928" t="s">
        <v>17</v>
      </c>
    </row>
    <row r="2929" spans="1:7">
      <c r="A2929" s="1">
        <f>HYPERLINK("https://cms.ls-nyc.org/matter/dynamic-profile/view/1895969","19-1895969")</f>
        <v>0</v>
      </c>
      <c r="B2929" t="s">
        <v>10</v>
      </c>
      <c r="G2929" t="s">
        <v>16</v>
      </c>
    </row>
    <row r="2930" spans="1:7">
      <c r="A2930" s="1">
        <f>HYPERLINK("https://cms.ls-nyc.org/matter/dynamic-profile/view/1891565","19-1891565")</f>
        <v>0</v>
      </c>
      <c r="B2930" t="s">
        <v>8</v>
      </c>
      <c r="E2930" t="s">
        <v>14</v>
      </c>
      <c r="F2930" t="s">
        <v>15</v>
      </c>
      <c r="G2930" t="s">
        <v>17</v>
      </c>
    </row>
    <row r="2931" spans="1:7">
      <c r="A2931" s="1">
        <f>HYPERLINK("https://cms.ls-nyc.org/matter/dynamic-profile/view/1892069","19-1892069")</f>
        <v>0</v>
      </c>
      <c r="B2931" t="s">
        <v>8</v>
      </c>
      <c r="E2931" t="s">
        <v>14</v>
      </c>
      <c r="F2931" t="s">
        <v>15</v>
      </c>
      <c r="G2931" t="s">
        <v>17</v>
      </c>
    </row>
    <row r="2932" spans="1:7">
      <c r="A2932" s="1">
        <f>HYPERLINK("https://cms.ls-nyc.org/matter/dynamic-profile/view/1892764","19-1892764")</f>
        <v>0</v>
      </c>
      <c r="B2932" t="s">
        <v>8</v>
      </c>
      <c r="E2932" t="s">
        <v>14</v>
      </c>
      <c r="F2932" t="s">
        <v>15</v>
      </c>
      <c r="G2932" t="s">
        <v>17</v>
      </c>
    </row>
    <row r="2933" spans="1:7">
      <c r="A2933" s="1">
        <f>HYPERLINK("https://cms.ls-nyc.org/matter/dynamic-profile/view/1891566","19-1891566")</f>
        <v>0</v>
      </c>
      <c r="B2933" t="s">
        <v>8</v>
      </c>
      <c r="E2933" t="s">
        <v>14</v>
      </c>
      <c r="F2933" t="s">
        <v>15</v>
      </c>
      <c r="G2933" t="s">
        <v>17</v>
      </c>
    </row>
    <row r="2934" spans="1:7">
      <c r="A2934" s="1">
        <f>HYPERLINK("https://cms.ls-nyc.org/matter/dynamic-profile/view/1892076","19-1892076")</f>
        <v>0</v>
      </c>
      <c r="B2934" t="s">
        <v>8</v>
      </c>
      <c r="E2934" t="s">
        <v>14</v>
      </c>
      <c r="F2934" t="s">
        <v>15</v>
      </c>
      <c r="G2934" t="s">
        <v>17</v>
      </c>
    </row>
    <row r="2935" spans="1:7">
      <c r="A2935" s="1">
        <f>HYPERLINK("https://cms.ls-nyc.org/matter/dynamic-profile/view/1892770","19-1892770")</f>
        <v>0</v>
      </c>
      <c r="B2935" t="s">
        <v>8</v>
      </c>
      <c r="E2935" t="s">
        <v>14</v>
      </c>
      <c r="F2935" t="s">
        <v>15</v>
      </c>
      <c r="G2935" t="s">
        <v>17</v>
      </c>
    </row>
    <row r="2936" spans="1:7">
      <c r="A2936" s="1">
        <f>HYPERLINK("https://cms.ls-nyc.org/matter/dynamic-profile/view/1896972","19-1896972")</f>
        <v>0</v>
      </c>
      <c r="B2936" t="s">
        <v>8</v>
      </c>
      <c r="C2936" t="s">
        <v>12</v>
      </c>
      <c r="E2936" t="s">
        <v>14</v>
      </c>
      <c r="G2936" t="s">
        <v>17</v>
      </c>
    </row>
    <row r="2937" spans="1:7">
      <c r="A2937" s="1">
        <f>HYPERLINK("https://cms.ls-nyc.org/matter/dynamic-profile/view/1887685","19-1887685")</f>
        <v>0</v>
      </c>
      <c r="B2937" t="s">
        <v>8</v>
      </c>
      <c r="G2937" t="s">
        <v>16</v>
      </c>
    </row>
    <row r="2938" spans="1:7">
      <c r="A2938" s="1">
        <f>HYPERLINK("https://cms.ls-nyc.org/matter/dynamic-profile/view/1887679","19-1887679")</f>
        <v>0</v>
      </c>
      <c r="B2938" t="s">
        <v>8</v>
      </c>
      <c r="D2938" t="s">
        <v>13</v>
      </c>
      <c r="G2938" t="s">
        <v>17</v>
      </c>
    </row>
    <row r="2939" spans="1:7">
      <c r="A2939" s="1">
        <f>HYPERLINK("https://cms.ls-nyc.org/matter/dynamic-profile/view/1887682","19-1887682")</f>
        <v>0</v>
      </c>
      <c r="B2939" t="s">
        <v>8</v>
      </c>
      <c r="G2939" t="s">
        <v>16</v>
      </c>
    </row>
    <row r="2940" spans="1:7">
      <c r="A2940" s="1">
        <f>HYPERLINK("https://cms.ls-nyc.org/matter/dynamic-profile/view/1882535","18-1882535")</f>
        <v>0</v>
      </c>
      <c r="B2940" t="s">
        <v>9</v>
      </c>
      <c r="G2940" t="s">
        <v>16</v>
      </c>
    </row>
    <row r="2941" spans="1:7">
      <c r="A2941" s="1">
        <f>HYPERLINK("https://cms.ls-nyc.org/matter/dynamic-profile/view/1898058","19-1898058")</f>
        <v>0</v>
      </c>
      <c r="B2941" t="s">
        <v>8</v>
      </c>
      <c r="G2941" t="s">
        <v>16</v>
      </c>
    </row>
    <row r="2942" spans="1:7">
      <c r="A2942" s="1">
        <f>HYPERLINK("https://cms.ls-nyc.org/matter/dynamic-profile/view/1892761","19-1892761")</f>
        <v>0</v>
      </c>
      <c r="B2942" t="s">
        <v>8</v>
      </c>
      <c r="E2942" t="s">
        <v>14</v>
      </c>
      <c r="F2942" t="s">
        <v>15</v>
      </c>
      <c r="G2942" t="s">
        <v>17</v>
      </c>
    </row>
    <row r="2943" spans="1:7">
      <c r="A2943" s="1">
        <f>HYPERLINK("https://cms.ls-nyc.org/matter/dynamic-profile/view/1892762","19-1892762")</f>
        <v>0</v>
      </c>
      <c r="B2943" t="s">
        <v>8</v>
      </c>
      <c r="E2943" t="s">
        <v>14</v>
      </c>
      <c r="F2943" t="s">
        <v>15</v>
      </c>
      <c r="G2943" t="s">
        <v>17</v>
      </c>
    </row>
    <row r="2944" spans="1:7">
      <c r="A2944" s="1">
        <f>HYPERLINK("https://cms.ls-nyc.org/matter/dynamic-profile/view/1892410","19-1892410")</f>
        <v>0</v>
      </c>
      <c r="B2944" t="s">
        <v>9</v>
      </c>
      <c r="G2944" t="s">
        <v>16</v>
      </c>
    </row>
    <row r="2945" spans="1:7">
      <c r="A2945" s="1">
        <f>HYPERLINK("https://cms.ls-nyc.org/matter/dynamic-profile/view/1892006","19-1892006")</f>
        <v>0</v>
      </c>
      <c r="B2945" t="s">
        <v>9</v>
      </c>
      <c r="G2945" t="s">
        <v>16</v>
      </c>
    </row>
    <row r="2946" spans="1:7">
      <c r="A2946" s="1">
        <f>HYPERLINK("https://cms.ls-nyc.org/matter/dynamic-profile/view/1893859","19-1893859")</f>
        <v>0</v>
      </c>
      <c r="B2946" t="s">
        <v>9</v>
      </c>
      <c r="G2946" t="s">
        <v>16</v>
      </c>
    </row>
    <row r="2947" spans="1:7">
      <c r="A2947" s="1">
        <f>HYPERLINK("https://cms.ls-nyc.org/matter/dynamic-profile/view/1889957","19-1889957")</f>
        <v>0</v>
      </c>
      <c r="B2947" t="s">
        <v>9</v>
      </c>
      <c r="G2947" t="s">
        <v>16</v>
      </c>
    </row>
    <row r="2948" spans="1:7">
      <c r="A2948" s="1">
        <f>HYPERLINK("https://cms.ls-nyc.org/matter/dynamic-profile/view/1889951","19-1889951")</f>
        <v>0</v>
      </c>
      <c r="B2948" t="s">
        <v>9</v>
      </c>
      <c r="G2948" t="s">
        <v>16</v>
      </c>
    </row>
    <row r="2949" spans="1:7">
      <c r="A2949" s="1">
        <f>HYPERLINK("https://cms.ls-nyc.org/matter/dynamic-profile/view/1881599","18-1881599")</f>
        <v>0</v>
      </c>
      <c r="B2949" t="s">
        <v>8</v>
      </c>
      <c r="E2949" t="s">
        <v>14</v>
      </c>
      <c r="G2949" t="s">
        <v>17</v>
      </c>
    </row>
    <row r="2950" spans="1:7">
      <c r="A2950" s="1">
        <f>HYPERLINK("https://cms.ls-nyc.org/matter/dynamic-profile/view/1874152","18-1874152")</f>
        <v>0</v>
      </c>
      <c r="B2950" t="s">
        <v>8</v>
      </c>
      <c r="F2950" t="s">
        <v>15</v>
      </c>
      <c r="G2950" t="s">
        <v>17</v>
      </c>
    </row>
    <row r="2951" spans="1:7">
      <c r="A2951" s="1">
        <f>HYPERLINK("https://cms.ls-nyc.org/matter/dynamic-profile/view/1881836","18-1881836")</f>
        <v>0</v>
      </c>
      <c r="B2951" t="s">
        <v>9</v>
      </c>
      <c r="F2951" t="s">
        <v>15</v>
      </c>
      <c r="G2951" t="s">
        <v>17</v>
      </c>
    </row>
    <row r="2952" spans="1:7">
      <c r="A2952" s="1">
        <f>HYPERLINK("https://cms.ls-nyc.org/matter/dynamic-profile/view/1885755","18-1885755")</f>
        <v>0</v>
      </c>
      <c r="B2952" t="s">
        <v>9</v>
      </c>
      <c r="G2952" t="s">
        <v>16</v>
      </c>
    </row>
    <row r="2953" spans="1:7">
      <c r="A2953" s="1">
        <f>HYPERLINK("https://cms.ls-nyc.org/matter/dynamic-profile/view/1890018","19-1890018")</f>
        <v>0</v>
      </c>
      <c r="B2953" t="s">
        <v>11</v>
      </c>
      <c r="G2953" t="s">
        <v>16</v>
      </c>
    </row>
    <row r="2954" spans="1:7">
      <c r="A2954" s="1">
        <f>HYPERLINK("https://cms.ls-nyc.org/matter/dynamic-profile/view/1875586","18-1875586")</f>
        <v>0</v>
      </c>
      <c r="B2954" t="s">
        <v>8</v>
      </c>
      <c r="G2954" t="s">
        <v>16</v>
      </c>
    </row>
    <row r="2955" spans="1:7">
      <c r="A2955" s="1">
        <f>HYPERLINK("https://cms.ls-nyc.org/matter/dynamic-profile/view/1895639","19-1895639")</f>
        <v>0</v>
      </c>
      <c r="B2955" t="s">
        <v>8</v>
      </c>
      <c r="G2955" t="s">
        <v>16</v>
      </c>
    </row>
    <row r="2956" spans="1:7">
      <c r="A2956" s="1">
        <f>HYPERLINK("https://cms.ls-nyc.org/matter/dynamic-profile/view/1890734","19-1890734")</f>
        <v>0</v>
      </c>
      <c r="B2956" t="s">
        <v>8</v>
      </c>
      <c r="F2956" t="s">
        <v>15</v>
      </c>
      <c r="G2956" t="s">
        <v>17</v>
      </c>
    </row>
    <row r="2957" spans="1:7">
      <c r="A2957" s="1">
        <f>HYPERLINK("https://cms.ls-nyc.org/matter/dynamic-profile/view/1880411","18-1880411")</f>
        <v>0</v>
      </c>
      <c r="B2957" t="s">
        <v>9</v>
      </c>
      <c r="G2957" t="s">
        <v>16</v>
      </c>
    </row>
    <row r="2958" spans="1:7">
      <c r="A2958" s="1">
        <f>HYPERLINK("https://cms.ls-nyc.org/matter/dynamic-profile/view/1872492","18-1872492")</f>
        <v>0</v>
      </c>
      <c r="B2958" t="s">
        <v>11</v>
      </c>
      <c r="G2958" t="s">
        <v>16</v>
      </c>
    </row>
    <row r="2959" spans="1:7">
      <c r="A2959" s="1">
        <f>HYPERLINK("https://cms.ls-nyc.org/matter/dynamic-profile/view/1879561","18-1879561")</f>
        <v>0</v>
      </c>
      <c r="B2959" t="s">
        <v>8</v>
      </c>
      <c r="G2959" t="s">
        <v>16</v>
      </c>
    </row>
    <row r="2960" spans="1:7">
      <c r="A2960" s="1">
        <f>HYPERLINK("https://cms.ls-nyc.org/matter/dynamic-profile/view/1901228","19-1901228")</f>
        <v>0</v>
      </c>
      <c r="B2960" t="s">
        <v>11</v>
      </c>
      <c r="F2960" t="s">
        <v>15</v>
      </c>
      <c r="G2960" t="s">
        <v>17</v>
      </c>
    </row>
    <row r="2961" spans="1:7">
      <c r="A2961" s="1">
        <f>HYPERLINK("https://cms.ls-nyc.org/matter/dynamic-profile/view/1874301","18-1874301")</f>
        <v>0</v>
      </c>
      <c r="B2961" t="s">
        <v>11</v>
      </c>
      <c r="G2961" t="s">
        <v>16</v>
      </c>
    </row>
    <row r="2962" spans="1:7">
      <c r="A2962" s="1">
        <f>HYPERLINK("https://cms.ls-nyc.org/matter/dynamic-profile/view/1888294","19-1888294")</f>
        <v>0</v>
      </c>
      <c r="B2962" t="s">
        <v>11</v>
      </c>
      <c r="G2962" t="s">
        <v>16</v>
      </c>
    </row>
    <row r="2963" spans="1:7">
      <c r="A2963" s="1">
        <f>HYPERLINK("https://cms.ls-nyc.org/matter/dynamic-profile/view/1839971","17-1839971")</f>
        <v>0</v>
      </c>
      <c r="B2963" t="s">
        <v>11</v>
      </c>
      <c r="G2963" t="s">
        <v>16</v>
      </c>
    </row>
    <row r="2964" spans="1:7">
      <c r="A2964" s="1">
        <f>HYPERLINK("https://cms.ls-nyc.org/matter/dynamic-profile/view/1888648","19-1888648")</f>
        <v>0</v>
      </c>
      <c r="B2964" t="s">
        <v>7</v>
      </c>
      <c r="G2964" t="s">
        <v>16</v>
      </c>
    </row>
    <row r="2965" spans="1:7">
      <c r="A2965" s="1">
        <f>HYPERLINK("https://cms.ls-nyc.org/matter/dynamic-profile/view/1889916","19-1889916")</f>
        <v>0</v>
      </c>
      <c r="B2965" t="s">
        <v>9</v>
      </c>
      <c r="G2965" t="s">
        <v>16</v>
      </c>
    </row>
    <row r="2966" spans="1:7">
      <c r="A2966" s="1">
        <f>HYPERLINK("https://cms.ls-nyc.org/matter/dynamic-profile/view/1891413","19-1891413")</f>
        <v>0</v>
      </c>
      <c r="B2966" t="s">
        <v>9</v>
      </c>
      <c r="G2966" t="s">
        <v>16</v>
      </c>
    </row>
    <row r="2967" spans="1:7">
      <c r="A2967" s="1">
        <f>HYPERLINK("https://cms.ls-nyc.org/matter/dynamic-profile/view/1889911","19-1889911")</f>
        <v>0</v>
      </c>
      <c r="B2967" t="s">
        <v>9</v>
      </c>
      <c r="G2967" t="s">
        <v>16</v>
      </c>
    </row>
    <row r="2968" spans="1:7">
      <c r="A2968" s="1">
        <f>HYPERLINK("https://cms.ls-nyc.org/matter/dynamic-profile/view/1891412","19-1891412")</f>
        <v>0</v>
      </c>
      <c r="B2968" t="s">
        <v>9</v>
      </c>
      <c r="G2968" t="s">
        <v>16</v>
      </c>
    </row>
    <row r="2969" spans="1:7">
      <c r="A2969" s="1">
        <f>HYPERLINK("https://cms.ls-nyc.org/matter/dynamic-profile/view/1899738","19-1899738")</f>
        <v>0</v>
      </c>
      <c r="B2969" t="s">
        <v>11</v>
      </c>
      <c r="F2969" t="s">
        <v>15</v>
      </c>
      <c r="G2969" t="s">
        <v>17</v>
      </c>
    </row>
    <row r="2970" spans="1:7">
      <c r="A2970" s="1">
        <f>HYPERLINK("https://cms.ls-nyc.org/matter/dynamic-profile/view/1894526","19-1894526")</f>
        <v>0</v>
      </c>
      <c r="B2970" t="s">
        <v>8</v>
      </c>
      <c r="G2970" t="s">
        <v>16</v>
      </c>
    </row>
    <row r="2971" spans="1:7">
      <c r="A2971" s="1">
        <f>HYPERLINK("https://cms.ls-nyc.org/matter/dynamic-profile/view/1879105","18-1879105")</f>
        <v>0</v>
      </c>
      <c r="B2971" t="s">
        <v>8</v>
      </c>
      <c r="F2971" t="s">
        <v>15</v>
      </c>
      <c r="G2971" t="s">
        <v>17</v>
      </c>
    </row>
    <row r="2972" spans="1:7">
      <c r="A2972" s="1">
        <f>HYPERLINK("https://cms.ls-nyc.org/matter/dynamic-profile/view/1881029","18-1881029")</f>
        <v>0</v>
      </c>
      <c r="B2972" t="s">
        <v>8</v>
      </c>
      <c r="G2972" t="s">
        <v>16</v>
      </c>
    </row>
    <row r="2973" spans="1:7">
      <c r="A2973" s="1">
        <f>HYPERLINK("https://cms.ls-nyc.org/matter/dynamic-profile/view/1877649","18-1877649")</f>
        <v>0</v>
      </c>
      <c r="B2973" t="s">
        <v>9</v>
      </c>
      <c r="G2973" t="s">
        <v>16</v>
      </c>
    </row>
    <row r="2974" spans="1:7">
      <c r="A2974" s="1">
        <f>HYPERLINK("https://cms.ls-nyc.org/matter/dynamic-profile/view/1898404","19-1898404")</f>
        <v>0</v>
      </c>
      <c r="B2974" t="s">
        <v>8</v>
      </c>
      <c r="E2974" t="s">
        <v>14</v>
      </c>
      <c r="F2974" t="s">
        <v>15</v>
      </c>
      <c r="G2974" t="s">
        <v>17</v>
      </c>
    </row>
    <row r="2975" spans="1:7">
      <c r="A2975" s="1">
        <f>HYPERLINK("https://cms.ls-nyc.org/matter/dynamic-profile/view/1898406","19-1898406")</f>
        <v>0</v>
      </c>
      <c r="B2975" t="s">
        <v>8</v>
      </c>
      <c r="E2975" t="s">
        <v>14</v>
      </c>
      <c r="F2975" t="s">
        <v>15</v>
      </c>
      <c r="G2975" t="s">
        <v>17</v>
      </c>
    </row>
    <row r="2976" spans="1:7">
      <c r="A2976" s="1">
        <f>HYPERLINK("https://cms.ls-nyc.org/matter/dynamic-profile/view/1884494","18-1884494")</f>
        <v>0</v>
      </c>
      <c r="B2976" t="s">
        <v>9</v>
      </c>
      <c r="G2976" t="s">
        <v>16</v>
      </c>
    </row>
    <row r="2977" spans="1:7">
      <c r="A2977" s="1">
        <f>HYPERLINK("https://cms.ls-nyc.org/matter/dynamic-profile/view/1882266","18-1882266")</f>
        <v>0</v>
      </c>
      <c r="B2977" t="s">
        <v>8</v>
      </c>
      <c r="G2977" t="s">
        <v>16</v>
      </c>
    </row>
    <row r="2978" spans="1:7">
      <c r="A2978" s="1">
        <f>HYPERLINK("https://cms.ls-nyc.org/matter/dynamic-profile/view/1896465","19-1896465")</f>
        <v>0</v>
      </c>
      <c r="B2978" t="s">
        <v>7</v>
      </c>
      <c r="G2978" t="s">
        <v>16</v>
      </c>
    </row>
    <row r="2979" spans="1:7">
      <c r="A2979" s="1">
        <f>HYPERLINK("https://cms.ls-nyc.org/matter/dynamic-profile/view/1896466","19-1896466")</f>
        <v>0</v>
      </c>
      <c r="B2979" t="s">
        <v>7</v>
      </c>
      <c r="G2979" t="s">
        <v>16</v>
      </c>
    </row>
    <row r="2980" spans="1:7">
      <c r="A2980" s="1">
        <f>HYPERLINK("https://cms.ls-nyc.org/matter/dynamic-profile/view/1886008","18-1886008")</f>
        <v>0</v>
      </c>
      <c r="B2980" t="s">
        <v>9</v>
      </c>
      <c r="G2980" t="s">
        <v>16</v>
      </c>
    </row>
    <row r="2981" spans="1:7">
      <c r="A2981" s="1">
        <f>HYPERLINK("https://cms.ls-nyc.org/matter/dynamic-profile/view/1891559","19-1891559")</f>
        <v>0</v>
      </c>
      <c r="B2981" t="s">
        <v>8</v>
      </c>
      <c r="E2981" t="s">
        <v>14</v>
      </c>
      <c r="F2981" t="s">
        <v>15</v>
      </c>
      <c r="G2981" t="s">
        <v>17</v>
      </c>
    </row>
    <row r="2982" spans="1:7">
      <c r="A2982" s="1">
        <f>HYPERLINK("https://cms.ls-nyc.org/matter/dynamic-profile/view/1891560","19-1891560")</f>
        <v>0</v>
      </c>
      <c r="B2982" t="s">
        <v>8</v>
      </c>
      <c r="E2982" t="s">
        <v>14</v>
      </c>
      <c r="F2982" t="s">
        <v>15</v>
      </c>
      <c r="G2982" t="s">
        <v>17</v>
      </c>
    </row>
    <row r="2983" spans="1:7">
      <c r="A2983" s="1">
        <f>HYPERLINK("https://cms.ls-nyc.org/matter/dynamic-profile/view/1887111","19-1887111")</f>
        <v>0</v>
      </c>
      <c r="B2983" t="s">
        <v>9</v>
      </c>
      <c r="G2983" t="s">
        <v>16</v>
      </c>
    </row>
    <row r="2984" spans="1:7">
      <c r="A2984" s="1">
        <f>HYPERLINK("https://cms.ls-nyc.org/matter/dynamic-profile/view/1886680","18-1886680")</f>
        <v>0</v>
      </c>
      <c r="B2984" t="s">
        <v>11</v>
      </c>
      <c r="G2984" t="s">
        <v>16</v>
      </c>
    </row>
    <row r="2985" spans="1:7">
      <c r="A2985" s="1">
        <f>HYPERLINK("https://cms.ls-nyc.org/matter/dynamic-profile/view/1881523","18-1881523")</f>
        <v>0</v>
      </c>
      <c r="B2985" t="s">
        <v>9</v>
      </c>
      <c r="F2985" t="s">
        <v>15</v>
      </c>
      <c r="G2985" t="s">
        <v>17</v>
      </c>
    </row>
    <row r="2986" spans="1:7">
      <c r="A2986" s="1">
        <f>HYPERLINK("https://cms.ls-nyc.org/matter/dynamic-profile/view/1886103","18-1886103")</f>
        <v>0</v>
      </c>
      <c r="B2986" t="s">
        <v>11</v>
      </c>
      <c r="G2986" t="s">
        <v>16</v>
      </c>
    </row>
    <row r="2987" spans="1:7">
      <c r="A2987" s="1">
        <f>HYPERLINK("https://cms.ls-nyc.org/matter/dynamic-profile/view/1881614","18-1881614")</f>
        <v>0</v>
      </c>
      <c r="B2987" t="s">
        <v>8</v>
      </c>
      <c r="E2987" t="s">
        <v>14</v>
      </c>
      <c r="F2987" t="s">
        <v>15</v>
      </c>
      <c r="G2987" t="s">
        <v>17</v>
      </c>
    </row>
    <row r="2988" spans="1:7">
      <c r="A2988" s="1">
        <f>HYPERLINK("https://cms.ls-nyc.org/matter/dynamic-profile/view/1901231","19-1901231")</f>
        <v>0</v>
      </c>
      <c r="B2988" t="s">
        <v>11</v>
      </c>
      <c r="G2988" t="s">
        <v>16</v>
      </c>
    </row>
    <row r="2989" spans="1:7">
      <c r="A2989" s="1">
        <f>HYPERLINK("https://cms.ls-nyc.org/matter/dynamic-profile/view/1873579","18-1873579")</f>
        <v>0</v>
      </c>
      <c r="B2989" t="s">
        <v>8</v>
      </c>
      <c r="G2989" t="s">
        <v>16</v>
      </c>
    </row>
    <row r="2990" spans="1:7">
      <c r="A2990" s="1">
        <f>HYPERLINK("https://cms.ls-nyc.org/matter/dynamic-profile/view/1882194","18-1882194")</f>
        <v>0</v>
      </c>
      <c r="B2990" t="s">
        <v>8</v>
      </c>
      <c r="G2990" t="s">
        <v>16</v>
      </c>
    </row>
    <row r="2991" spans="1:7">
      <c r="A2991" s="1">
        <f>HYPERLINK("https://cms.ls-nyc.org/matter/dynamic-profile/view/1884464","18-1884464")</f>
        <v>0</v>
      </c>
      <c r="B2991" t="s">
        <v>8</v>
      </c>
      <c r="G2991" t="s">
        <v>16</v>
      </c>
    </row>
    <row r="2992" spans="1:7">
      <c r="A2992" s="1">
        <f>HYPERLINK("https://cms.ls-nyc.org/matter/dynamic-profile/view/1889991","19-1889991")</f>
        <v>0</v>
      </c>
      <c r="B2992" t="s">
        <v>9</v>
      </c>
      <c r="G2992" t="s">
        <v>16</v>
      </c>
    </row>
    <row r="2993" spans="1:7">
      <c r="A2993" s="1">
        <f>HYPERLINK("https://cms.ls-nyc.org/matter/dynamic-profile/view/1889986","19-1889986")</f>
        <v>0</v>
      </c>
      <c r="B2993" t="s">
        <v>9</v>
      </c>
      <c r="G2993" t="s">
        <v>16</v>
      </c>
    </row>
    <row r="2994" spans="1:7">
      <c r="A2994" s="1">
        <f>HYPERLINK("https://cms.ls-nyc.org/matter/dynamic-profile/view/1887551","19-1887551")</f>
        <v>0</v>
      </c>
      <c r="B2994" t="s">
        <v>9</v>
      </c>
      <c r="G2994" t="s">
        <v>16</v>
      </c>
    </row>
    <row r="2995" spans="1:7">
      <c r="A2995" s="1">
        <f>HYPERLINK("https://cms.ls-nyc.org/matter/dynamic-profile/view/1887447","19-1887447")</f>
        <v>0</v>
      </c>
      <c r="B2995" t="s">
        <v>10</v>
      </c>
      <c r="G2995" t="s">
        <v>16</v>
      </c>
    </row>
    <row r="2996" spans="1:7">
      <c r="A2996" s="1">
        <f>HYPERLINK("https://cms.ls-nyc.org/matter/dynamic-profile/view/1875658","18-1875658")</f>
        <v>0</v>
      </c>
      <c r="B2996" t="s">
        <v>9</v>
      </c>
      <c r="G2996" t="s">
        <v>16</v>
      </c>
    </row>
    <row r="2997" spans="1:7">
      <c r="A2997" s="1">
        <f>HYPERLINK("https://cms.ls-nyc.org/matter/dynamic-profile/view/1875655","18-1875655")</f>
        <v>0</v>
      </c>
      <c r="B2997" t="s">
        <v>9</v>
      </c>
      <c r="G2997" t="s">
        <v>16</v>
      </c>
    </row>
    <row r="2998" spans="1:7">
      <c r="A2998" s="1">
        <f>HYPERLINK("https://cms.ls-nyc.org/matter/dynamic-profile/view/1886234","18-1886234")</f>
        <v>0</v>
      </c>
      <c r="B2998" t="s">
        <v>11</v>
      </c>
      <c r="G2998" t="s">
        <v>16</v>
      </c>
    </row>
    <row r="2999" spans="1:7">
      <c r="A2999" s="1">
        <f>HYPERLINK("https://cms.ls-nyc.org/matter/dynamic-profile/view/1873314","18-1873314")</f>
        <v>0</v>
      </c>
      <c r="B2999" t="s">
        <v>9</v>
      </c>
      <c r="F2999" t="s">
        <v>15</v>
      </c>
      <c r="G2999" t="s">
        <v>17</v>
      </c>
    </row>
    <row r="3000" spans="1:7">
      <c r="A3000" s="1">
        <f>HYPERLINK("https://cms.ls-nyc.org/matter/dynamic-profile/view/1893524","19-1893524")</f>
        <v>0</v>
      </c>
      <c r="B3000" t="s">
        <v>8</v>
      </c>
      <c r="G3000" t="s">
        <v>16</v>
      </c>
    </row>
    <row r="3001" spans="1:7">
      <c r="A3001" s="1">
        <f>HYPERLINK("https://cms.ls-nyc.org/matter/dynamic-profile/view/1895447","19-1895447")</f>
        <v>0</v>
      </c>
      <c r="B3001" t="s">
        <v>8</v>
      </c>
      <c r="G3001" t="s">
        <v>16</v>
      </c>
    </row>
    <row r="3002" spans="1:7">
      <c r="A3002" s="1">
        <f>HYPERLINK("https://cms.ls-nyc.org/matter/dynamic-profile/view/1896309","19-1896309")</f>
        <v>0</v>
      </c>
      <c r="B3002" t="s">
        <v>7</v>
      </c>
      <c r="G3002" t="s">
        <v>16</v>
      </c>
    </row>
    <row r="3003" spans="1:7">
      <c r="A3003" s="1">
        <f>HYPERLINK("https://cms.ls-nyc.org/matter/dynamic-profile/view/1896320","19-1896320")</f>
        <v>0</v>
      </c>
      <c r="B3003" t="s">
        <v>7</v>
      </c>
      <c r="G3003" t="s">
        <v>16</v>
      </c>
    </row>
    <row r="3004" spans="1:7">
      <c r="A3004" s="1">
        <f>HYPERLINK("https://cms.ls-nyc.org/matter/dynamic-profile/view/1898259","19-1898259")</f>
        <v>0</v>
      </c>
      <c r="B3004" t="s">
        <v>8</v>
      </c>
      <c r="E3004" t="s">
        <v>14</v>
      </c>
      <c r="F3004" t="s">
        <v>15</v>
      </c>
      <c r="G3004" t="s">
        <v>17</v>
      </c>
    </row>
    <row r="3005" spans="1:7">
      <c r="A3005" s="1">
        <f>HYPERLINK("https://cms.ls-nyc.org/matter/dynamic-profile/view/1898848","19-1898848")</f>
        <v>0</v>
      </c>
      <c r="B3005" t="s">
        <v>8</v>
      </c>
      <c r="E3005" t="s">
        <v>14</v>
      </c>
      <c r="F3005" t="s">
        <v>15</v>
      </c>
      <c r="G3005" t="s">
        <v>17</v>
      </c>
    </row>
    <row r="3006" spans="1:7">
      <c r="A3006" s="1">
        <f>HYPERLINK("https://cms.ls-nyc.org/matter/dynamic-profile/view/1898851","19-1898851")</f>
        <v>0</v>
      </c>
      <c r="B3006" t="s">
        <v>8</v>
      </c>
      <c r="E3006" t="s">
        <v>14</v>
      </c>
      <c r="F3006" t="s">
        <v>15</v>
      </c>
      <c r="G3006" t="s">
        <v>17</v>
      </c>
    </row>
    <row r="3007" spans="1:7">
      <c r="A3007" s="1">
        <f>HYPERLINK("https://cms.ls-nyc.org/matter/dynamic-profile/view/1892648","19-1892648")</f>
        <v>0</v>
      </c>
      <c r="B3007" t="s">
        <v>11</v>
      </c>
      <c r="F3007" t="s">
        <v>15</v>
      </c>
      <c r="G3007" t="s">
        <v>17</v>
      </c>
    </row>
    <row r="3008" spans="1:7">
      <c r="A3008" s="1">
        <f>HYPERLINK("https://cms.ls-nyc.org/matter/dynamic-profile/view/1881317","18-1881317")</f>
        <v>0</v>
      </c>
      <c r="B3008" t="s">
        <v>11</v>
      </c>
      <c r="G3008" t="s">
        <v>16</v>
      </c>
    </row>
    <row r="3009" spans="1:7">
      <c r="A3009" s="1">
        <f>HYPERLINK("https://cms.ls-nyc.org/matter/dynamic-profile/view/1897721","19-1897721")</f>
        <v>0</v>
      </c>
      <c r="B3009" t="s">
        <v>11</v>
      </c>
      <c r="F3009" t="s">
        <v>15</v>
      </c>
      <c r="G3009" t="s">
        <v>17</v>
      </c>
    </row>
    <row r="3010" spans="1:7">
      <c r="A3010" s="1">
        <f>HYPERLINK("https://cms.ls-nyc.org/matter/dynamic-profile/view/1880130","18-1880130")</f>
        <v>0</v>
      </c>
      <c r="B3010" t="s">
        <v>11</v>
      </c>
      <c r="G3010" t="s">
        <v>16</v>
      </c>
    </row>
    <row r="3011" spans="1:7">
      <c r="A3011" s="1">
        <f>HYPERLINK("https://cms.ls-nyc.org/matter/dynamic-profile/view/1880432","18-1880432")</f>
        <v>0</v>
      </c>
      <c r="B3011" t="s">
        <v>10</v>
      </c>
      <c r="G3011" t="s">
        <v>16</v>
      </c>
    </row>
    <row r="3012" spans="1:7">
      <c r="A3012" s="1">
        <f>HYPERLINK("https://cms.ls-nyc.org/matter/dynamic-profile/view/1879530","18-1879530")</f>
        <v>0</v>
      </c>
      <c r="B3012" t="s">
        <v>8</v>
      </c>
      <c r="G3012" t="s">
        <v>16</v>
      </c>
    </row>
    <row r="3013" spans="1:7">
      <c r="A3013" s="1">
        <f>HYPERLINK("https://cms.ls-nyc.org/matter/dynamic-profile/view/1879525","18-1879525")</f>
        <v>0</v>
      </c>
      <c r="B3013" t="s">
        <v>8</v>
      </c>
      <c r="G3013" t="s">
        <v>16</v>
      </c>
    </row>
    <row r="3014" spans="1:7">
      <c r="A3014" s="1">
        <f>HYPERLINK("https://cms.ls-nyc.org/matter/dynamic-profile/view/1892523","19-1892523")</f>
        <v>0</v>
      </c>
      <c r="B3014" t="s">
        <v>10</v>
      </c>
      <c r="C3014" t="s">
        <v>12</v>
      </c>
      <c r="E3014" t="s">
        <v>14</v>
      </c>
      <c r="G3014" t="s">
        <v>17</v>
      </c>
    </row>
    <row r="3015" spans="1:7">
      <c r="A3015" s="1">
        <f>HYPERLINK("https://cms.ls-nyc.org/matter/dynamic-profile/view/1892641","19-1892641")</f>
        <v>0</v>
      </c>
      <c r="B3015" t="s">
        <v>8</v>
      </c>
      <c r="E3015" t="s">
        <v>14</v>
      </c>
      <c r="F3015" t="s">
        <v>15</v>
      </c>
      <c r="G3015" t="s">
        <v>17</v>
      </c>
    </row>
    <row r="3016" spans="1:7">
      <c r="A3016" s="1">
        <f>HYPERLINK("https://cms.ls-nyc.org/matter/dynamic-profile/view/1897392","19-1897392")</f>
        <v>0</v>
      </c>
      <c r="B3016" t="s">
        <v>8</v>
      </c>
      <c r="E3016" t="s">
        <v>14</v>
      </c>
      <c r="F3016" t="s">
        <v>15</v>
      </c>
      <c r="G3016" t="s">
        <v>17</v>
      </c>
    </row>
    <row r="3017" spans="1:7">
      <c r="A3017" s="1">
        <f>HYPERLINK("https://cms.ls-nyc.org/matter/dynamic-profile/view/1891444","19-1891444")</f>
        <v>0</v>
      </c>
      <c r="B3017" t="s">
        <v>8</v>
      </c>
      <c r="G3017" t="s">
        <v>16</v>
      </c>
    </row>
    <row r="3018" spans="1:7">
      <c r="A3018" s="1">
        <f>HYPERLINK("https://cms.ls-nyc.org/matter/dynamic-profile/view/1891556","19-1891556")</f>
        <v>0</v>
      </c>
      <c r="B3018" t="s">
        <v>8</v>
      </c>
      <c r="E3018" t="s">
        <v>14</v>
      </c>
      <c r="F3018" t="s">
        <v>15</v>
      </c>
      <c r="G3018" t="s">
        <v>17</v>
      </c>
    </row>
    <row r="3019" spans="1:7">
      <c r="A3019" s="1">
        <f>HYPERLINK("https://cms.ls-nyc.org/matter/dynamic-profile/view/1891802","19-1891802")</f>
        <v>0</v>
      </c>
      <c r="B3019" t="s">
        <v>8</v>
      </c>
      <c r="F3019" t="s">
        <v>15</v>
      </c>
      <c r="G3019" t="s">
        <v>17</v>
      </c>
    </row>
    <row r="3020" spans="1:7">
      <c r="A3020" s="1">
        <f>HYPERLINK("https://cms.ls-nyc.org/matter/dynamic-profile/view/1892643","19-1892643")</f>
        <v>0</v>
      </c>
      <c r="B3020" t="s">
        <v>8</v>
      </c>
      <c r="E3020" t="s">
        <v>14</v>
      </c>
      <c r="F3020" t="s">
        <v>15</v>
      </c>
      <c r="G3020" t="s">
        <v>17</v>
      </c>
    </row>
    <row r="3021" spans="1:7">
      <c r="A3021" s="1">
        <f>HYPERLINK("https://cms.ls-nyc.org/matter/dynamic-profile/view/1897393","19-1897393")</f>
        <v>0</v>
      </c>
      <c r="B3021" t="s">
        <v>8</v>
      </c>
      <c r="E3021" t="s">
        <v>14</v>
      </c>
      <c r="F3021" t="s">
        <v>15</v>
      </c>
      <c r="G3021" t="s">
        <v>17</v>
      </c>
    </row>
    <row r="3022" spans="1:7">
      <c r="A3022" s="1">
        <f>HYPERLINK("https://cms.ls-nyc.org/matter/dynamic-profile/view/1891367","19-1891367")</f>
        <v>0</v>
      </c>
      <c r="B3022" t="s">
        <v>8</v>
      </c>
      <c r="G3022" t="s">
        <v>16</v>
      </c>
    </row>
    <row r="3023" spans="1:7">
      <c r="A3023" s="1">
        <f>HYPERLINK("https://cms.ls-nyc.org/matter/dynamic-profile/view/1892931","19-1892931")</f>
        <v>0</v>
      </c>
      <c r="B3023" t="s">
        <v>8</v>
      </c>
      <c r="G3023" t="s">
        <v>16</v>
      </c>
    </row>
    <row r="3024" spans="1:7">
      <c r="A3024" s="1">
        <f>HYPERLINK("https://cms.ls-nyc.org/matter/dynamic-profile/view/1891037","19-1891037")</f>
        <v>0</v>
      </c>
      <c r="B3024" t="s">
        <v>9</v>
      </c>
      <c r="F3024" t="s">
        <v>15</v>
      </c>
      <c r="G3024" t="s">
        <v>17</v>
      </c>
    </row>
    <row r="3025" spans="1:7">
      <c r="A3025" s="1">
        <f>HYPERLINK("https://cms.ls-nyc.org/matter/dynamic-profile/view/1892587","19-1892587")</f>
        <v>0</v>
      </c>
      <c r="B3025" t="s">
        <v>10</v>
      </c>
      <c r="G3025" t="s">
        <v>16</v>
      </c>
    </row>
    <row r="3026" spans="1:7">
      <c r="A3026" s="1">
        <f>HYPERLINK("https://cms.ls-nyc.org/matter/dynamic-profile/view/1895540","19-1895540")</f>
        <v>0</v>
      </c>
      <c r="B3026" t="s">
        <v>11</v>
      </c>
      <c r="G3026" t="s">
        <v>16</v>
      </c>
    </row>
    <row r="3027" spans="1:7">
      <c r="A3027" s="1">
        <f>HYPERLINK("https://cms.ls-nyc.org/matter/dynamic-profile/view/1890455","19-1890455")</f>
        <v>0</v>
      </c>
      <c r="B3027" t="s">
        <v>10</v>
      </c>
      <c r="G3027" t="s">
        <v>16</v>
      </c>
    </row>
    <row r="3028" spans="1:7">
      <c r="A3028" s="1">
        <f>HYPERLINK("https://cms.ls-nyc.org/matter/dynamic-profile/view/1879132","18-1879132")</f>
        <v>0</v>
      </c>
      <c r="B3028" t="s">
        <v>9</v>
      </c>
      <c r="G3028" t="s">
        <v>16</v>
      </c>
    </row>
    <row r="3029" spans="1:7">
      <c r="A3029" s="1">
        <f>HYPERLINK("https://cms.ls-nyc.org/matter/dynamic-profile/view/1878377","18-1878377")</f>
        <v>0</v>
      </c>
      <c r="B3029" t="s">
        <v>11</v>
      </c>
      <c r="G3029" t="s">
        <v>16</v>
      </c>
    </row>
    <row r="3030" spans="1:7">
      <c r="A3030" s="1">
        <f>HYPERLINK("https://cms.ls-nyc.org/matter/dynamic-profile/view/1885636","18-1885636")</f>
        <v>0</v>
      </c>
      <c r="B3030" t="s">
        <v>9</v>
      </c>
      <c r="F3030" t="s">
        <v>15</v>
      </c>
      <c r="G3030" t="s">
        <v>17</v>
      </c>
    </row>
    <row r="3031" spans="1:7">
      <c r="A3031" s="1">
        <f>HYPERLINK("https://cms.ls-nyc.org/matter/dynamic-profile/view/1877920","18-1877920")</f>
        <v>0</v>
      </c>
      <c r="B3031" t="s">
        <v>11</v>
      </c>
      <c r="F3031" t="s">
        <v>15</v>
      </c>
      <c r="G3031" t="s">
        <v>17</v>
      </c>
    </row>
    <row r="3032" spans="1:7">
      <c r="A3032" s="1">
        <f>HYPERLINK("https://cms.ls-nyc.org/matter/dynamic-profile/view/1891031","19-1891031")</f>
        <v>0</v>
      </c>
      <c r="B3032" t="s">
        <v>9</v>
      </c>
      <c r="G3032" t="s">
        <v>16</v>
      </c>
    </row>
    <row r="3033" spans="1:7">
      <c r="A3033" s="1">
        <f>HYPERLINK("https://cms.ls-nyc.org/matter/dynamic-profile/view/1898334","19-1898334")</f>
        <v>0</v>
      </c>
      <c r="B3033" t="s">
        <v>8</v>
      </c>
      <c r="G3033" t="s">
        <v>16</v>
      </c>
    </row>
    <row r="3034" spans="1:7">
      <c r="A3034" s="1">
        <f>HYPERLINK("https://cms.ls-nyc.org/matter/dynamic-profile/view/1898336","19-1898336")</f>
        <v>0</v>
      </c>
      <c r="B3034" t="s">
        <v>8</v>
      </c>
      <c r="G3034" t="s">
        <v>16</v>
      </c>
    </row>
    <row r="3035" spans="1:7">
      <c r="A3035" s="1">
        <f>HYPERLINK("https://cms.ls-nyc.org/matter/dynamic-profile/view/1890584","19-1890584")</f>
        <v>0</v>
      </c>
      <c r="B3035" t="s">
        <v>8</v>
      </c>
      <c r="E3035" t="s">
        <v>14</v>
      </c>
      <c r="F3035" t="s">
        <v>15</v>
      </c>
      <c r="G3035" t="s">
        <v>17</v>
      </c>
    </row>
    <row r="3036" spans="1:7">
      <c r="A3036" s="1">
        <f>HYPERLINK("https://cms.ls-nyc.org/matter/dynamic-profile/view/1891600","19-1891600")</f>
        <v>0</v>
      </c>
      <c r="B3036" t="s">
        <v>8</v>
      </c>
      <c r="E3036" t="s">
        <v>14</v>
      </c>
      <c r="F3036" t="s">
        <v>15</v>
      </c>
      <c r="G3036" t="s">
        <v>17</v>
      </c>
    </row>
    <row r="3037" spans="1:7">
      <c r="A3037" s="1">
        <f>HYPERLINK("https://cms.ls-nyc.org/matter/dynamic-profile/view/1885693","18-1885693")</f>
        <v>0</v>
      </c>
      <c r="B3037" t="s">
        <v>11</v>
      </c>
      <c r="G3037" t="s">
        <v>16</v>
      </c>
    </row>
    <row r="3038" spans="1:7">
      <c r="A3038" s="1">
        <f>HYPERLINK("https://cms.ls-nyc.org/matter/dynamic-profile/view/1897759","19-1897759")</f>
        <v>0</v>
      </c>
      <c r="B3038" t="s">
        <v>11</v>
      </c>
      <c r="G3038" t="s">
        <v>16</v>
      </c>
    </row>
    <row r="3039" spans="1:7">
      <c r="A3039" s="1">
        <f>HYPERLINK("https://cms.ls-nyc.org/matter/dynamic-profile/view/1882754","18-1882754")</f>
        <v>0</v>
      </c>
      <c r="B3039" t="s">
        <v>9</v>
      </c>
      <c r="G3039" t="s">
        <v>16</v>
      </c>
    </row>
    <row r="3040" spans="1:7">
      <c r="A3040" s="1">
        <f>HYPERLINK("https://cms.ls-nyc.org/matter/dynamic-profile/view/1886571","18-1886571")</f>
        <v>0</v>
      </c>
      <c r="B3040" t="s">
        <v>9</v>
      </c>
      <c r="G3040" t="s">
        <v>16</v>
      </c>
    </row>
    <row r="3041" spans="1:7">
      <c r="A3041" s="1">
        <f>HYPERLINK("https://cms.ls-nyc.org/matter/dynamic-profile/view/1882738","18-1882738")</f>
        <v>0</v>
      </c>
      <c r="B3041" t="s">
        <v>9</v>
      </c>
      <c r="G3041" t="s">
        <v>16</v>
      </c>
    </row>
    <row r="3042" spans="1:7">
      <c r="A3042" s="1">
        <f>HYPERLINK("https://cms.ls-nyc.org/matter/dynamic-profile/view/1900719","19-1900719")</f>
        <v>0</v>
      </c>
      <c r="B3042" t="s">
        <v>8</v>
      </c>
      <c r="G3042" t="s">
        <v>16</v>
      </c>
    </row>
    <row r="3043" spans="1:7">
      <c r="A3043" s="1">
        <f>HYPERLINK("https://cms.ls-nyc.org/matter/dynamic-profile/view/1874136","18-1874136")</f>
        <v>0</v>
      </c>
      <c r="B3043" t="s">
        <v>11</v>
      </c>
      <c r="G3043" t="s">
        <v>16</v>
      </c>
    </row>
    <row r="3044" spans="1:7">
      <c r="A3044" s="1">
        <f>HYPERLINK("https://cms.ls-nyc.org/matter/dynamic-profile/view/1833138","17-1833138")</f>
        <v>0</v>
      </c>
      <c r="B3044" t="s">
        <v>11</v>
      </c>
      <c r="D3044" t="s">
        <v>13</v>
      </c>
      <c r="G3044" t="s">
        <v>17</v>
      </c>
    </row>
    <row r="3045" spans="1:7">
      <c r="A3045" s="1">
        <f>HYPERLINK("https://cms.ls-nyc.org/matter/dynamic-profile/view/1885256","18-1885256")</f>
        <v>0</v>
      </c>
      <c r="B3045" t="s">
        <v>11</v>
      </c>
      <c r="G3045" t="s">
        <v>16</v>
      </c>
    </row>
    <row r="3046" spans="1:7">
      <c r="A3046" s="1">
        <f>HYPERLINK("https://cms.ls-nyc.org/matter/dynamic-profile/view/1887499","19-1887499")</f>
        <v>0</v>
      </c>
      <c r="B3046" t="s">
        <v>9</v>
      </c>
      <c r="G3046" t="s">
        <v>16</v>
      </c>
    </row>
    <row r="3047" spans="1:7">
      <c r="A3047" s="1">
        <f>HYPERLINK("https://cms.ls-nyc.org/matter/dynamic-profile/view/1877835","18-1877835")</f>
        <v>0</v>
      </c>
      <c r="B3047" t="s">
        <v>9</v>
      </c>
      <c r="G3047" t="s">
        <v>16</v>
      </c>
    </row>
    <row r="3048" spans="1:7">
      <c r="A3048" s="1">
        <f>HYPERLINK("https://cms.ls-nyc.org/matter/dynamic-profile/view/1896710","19-1896710")</f>
        <v>0</v>
      </c>
      <c r="B3048" t="s">
        <v>8</v>
      </c>
      <c r="G3048" t="s">
        <v>16</v>
      </c>
    </row>
    <row r="3049" spans="1:7">
      <c r="A3049" s="1">
        <f>HYPERLINK("https://cms.ls-nyc.org/matter/dynamic-profile/view/1889904","19-1889904")</f>
        <v>0</v>
      </c>
      <c r="B3049" t="s">
        <v>9</v>
      </c>
      <c r="G3049" t="s">
        <v>16</v>
      </c>
    </row>
    <row r="3050" spans="1:7">
      <c r="A3050" s="1">
        <f>HYPERLINK("https://cms.ls-nyc.org/matter/dynamic-profile/view/1889883","19-1889883")</f>
        <v>0</v>
      </c>
      <c r="B3050" t="s">
        <v>9</v>
      </c>
      <c r="E3050" t="s">
        <v>14</v>
      </c>
      <c r="G3050" t="s">
        <v>17</v>
      </c>
    </row>
    <row r="3051" spans="1:7">
      <c r="A3051" s="1">
        <f>HYPERLINK("https://cms.ls-nyc.org/matter/dynamic-profile/view/1886109","18-1886109")</f>
        <v>0</v>
      </c>
      <c r="B3051" t="s">
        <v>8</v>
      </c>
      <c r="G3051" t="s">
        <v>16</v>
      </c>
    </row>
    <row r="3052" spans="1:7">
      <c r="A3052" s="1">
        <f>HYPERLINK("https://cms.ls-nyc.org/matter/dynamic-profile/view/1887578","19-1887578")</f>
        <v>0</v>
      </c>
      <c r="B3052" t="s">
        <v>8</v>
      </c>
      <c r="D3052" t="s">
        <v>13</v>
      </c>
      <c r="G3052" t="s">
        <v>17</v>
      </c>
    </row>
    <row r="3053" spans="1:7">
      <c r="A3053" s="1">
        <f>HYPERLINK("https://cms.ls-nyc.org/matter/dynamic-profile/view/1887582","19-1887582")</f>
        <v>0</v>
      </c>
      <c r="B3053" t="s">
        <v>8</v>
      </c>
      <c r="G3053" t="s">
        <v>16</v>
      </c>
    </row>
    <row r="3054" spans="1:7">
      <c r="A3054" s="1">
        <f>HYPERLINK("https://cms.ls-nyc.org/matter/dynamic-profile/view/1890567","19-1890567")</f>
        <v>0</v>
      </c>
      <c r="B3054" t="s">
        <v>8</v>
      </c>
      <c r="E3054" t="s">
        <v>14</v>
      </c>
      <c r="F3054" t="s">
        <v>15</v>
      </c>
      <c r="G3054" t="s">
        <v>17</v>
      </c>
    </row>
    <row r="3055" spans="1:7">
      <c r="A3055" s="1">
        <f>HYPERLINK("https://cms.ls-nyc.org/matter/dynamic-profile/view/1891869","19-1891869")</f>
        <v>0</v>
      </c>
      <c r="B3055" t="s">
        <v>8</v>
      </c>
      <c r="E3055" t="s">
        <v>14</v>
      </c>
      <c r="F3055" t="s">
        <v>15</v>
      </c>
      <c r="G3055" t="s">
        <v>17</v>
      </c>
    </row>
    <row r="3056" spans="1:7">
      <c r="A3056" s="1">
        <f>HYPERLINK("https://cms.ls-nyc.org/matter/dynamic-profile/view/1901214","19-1901214")</f>
        <v>0</v>
      </c>
      <c r="B3056" t="s">
        <v>11</v>
      </c>
      <c r="F3056" t="s">
        <v>15</v>
      </c>
      <c r="G3056" t="s">
        <v>17</v>
      </c>
    </row>
    <row r="3057" spans="1:7">
      <c r="A3057" s="1">
        <f>HYPERLINK("https://cms.ls-nyc.org/matter/dynamic-profile/view/1895818","19-1895818")</f>
        <v>0</v>
      </c>
      <c r="B3057" t="s">
        <v>8</v>
      </c>
      <c r="C3057" t="s">
        <v>12</v>
      </c>
      <c r="E3057" t="s">
        <v>14</v>
      </c>
      <c r="G3057" t="s">
        <v>17</v>
      </c>
    </row>
    <row r="3058" spans="1:7">
      <c r="A3058" s="1">
        <f>HYPERLINK("https://cms.ls-nyc.org/matter/dynamic-profile/view/1889342","19-1889342")</f>
        <v>0</v>
      </c>
      <c r="B3058" t="s">
        <v>8</v>
      </c>
      <c r="C3058" t="s">
        <v>12</v>
      </c>
      <c r="F3058" t="s">
        <v>15</v>
      </c>
      <c r="G3058" t="s">
        <v>17</v>
      </c>
    </row>
    <row r="3059" spans="1:7">
      <c r="A3059" s="1">
        <f>HYPERLINK("https://cms.ls-nyc.org/matter/dynamic-profile/view/1888758","19-1888758")</f>
        <v>0</v>
      </c>
      <c r="B3059" t="s">
        <v>8</v>
      </c>
      <c r="C3059" t="s">
        <v>12</v>
      </c>
      <c r="F3059" t="s">
        <v>15</v>
      </c>
      <c r="G3059" t="s">
        <v>17</v>
      </c>
    </row>
    <row r="3060" spans="1:7">
      <c r="A3060" s="1">
        <f>HYPERLINK("https://cms.ls-nyc.org/matter/dynamic-profile/view/1893003","19-1893003")</f>
        <v>0</v>
      </c>
      <c r="B3060" t="s">
        <v>11</v>
      </c>
      <c r="G3060" t="s">
        <v>16</v>
      </c>
    </row>
    <row r="3061" spans="1:7">
      <c r="A3061" s="1">
        <f>HYPERLINK("https://cms.ls-nyc.org/matter/dynamic-profile/view/1901175","19-1901175")</f>
        <v>0</v>
      </c>
      <c r="B3061" t="s">
        <v>11</v>
      </c>
      <c r="F3061" t="s">
        <v>15</v>
      </c>
      <c r="G3061" t="s">
        <v>17</v>
      </c>
    </row>
    <row r="3062" spans="1:7">
      <c r="A3062" s="1">
        <f>HYPERLINK("https://cms.ls-nyc.org/matter/dynamic-profile/view/1876511","18-1876511")</f>
        <v>0</v>
      </c>
      <c r="B3062" t="s">
        <v>8</v>
      </c>
      <c r="G3062" t="s">
        <v>16</v>
      </c>
    </row>
    <row r="3063" spans="1:7">
      <c r="A3063" s="1">
        <f>HYPERLINK("https://cms.ls-nyc.org/matter/dynamic-profile/view/1897828","19-1897828")</f>
        <v>0</v>
      </c>
      <c r="B3063" t="s">
        <v>11</v>
      </c>
      <c r="F3063" t="s">
        <v>15</v>
      </c>
      <c r="G3063" t="s">
        <v>17</v>
      </c>
    </row>
    <row r="3064" spans="1:7">
      <c r="A3064" s="1">
        <f>HYPERLINK("https://cms.ls-nyc.org/matter/dynamic-profile/view/1881561","18-1881561")</f>
        <v>0</v>
      </c>
      <c r="B3064" t="s">
        <v>8</v>
      </c>
      <c r="F3064" t="s">
        <v>15</v>
      </c>
      <c r="G3064" t="s">
        <v>17</v>
      </c>
    </row>
    <row r="3065" spans="1:7">
      <c r="A3065" s="1">
        <f>HYPERLINK("https://cms.ls-nyc.org/matter/dynamic-profile/view/1891710","19-1891710")</f>
        <v>0</v>
      </c>
      <c r="B3065" t="s">
        <v>8</v>
      </c>
      <c r="G3065" t="s">
        <v>16</v>
      </c>
    </row>
    <row r="3066" spans="1:7">
      <c r="A3066" s="1">
        <f>HYPERLINK("https://cms.ls-nyc.org/matter/dynamic-profile/view/1895374","19-1895374")</f>
        <v>0</v>
      </c>
      <c r="B3066" t="s">
        <v>8</v>
      </c>
      <c r="F3066" t="s">
        <v>15</v>
      </c>
      <c r="G3066" t="s">
        <v>17</v>
      </c>
    </row>
    <row r="3067" spans="1:7">
      <c r="A3067" s="1">
        <f>HYPERLINK("https://cms.ls-nyc.org/matter/dynamic-profile/view/1878114","18-1878114")</f>
        <v>0</v>
      </c>
      <c r="B3067" t="s">
        <v>11</v>
      </c>
      <c r="G3067" t="s">
        <v>16</v>
      </c>
    </row>
    <row r="3068" spans="1:7">
      <c r="A3068" s="1">
        <f>HYPERLINK("https://cms.ls-nyc.org/matter/dynamic-profile/view/1901021","19-1901021")</f>
        <v>0</v>
      </c>
      <c r="B3068" t="s">
        <v>11</v>
      </c>
      <c r="G3068" t="s">
        <v>16</v>
      </c>
    </row>
    <row r="3069" spans="1:7">
      <c r="A3069" s="1">
        <f>HYPERLINK("https://cms.ls-nyc.org/matter/dynamic-profile/view/1896342","19-1896342")</f>
        <v>0</v>
      </c>
      <c r="B3069" t="s">
        <v>7</v>
      </c>
      <c r="G3069" t="s">
        <v>16</v>
      </c>
    </row>
    <row r="3070" spans="1:7">
      <c r="A3070" s="1">
        <f>HYPERLINK("https://cms.ls-nyc.org/matter/dynamic-profile/view/1896347","19-1896347")</f>
        <v>0</v>
      </c>
      <c r="B3070" t="s">
        <v>7</v>
      </c>
      <c r="G3070" t="s">
        <v>16</v>
      </c>
    </row>
    <row r="3071" spans="1:7">
      <c r="A3071" s="1">
        <f>HYPERLINK("https://cms.ls-nyc.org/matter/dynamic-profile/view/1899910","19-1899910")</f>
        <v>0</v>
      </c>
      <c r="B3071" t="s">
        <v>9</v>
      </c>
      <c r="G3071" t="s">
        <v>16</v>
      </c>
    </row>
    <row r="3072" spans="1:7">
      <c r="A3072" s="1">
        <f>HYPERLINK("https://cms.ls-nyc.org/matter/dynamic-profile/view/1884532","18-1884532")</f>
        <v>0</v>
      </c>
      <c r="B3072" t="s">
        <v>9</v>
      </c>
      <c r="G3072" t="s">
        <v>16</v>
      </c>
    </row>
    <row r="3073" spans="1:7">
      <c r="A3073" s="1">
        <f>HYPERLINK("https://cms.ls-nyc.org/matter/dynamic-profile/view/1885359","18-1885359")</f>
        <v>0</v>
      </c>
      <c r="B3073" t="s">
        <v>9</v>
      </c>
      <c r="F3073" t="s">
        <v>15</v>
      </c>
      <c r="G3073" t="s">
        <v>17</v>
      </c>
    </row>
    <row r="3074" spans="1:7">
      <c r="A3074" s="1">
        <f>HYPERLINK("https://cms.ls-nyc.org/matter/dynamic-profile/view/1847006","17-1847006")</f>
        <v>0</v>
      </c>
      <c r="B3074" t="s">
        <v>10</v>
      </c>
      <c r="G3074" t="s">
        <v>16</v>
      </c>
    </row>
    <row r="3075" spans="1:7">
      <c r="A3075" s="1">
        <f>HYPERLINK("https://cms.ls-nyc.org/matter/dynamic-profile/view/1892850","19-1892850")</f>
        <v>0</v>
      </c>
      <c r="B3075" t="s">
        <v>8</v>
      </c>
      <c r="E3075" t="s">
        <v>14</v>
      </c>
      <c r="F3075" t="s">
        <v>15</v>
      </c>
      <c r="G3075" t="s">
        <v>17</v>
      </c>
    </row>
    <row r="3076" spans="1:7">
      <c r="A3076" s="1">
        <f>HYPERLINK("https://cms.ls-nyc.org/matter/dynamic-profile/view/1892854","19-1892854")</f>
        <v>0</v>
      </c>
      <c r="B3076" t="s">
        <v>8</v>
      </c>
      <c r="E3076" t="s">
        <v>14</v>
      </c>
      <c r="F3076" t="s">
        <v>15</v>
      </c>
      <c r="G3076" t="s">
        <v>17</v>
      </c>
    </row>
    <row r="3077" spans="1:7">
      <c r="A3077" s="1">
        <f>HYPERLINK("https://cms.ls-nyc.org/matter/dynamic-profile/view/1873081","18-1873081")</f>
        <v>0</v>
      </c>
      <c r="B3077" t="s">
        <v>9</v>
      </c>
      <c r="G3077" t="s">
        <v>16</v>
      </c>
    </row>
    <row r="3078" spans="1:7">
      <c r="A3078" s="1">
        <f>HYPERLINK("https://cms.ls-nyc.org/matter/dynamic-profile/view/1887160","19-1887160")</f>
        <v>0</v>
      </c>
      <c r="B3078" t="s">
        <v>8</v>
      </c>
      <c r="F3078" t="s">
        <v>15</v>
      </c>
      <c r="G3078" t="s">
        <v>17</v>
      </c>
    </row>
    <row r="3079" spans="1:7">
      <c r="A3079" s="1">
        <f>HYPERLINK("https://cms.ls-nyc.org/matter/dynamic-profile/view/1886163","18-1886163")</f>
        <v>0</v>
      </c>
      <c r="B3079" t="s">
        <v>8</v>
      </c>
      <c r="G3079" t="s">
        <v>16</v>
      </c>
    </row>
    <row r="3080" spans="1:7">
      <c r="A3080" s="1">
        <f>HYPERLINK("https://cms.ls-nyc.org/matter/dynamic-profile/view/1877707","18-1877707")</f>
        <v>0</v>
      </c>
      <c r="B3080" t="s">
        <v>9</v>
      </c>
      <c r="F3080" t="s">
        <v>15</v>
      </c>
      <c r="G3080" t="s">
        <v>17</v>
      </c>
    </row>
    <row r="3081" spans="1:7">
      <c r="A3081" s="1">
        <f>HYPERLINK("https://cms.ls-nyc.org/matter/dynamic-profile/view/1885014","18-1885014")</f>
        <v>0</v>
      </c>
      <c r="B3081" t="s">
        <v>8</v>
      </c>
      <c r="F3081" t="s">
        <v>15</v>
      </c>
      <c r="G3081" t="s">
        <v>17</v>
      </c>
    </row>
    <row r="3082" spans="1:7">
      <c r="A3082" s="1">
        <f>HYPERLINK("https://cms.ls-nyc.org/matter/dynamic-profile/view/1886867","19-1886867")</f>
        <v>0</v>
      </c>
      <c r="B3082" t="s">
        <v>9</v>
      </c>
      <c r="G3082" t="s">
        <v>16</v>
      </c>
    </row>
    <row r="3083" spans="1:7">
      <c r="A3083" s="1">
        <f>HYPERLINK("https://cms.ls-nyc.org/matter/dynamic-profile/view/1889283","19-1889283")</f>
        <v>0</v>
      </c>
      <c r="B3083" t="s">
        <v>10</v>
      </c>
      <c r="G3083" t="s">
        <v>16</v>
      </c>
    </row>
    <row r="3084" spans="1:7">
      <c r="A3084" s="1">
        <f>HYPERLINK("https://cms.ls-nyc.org/matter/dynamic-profile/view/1875504","18-1875504")</f>
        <v>0</v>
      </c>
      <c r="B3084" t="s">
        <v>11</v>
      </c>
      <c r="G3084" t="s">
        <v>16</v>
      </c>
    </row>
    <row r="3085" spans="1:7">
      <c r="A3085" s="1">
        <f>HYPERLINK("https://cms.ls-nyc.org/matter/dynamic-profile/view/1886662","18-1886662")</f>
        <v>0</v>
      </c>
      <c r="B3085" t="s">
        <v>11</v>
      </c>
      <c r="G3085" t="s">
        <v>16</v>
      </c>
    </row>
    <row r="3086" spans="1:7">
      <c r="A3086" s="1">
        <f>HYPERLINK("https://cms.ls-nyc.org/matter/dynamic-profile/view/1893325","19-1893325")</f>
        <v>0</v>
      </c>
      <c r="B3086" t="s">
        <v>8</v>
      </c>
      <c r="G3086" t="s">
        <v>16</v>
      </c>
    </row>
    <row r="3087" spans="1:7">
      <c r="A3087" s="1">
        <f>HYPERLINK("https://cms.ls-nyc.org/matter/dynamic-profile/view/1893317","19-1893317")</f>
        <v>0</v>
      </c>
      <c r="B3087" t="s">
        <v>8</v>
      </c>
      <c r="G3087" t="s">
        <v>16</v>
      </c>
    </row>
    <row r="3088" spans="1:7">
      <c r="A3088" s="1">
        <f>HYPERLINK("https://cms.ls-nyc.org/matter/dynamic-profile/view/1893328","19-1893328")</f>
        <v>0</v>
      </c>
      <c r="B3088" t="s">
        <v>8</v>
      </c>
      <c r="G3088" t="s">
        <v>16</v>
      </c>
    </row>
    <row r="3089" spans="1:7">
      <c r="A3089" s="1">
        <f>HYPERLINK("https://cms.ls-nyc.org/matter/dynamic-profile/view/1895942","19-1895942")</f>
        <v>0</v>
      </c>
      <c r="B3089" t="s">
        <v>9</v>
      </c>
      <c r="F3089" t="s">
        <v>15</v>
      </c>
      <c r="G3089" t="s">
        <v>17</v>
      </c>
    </row>
    <row r="3090" spans="1:7">
      <c r="A3090" s="1">
        <f>HYPERLINK("https://cms.ls-nyc.org/matter/dynamic-profile/view/1896395","19-1896395")</f>
        <v>0</v>
      </c>
      <c r="B3090" t="s">
        <v>7</v>
      </c>
      <c r="G3090" t="s">
        <v>16</v>
      </c>
    </row>
    <row r="3091" spans="1:7">
      <c r="A3091" s="1">
        <f>HYPERLINK("https://cms.ls-nyc.org/matter/dynamic-profile/view/1898845","19-1898845")</f>
        <v>0</v>
      </c>
      <c r="B3091" t="s">
        <v>8</v>
      </c>
      <c r="E3091" t="s">
        <v>14</v>
      </c>
      <c r="F3091" t="s">
        <v>15</v>
      </c>
      <c r="G3091" t="s">
        <v>17</v>
      </c>
    </row>
    <row r="3092" spans="1:7">
      <c r="A3092" s="1">
        <f>HYPERLINK("https://cms.ls-nyc.org/matter/dynamic-profile/view/1898951","19-1898951")</f>
        <v>0</v>
      </c>
      <c r="B3092" t="s">
        <v>8</v>
      </c>
      <c r="E3092" t="s">
        <v>14</v>
      </c>
      <c r="F3092" t="s">
        <v>15</v>
      </c>
      <c r="G3092" t="s">
        <v>17</v>
      </c>
    </row>
    <row r="3093" spans="1:7">
      <c r="A3093" s="1">
        <f>HYPERLINK("https://cms.ls-nyc.org/matter/dynamic-profile/view/1898847","19-1898847")</f>
        <v>0</v>
      </c>
      <c r="B3093" t="s">
        <v>8</v>
      </c>
      <c r="E3093" t="s">
        <v>14</v>
      </c>
      <c r="F3093" t="s">
        <v>15</v>
      </c>
      <c r="G3093" t="s">
        <v>17</v>
      </c>
    </row>
    <row r="3094" spans="1:7">
      <c r="A3094" s="1">
        <f>HYPERLINK("https://cms.ls-nyc.org/matter/dynamic-profile/view/1898953","19-1898953")</f>
        <v>0</v>
      </c>
      <c r="B3094" t="s">
        <v>8</v>
      </c>
      <c r="E3094" t="s">
        <v>14</v>
      </c>
      <c r="F3094" t="s">
        <v>15</v>
      </c>
      <c r="G3094" t="s">
        <v>17</v>
      </c>
    </row>
    <row r="3095" spans="1:7">
      <c r="A3095" s="1">
        <f>HYPERLINK("https://cms.ls-nyc.org/matter/dynamic-profile/view/1895343","19-1895343")</f>
        <v>0</v>
      </c>
      <c r="B3095" t="s">
        <v>8</v>
      </c>
      <c r="G3095" t="s">
        <v>16</v>
      </c>
    </row>
    <row r="3096" spans="1:7">
      <c r="A3096" s="1">
        <f>HYPERLINK("https://cms.ls-nyc.org/matter/dynamic-profile/view/1881231","18-1881231")</f>
        <v>0</v>
      </c>
      <c r="B3096" t="s">
        <v>11</v>
      </c>
      <c r="G3096" t="s">
        <v>16</v>
      </c>
    </row>
    <row r="3097" spans="1:7">
      <c r="A3097" s="1">
        <f>HYPERLINK("https://cms.ls-nyc.org/matter/dynamic-profile/view/1890850","19-1890850")</f>
        <v>0</v>
      </c>
      <c r="B3097" t="s">
        <v>11</v>
      </c>
      <c r="F3097" t="s">
        <v>15</v>
      </c>
      <c r="G3097" t="s">
        <v>17</v>
      </c>
    </row>
    <row r="3098" spans="1:7">
      <c r="A3098" s="1">
        <f>HYPERLINK("https://cms.ls-nyc.org/matter/dynamic-profile/view/1868754","18-1868754")</f>
        <v>0</v>
      </c>
      <c r="B3098" t="s">
        <v>9</v>
      </c>
      <c r="G3098" t="s">
        <v>16</v>
      </c>
    </row>
    <row r="3099" spans="1:7">
      <c r="A3099" s="1">
        <f>HYPERLINK("https://cms.ls-nyc.org/matter/dynamic-profile/view/1900725","19-1900725")</f>
        <v>0</v>
      </c>
      <c r="B3099" t="s">
        <v>8</v>
      </c>
      <c r="G3099" t="s">
        <v>16</v>
      </c>
    </row>
    <row r="3100" spans="1:7">
      <c r="A3100" s="1">
        <f>HYPERLINK("https://cms.ls-nyc.org/matter/dynamic-profile/view/1898982","19-1898982")</f>
        <v>0</v>
      </c>
      <c r="B3100" t="s">
        <v>8</v>
      </c>
      <c r="E3100" t="s">
        <v>14</v>
      </c>
      <c r="F3100" t="s">
        <v>15</v>
      </c>
      <c r="G3100" t="s">
        <v>17</v>
      </c>
    </row>
    <row r="3101" spans="1:7">
      <c r="A3101" s="1">
        <f>HYPERLINK("https://cms.ls-nyc.org/matter/dynamic-profile/view/1898983","19-1898983")</f>
        <v>0</v>
      </c>
      <c r="B3101" t="s">
        <v>8</v>
      </c>
      <c r="E3101" t="s">
        <v>14</v>
      </c>
      <c r="F3101" t="s">
        <v>15</v>
      </c>
      <c r="G3101" t="s">
        <v>17</v>
      </c>
    </row>
    <row r="3102" spans="1:7">
      <c r="A3102" s="1">
        <f>HYPERLINK("https://cms.ls-nyc.org/matter/dynamic-profile/view/1893779","19-1893779")</f>
        <v>0</v>
      </c>
      <c r="B3102" t="s">
        <v>9</v>
      </c>
      <c r="G3102" t="s">
        <v>16</v>
      </c>
    </row>
    <row r="3103" spans="1:7">
      <c r="A3103" s="1">
        <f>HYPERLINK("https://cms.ls-nyc.org/matter/dynamic-profile/view/1890842","19-1890842")</f>
        <v>0</v>
      </c>
      <c r="B3103" t="s">
        <v>11</v>
      </c>
      <c r="G3103" t="s">
        <v>16</v>
      </c>
    </row>
    <row r="3104" spans="1:7">
      <c r="A3104" s="1">
        <f>HYPERLINK("https://cms.ls-nyc.org/matter/dynamic-profile/view/1900977","19-1900977")</f>
        <v>0</v>
      </c>
      <c r="B3104" t="s">
        <v>11</v>
      </c>
      <c r="G3104" t="s">
        <v>16</v>
      </c>
    </row>
    <row r="3105" spans="1:7">
      <c r="A3105" s="1">
        <f>HYPERLINK("https://cms.ls-nyc.org/matter/dynamic-profile/view/1885190","18-1885190")</f>
        <v>0</v>
      </c>
      <c r="B3105" t="s">
        <v>11</v>
      </c>
      <c r="G3105" t="s">
        <v>16</v>
      </c>
    </row>
    <row r="3106" spans="1:7">
      <c r="A3106" s="1">
        <f>HYPERLINK("https://cms.ls-nyc.org/matter/dynamic-profile/view/1886683","18-1886683")</f>
        <v>0</v>
      </c>
      <c r="B3106" t="s">
        <v>9</v>
      </c>
      <c r="G3106" t="s">
        <v>16</v>
      </c>
    </row>
    <row r="3107" spans="1:7">
      <c r="A3107" s="1">
        <f>HYPERLINK("https://cms.ls-nyc.org/matter/dynamic-profile/view/1881352","18-1881352")</f>
        <v>0</v>
      </c>
      <c r="B3107" t="s">
        <v>8</v>
      </c>
      <c r="F3107" t="s">
        <v>15</v>
      </c>
      <c r="G3107" t="s">
        <v>17</v>
      </c>
    </row>
    <row r="3108" spans="1:7">
      <c r="A3108" s="1">
        <f>HYPERLINK("https://cms.ls-nyc.org/matter/dynamic-profile/view/1875766","18-1875766")</f>
        <v>0</v>
      </c>
      <c r="B3108" t="s">
        <v>8</v>
      </c>
      <c r="G3108" t="s">
        <v>16</v>
      </c>
    </row>
    <row r="3109" spans="1:7">
      <c r="A3109" s="1">
        <f>HYPERLINK("https://cms.ls-nyc.org/matter/dynamic-profile/view/1885380","18-1885380")</f>
        <v>0</v>
      </c>
      <c r="B3109" t="s">
        <v>9</v>
      </c>
      <c r="G3109" t="s">
        <v>16</v>
      </c>
    </row>
    <row r="3110" spans="1:7">
      <c r="A3110" s="1">
        <f>HYPERLINK("https://cms.ls-nyc.org/matter/dynamic-profile/view/1885558","18-1885558")</f>
        <v>0</v>
      </c>
      <c r="B3110" t="s">
        <v>9</v>
      </c>
      <c r="G3110" t="s">
        <v>16</v>
      </c>
    </row>
    <row r="3111" spans="1:7">
      <c r="A3111" s="1">
        <f>HYPERLINK("https://cms.ls-nyc.org/matter/dynamic-profile/view/1892094","19-1892094")</f>
        <v>0</v>
      </c>
      <c r="B3111" t="s">
        <v>8</v>
      </c>
      <c r="E3111" t="s">
        <v>14</v>
      </c>
      <c r="F3111" t="s">
        <v>15</v>
      </c>
      <c r="G3111" t="s">
        <v>17</v>
      </c>
    </row>
    <row r="3112" spans="1:7">
      <c r="A3112" s="1">
        <f>HYPERLINK("https://cms.ls-nyc.org/matter/dynamic-profile/view/1893980","19-1893980")</f>
        <v>0</v>
      </c>
      <c r="B3112" t="s">
        <v>9</v>
      </c>
      <c r="G3112" t="s">
        <v>16</v>
      </c>
    </row>
    <row r="3113" spans="1:7">
      <c r="A3113" s="1">
        <f>HYPERLINK("https://cms.ls-nyc.org/matter/dynamic-profile/view/1877027","18-1877027")</f>
        <v>0</v>
      </c>
      <c r="B3113" t="s">
        <v>11</v>
      </c>
      <c r="G3113" t="s">
        <v>16</v>
      </c>
    </row>
    <row r="3114" spans="1:7">
      <c r="A3114" s="1">
        <f>HYPERLINK("https://cms.ls-nyc.org/matter/dynamic-profile/view/1891594","19-1891594")</f>
        <v>0</v>
      </c>
      <c r="B3114" t="s">
        <v>8</v>
      </c>
      <c r="E3114" t="s">
        <v>14</v>
      </c>
      <c r="F3114" t="s">
        <v>15</v>
      </c>
      <c r="G3114" t="s">
        <v>17</v>
      </c>
    </row>
    <row r="3115" spans="1:7">
      <c r="A3115" s="1">
        <f>HYPERLINK("https://cms.ls-nyc.org/matter/dynamic-profile/view/1891599","19-1891599")</f>
        <v>0</v>
      </c>
      <c r="B3115" t="s">
        <v>8</v>
      </c>
      <c r="E3115" t="s">
        <v>14</v>
      </c>
      <c r="F3115" t="s">
        <v>15</v>
      </c>
      <c r="G3115" t="s">
        <v>17</v>
      </c>
    </row>
    <row r="3116" spans="1:7">
      <c r="A3116" s="1">
        <f>HYPERLINK("https://cms.ls-nyc.org/matter/dynamic-profile/view/1876516","18-1876516")</f>
        <v>0</v>
      </c>
      <c r="B3116" t="s">
        <v>8</v>
      </c>
      <c r="G3116" t="s">
        <v>16</v>
      </c>
    </row>
    <row r="3117" spans="1:7">
      <c r="A3117" s="1">
        <f>HYPERLINK("https://cms.ls-nyc.org/matter/dynamic-profile/view/1885373","18-1885373")</f>
        <v>0</v>
      </c>
      <c r="B3117" t="s">
        <v>7</v>
      </c>
      <c r="F3117" t="s">
        <v>15</v>
      </c>
      <c r="G3117" t="s">
        <v>17</v>
      </c>
    </row>
    <row r="3118" spans="1:7">
      <c r="A3118" s="1">
        <f>HYPERLINK("https://cms.ls-nyc.org/matter/dynamic-profile/view/1879164","18-1879164")</f>
        <v>0</v>
      </c>
      <c r="B3118" t="s">
        <v>9</v>
      </c>
      <c r="G3118" t="s">
        <v>16</v>
      </c>
    </row>
    <row r="3119" spans="1:7">
      <c r="A3119" s="1">
        <f>HYPERLINK("https://cms.ls-nyc.org/matter/dynamic-profile/view/1885423","18-1885423")</f>
        <v>0</v>
      </c>
      <c r="B3119" t="s">
        <v>11</v>
      </c>
      <c r="G3119" t="s">
        <v>16</v>
      </c>
    </row>
    <row r="3120" spans="1:7">
      <c r="A3120" s="1">
        <f>HYPERLINK("https://cms.ls-nyc.org/matter/dynamic-profile/view/1886100","18-1886100")</f>
        <v>0</v>
      </c>
      <c r="B3120" t="s">
        <v>11</v>
      </c>
      <c r="G3120" t="s">
        <v>16</v>
      </c>
    </row>
    <row r="3121" spans="1:7">
      <c r="A3121" s="1">
        <f>HYPERLINK("https://cms.ls-nyc.org/matter/dynamic-profile/view/1900714","19-1900714")</f>
        <v>0</v>
      </c>
      <c r="B3121" t="s">
        <v>8</v>
      </c>
      <c r="G3121" t="s">
        <v>16</v>
      </c>
    </row>
    <row r="3122" spans="1:7">
      <c r="A3122" s="1">
        <f>HYPERLINK("https://cms.ls-nyc.org/matter/dynamic-profile/view/1889380","19-1889380")</f>
        <v>0</v>
      </c>
      <c r="B3122" t="s">
        <v>9</v>
      </c>
      <c r="G3122" t="s">
        <v>16</v>
      </c>
    </row>
    <row r="3123" spans="1:7">
      <c r="A3123" s="1">
        <f>HYPERLINK("https://cms.ls-nyc.org/matter/dynamic-profile/view/1889386","19-1889386")</f>
        <v>0</v>
      </c>
      <c r="B3123" t="s">
        <v>9</v>
      </c>
      <c r="G3123" t="s">
        <v>16</v>
      </c>
    </row>
    <row r="3124" spans="1:7">
      <c r="A3124" s="1">
        <f>HYPERLINK("https://cms.ls-nyc.org/matter/dynamic-profile/view/1891962","19-1891962")</f>
        <v>0</v>
      </c>
      <c r="B3124" t="s">
        <v>9</v>
      </c>
      <c r="G3124" t="s">
        <v>16</v>
      </c>
    </row>
    <row r="3125" spans="1:7">
      <c r="A3125" s="1">
        <f>HYPERLINK("https://cms.ls-nyc.org/matter/dynamic-profile/view/1897601","19-1897601")</f>
        <v>0</v>
      </c>
      <c r="B3125" t="s">
        <v>11</v>
      </c>
      <c r="G3125" t="s">
        <v>16</v>
      </c>
    </row>
    <row r="3126" spans="1:7">
      <c r="A3126" s="1">
        <f>HYPERLINK("https://cms.ls-nyc.org/matter/dynamic-profile/view/1876630","18-1876630")</f>
        <v>0</v>
      </c>
      <c r="B3126" t="s">
        <v>8</v>
      </c>
      <c r="E3126" t="s">
        <v>14</v>
      </c>
      <c r="G3126" t="s">
        <v>17</v>
      </c>
    </row>
    <row r="3127" spans="1:7">
      <c r="A3127" s="1">
        <f>HYPERLINK("https://cms.ls-nyc.org/matter/dynamic-profile/view/1876621","18-1876621")</f>
        <v>0</v>
      </c>
      <c r="B3127" t="s">
        <v>8</v>
      </c>
      <c r="G3127" t="s">
        <v>16</v>
      </c>
    </row>
    <row r="3128" spans="1:7">
      <c r="A3128" s="1">
        <f>HYPERLINK("https://cms.ls-nyc.org/matter/dynamic-profile/view/1897408","19-1897408")</f>
        <v>0</v>
      </c>
      <c r="B3128" t="s">
        <v>8</v>
      </c>
      <c r="E3128" t="s">
        <v>14</v>
      </c>
      <c r="F3128" t="s">
        <v>15</v>
      </c>
      <c r="G3128" t="s">
        <v>17</v>
      </c>
    </row>
    <row r="3129" spans="1:7">
      <c r="A3129" s="1">
        <f>HYPERLINK("https://cms.ls-nyc.org/matter/dynamic-profile/view/1897410","19-1897410")</f>
        <v>0</v>
      </c>
      <c r="B3129" t="s">
        <v>8</v>
      </c>
      <c r="E3129" t="s">
        <v>14</v>
      </c>
      <c r="F3129" t="s">
        <v>15</v>
      </c>
      <c r="G3129" t="s">
        <v>17</v>
      </c>
    </row>
    <row r="3130" spans="1:7">
      <c r="A3130" s="1">
        <f>HYPERLINK("https://cms.ls-nyc.org/matter/dynamic-profile/view/1894530","19-1894530")</f>
        <v>0</v>
      </c>
      <c r="B3130" t="s">
        <v>11</v>
      </c>
      <c r="G3130" t="s">
        <v>16</v>
      </c>
    </row>
    <row r="3131" spans="1:7">
      <c r="A3131" s="1">
        <f>HYPERLINK("https://cms.ls-nyc.org/matter/dynamic-profile/view/1888668","19-1888668")</f>
        <v>0</v>
      </c>
      <c r="B3131" t="s">
        <v>7</v>
      </c>
      <c r="G3131" t="s">
        <v>16</v>
      </c>
    </row>
    <row r="3132" spans="1:7">
      <c r="A3132" s="1">
        <f>HYPERLINK("https://cms.ls-nyc.org/matter/dynamic-profile/view/1898503","19-1898503")</f>
        <v>0</v>
      </c>
      <c r="B3132" t="s">
        <v>7</v>
      </c>
      <c r="G3132" t="s">
        <v>16</v>
      </c>
    </row>
    <row r="3133" spans="1:7">
      <c r="A3133" s="1">
        <f>HYPERLINK("https://cms.ls-nyc.org/matter/dynamic-profile/view/1876814","18-1876814")</f>
        <v>0</v>
      </c>
      <c r="B3133" t="s">
        <v>8</v>
      </c>
      <c r="G3133" t="s">
        <v>16</v>
      </c>
    </row>
    <row r="3134" spans="1:7">
      <c r="A3134" s="1">
        <f>HYPERLINK("https://cms.ls-nyc.org/matter/dynamic-profile/view/1876812","18-1876812")</f>
        <v>0</v>
      </c>
      <c r="B3134" t="s">
        <v>8</v>
      </c>
      <c r="G3134" t="s">
        <v>16</v>
      </c>
    </row>
    <row r="3135" spans="1:7">
      <c r="A3135" s="1">
        <f>HYPERLINK("https://cms.ls-nyc.org/matter/dynamic-profile/view/1879360","18-1879360")</f>
        <v>0</v>
      </c>
      <c r="B3135" t="s">
        <v>11</v>
      </c>
      <c r="G3135" t="s">
        <v>16</v>
      </c>
    </row>
    <row r="3136" spans="1:7">
      <c r="A3136" s="1">
        <f>HYPERLINK("https://cms.ls-nyc.org/matter/dynamic-profile/view/1890972","19-1890972")</f>
        <v>0</v>
      </c>
      <c r="B3136" t="s">
        <v>9</v>
      </c>
      <c r="F3136" t="s">
        <v>15</v>
      </c>
      <c r="G3136" t="s">
        <v>17</v>
      </c>
    </row>
    <row r="3137" spans="1:7">
      <c r="A3137" s="1">
        <f>HYPERLINK("https://cms.ls-nyc.org/matter/dynamic-profile/view/1890970","19-1890970")</f>
        <v>0</v>
      </c>
      <c r="B3137" t="s">
        <v>9</v>
      </c>
      <c r="F3137" t="s">
        <v>15</v>
      </c>
      <c r="G3137" t="s">
        <v>17</v>
      </c>
    </row>
    <row r="3138" spans="1:7">
      <c r="A3138" s="1">
        <f>HYPERLINK("https://cms.ls-nyc.org/matter/dynamic-profile/view/1890966","19-1890966")</f>
        <v>0</v>
      </c>
      <c r="B3138" t="s">
        <v>9</v>
      </c>
      <c r="F3138" t="s">
        <v>15</v>
      </c>
      <c r="G3138" t="s">
        <v>17</v>
      </c>
    </row>
    <row r="3139" spans="1:7">
      <c r="A3139" s="1">
        <f>HYPERLINK("https://cms.ls-nyc.org/matter/dynamic-profile/view/1874683","18-1874683")</f>
        <v>0</v>
      </c>
      <c r="B3139" t="s">
        <v>11</v>
      </c>
      <c r="G3139" t="s">
        <v>16</v>
      </c>
    </row>
    <row r="3140" spans="1:7">
      <c r="A3140" s="1">
        <f>HYPERLINK("https://cms.ls-nyc.org/matter/dynamic-profile/view/1891145","19-1891145")</f>
        <v>0</v>
      </c>
      <c r="B3140" t="s">
        <v>9</v>
      </c>
      <c r="G3140" t="s">
        <v>16</v>
      </c>
    </row>
    <row r="3141" spans="1:7">
      <c r="A3141" s="1">
        <f>HYPERLINK("https://cms.ls-nyc.org/matter/dynamic-profile/view/1882696","18-1882696")</f>
        <v>0</v>
      </c>
      <c r="B3141" t="s">
        <v>9</v>
      </c>
      <c r="G3141" t="s">
        <v>16</v>
      </c>
    </row>
    <row r="3142" spans="1:7">
      <c r="A3142" s="1">
        <f>HYPERLINK("https://cms.ls-nyc.org/matter/dynamic-profile/view/1882693","18-1882693")</f>
        <v>0</v>
      </c>
      <c r="B3142" t="s">
        <v>9</v>
      </c>
      <c r="G3142" t="s">
        <v>16</v>
      </c>
    </row>
    <row r="3143" spans="1:7">
      <c r="A3143" s="1">
        <f>HYPERLINK("https://cms.ls-nyc.org/matter/dynamic-profile/view/1875757","18-1875757")</f>
        <v>0</v>
      </c>
      <c r="B3143" t="s">
        <v>9</v>
      </c>
      <c r="G3143" t="s">
        <v>16</v>
      </c>
    </row>
    <row r="3144" spans="1:7">
      <c r="A3144" s="1">
        <f>HYPERLINK("https://cms.ls-nyc.org/matter/dynamic-profile/view/1891563","19-1891563")</f>
        <v>0</v>
      </c>
      <c r="B3144" t="s">
        <v>8</v>
      </c>
      <c r="E3144" t="s">
        <v>14</v>
      </c>
      <c r="F3144" t="s">
        <v>15</v>
      </c>
      <c r="G3144" t="s">
        <v>17</v>
      </c>
    </row>
    <row r="3145" spans="1:7">
      <c r="A3145" s="1">
        <f>HYPERLINK("https://cms.ls-nyc.org/matter/dynamic-profile/view/1891564","19-1891564")</f>
        <v>0</v>
      </c>
      <c r="B3145" t="s">
        <v>8</v>
      </c>
      <c r="E3145" t="s">
        <v>14</v>
      </c>
      <c r="F3145" t="s">
        <v>15</v>
      </c>
      <c r="G3145" t="s">
        <v>17</v>
      </c>
    </row>
    <row r="3146" spans="1:7">
      <c r="A3146" s="1">
        <f>HYPERLINK("https://cms.ls-nyc.org/matter/dynamic-profile/view/1900676","19-1900676")</f>
        <v>0</v>
      </c>
      <c r="B3146" t="s">
        <v>8</v>
      </c>
      <c r="F3146" t="s">
        <v>15</v>
      </c>
      <c r="G3146" t="s">
        <v>17</v>
      </c>
    </row>
    <row r="3147" spans="1:7">
      <c r="A3147" s="1">
        <f>HYPERLINK("https://cms.ls-nyc.org/matter/dynamic-profile/view/1895330","19-1895330")</f>
        <v>0</v>
      </c>
      <c r="B3147" t="s">
        <v>8</v>
      </c>
      <c r="G3147" t="s">
        <v>16</v>
      </c>
    </row>
    <row r="3148" spans="1:7">
      <c r="A3148" s="1">
        <f>HYPERLINK("https://cms.ls-nyc.org/matter/dynamic-profile/view/1891457","19-1891457")</f>
        <v>0</v>
      </c>
      <c r="B3148" t="s">
        <v>9</v>
      </c>
      <c r="G3148" t="s">
        <v>16</v>
      </c>
    </row>
    <row r="3149" spans="1:7">
      <c r="A3149" s="1">
        <f>HYPERLINK("https://cms.ls-nyc.org/matter/dynamic-profile/view/1890628","19-1890628")</f>
        <v>0</v>
      </c>
      <c r="B3149" t="s">
        <v>8</v>
      </c>
      <c r="E3149" t="s">
        <v>14</v>
      </c>
      <c r="F3149" t="s">
        <v>15</v>
      </c>
      <c r="G3149" t="s">
        <v>17</v>
      </c>
    </row>
    <row r="3150" spans="1:7">
      <c r="A3150" s="1">
        <f>HYPERLINK("https://cms.ls-nyc.org/matter/dynamic-profile/view/1891940","19-1891940")</f>
        <v>0</v>
      </c>
      <c r="B3150" t="s">
        <v>8</v>
      </c>
      <c r="E3150" t="s">
        <v>14</v>
      </c>
      <c r="F3150" t="s">
        <v>15</v>
      </c>
      <c r="G3150" t="s">
        <v>17</v>
      </c>
    </row>
    <row r="3151" spans="1:7">
      <c r="A3151" s="1">
        <f>HYPERLINK("https://cms.ls-nyc.org/matter/dynamic-profile/view/1897337","19-1897337")</f>
        <v>0</v>
      </c>
      <c r="B3151" t="s">
        <v>8</v>
      </c>
      <c r="E3151" t="s">
        <v>14</v>
      </c>
      <c r="F3151" t="s">
        <v>15</v>
      </c>
      <c r="G3151" t="s">
        <v>17</v>
      </c>
    </row>
    <row r="3152" spans="1:7">
      <c r="A3152" s="1">
        <f>HYPERLINK("https://cms.ls-nyc.org/matter/dynamic-profile/view/1891616","19-1891616")</f>
        <v>0</v>
      </c>
      <c r="B3152" t="s">
        <v>8</v>
      </c>
      <c r="E3152" t="s">
        <v>14</v>
      </c>
      <c r="F3152" t="s">
        <v>15</v>
      </c>
      <c r="G3152" t="s">
        <v>17</v>
      </c>
    </row>
    <row r="3153" spans="1:7">
      <c r="A3153" s="1">
        <f>HYPERLINK("https://cms.ls-nyc.org/matter/dynamic-profile/view/1891944","19-1891944")</f>
        <v>0</v>
      </c>
      <c r="B3153" t="s">
        <v>8</v>
      </c>
      <c r="E3153" t="s">
        <v>14</v>
      </c>
      <c r="F3153" t="s">
        <v>15</v>
      </c>
      <c r="G3153" t="s">
        <v>17</v>
      </c>
    </row>
    <row r="3154" spans="1:7">
      <c r="A3154" s="1">
        <f>HYPERLINK("https://cms.ls-nyc.org/matter/dynamic-profile/view/1897341","19-1897341")</f>
        <v>0</v>
      </c>
      <c r="B3154" t="s">
        <v>8</v>
      </c>
      <c r="E3154" t="s">
        <v>14</v>
      </c>
      <c r="F3154" t="s">
        <v>15</v>
      </c>
      <c r="G3154" t="s">
        <v>17</v>
      </c>
    </row>
    <row r="3155" spans="1:7">
      <c r="A3155" s="1">
        <f>HYPERLINK("https://cms.ls-nyc.org/matter/dynamic-profile/view/1871571","18-1871571")</f>
        <v>0</v>
      </c>
      <c r="B3155" t="s">
        <v>11</v>
      </c>
      <c r="F3155" t="s">
        <v>15</v>
      </c>
      <c r="G3155" t="s">
        <v>17</v>
      </c>
    </row>
    <row r="3156" spans="1:7">
      <c r="A3156" s="1">
        <f>HYPERLINK("https://cms.ls-nyc.org/matter/dynamic-profile/view/1880592","18-1880592")</f>
        <v>0</v>
      </c>
      <c r="B3156" t="s">
        <v>9</v>
      </c>
      <c r="G3156" t="s">
        <v>16</v>
      </c>
    </row>
    <row r="3157" spans="1:7">
      <c r="A3157" s="1">
        <f>HYPERLINK("https://cms.ls-nyc.org/matter/dynamic-profile/view/1900428","19-1900428")</f>
        <v>0</v>
      </c>
      <c r="B3157" t="s">
        <v>8</v>
      </c>
      <c r="C3157" t="s">
        <v>12</v>
      </c>
      <c r="E3157" t="s">
        <v>14</v>
      </c>
      <c r="F3157" t="s">
        <v>15</v>
      </c>
      <c r="G3157" t="s">
        <v>17</v>
      </c>
    </row>
    <row r="3158" spans="1:7">
      <c r="A3158" s="1">
        <f>HYPERLINK("https://cms.ls-nyc.org/matter/dynamic-profile/view/1899097","19-1899097")</f>
        <v>0</v>
      </c>
      <c r="B3158" t="s">
        <v>8</v>
      </c>
      <c r="G3158" t="s">
        <v>16</v>
      </c>
    </row>
    <row r="3159" spans="1:7">
      <c r="A3159" s="1">
        <f>HYPERLINK("https://cms.ls-nyc.org/matter/dynamic-profile/view/1895821","19-1895821")</f>
        <v>0</v>
      </c>
      <c r="B3159" t="s">
        <v>8</v>
      </c>
      <c r="G3159" t="s">
        <v>16</v>
      </c>
    </row>
    <row r="3160" spans="1:7">
      <c r="A3160" s="1">
        <f>HYPERLINK("https://cms.ls-nyc.org/matter/dynamic-profile/view/1898331","19-1898331")</f>
        <v>0</v>
      </c>
      <c r="B3160" t="s">
        <v>8</v>
      </c>
      <c r="G3160" t="s">
        <v>16</v>
      </c>
    </row>
    <row r="3161" spans="1:7">
      <c r="A3161" s="1">
        <f>HYPERLINK("https://cms.ls-nyc.org/matter/dynamic-profile/view/1898333","19-1898333")</f>
        <v>0</v>
      </c>
      <c r="B3161" t="s">
        <v>8</v>
      </c>
      <c r="G3161" t="s">
        <v>16</v>
      </c>
    </row>
    <row r="3162" spans="1:7">
      <c r="A3162" s="1">
        <f>HYPERLINK("https://cms.ls-nyc.org/matter/dynamic-profile/view/1898368","19-1898368")</f>
        <v>0</v>
      </c>
      <c r="B3162" t="s">
        <v>8</v>
      </c>
      <c r="E3162" t="s">
        <v>14</v>
      </c>
      <c r="F3162" t="s">
        <v>15</v>
      </c>
      <c r="G3162" t="s">
        <v>17</v>
      </c>
    </row>
    <row r="3163" spans="1:7">
      <c r="A3163" s="1">
        <f>HYPERLINK("https://cms.ls-nyc.org/matter/dynamic-profile/view/1898370","19-1898370")</f>
        <v>0</v>
      </c>
      <c r="B3163" t="s">
        <v>8</v>
      </c>
      <c r="E3163" t="s">
        <v>14</v>
      </c>
      <c r="F3163" t="s">
        <v>15</v>
      </c>
      <c r="G3163" t="s">
        <v>17</v>
      </c>
    </row>
    <row r="3164" spans="1:7">
      <c r="A3164" s="1">
        <f>HYPERLINK("https://cms.ls-nyc.org/matter/dynamic-profile/view/1880271","18-1880271")</f>
        <v>0</v>
      </c>
      <c r="B3164" t="s">
        <v>8</v>
      </c>
      <c r="F3164" t="s">
        <v>15</v>
      </c>
      <c r="G3164" t="s">
        <v>17</v>
      </c>
    </row>
    <row r="3165" spans="1:7">
      <c r="A3165" s="1">
        <f>HYPERLINK("https://cms.ls-nyc.org/matter/dynamic-profile/view/1878674","18-1878674")</f>
        <v>0</v>
      </c>
      <c r="B3165" t="s">
        <v>8</v>
      </c>
      <c r="G3165" t="s">
        <v>16</v>
      </c>
    </row>
    <row r="3166" spans="1:7">
      <c r="A3166" s="1">
        <f>HYPERLINK("https://cms.ls-nyc.org/matter/dynamic-profile/view/1878669","18-1878669")</f>
        <v>0</v>
      </c>
      <c r="B3166" t="s">
        <v>8</v>
      </c>
      <c r="G3166" t="s">
        <v>16</v>
      </c>
    </row>
    <row r="3167" spans="1:7">
      <c r="A3167" s="1">
        <f>HYPERLINK("https://cms.ls-nyc.org/matter/dynamic-profile/view/1888317","19-1888317")</f>
        <v>0</v>
      </c>
      <c r="B3167" t="s">
        <v>9</v>
      </c>
      <c r="F3167" t="s">
        <v>15</v>
      </c>
      <c r="G3167" t="s">
        <v>17</v>
      </c>
    </row>
    <row r="3168" spans="1:7">
      <c r="A3168" s="1">
        <f>HYPERLINK("https://cms.ls-nyc.org/matter/dynamic-profile/view/1876938","18-1876938")</f>
        <v>0</v>
      </c>
      <c r="B3168" t="s">
        <v>8</v>
      </c>
      <c r="G3168" t="s">
        <v>16</v>
      </c>
    </row>
    <row r="3169" spans="1:7">
      <c r="A3169" s="1">
        <f>HYPERLINK("https://cms.ls-nyc.org/matter/dynamic-profile/view/1885572","18-1885572")</f>
        <v>0</v>
      </c>
      <c r="B3169" t="s">
        <v>9</v>
      </c>
      <c r="F3169" t="s">
        <v>15</v>
      </c>
      <c r="G3169" t="s">
        <v>17</v>
      </c>
    </row>
    <row r="3170" spans="1:7">
      <c r="A3170" s="1">
        <f>HYPERLINK("https://cms.ls-nyc.org/matter/dynamic-profile/view/1871285","18-1871285")</f>
        <v>0</v>
      </c>
      <c r="B3170" t="s">
        <v>8</v>
      </c>
      <c r="G3170" t="s">
        <v>16</v>
      </c>
    </row>
    <row r="3171" spans="1:7">
      <c r="A3171" s="1">
        <f>HYPERLINK("https://cms.ls-nyc.org/matter/dynamic-profile/view/1876326","18-1876326")</f>
        <v>0</v>
      </c>
      <c r="B3171" t="s">
        <v>11</v>
      </c>
      <c r="G3171" t="s">
        <v>16</v>
      </c>
    </row>
    <row r="3172" spans="1:7">
      <c r="A3172" s="1">
        <f>HYPERLINK("https://cms.ls-nyc.org/matter/dynamic-profile/view/1901179","19-1901179")</f>
        <v>0</v>
      </c>
      <c r="B3172" t="s">
        <v>11</v>
      </c>
      <c r="F3172" t="s">
        <v>15</v>
      </c>
      <c r="G3172" t="s">
        <v>17</v>
      </c>
    </row>
    <row r="3173" spans="1:7">
      <c r="A3173" s="1">
        <f>HYPERLINK("https://cms.ls-nyc.org/matter/dynamic-profile/view/1895344","19-1895344")</f>
        <v>0</v>
      </c>
      <c r="B3173" t="s">
        <v>8</v>
      </c>
      <c r="C3173" t="s">
        <v>12</v>
      </c>
      <c r="E3173" t="s">
        <v>14</v>
      </c>
      <c r="G3173" t="s">
        <v>17</v>
      </c>
    </row>
    <row r="3174" spans="1:7">
      <c r="A3174" s="1">
        <f>HYPERLINK("https://cms.ls-nyc.org/matter/dynamic-profile/view/1897605","19-1897605")</f>
        <v>0</v>
      </c>
      <c r="B3174" t="s">
        <v>8</v>
      </c>
      <c r="E3174" t="s">
        <v>14</v>
      </c>
      <c r="F3174" t="s">
        <v>15</v>
      </c>
      <c r="G3174" t="s">
        <v>17</v>
      </c>
    </row>
    <row r="3175" spans="1:7">
      <c r="A3175" s="1">
        <f>HYPERLINK("https://cms.ls-nyc.org/matter/dynamic-profile/view/1897606","19-1897606")</f>
        <v>0</v>
      </c>
      <c r="B3175" t="s">
        <v>8</v>
      </c>
      <c r="E3175" t="s">
        <v>14</v>
      </c>
      <c r="F3175" t="s">
        <v>15</v>
      </c>
      <c r="G3175" t="s">
        <v>17</v>
      </c>
    </row>
    <row r="3176" spans="1:7">
      <c r="A3176" s="1">
        <f>HYPERLINK("https://cms.ls-nyc.org/matter/dynamic-profile/view/1892569","19-1892569")</f>
        <v>0</v>
      </c>
      <c r="B3176" t="s">
        <v>9</v>
      </c>
      <c r="G3176" t="s">
        <v>16</v>
      </c>
    </row>
    <row r="3177" spans="1:7">
      <c r="A3177" s="1">
        <f>HYPERLINK("https://cms.ls-nyc.org/matter/dynamic-profile/view/1899062","19-1899062")</f>
        <v>0</v>
      </c>
      <c r="B3177" t="s">
        <v>7</v>
      </c>
      <c r="G3177" t="s">
        <v>16</v>
      </c>
    </row>
    <row r="3178" spans="1:7">
      <c r="A3178" s="1">
        <f>HYPERLINK("https://cms.ls-nyc.org/matter/dynamic-profile/view/1891151","19-1891151")</f>
        <v>0</v>
      </c>
      <c r="B3178" t="s">
        <v>9</v>
      </c>
      <c r="G3178" t="s">
        <v>16</v>
      </c>
    </row>
    <row r="3179" spans="1:7">
      <c r="A3179" s="1">
        <f>HYPERLINK("https://cms.ls-nyc.org/matter/dynamic-profile/view/1899106","19-1899106")</f>
        <v>0</v>
      </c>
      <c r="B3179" t="s">
        <v>9</v>
      </c>
      <c r="G3179" t="s">
        <v>16</v>
      </c>
    </row>
    <row r="3180" spans="1:7">
      <c r="A3180" s="1">
        <f>HYPERLINK("https://cms.ls-nyc.org/matter/dynamic-profile/view/1868401","18-1868401")</f>
        <v>0</v>
      </c>
      <c r="B3180" t="s">
        <v>8</v>
      </c>
      <c r="F3180" t="s">
        <v>15</v>
      </c>
      <c r="G3180" t="s">
        <v>17</v>
      </c>
    </row>
    <row r="3181" spans="1:7">
      <c r="A3181" s="1">
        <f>HYPERLINK("https://cms.ls-nyc.org/matter/dynamic-profile/view/1897390","19-1897390")</f>
        <v>0</v>
      </c>
      <c r="B3181" t="s">
        <v>8</v>
      </c>
      <c r="F3181" t="s">
        <v>15</v>
      </c>
      <c r="G3181" t="s">
        <v>17</v>
      </c>
    </row>
    <row r="3182" spans="1:7">
      <c r="A3182" s="1">
        <f>HYPERLINK("https://cms.ls-nyc.org/matter/dynamic-profile/view/1900727","19-1900727")</f>
        <v>0</v>
      </c>
      <c r="B3182" t="s">
        <v>8</v>
      </c>
      <c r="E3182" t="s">
        <v>14</v>
      </c>
      <c r="F3182" t="s">
        <v>15</v>
      </c>
      <c r="G3182" t="s">
        <v>17</v>
      </c>
    </row>
    <row r="3183" spans="1:7">
      <c r="A3183" s="1">
        <f>HYPERLINK("https://cms.ls-nyc.org/matter/dynamic-profile/view/1891541","19-1891541")</f>
        <v>0</v>
      </c>
      <c r="B3183" t="s">
        <v>8</v>
      </c>
      <c r="E3183" t="s">
        <v>14</v>
      </c>
      <c r="F3183" t="s">
        <v>15</v>
      </c>
      <c r="G3183" t="s">
        <v>17</v>
      </c>
    </row>
    <row r="3184" spans="1:7">
      <c r="A3184" s="1">
        <f>HYPERLINK("https://cms.ls-nyc.org/matter/dynamic-profile/view/1891544","19-1891544")</f>
        <v>0</v>
      </c>
      <c r="B3184" t="s">
        <v>8</v>
      </c>
      <c r="E3184" t="s">
        <v>14</v>
      </c>
      <c r="F3184" t="s">
        <v>15</v>
      </c>
      <c r="G3184" t="s">
        <v>17</v>
      </c>
    </row>
    <row r="3185" spans="1:7">
      <c r="A3185" s="1">
        <f>HYPERLINK("https://cms.ls-nyc.org/matter/dynamic-profile/view/1897064","19-1897064")</f>
        <v>0</v>
      </c>
      <c r="B3185" t="s">
        <v>7</v>
      </c>
      <c r="G3185" t="s">
        <v>16</v>
      </c>
    </row>
    <row r="3186" spans="1:7">
      <c r="A3186" s="1">
        <f>HYPERLINK("https://cms.ls-nyc.org/matter/dynamic-profile/view/1897069","19-1897069")</f>
        <v>0</v>
      </c>
      <c r="B3186" t="s">
        <v>7</v>
      </c>
      <c r="G3186" t="s">
        <v>16</v>
      </c>
    </row>
    <row r="3187" spans="1:7">
      <c r="A3187" s="1">
        <f>HYPERLINK("https://cms.ls-nyc.org/matter/dynamic-profile/view/1892863","19-1892863")</f>
        <v>0</v>
      </c>
      <c r="B3187" t="s">
        <v>8</v>
      </c>
      <c r="E3187" t="s">
        <v>14</v>
      </c>
      <c r="F3187" t="s">
        <v>15</v>
      </c>
      <c r="G3187" t="s">
        <v>17</v>
      </c>
    </row>
    <row r="3188" spans="1:7">
      <c r="A3188" s="1">
        <f>HYPERLINK("https://cms.ls-nyc.org/matter/dynamic-profile/view/1892865","19-1892865")</f>
        <v>0</v>
      </c>
      <c r="B3188" t="s">
        <v>8</v>
      </c>
      <c r="E3188" t="s">
        <v>14</v>
      </c>
      <c r="F3188" t="s">
        <v>15</v>
      </c>
      <c r="G3188" t="s">
        <v>17</v>
      </c>
    </row>
    <row r="3189" spans="1:7">
      <c r="A3189" s="1">
        <f>HYPERLINK("https://cms.ls-nyc.org/matter/dynamic-profile/view/1878950","18-1878950")</f>
        <v>0</v>
      </c>
      <c r="B3189" t="s">
        <v>8</v>
      </c>
      <c r="G3189" t="s">
        <v>16</v>
      </c>
    </row>
    <row r="3190" spans="1:7">
      <c r="A3190" s="1">
        <f>HYPERLINK("https://cms.ls-nyc.org/matter/dynamic-profile/view/1878953","18-1878953")</f>
        <v>0</v>
      </c>
      <c r="B3190" t="s">
        <v>8</v>
      </c>
      <c r="G3190" t="s">
        <v>16</v>
      </c>
    </row>
    <row r="3191" spans="1:7">
      <c r="A3191" s="1">
        <f>HYPERLINK("https://cms.ls-nyc.org/matter/dynamic-profile/view/1878946","18-1878946")</f>
        <v>0</v>
      </c>
      <c r="B3191" t="s">
        <v>8</v>
      </c>
      <c r="G3191" t="s">
        <v>16</v>
      </c>
    </row>
    <row r="3192" spans="1:7">
      <c r="A3192" s="1">
        <f>HYPERLINK("https://cms.ls-nyc.org/matter/dynamic-profile/view/1885720","18-1885720")</f>
        <v>0</v>
      </c>
      <c r="B3192" t="s">
        <v>9</v>
      </c>
      <c r="F3192" t="s">
        <v>15</v>
      </c>
      <c r="G3192" t="s">
        <v>17</v>
      </c>
    </row>
    <row r="3193" spans="1:7">
      <c r="A3193" s="1">
        <f>HYPERLINK("https://cms.ls-nyc.org/matter/dynamic-profile/view/1883414","18-1883414")</f>
        <v>0</v>
      </c>
      <c r="B3193" t="s">
        <v>9</v>
      </c>
      <c r="G3193" t="s">
        <v>16</v>
      </c>
    </row>
    <row r="3194" spans="1:7">
      <c r="A3194" s="1">
        <f>HYPERLINK("https://cms.ls-nyc.org/matter/dynamic-profile/view/1880625","18-1880625")</f>
        <v>0</v>
      </c>
      <c r="B3194" t="s">
        <v>11</v>
      </c>
      <c r="G3194" t="s">
        <v>16</v>
      </c>
    </row>
    <row r="3195" spans="1:7">
      <c r="A3195" s="1">
        <f>HYPERLINK("https://cms.ls-nyc.org/matter/dynamic-profile/view/1892433","19-1892433")</f>
        <v>0</v>
      </c>
      <c r="B3195" t="s">
        <v>9</v>
      </c>
      <c r="G3195" t="s">
        <v>16</v>
      </c>
    </row>
    <row r="3196" spans="1:7">
      <c r="A3196" s="1">
        <f>HYPERLINK("https://cms.ls-nyc.org/matter/dynamic-profile/view/1892158","19-1892158")</f>
        <v>0</v>
      </c>
      <c r="B3196" t="s">
        <v>9</v>
      </c>
      <c r="G3196" t="s">
        <v>16</v>
      </c>
    </row>
    <row r="3197" spans="1:7">
      <c r="A3197" s="1">
        <f>HYPERLINK("https://cms.ls-nyc.org/matter/dynamic-profile/view/1877573","18-1877573")</f>
        <v>0</v>
      </c>
      <c r="B3197" t="s">
        <v>7</v>
      </c>
      <c r="G3197" t="s">
        <v>16</v>
      </c>
    </row>
    <row r="3198" spans="1:7">
      <c r="A3198" s="1">
        <f>HYPERLINK("https://cms.ls-nyc.org/matter/dynamic-profile/view/1876342","18-1876342")</f>
        <v>0</v>
      </c>
      <c r="B3198" t="s">
        <v>11</v>
      </c>
      <c r="G3198" t="s">
        <v>16</v>
      </c>
    </row>
    <row r="3199" spans="1:7">
      <c r="A3199" s="1">
        <f>HYPERLINK("https://cms.ls-nyc.org/matter/dynamic-profile/view/1897686","19-1897686")</f>
        <v>0</v>
      </c>
      <c r="B3199" t="s">
        <v>11</v>
      </c>
      <c r="G3199" t="s">
        <v>16</v>
      </c>
    </row>
    <row r="3200" spans="1:7">
      <c r="A3200" s="1">
        <f>HYPERLINK("https://cms.ls-nyc.org/matter/dynamic-profile/view/1891586","19-1891586")</f>
        <v>0</v>
      </c>
      <c r="B3200" t="s">
        <v>8</v>
      </c>
      <c r="E3200" t="s">
        <v>14</v>
      </c>
      <c r="F3200" t="s">
        <v>15</v>
      </c>
      <c r="G3200" t="s">
        <v>17</v>
      </c>
    </row>
    <row r="3201" spans="1:7">
      <c r="A3201" s="1">
        <f>HYPERLINK("https://cms.ls-nyc.org/matter/dynamic-profile/view/1891589","19-1891589")</f>
        <v>0</v>
      </c>
      <c r="B3201" t="s">
        <v>8</v>
      </c>
      <c r="E3201" t="s">
        <v>14</v>
      </c>
      <c r="F3201" t="s">
        <v>15</v>
      </c>
      <c r="G3201" t="s">
        <v>17</v>
      </c>
    </row>
    <row r="3202" spans="1:7">
      <c r="A3202" s="1">
        <f>HYPERLINK("https://cms.ls-nyc.org/matter/dynamic-profile/view/1891044","19-1891044")</f>
        <v>0</v>
      </c>
      <c r="B3202" t="s">
        <v>11</v>
      </c>
      <c r="G3202" t="s">
        <v>16</v>
      </c>
    </row>
    <row r="3203" spans="1:7">
      <c r="A3203" s="1">
        <f>HYPERLINK("https://cms.ls-nyc.org/matter/dynamic-profile/view/1881067","18-1881067")</f>
        <v>0</v>
      </c>
      <c r="B3203" t="s">
        <v>8</v>
      </c>
      <c r="G3203" t="s">
        <v>16</v>
      </c>
    </row>
    <row r="3204" spans="1:7">
      <c r="A3204" s="1">
        <f>HYPERLINK("https://cms.ls-nyc.org/matter/dynamic-profile/view/1885229","18-1885229")</f>
        <v>0</v>
      </c>
      <c r="B3204" t="s">
        <v>11</v>
      </c>
      <c r="G3204" t="s">
        <v>16</v>
      </c>
    </row>
    <row r="3205" spans="1:7">
      <c r="A3205" s="1">
        <f>HYPERLINK("https://cms.ls-nyc.org/matter/dynamic-profile/view/1900516","19-1900516")</f>
        <v>0</v>
      </c>
      <c r="B3205" t="s">
        <v>11</v>
      </c>
      <c r="F3205" t="s">
        <v>15</v>
      </c>
      <c r="G3205" t="s">
        <v>17</v>
      </c>
    </row>
    <row r="3206" spans="1:7">
      <c r="A3206" s="1">
        <f>HYPERLINK("https://cms.ls-nyc.org/matter/dynamic-profile/view/1889601","19-1889601")</f>
        <v>0</v>
      </c>
      <c r="B3206" t="s">
        <v>8</v>
      </c>
      <c r="G3206" t="s">
        <v>16</v>
      </c>
    </row>
    <row r="3207" spans="1:7">
      <c r="A3207" s="1">
        <f>HYPERLINK("https://cms.ls-nyc.org/matter/dynamic-profile/view/1895980","19-1895980")</f>
        <v>0</v>
      </c>
      <c r="B3207" t="s">
        <v>9</v>
      </c>
      <c r="F3207" t="s">
        <v>15</v>
      </c>
      <c r="G3207" t="s">
        <v>17</v>
      </c>
    </row>
    <row r="3208" spans="1:7">
      <c r="A3208" s="1">
        <f>HYPERLINK("https://cms.ls-nyc.org/matter/dynamic-profile/view/1879974","18-1879974")</f>
        <v>0</v>
      </c>
      <c r="B3208" t="s">
        <v>8</v>
      </c>
      <c r="F3208" t="s">
        <v>15</v>
      </c>
      <c r="G3208" t="s">
        <v>17</v>
      </c>
    </row>
    <row r="3209" spans="1:7">
      <c r="A3209" s="1">
        <f>HYPERLINK("https://cms.ls-nyc.org/matter/dynamic-profile/view/1867935","18-1867935")</f>
        <v>0</v>
      </c>
      <c r="B3209" t="s">
        <v>8</v>
      </c>
      <c r="F3209" t="s">
        <v>15</v>
      </c>
      <c r="G3209" t="s">
        <v>17</v>
      </c>
    </row>
    <row r="3210" spans="1:7">
      <c r="A3210" s="1">
        <f>HYPERLINK("https://cms.ls-nyc.org/matter/dynamic-profile/view/1890526","19-1890526")</f>
        <v>0</v>
      </c>
      <c r="B3210" t="s">
        <v>8</v>
      </c>
      <c r="E3210" t="s">
        <v>14</v>
      </c>
      <c r="F3210" t="s">
        <v>15</v>
      </c>
      <c r="G3210" t="s">
        <v>17</v>
      </c>
    </row>
    <row r="3211" spans="1:7">
      <c r="A3211" s="1">
        <f>HYPERLINK("https://cms.ls-nyc.org/matter/dynamic-profile/view/1891464","19-1891464")</f>
        <v>0</v>
      </c>
      <c r="B3211" t="s">
        <v>8</v>
      </c>
      <c r="E3211" t="s">
        <v>14</v>
      </c>
      <c r="F3211" t="s">
        <v>15</v>
      </c>
      <c r="G3211" t="s">
        <v>17</v>
      </c>
    </row>
    <row r="3212" spans="1:7">
      <c r="A3212" s="1">
        <f>HYPERLINK("https://cms.ls-nyc.org/matter/dynamic-profile/view/1878058","18-1878058")</f>
        <v>0</v>
      </c>
      <c r="B3212" t="s">
        <v>8</v>
      </c>
      <c r="F3212" t="s">
        <v>15</v>
      </c>
      <c r="G3212" t="s">
        <v>17</v>
      </c>
    </row>
    <row r="3213" spans="1:7">
      <c r="A3213" s="1">
        <f>HYPERLINK("https://cms.ls-nyc.org/matter/dynamic-profile/view/1878057","18-1878057")</f>
        <v>0</v>
      </c>
      <c r="B3213" t="s">
        <v>8</v>
      </c>
      <c r="F3213" t="s">
        <v>15</v>
      </c>
      <c r="G3213" t="s">
        <v>17</v>
      </c>
    </row>
    <row r="3214" spans="1:7">
      <c r="A3214" s="1">
        <f>HYPERLINK("https://cms.ls-nyc.org/matter/dynamic-profile/view/1881824","18-1881824")</f>
        <v>0</v>
      </c>
      <c r="B3214" t="s">
        <v>9</v>
      </c>
      <c r="G3214" t="s">
        <v>16</v>
      </c>
    </row>
    <row r="3215" spans="1:7">
      <c r="A3215" s="1">
        <f>HYPERLINK("https://cms.ls-nyc.org/matter/dynamic-profile/view/1887883","19-1887883")</f>
        <v>0</v>
      </c>
      <c r="B3215" t="s">
        <v>11</v>
      </c>
      <c r="G3215" t="s">
        <v>16</v>
      </c>
    </row>
    <row r="3216" spans="1:7">
      <c r="A3216" s="1">
        <f>HYPERLINK("https://cms.ls-nyc.org/matter/dynamic-profile/view/1892828","19-1892828")</f>
        <v>0</v>
      </c>
      <c r="B3216" t="s">
        <v>11</v>
      </c>
      <c r="F3216" t="s">
        <v>15</v>
      </c>
      <c r="G3216" t="s">
        <v>17</v>
      </c>
    </row>
    <row r="3217" spans="1:7">
      <c r="A3217" s="1">
        <f>HYPERLINK("https://cms.ls-nyc.org/matter/dynamic-profile/view/1890550","19-1890550")</f>
        <v>0</v>
      </c>
      <c r="B3217" t="s">
        <v>8</v>
      </c>
      <c r="E3217" t="s">
        <v>14</v>
      </c>
      <c r="F3217" t="s">
        <v>15</v>
      </c>
      <c r="G3217" t="s">
        <v>17</v>
      </c>
    </row>
    <row r="3218" spans="1:7">
      <c r="A3218" s="1">
        <f>HYPERLINK("https://cms.ls-nyc.org/matter/dynamic-profile/view/1891485","19-1891485")</f>
        <v>0</v>
      </c>
      <c r="B3218" t="s">
        <v>8</v>
      </c>
      <c r="E3218" t="s">
        <v>14</v>
      </c>
      <c r="F3218" t="s">
        <v>15</v>
      </c>
      <c r="G3218" t="s">
        <v>17</v>
      </c>
    </row>
    <row r="3219" spans="1:7">
      <c r="A3219" s="1">
        <f>HYPERLINK("https://cms.ls-nyc.org/matter/dynamic-profile/view/1882158","18-1882158")</f>
        <v>0</v>
      </c>
      <c r="B3219" t="s">
        <v>8</v>
      </c>
      <c r="G3219" t="s">
        <v>16</v>
      </c>
    </row>
    <row r="3220" spans="1:7">
      <c r="A3220" s="1">
        <f>HYPERLINK("https://cms.ls-nyc.org/matter/dynamic-profile/view/1890581","19-1890581")</f>
        <v>0</v>
      </c>
      <c r="B3220" t="s">
        <v>8</v>
      </c>
      <c r="E3220" t="s">
        <v>14</v>
      </c>
      <c r="F3220" t="s">
        <v>15</v>
      </c>
      <c r="G3220" t="s">
        <v>17</v>
      </c>
    </row>
    <row r="3221" spans="1:7">
      <c r="A3221" s="1">
        <f>HYPERLINK("https://cms.ls-nyc.org/matter/dynamic-profile/view/1891597","19-1891597")</f>
        <v>0</v>
      </c>
      <c r="B3221" t="s">
        <v>8</v>
      </c>
      <c r="E3221" t="s">
        <v>14</v>
      </c>
      <c r="F3221" t="s">
        <v>15</v>
      </c>
      <c r="G3221" t="s">
        <v>17</v>
      </c>
    </row>
    <row r="3222" spans="1:7">
      <c r="A3222" s="1">
        <f>HYPERLINK("https://cms.ls-nyc.org/matter/dynamic-profile/view/1890575","19-1890575")</f>
        <v>0</v>
      </c>
      <c r="B3222" t="s">
        <v>8</v>
      </c>
      <c r="E3222" t="s">
        <v>14</v>
      </c>
      <c r="F3222" t="s">
        <v>15</v>
      </c>
      <c r="G3222" t="s">
        <v>17</v>
      </c>
    </row>
    <row r="3223" spans="1:7">
      <c r="A3223" s="1">
        <f>HYPERLINK("https://cms.ls-nyc.org/matter/dynamic-profile/view/1891590","19-1891590")</f>
        <v>0</v>
      </c>
      <c r="B3223" t="s">
        <v>8</v>
      </c>
      <c r="E3223" t="s">
        <v>14</v>
      </c>
      <c r="F3223" t="s">
        <v>15</v>
      </c>
      <c r="G3223" t="s">
        <v>17</v>
      </c>
    </row>
    <row r="3224" spans="1:7">
      <c r="A3224" s="1">
        <f>HYPERLINK("https://cms.ls-nyc.org/matter/dynamic-profile/view/1899127","19-1899127")</f>
        <v>0</v>
      </c>
      <c r="B3224" t="s">
        <v>11</v>
      </c>
      <c r="G3224" t="s">
        <v>16</v>
      </c>
    </row>
    <row r="3225" spans="1:7">
      <c r="A3225" s="1">
        <f>HYPERLINK("https://cms.ls-nyc.org/matter/dynamic-profile/view/1890587","19-1890587")</f>
        <v>0</v>
      </c>
      <c r="B3225" t="s">
        <v>8</v>
      </c>
      <c r="E3225" t="s">
        <v>14</v>
      </c>
      <c r="F3225" t="s">
        <v>15</v>
      </c>
      <c r="G3225" t="s">
        <v>17</v>
      </c>
    </row>
    <row r="3226" spans="1:7">
      <c r="A3226" s="1">
        <f>HYPERLINK("https://cms.ls-nyc.org/matter/dynamic-profile/view/1891610","19-1891610")</f>
        <v>0</v>
      </c>
      <c r="B3226" t="s">
        <v>8</v>
      </c>
      <c r="E3226" t="s">
        <v>14</v>
      </c>
      <c r="F3226" t="s">
        <v>15</v>
      </c>
      <c r="G3226" t="s">
        <v>17</v>
      </c>
    </row>
    <row r="3227" spans="1:7">
      <c r="A3227" s="1">
        <f>HYPERLINK("https://cms.ls-nyc.org/matter/dynamic-profile/view/1889094","19-1889094")</f>
        <v>0</v>
      </c>
      <c r="B3227" t="s">
        <v>8</v>
      </c>
      <c r="C3227" t="s">
        <v>12</v>
      </c>
      <c r="E3227" t="s">
        <v>14</v>
      </c>
      <c r="G3227" t="s">
        <v>17</v>
      </c>
    </row>
    <row r="3228" spans="1:7">
      <c r="A3228" s="1">
        <f>HYPERLINK("https://cms.ls-nyc.org/matter/dynamic-profile/view/1889260","19-1889260")</f>
        <v>0</v>
      </c>
      <c r="B3228" t="s">
        <v>8</v>
      </c>
      <c r="C3228" t="s">
        <v>12</v>
      </c>
      <c r="E3228" t="s">
        <v>14</v>
      </c>
      <c r="G3228" t="s">
        <v>17</v>
      </c>
    </row>
    <row r="3229" spans="1:7">
      <c r="A3229" s="1">
        <f>HYPERLINK("https://cms.ls-nyc.org/matter/dynamic-profile/view/1890994","19-1890994")</f>
        <v>0</v>
      </c>
      <c r="B3229" t="s">
        <v>9</v>
      </c>
      <c r="F3229" t="s">
        <v>15</v>
      </c>
      <c r="G3229" t="s">
        <v>17</v>
      </c>
    </row>
    <row r="3230" spans="1:7">
      <c r="A3230" s="1">
        <f>HYPERLINK("https://cms.ls-nyc.org/matter/dynamic-profile/view/1892403","19-1892403")</f>
        <v>0</v>
      </c>
      <c r="B3230" t="s">
        <v>9</v>
      </c>
      <c r="F3230" t="s">
        <v>15</v>
      </c>
      <c r="G3230" t="s">
        <v>17</v>
      </c>
    </row>
    <row r="3231" spans="1:7">
      <c r="A3231" s="1">
        <f>HYPERLINK("https://cms.ls-nyc.org/matter/dynamic-profile/view/1891975","19-1891975")</f>
        <v>0</v>
      </c>
      <c r="B3231" t="s">
        <v>9</v>
      </c>
      <c r="F3231" t="s">
        <v>15</v>
      </c>
      <c r="G3231" t="s">
        <v>17</v>
      </c>
    </row>
    <row r="3232" spans="1:7">
      <c r="A3232" s="1">
        <f>HYPERLINK("https://cms.ls-nyc.org/matter/dynamic-profile/view/1887586","19-1887586")</f>
        <v>0</v>
      </c>
      <c r="B3232" t="s">
        <v>8</v>
      </c>
      <c r="D3232" t="s">
        <v>13</v>
      </c>
      <c r="F3232" t="s">
        <v>15</v>
      </c>
      <c r="G3232" t="s">
        <v>17</v>
      </c>
    </row>
    <row r="3233" spans="1:7">
      <c r="A3233" s="1">
        <f>HYPERLINK("https://cms.ls-nyc.org/matter/dynamic-profile/view/1887590","19-1887590")</f>
        <v>0</v>
      </c>
      <c r="B3233" t="s">
        <v>8</v>
      </c>
      <c r="F3233" t="s">
        <v>15</v>
      </c>
      <c r="G3233" t="s">
        <v>17</v>
      </c>
    </row>
    <row r="3234" spans="1:7">
      <c r="A3234" s="1">
        <f>HYPERLINK("https://cms.ls-nyc.org/matter/dynamic-profile/view/1876927","18-1876927")</f>
        <v>0</v>
      </c>
      <c r="B3234" t="s">
        <v>8</v>
      </c>
      <c r="F3234" t="s">
        <v>15</v>
      </c>
      <c r="G3234" t="s">
        <v>17</v>
      </c>
    </row>
    <row r="3235" spans="1:7">
      <c r="A3235" s="1">
        <f>HYPERLINK("https://cms.ls-nyc.org/matter/dynamic-profile/view/1876925","18-1876925")</f>
        <v>0</v>
      </c>
      <c r="B3235" t="s">
        <v>8</v>
      </c>
      <c r="F3235" t="s">
        <v>15</v>
      </c>
      <c r="G3235" t="s">
        <v>17</v>
      </c>
    </row>
    <row r="3236" spans="1:7">
      <c r="A3236" s="1">
        <f>HYPERLINK("https://cms.ls-nyc.org/matter/dynamic-profile/view/1881553","18-1881553")</f>
        <v>0</v>
      </c>
      <c r="B3236" t="s">
        <v>8</v>
      </c>
      <c r="G3236" t="s">
        <v>16</v>
      </c>
    </row>
    <row r="3237" spans="1:7">
      <c r="A3237" s="1">
        <f>HYPERLINK("https://cms.ls-nyc.org/matter/dynamic-profile/view/1893258","19-1893258")</f>
        <v>0</v>
      </c>
      <c r="B3237" t="s">
        <v>8</v>
      </c>
      <c r="E3237" t="s">
        <v>14</v>
      </c>
      <c r="F3237" t="s">
        <v>15</v>
      </c>
      <c r="G3237" t="s">
        <v>17</v>
      </c>
    </row>
    <row r="3238" spans="1:7">
      <c r="A3238" s="1">
        <f>HYPERLINK("https://cms.ls-nyc.org/matter/dynamic-profile/view/1893262","19-1893262")</f>
        <v>0</v>
      </c>
      <c r="B3238" t="s">
        <v>8</v>
      </c>
      <c r="E3238" t="s">
        <v>14</v>
      </c>
      <c r="F3238" t="s">
        <v>15</v>
      </c>
      <c r="G3238" t="s">
        <v>17</v>
      </c>
    </row>
    <row r="3239" spans="1:7">
      <c r="A3239" s="1">
        <f>HYPERLINK("https://cms.ls-nyc.org/matter/dynamic-profile/view/1901226","19-1901226")</f>
        <v>0</v>
      </c>
      <c r="B3239" t="s">
        <v>11</v>
      </c>
      <c r="F3239" t="s">
        <v>15</v>
      </c>
      <c r="G3239" t="s">
        <v>17</v>
      </c>
    </row>
    <row r="3240" spans="1:7">
      <c r="A3240" s="1">
        <f>HYPERLINK("https://cms.ls-nyc.org/matter/dynamic-profile/view/1885317","18-1885317")</f>
        <v>0</v>
      </c>
      <c r="B3240" t="s">
        <v>8</v>
      </c>
      <c r="G3240" t="s">
        <v>16</v>
      </c>
    </row>
    <row r="3241" spans="1:7">
      <c r="A3241" s="1">
        <f>HYPERLINK("https://cms.ls-nyc.org/matter/dynamic-profile/view/1889794","19-1889794")</f>
        <v>0</v>
      </c>
      <c r="B3241" t="s">
        <v>8</v>
      </c>
      <c r="G3241" t="s">
        <v>16</v>
      </c>
    </row>
    <row r="3242" spans="1:7">
      <c r="A3242" s="1">
        <f>HYPERLINK("https://cms.ls-nyc.org/matter/dynamic-profile/view/1880097","18-1880097")</f>
        <v>0</v>
      </c>
      <c r="B3242" t="s">
        <v>8</v>
      </c>
      <c r="G3242" t="s">
        <v>16</v>
      </c>
    </row>
    <row r="3243" spans="1:7">
      <c r="A3243" s="1">
        <f>HYPERLINK("https://cms.ls-nyc.org/matter/dynamic-profile/view/1871454","18-1871454")</f>
        <v>0</v>
      </c>
      <c r="B3243" t="s">
        <v>9</v>
      </c>
      <c r="G3243" t="s">
        <v>16</v>
      </c>
    </row>
    <row r="3244" spans="1:7">
      <c r="A3244" s="1">
        <f>HYPERLINK("https://cms.ls-nyc.org/matter/dynamic-profile/view/1899643","19-1899643")</f>
        <v>0</v>
      </c>
      <c r="B3244" t="s">
        <v>8</v>
      </c>
      <c r="G3244" t="s">
        <v>16</v>
      </c>
    </row>
    <row r="3245" spans="1:7">
      <c r="A3245" s="1">
        <f>HYPERLINK("https://cms.ls-nyc.org/matter/dynamic-profile/view/1901091","19-1901091")</f>
        <v>0</v>
      </c>
      <c r="B3245" t="s">
        <v>8</v>
      </c>
      <c r="G3245" t="s">
        <v>16</v>
      </c>
    </row>
    <row r="3246" spans="1:7">
      <c r="A3246" s="1">
        <f>HYPERLINK("https://cms.ls-nyc.org/matter/dynamic-profile/view/1874267","18-1874267")</f>
        <v>0</v>
      </c>
      <c r="B3246" t="s">
        <v>9</v>
      </c>
      <c r="E3246" t="s">
        <v>14</v>
      </c>
      <c r="G3246" t="s">
        <v>17</v>
      </c>
    </row>
    <row r="3247" spans="1:7">
      <c r="A3247" s="1">
        <f>HYPERLINK("https://cms.ls-nyc.org/matter/dynamic-profile/view/1891914","19-1891914")</f>
        <v>0</v>
      </c>
      <c r="B3247" t="s">
        <v>8</v>
      </c>
      <c r="E3247" t="s">
        <v>14</v>
      </c>
      <c r="F3247" t="s">
        <v>15</v>
      </c>
      <c r="G3247" t="s">
        <v>17</v>
      </c>
    </row>
    <row r="3248" spans="1:7">
      <c r="A3248" s="1">
        <f>HYPERLINK("https://cms.ls-nyc.org/matter/dynamic-profile/view/1891920","19-1891920")</f>
        <v>0</v>
      </c>
      <c r="B3248" t="s">
        <v>8</v>
      </c>
      <c r="E3248" t="s">
        <v>14</v>
      </c>
      <c r="F3248" t="s">
        <v>15</v>
      </c>
      <c r="G3248" t="s">
        <v>17</v>
      </c>
    </row>
    <row r="3249" spans="1:7">
      <c r="A3249" s="1">
        <f>HYPERLINK("https://cms.ls-nyc.org/matter/dynamic-profile/view/1874350","18-1874350")</f>
        <v>0</v>
      </c>
      <c r="B3249" t="s">
        <v>11</v>
      </c>
      <c r="G3249" t="s">
        <v>16</v>
      </c>
    </row>
    <row r="3250" spans="1:7">
      <c r="A3250" s="1">
        <f>HYPERLINK("https://cms.ls-nyc.org/matter/dynamic-profile/view/1892467","19-1892467")</f>
        <v>0</v>
      </c>
      <c r="B3250" t="s">
        <v>8</v>
      </c>
      <c r="F3250" t="s">
        <v>15</v>
      </c>
      <c r="G3250" t="s">
        <v>17</v>
      </c>
    </row>
    <row r="3251" spans="1:7">
      <c r="A3251" s="1">
        <f>HYPERLINK("https://cms.ls-nyc.org/matter/dynamic-profile/view/1876211","18-1876211")</f>
        <v>0</v>
      </c>
      <c r="B3251" t="s">
        <v>8</v>
      </c>
      <c r="G3251" t="s">
        <v>16</v>
      </c>
    </row>
    <row r="3252" spans="1:7">
      <c r="A3252" s="1">
        <f>HYPERLINK("https://cms.ls-nyc.org/matter/dynamic-profile/view/1894310","19-1894310")</f>
        <v>0</v>
      </c>
      <c r="B3252" t="s">
        <v>8</v>
      </c>
      <c r="F3252" t="s">
        <v>15</v>
      </c>
      <c r="G3252" t="s">
        <v>17</v>
      </c>
    </row>
    <row r="3253" spans="1:7">
      <c r="A3253" s="1">
        <f>HYPERLINK("https://cms.ls-nyc.org/matter/dynamic-profile/view/1891554","19-1891554")</f>
        <v>0</v>
      </c>
      <c r="B3253" t="s">
        <v>9</v>
      </c>
      <c r="G3253" t="s">
        <v>16</v>
      </c>
    </row>
    <row r="3254" spans="1:7">
      <c r="A3254" s="1">
        <f>HYPERLINK("https://cms.ls-nyc.org/matter/dynamic-profile/view/1890005","19-1890005")</f>
        <v>0</v>
      </c>
      <c r="B3254" t="s">
        <v>9</v>
      </c>
      <c r="G3254" t="s">
        <v>16</v>
      </c>
    </row>
    <row r="3255" spans="1:7">
      <c r="A3255" s="1">
        <f>HYPERLINK("https://cms.ls-nyc.org/matter/dynamic-profile/view/1889994","19-1889994")</f>
        <v>0</v>
      </c>
      <c r="B3255" t="s">
        <v>9</v>
      </c>
      <c r="G3255" t="s">
        <v>16</v>
      </c>
    </row>
    <row r="3256" spans="1:7">
      <c r="A3256" s="1">
        <f>HYPERLINK("https://cms.ls-nyc.org/matter/dynamic-profile/view/1889801","19-1889801")</f>
        <v>0</v>
      </c>
      <c r="B3256" t="s">
        <v>9</v>
      </c>
      <c r="G3256" t="s">
        <v>16</v>
      </c>
    </row>
    <row r="3257" spans="1:7">
      <c r="A3257" s="1">
        <f>HYPERLINK("https://cms.ls-nyc.org/matter/dynamic-profile/view/1889605","19-1889605")</f>
        <v>0</v>
      </c>
      <c r="B3257" t="s">
        <v>9</v>
      </c>
      <c r="G3257" t="s">
        <v>16</v>
      </c>
    </row>
    <row r="3258" spans="1:7">
      <c r="A3258" s="1">
        <f>HYPERLINK("https://cms.ls-nyc.org/matter/dynamic-profile/view/1882523","18-1882523")</f>
        <v>0</v>
      </c>
      <c r="B3258" t="s">
        <v>8</v>
      </c>
      <c r="F3258" t="s">
        <v>15</v>
      </c>
      <c r="G3258" t="s">
        <v>17</v>
      </c>
    </row>
    <row r="3259" spans="1:7">
      <c r="A3259" s="1">
        <f>HYPERLINK("https://cms.ls-nyc.org/matter/dynamic-profile/view/1886506","18-1886506")</f>
        <v>0</v>
      </c>
      <c r="B3259" t="s">
        <v>9</v>
      </c>
      <c r="G3259" t="s">
        <v>16</v>
      </c>
    </row>
    <row r="3260" spans="1:7">
      <c r="A3260" s="1">
        <f>HYPERLINK("https://cms.ls-nyc.org/matter/dynamic-profile/view/1876914","18-1876914")</f>
        <v>0</v>
      </c>
      <c r="B3260" t="s">
        <v>8</v>
      </c>
      <c r="G3260" t="s">
        <v>16</v>
      </c>
    </row>
    <row r="3261" spans="1:7">
      <c r="A3261" s="1">
        <f>HYPERLINK("https://cms.ls-nyc.org/matter/dynamic-profile/view/1876913","18-1876913")</f>
        <v>0</v>
      </c>
      <c r="B3261" t="s">
        <v>8</v>
      </c>
      <c r="G3261" t="s">
        <v>16</v>
      </c>
    </row>
    <row r="3262" spans="1:7">
      <c r="A3262" s="1">
        <f>HYPERLINK("https://cms.ls-nyc.org/matter/dynamic-profile/view/1879671","18-1879671")</f>
        <v>0</v>
      </c>
      <c r="B3262" t="s">
        <v>8</v>
      </c>
      <c r="C3262" t="s">
        <v>12</v>
      </c>
      <c r="E3262" t="s">
        <v>14</v>
      </c>
      <c r="F3262" t="s">
        <v>15</v>
      </c>
      <c r="G3262" t="s">
        <v>17</v>
      </c>
    </row>
    <row r="3263" spans="1:7">
      <c r="A3263" s="1">
        <f>HYPERLINK("https://cms.ls-nyc.org/matter/dynamic-profile/view/1879674","18-1879674")</f>
        <v>0</v>
      </c>
      <c r="B3263" t="s">
        <v>8</v>
      </c>
      <c r="C3263" t="s">
        <v>12</v>
      </c>
      <c r="E3263" t="s">
        <v>14</v>
      </c>
      <c r="F3263" t="s">
        <v>15</v>
      </c>
      <c r="G3263" t="s">
        <v>17</v>
      </c>
    </row>
    <row r="3264" spans="1:7">
      <c r="A3264" s="1">
        <f>HYPERLINK("https://cms.ls-nyc.org/matter/dynamic-profile/view/1879665","18-1879665")</f>
        <v>0</v>
      </c>
      <c r="B3264" t="s">
        <v>8</v>
      </c>
      <c r="C3264" t="s">
        <v>12</v>
      </c>
      <c r="D3264" t="s">
        <v>13</v>
      </c>
      <c r="E3264" t="s">
        <v>14</v>
      </c>
      <c r="F3264" t="s">
        <v>15</v>
      </c>
      <c r="G3264" t="s">
        <v>17</v>
      </c>
    </row>
    <row r="3265" spans="1:7">
      <c r="A3265" s="1">
        <f>HYPERLINK("https://cms.ls-nyc.org/matter/dynamic-profile/view/1879667","18-1879667")</f>
        <v>0</v>
      </c>
      <c r="B3265" t="s">
        <v>8</v>
      </c>
      <c r="C3265" t="s">
        <v>12</v>
      </c>
      <c r="E3265" t="s">
        <v>14</v>
      </c>
      <c r="F3265" t="s">
        <v>15</v>
      </c>
      <c r="G3265" t="s">
        <v>17</v>
      </c>
    </row>
    <row r="3266" spans="1:7">
      <c r="A3266" s="1">
        <f>HYPERLINK("https://cms.ls-nyc.org/matter/dynamic-profile/view/1879657","18-1879657")</f>
        <v>0</v>
      </c>
      <c r="B3266" t="s">
        <v>8</v>
      </c>
      <c r="C3266" t="s">
        <v>12</v>
      </c>
      <c r="E3266" t="s">
        <v>14</v>
      </c>
      <c r="F3266" t="s">
        <v>15</v>
      </c>
      <c r="G3266" t="s">
        <v>17</v>
      </c>
    </row>
    <row r="3267" spans="1:7">
      <c r="A3267" s="1">
        <f>HYPERLINK("https://cms.ls-nyc.org/matter/dynamic-profile/view/1879662","18-1879662")</f>
        <v>0</v>
      </c>
      <c r="B3267" t="s">
        <v>8</v>
      </c>
      <c r="C3267" t="s">
        <v>12</v>
      </c>
      <c r="D3267" t="s">
        <v>13</v>
      </c>
      <c r="E3267" t="s">
        <v>14</v>
      </c>
      <c r="F3267" t="s">
        <v>15</v>
      </c>
      <c r="G3267" t="s">
        <v>17</v>
      </c>
    </row>
    <row r="3268" spans="1:7">
      <c r="A3268" s="1">
        <f>HYPERLINK("https://cms.ls-nyc.org/matter/dynamic-profile/view/1877076","18-1877076")</f>
        <v>0</v>
      </c>
      <c r="B3268" t="s">
        <v>7</v>
      </c>
      <c r="G3268" t="s">
        <v>16</v>
      </c>
    </row>
    <row r="3269" spans="1:7">
      <c r="A3269" s="1">
        <f>HYPERLINK("https://cms.ls-nyc.org/matter/dynamic-profile/view/1898394","19-1898394")</f>
        <v>0</v>
      </c>
      <c r="B3269" t="s">
        <v>8</v>
      </c>
      <c r="E3269" t="s">
        <v>14</v>
      </c>
      <c r="F3269" t="s">
        <v>15</v>
      </c>
      <c r="G3269" t="s">
        <v>17</v>
      </c>
    </row>
    <row r="3270" spans="1:7">
      <c r="A3270" s="1">
        <f>HYPERLINK("https://cms.ls-nyc.org/matter/dynamic-profile/view/1898399","19-1898399")</f>
        <v>0</v>
      </c>
      <c r="B3270" t="s">
        <v>8</v>
      </c>
      <c r="E3270" t="s">
        <v>14</v>
      </c>
      <c r="F3270" t="s">
        <v>15</v>
      </c>
      <c r="G3270" t="s">
        <v>17</v>
      </c>
    </row>
    <row r="3271" spans="1:7">
      <c r="A3271" s="1">
        <f>HYPERLINK("https://cms.ls-nyc.org/matter/dynamic-profile/view/1874809","18-1874809")</f>
        <v>0</v>
      </c>
      <c r="B3271" t="s">
        <v>11</v>
      </c>
      <c r="E3271" t="s">
        <v>14</v>
      </c>
      <c r="G3271" t="s">
        <v>17</v>
      </c>
    </row>
    <row r="3272" spans="1:7">
      <c r="A3272" s="1">
        <f>HYPERLINK("https://cms.ls-nyc.org/matter/dynamic-profile/view/1890552","19-1890552")</f>
        <v>0</v>
      </c>
      <c r="B3272" t="s">
        <v>8</v>
      </c>
      <c r="E3272" t="s">
        <v>14</v>
      </c>
      <c r="F3272" t="s">
        <v>15</v>
      </c>
      <c r="G3272" t="s">
        <v>17</v>
      </c>
    </row>
    <row r="3273" spans="1:7">
      <c r="A3273" s="1">
        <f>HYPERLINK("https://cms.ls-nyc.org/matter/dynamic-profile/view/1891861","19-1891861")</f>
        <v>0</v>
      </c>
      <c r="B3273" t="s">
        <v>8</v>
      </c>
      <c r="E3273" t="s">
        <v>14</v>
      </c>
      <c r="F3273" t="s">
        <v>15</v>
      </c>
      <c r="G3273" t="s">
        <v>17</v>
      </c>
    </row>
    <row r="3274" spans="1:7">
      <c r="A3274" s="1">
        <f>HYPERLINK("https://cms.ls-nyc.org/matter/dynamic-profile/view/1894051","19-1894051")</f>
        <v>0</v>
      </c>
      <c r="B3274" t="s">
        <v>9</v>
      </c>
      <c r="G3274" t="s">
        <v>16</v>
      </c>
    </row>
    <row r="3275" spans="1:7">
      <c r="A3275" s="1">
        <f>HYPERLINK("https://cms.ls-nyc.org/matter/dynamic-profile/view/1894050","19-1894050")</f>
        <v>0</v>
      </c>
      <c r="B3275" t="s">
        <v>9</v>
      </c>
      <c r="G3275" t="s">
        <v>16</v>
      </c>
    </row>
    <row r="3276" spans="1:7">
      <c r="A3276" s="1">
        <f>HYPERLINK("https://cms.ls-nyc.org/matter/dynamic-profile/view/1885657","18-1885657")</f>
        <v>0</v>
      </c>
      <c r="B3276" t="s">
        <v>7</v>
      </c>
      <c r="G3276" t="s">
        <v>16</v>
      </c>
    </row>
    <row r="3277" spans="1:7">
      <c r="A3277" s="1">
        <f>HYPERLINK("https://cms.ls-nyc.org/matter/dynamic-profile/view/1898826","19-1898826")</f>
        <v>0</v>
      </c>
      <c r="B3277" t="s">
        <v>8</v>
      </c>
      <c r="E3277" t="s">
        <v>14</v>
      </c>
      <c r="F3277" t="s">
        <v>15</v>
      </c>
      <c r="G3277" t="s">
        <v>17</v>
      </c>
    </row>
    <row r="3278" spans="1:7">
      <c r="A3278" s="1">
        <f>HYPERLINK("https://cms.ls-nyc.org/matter/dynamic-profile/view/1898836","19-1898836")</f>
        <v>0</v>
      </c>
      <c r="B3278" t="s">
        <v>8</v>
      </c>
      <c r="E3278" t="s">
        <v>14</v>
      </c>
      <c r="F3278" t="s">
        <v>15</v>
      </c>
      <c r="G3278" t="s">
        <v>17</v>
      </c>
    </row>
    <row r="3279" spans="1:7">
      <c r="A3279" s="1">
        <f>HYPERLINK("https://cms.ls-nyc.org/matter/dynamic-profile/view/1896653","19-1896653")</f>
        <v>0</v>
      </c>
      <c r="B3279" t="s">
        <v>8</v>
      </c>
      <c r="G3279" t="s">
        <v>16</v>
      </c>
    </row>
    <row r="3280" spans="1:7">
      <c r="A3280" s="1">
        <f>HYPERLINK("https://cms.ls-nyc.org/matter/dynamic-profile/view/1896656","19-1896656")</f>
        <v>0</v>
      </c>
      <c r="B3280" t="s">
        <v>8</v>
      </c>
      <c r="G3280" t="s">
        <v>16</v>
      </c>
    </row>
    <row r="3281" spans="1:7">
      <c r="A3281" s="1">
        <f>HYPERLINK("https://cms.ls-nyc.org/matter/dynamic-profile/view/1896646","19-1896646")</f>
        <v>0</v>
      </c>
      <c r="B3281" t="s">
        <v>8</v>
      </c>
      <c r="G3281" t="s">
        <v>16</v>
      </c>
    </row>
    <row r="3282" spans="1:7">
      <c r="A3282" s="1">
        <f>HYPERLINK("https://cms.ls-nyc.org/matter/dynamic-profile/view/1896648","19-1896648")</f>
        <v>0</v>
      </c>
      <c r="B3282" t="s">
        <v>8</v>
      </c>
      <c r="G3282" t="s">
        <v>16</v>
      </c>
    </row>
    <row r="3283" spans="1:7">
      <c r="A3283" s="1">
        <f>HYPERLINK("https://cms.ls-nyc.org/matter/dynamic-profile/view/1900482","19-1900482")</f>
        <v>0</v>
      </c>
      <c r="B3283" t="s">
        <v>8</v>
      </c>
      <c r="C3283" t="s">
        <v>12</v>
      </c>
      <c r="E3283" t="s">
        <v>14</v>
      </c>
      <c r="G3283" t="s">
        <v>17</v>
      </c>
    </row>
    <row r="3284" spans="1:7">
      <c r="A3284" s="1">
        <f>HYPERLINK("https://cms.ls-nyc.org/matter/dynamic-profile/view/1878068","18-1878068")</f>
        <v>0</v>
      </c>
      <c r="B3284" t="s">
        <v>8</v>
      </c>
      <c r="G3284" t="s">
        <v>16</v>
      </c>
    </row>
    <row r="3285" spans="1:7">
      <c r="A3285" s="1">
        <f>HYPERLINK("https://cms.ls-nyc.org/matter/dynamic-profile/view/1878063","18-1878063")</f>
        <v>0</v>
      </c>
      <c r="B3285" t="s">
        <v>8</v>
      </c>
      <c r="G3285" t="s">
        <v>16</v>
      </c>
    </row>
    <row r="3286" spans="1:7">
      <c r="A3286" s="1">
        <f>HYPERLINK("https://cms.ls-nyc.org/matter/dynamic-profile/view/1880520","18-1880520")</f>
        <v>0</v>
      </c>
      <c r="B3286" t="s">
        <v>11</v>
      </c>
      <c r="C3286" t="s">
        <v>12</v>
      </c>
      <c r="G3286" t="s">
        <v>17</v>
      </c>
    </row>
    <row r="3287" spans="1:7">
      <c r="A3287" s="1">
        <f>HYPERLINK("https://cms.ls-nyc.org/matter/dynamic-profile/view/1886079","18-1886079")</f>
        <v>0</v>
      </c>
      <c r="B3287" t="s">
        <v>11</v>
      </c>
      <c r="G3287" t="s">
        <v>16</v>
      </c>
    </row>
    <row r="3288" spans="1:7">
      <c r="A3288" s="1">
        <f>HYPERLINK("https://cms.ls-nyc.org/matter/dynamic-profile/view/1895704","19-1895704")</f>
        <v>0</v>
      </c>
      <c r="B3288" t="s">
        <v>8</v>
      </c>
      <c r="G3288" t="s">
        <v>16</v>
      </c>
    </row>
    <row r="3289" spans="1:7">
      <c r="A3289" s="1">
        <f>HYPERLINK("https://cms.ls-nyc.org/matter/dynamic-profile/view/1892920","19-1892920")</f>
        <v>0</v>
      </c>
      <c r="B3289" t="s">
        <v>8</v>
      </c>
      <c r="G3289" t="s">
        <v>16</v>
      </c>
    </row>
    <row r="3290" spans="1:7">
      <c r="A3290" s="1">
        <f>HYPERLINK("https://cms.ls-nyc.org/matter/dynamic-profile/view/1900143","19-1900143")</f>
        <v>0</v>
      </c>
      <c r="B3290" t="s">
        <v>9</v>
      </c>
      <c r="F3290" t="s">
        <v>15</v>
      </c>
      <c r="G3290" t="s">
        <v>17</v>
      </c>
    </row>
    <row r="3291" spans="1:7">
      <c r="A3291" s="1">
        <f>HYPERLINK("https://cms.ls-nyc.org/matter/dynamic-profile/view/1896237","19-1896237")</f>
        <v>0</v>
      </c>
      <c r="B3291" t="s">
        <v>9</v>
      </c>
      <c r="G3291" t="s">
        <v>16</v>
      </c>
    </row>
    <row r="3292" spans="1:7">
      <c r="A3292" s="1">
        <f>HYPERLINK("https://cms.ls-nyc.org/matter/dynamic-profile/view/1890836","19-1890836")</f>
        <v>0</v>
      </c>
      <c r="B3292" t="s">
        <v>11</v>
      </c>
      <c r="G3292" t="s">
        <v>16</v>
      </c>
    </row>
    <row r="3293" spans="1:7">
      <c r="A3293" s="1">
        <f>HYPERLINK("https://cms.ls-nyc.org/matter/dynamic-profile/view/1882728","18-1882728")</f>
        <v>0</v>
      </c>
      <c r="B3293" t="s">
        <v>9</v>
      </c>
      <c r="G3293" t="s">
        <v>16</v>
      </c>
    </row>
    <row r="3294" spans="1:7">
      <c r="A3294" s="1">
        <f>HYPERLINK("https://cms.ls-nyc.org/matter/dynamic-profile/view/1882725","18-1882725")</f>
        <v>0</v>
      </c>
      <c r="B3294" t="s">
        <v>9</v>
      </c>
      <c r="G3294" t="s">
        <v>16</v>
      </c>
    </row>
    <row r="3295" spans="1:7">
      <c r="A3295" s="1">
        <f>HYPERLINK("https://cms.ls-nyc.org/matter/dynamic-profile/view/1891795","19-1891795")</f>
        <v>0</v>
      </c>
      <c r="B3295" t="s">
        <v>8</v>
      </c>
      <c r="G3295" t="s">
        <v>16</v>
      </c>
    </row>
    <row r="3296" spans="1:7">
      <c r="A3296" s="1">
        <f>HYPERLINK("https://cms.ls-nyc.org/matter/dynamic-profile/view/1892956","19-1892956")</f>
        <v>0</v>
      </c>
      <c r="B3296" t="s">
        <v>8</v>
      </c>
      <c r="G3296" t="s">
        <v>16</v>
      </c>
    </row>
    <row r="3297" spans="1:7">
      <c r="A3297" s="1">
        <f>HYPERLINK("https://cms.ls-nyc.org/matter/dynamic-profile/view/1876766","18-1876766")</f>
        <v>0</v>
      </c>
      <c r="B3297" t="s">
        <v>8</v>
      </c>
      <c r="F3297" t="s">
        <v>15</v>
      </c>
      <c r="G3297" t="s">
        <v>17</v>
      </c>
    </row>
    <row r="3298" spans="1:7">
      <c r="A3298" s="1">
        <f>HYPERLINK("https://cms.ls-nyc.org/matter/dynamic-profile/view/1876577","18-1876577")</f>
        <v>0</v>
      </c>
      <c r="B3298" t="s">
        <v>8</v>
      </c>
      <c r="G3298" t="s">
        <v>16</v>
      </c>
    </row>
    <row r="3299" spans="1:7">
      <c r="A3299" s="1">
        <f>HYPERLINK("https://cms.ls-nyc.org/matter/dynamic-profile/view/1876749","18-1876749")</f>
        <v>0</v>
      </c>
      <c r="B3299" t="s">
        <v>8</v>
      </c>
      <c r="F3299" t="s">
        <v>15</v>
      </c>
      <c r="G3299" t="s">
        <v>17</v>
      </c>
    </row>
    <row r="3300" spans="1:7">
      <c r="A3300" s="1">
        <f>HYPERLINK("https://cms.ls-nyc.org/matter/dynamic-profile/view/1871396","18-1871396")</f>
        <v>0</v>
      </c>
      <c r="B3300" t="s">
        <v>9</v>
      </c>
      <c r="G3300" t="s">
        <v>16</v>
      </c>
    </row>
    <row r="3301" spans="1:7">
      <c r="A3301" s="1">
        <f>HYPERLINK("https://cms.ls-nyc.org/matter/dynamic-profile/view/1871390","18-1871390")</f>
        <v>0</v>
      </c>
      <c r="B3301" t="s">
        <v>9</v>
      </c>
      <c r="G3301" t="s">
        <v>16</v>
      </c>
    </row>
    <row r="3302" spans="1:7">
      <c r="A3302" s="1">
        <f>HYPERLINK("https://cms.ls-nyc.org/matter/dynamic-profile/view/1874199","18-1874199")</f>
        <v>0</v>
      </c>
      <c r="B3302" t="s">
        <v>11</v>
      </c>
      <c r="G3302" t="s">
        <v>16</v>
      </c>
    </row>
    <row r="3303" spans="1:7">
      <c r="A3303" s="1">
        <f>HYPERLINK("https://cms.ls-nyc.org/matter/dynamic-profile/view/1899152","19-1899152")</f>
        <v>0</v>
      </c>
      <c r="B3303" t="s">
        <v>9</v>
      </c>
      <c r="G3303" t="s">
        <v>16</v>
      </c>
    </row>
    <row r="3304" spans="1:7">
      <c r="A3304" s="1">
        <f>HYPERLINK("https://cms.ls-nyc.org/matter/dynamic-profile/view/1876539","18-1876539")</f>
        <v>0</v>
      </c>
      <c r="B3304" t="s">
        <v>8</v>
      </c>
      <c r="G3304" t="s">
        <v>16</v>
      </c>
    </row>
    <row r="3305" spans="1:7">
      <c r="A3305" s="1">
        <f>HYPERLINK("https://cms.ls-nyc.org/matter/dynamic-profile/view/1890634","19-1890634")</f>
        <v>0</v>
      </c>
      <c r="B3305" t="s">
        <v>8</v>
      </c>
      <c r="E3305" t="s">
        <v>14</v>
      </c>
      <c r="F3305" t="s">
        <v>15</v>
      </c>
      <c r="G3305" t="s">
        <v>17</v>
      </c>
    </row>
    <row r="3306" spans="1:7">
      <c r="A3306" s="1">
        <f>HYPERLINK("https://cms.ls-nyc.org/matter/dynamic-profile/view/1891621","19-1891621")</f>
        <v>0</v>
      </c>
      <c r="B3306" t="s">
        <v>8</v>
      </c>
      <c r="E3306" t="s">
        <v>14</v>
      </c>
      <c r="F3306" t="s">
        <v>15</v>
      </c>
      <c r="G3306" t="s">
        <v>17</v>
      </c>
    </row>
    <row r="3307" spans="1:7">
      <c r="A3307" s="1">
        <f>HYPERLINK("https://cms.ls-nyc.org/matter/dynamic-profile/view/1876746","18-1876746")</f>
        <v>0</v>
      </c>
      <c r="B3307" t="s">
        <v>8</v>
      </c>
      <c r="G3307" t="s">
        <v>16</v>
      </c>
    </row>
    <row r="3308" spans="1:7">
      <c r="A3308" s="1">
        <f>HYPERLINK("https://cms.ls-nyc.org/matter/dynamic-profile/view/1876744","18-1876744")</f>
        <v>0</v>
      </c>
      <c r="B3308" t="s">
        <v>8</v>
      </c>
      <c r="G3308" t="s">
        <v>16</v>
      </c>
    </row>
    <row r="3309" spans="1:7">
      <c r="A3309" s="1">
        <f>HYPERLINK("https://cms.ls-nyc.org/matter/dynamic-profile/view/1876618","18-1876618")</f>
        <v>0</v>
      </c>
      <c r="B3309" t="s">
        <v>8</v>
      </c>
      <c r="G3309" t="s">
        <v>16</v>
      </c>
    </row>
    <row r="3310" spans="1:7">
      <c r="A3310" s="1">
        <f>HYPERLINK("https://cms.ls-nyc.org/matter/dynamic-profile/view/1876613","18-1876613")</f>
        <v>0</v>
      </c>
      <c r="B3310" t="s">
        <v>8</v>
      </c>
      <c r="G3310" t="s">
        <v>16</v>
      </c>
    </row>
    <row r="3311" spans="1:7">
      <c r="A3311" s="1">
        <f>HYPERLINK("https://cms.ls-nyc.org/matter/dynamic-profile/view/1889908","19-1889908")</f>
        <v>0</v>
      </c>
      <c r="B3311" t="s">
        <v>9</v>
      </c>
      <c r="G3311" t="s">
        <v>16</v>
      </c>
    </row>
    <row r="3312" spans="1:7">
      <c r="A3312" s="1">
        <f>HYPERLINK("https://cms.ls-nyc.org/matter/dynamic-profile/view/1889905","19-1889905")</f>
        <v>0</v>
      </c>
      <c r="B3312" t="s">
        <v>9</v>
      </c>
      <c r="G3312" t="s">
        <v>16</v>
      </c>
    </row>
    <row r="3313" spans="1:7">
      <c r="A3313" s="1">
        <f>HYPERLINK("https://cms.ls-nyc.org/matter/dynamic-profile/view/1876606","18-1876606")</f>
        <v>0</v>
      </c>
      <c r="B3313" t="s">
        <v>8</v>
      </c>
      <c r="G3313" t="s">
        <v>16</v>
      </c>
    </row>
    <row r="3314" spans="1:7">
      <c r="A3314" s="1">
        <f>HYPERLINK("https://cms.ls-nyc.org/matter/dynamic-profile/view/1876602","18-1876602")</f>
        <v>0</v>
      </c>
      <c r="B3314" t="s">
        <v>8</v>
      </c>
      <c r="G3314" t="s">
        <v>16</v>
      </c>
    </row>
    <row r="3315" spans="1:7">
      <c r="A3315" s="1">
        <f>HYPERLINK("https://cms.ls-nyc.org/matter/dynamic-profile/view/1884053","18-1884053")</f>
        <v>0</v>
      </c>
      <c r="B3315" t="s">
        <v>9</v>
      </c>
      <c r="G3315" t="s">
        <v>16</v>
      </c>
    </row>
    <row r="3316" spans="1:7">
      <c r="A3316" s="1">
        <f>HYPERLINK("https://cms.ls-nyc.org/matter/dynamic-profile/view/1883436","18-1883436")</f>
        <v>0</v>
      </c>
      <c r="B3316" t="s">
        <v>9</v>
      </c>
      <c r="G3316" t="s">
        <v>16</v>
      </c>
    </row>
    <row r="3317" spans="1:7">
      <c r="A3317" s="1">
        <f>HYPERLINK("https://cms.ls-nyc.org/matter/dynamic-profile/view/1878115","18-1878115")</f>
        <v>0</v>
      </c>
      <c r="B3317" t="s">
        <v>8</v>
      </c>
      <c r="E3317" t="s">
        <v>14</v>
      </c>
      <c r="F3317" t="s">
        <v>15</v>
      </c>
      <c r="G3317" t="s">
        <v>17</v>
      </c>
    </row>
    <row r="3318" spans="1:7">
      <c r="A3318" s="1">
        <f>HYPERLINK("https://cms.ls-nyc.org/matter/dynamic-profile/view/1878112","18-1878112")</f>
        <v>0</v>
      </c>
      <c r="B3318" t="s">
        <v>8</v>
      </c>
      <c r="E3318" t="s">
        <v>14</v>
      </c>
      <c r="F3318" t="s">
        <v>15</v>
      </c>
      <c r="G3318" t="s">
        <v>17</v>
      </c>
    </row>
    <row r="3319" spans="1:7">
      <c r="A3319" s="1">
        <f>HYPERLINK("https://cms.ls-nyc.org/matter/dynamic-profile/view/1876215","18-1876215")</f>
        <v>0</v>
      </c>
      <c r="B3319" t="s">
        <v>11</v>
      </c>
      <c r="G3319" t="s">
        <v>16</v>
      </c>
    </row>
    <row r="3320" spans="1:7">
      <c r="A3320" s="1">
        <f>HYPERLINK("https://cms.ls-nyc.org/matter/dynamic-profile/view/1898855","19-1898855")</f>
        <v>0</v>
      </c>
      <c r="B3320" t="s">
        <v>11</v>
      </c>
      <c r="G3320" t="s">
        <v>16</v>
      </c>
    </row>
    <row r="3321" spans="1:7">
      <c r="A3321" s="1">
        <f>HYPERLINK("https://cms.ls-nyc.org/matter/dynamic-profile/view/1894881","19-1894881")</f>
        <v>0</v>
      </c>
      <c r="B3321" t="s">
        <v>11</v>
      </c>
      <c r="G3321" t="s">
        <v>16</v>
      </c>
    </row>
    <row r="3322" spans="1:7">
      <c r="A3322" s="1">
        <f>HYPERLINK("https://cms.ls-nyc.org/matter/dynamic-profile/view/1891983","19-1891983")</f>
        <v>0</v>
      </c>
      <c r="B3322" t="s">
        <v>8</v>
      </c>
      <c r="E3322" t="s">
        <v>14</v>
      </c>
      <c r="F3322" t="s">
        <v>15</v>
      </c>
      <c r="G3322" t="s">
        <v>17</v>
      </c>
    </row>
    <row r="3323" spans="1:7">
      <c r="A3323" s="1">
        <f>HYPERLINK("https://cms.ls-nyc.org/matter/dynamic-profile/view/1891988","19-1891988")</f>
        <v>0</v>
      </c>
      <c r="B3323" t="s">
        <v>8</v>
      </c>
      <c r="E3323" t="s">
        <v>14</v>
      </c>
      <c r="F3323" t="s">
        <v>15</v>
      </c>
      <c r="G3323" t="s">
        <v>17</v>
      </c>
    </row>
    <row r="3324" spans="1:7">
      <c r="A3324" s="1">
        <f>HYPERLINK("https://cms.ls-nyc.org/matter/dynamic-profile/view/1876838","18-1876838")</f>
        <v>0</v>
      </c>
      <c r="B3324" t="s">
        <v>8</v>
      </c>
      <c r="G3324" t="s">
        <v>16</v>
      </c>
    </row>
    <row r="3325" spans="1:7">
      <c r="A3325" s="1">
        <f>HYPERLINK("https://cms.ls-nyc.org/matter/dynamic-profile/view/1876837","18-1876837")</f>
        <v>0</v>
      </c>
      <c r="B3325" t="s">
        <v>8</v>
      </c>
      <c r="G3325" t="s">
        <v>16</v>
      </c>
    </row>
    <row r="3326" spans="1:7">
      <c r="A3326" s="1">
        <f>HYPERLINK("https://cms.ls-nyc.org/matter/dynamic-profile/view/1887688","19-1887688")</f>
        <v>0</v>
      </c>
      <c r="B3326" t="s">
        <v>8</v>
      </c>
      <c r="D3326" t="s">
        <v>13</v>
      </c>
      <c r="G3326" t="s">
        <v>17</v>
      </c>
    </row>
    <row r="3327" spans="1:7">
      <c r="A3327" s="1">
        <f>HYPERLINK("https://cms.ls-nyc.org/matter/dynamic-profile/view/1887691","19-1887691")</f>
        <v>0</v>
      </c>
      <c r="B3327" t="s">
        <v>8</v>
      </c>
      <c r="G3327" t="s">
        <v>16</v>
      </c>
    </row>
    <row r="3328" spans="1:7">
      <c r="A3328" s="1">
        <f>HYPERLINK("https://cms.ls-nyc.org/matter/dynamic-profile/view/1876591","18-1876591")</f>
        <v>0</v>
      </c>
      <c r="B3328" t="s">
        <v>8</v>
      </c>
      <c r="F3328" t="s">
        <v>15</v>
      </c>
      <c r="G3328" t="s">
        <v>17</v>
      </c>
    </row>
    <row r="3329" spans="1:7">
      <c r="A3329" s="1">
        <f>HYPERLINK("https://cms.ls-nyc.org/matter/dynamic-profile/view/1876587","18-1876587")</f>
        <v>0</v>
      </c>
      <c r="B3329" t="s">
        <v>8</v>
      </c>
      <c r="F3329" t="s">
        <v>15</v>
      </c>
      <c r="G3329" t="s">
        <v>17</v>
      </c>
    </row>
    <row r="3330" spans="1:7">
      <c r="A3330" s="1">
        <f>HYPERLINK("https://cms.ls-nyc.org/matter/dynamic-profile/view/1875224","18-1875224")</f>
        <v>0</v>
      </c>
      <c r="B3330" t="s">
        <v>7</v>
      </c>
      <c r="G3330" t="s">
        <v>16</v>
      </c>
    </row>
    <row r="3331" spans="1:7">
      <c r="A3331" s="1">
        <f>HYPERLINK("https://cms.ls-nyc.org/matter/dynamic-profile/view/1890830","19-1890830")</f>
        <v>0</v>
      </c>
      <c r="B3331" t="s">
        <v>11</v>
      </c>
      <c r="G3331" t="s">
        <v>16</v>
      </c>
    </row>
    <row r="3332" spans="1:7">
      <c r="A3332" s="1">
        <f>HYPERLINK("https://cms.ls-nyc.org/matter/dynamic-profile/view/1876808","18-1876808")</f>
        <v>0</v>
      </c>
      <c r="B3332" t="s">
        <v>8</v>
      </c>
      <c r="G3332" t="s">
        <v>16</v>
      </c>
    </row>
    <row r="3333" spans="1:7">
      <c r="A3333" s="1">
        <f>HYPERLINK("https://cms.ls-nyc.org/matter/dynamic-profile/view/1876806","18-1876806")</f>
        <v>0</v>
      </c>
      <c r="B3333" t="s">
        <v>8</v>
      </c>
      <c r="G3333" t="s">
        <v>16</v>
      </c>
    </row>
    <row r="3334" spans="1:7">
      <c r="A3334" s="1">
        <f>HYPERLINK("https://cms.ls-nyc.org/matter/dynamic-profile/view/1891992","19-1891992")</f>
        <v>0</v>
      </c>
      <c r="B3334" t="s">
        <v>9</v>
      </c>
      <c r="G3334" t="s">
        <v>16</v>
      </c>
    </row>
    <row r="3335" spans="1:7">
      <c r="A3335" s="1">
        <f>HYPERLINK("https://cms.ls-nyc.org/matter/dynamic-profile/view/1871583","18-1871583")</f>
        <v>0</v>
      </c>
      <c r="B3335" t="s">
        <v>11</v>
      </c>
      <c r="F3335" t="s">
        <v>15</v>
      </c>
      <c r="G3335" t="s">
        <v>17</v>
      </c>
    </row>
    <row r="3336" spans="1:7">
      <c r="A3336" s="1">
        <f>HYPERLINK("https://cms.ls-nyc.org/matter/dynamic-profile/view/1894437","19-1894437")</f>
        <v>0</v>
      </c>
      <c r="B3336" t="s">
        <v>10</v>
      </c>
      <c r="F3336" t="s">
        <v>15</v>
      </c>
      <c r="G3336" t="s">
        <v>17</v>
      </c>
    </row>
    <row r="3337" spans="1:7">
      <c r="A3337" s="1">
        <f>HYPERLINK("https://cms.ls-nyc.org/matter/dynamic-profile/view/1891629","19-1891629")</f>
        <v>0</v>
      </c>
      <c r="B3337" t="s">
        <v>11</v>
      </c>
      <c r="F3337" t="s">
        <v>15</v>
      </c>
      <c r="G3337" t="s">
        <v>17</v>
      </c>
    </row>
    <row r="3338" spans="1:7">
      <c r="A3338" s="1">
        <f>HYPERLINK("https://cms.ls-nyc.org/matter/dynamic-profile/view/1886348","18-1886348")</f>
        <v>0</v>
      </c>
      <c r="B3338" t="s">
        <v>8</v>
      </c>
      <c r="F3338" t="s">
        <v>15</v>
      </c>
      <c r="G3338" t="s">
        <v>17</v>
      </c>
    </row>
    <row r="3339" spans="1:7">
      <c r="A3339" s="1">
        <f>HYPERLINK("https://cms.ls-nyc.org/matter/dynamic-profile/view/1887967","19-1887967")</f>
        <v>0</v>
      </c>
      <c r="B3339" t="s">
        <v>11</v>
      </c>
      <c r="G3339" t="s">
        <v>16</v>
      </c>
    </row>
    <row r="3340" spans="1:7">
      <c r="A3340" s="1">
        <f>HYPERLINK("https://cms.ls-nyc.org/matter/dynamic-profile/view/1900598","19-1900598")</f>
        <v>0</v>
      </c>
      <c r="B3340" t="s">
        <v>8</v>
      </c>
      <c r="E3340" t="s">
        <v>14</v>
      </c>
      <c r="G3340" t="s">
        <v>17</v>
      </c>
    </row>
    <row r="3341" spans="1:7">
      <c r="A3341" s="1">
        <f>HYPERLINK("https://cms.ls-nyc.org/matter/dynamic-profile/view/1878081","18-1878081")</f>
        <v>0</v>
      </c>
      <c r="B3341" t="s">
        <v>8</v>
      </c>
      <c r="G3341" t="s">
        <v>16</v>
      </c>
    </row>
    <row r="3342" spans="1:7">
      <c r="A3342" s="1">
        <f>HYPERLINK("https://cms.ls-nyc.org/matter/dynamic-profile/view/1878074","18-1878074")</f>
        <v>0</v>
      </c>
      <c r="B3342" t="s">
        <v>8</v>
      </c>
      <c r="G3342" t="s">
        <v>16</v>
      </c>
    </row>
    <row r="3343" spans="1:7">
      <c r="A3343" s="1">
        <f>HYPERLINK("https://cms.ls-nyc.org/matter/dynamic-profile/view/1890019","19-1890019")</f>
        <v>0</v>
      </c>
      <c r="B3343" t="s">
        <v>9</v>
      </c>
      <c r="G3343" t="s">
        <v>16</v>
      </c>
    </row>
    <row r="3344" spans="1:7">
      <c r="A3344" s="1">
        <f>HYPERLINK("https://cms.ls-nyc.org/matter/dynamic-profile/view/1890015","19-1890015")</f>
        <v>0</v>
      </c>
      <c r="B3344" t="s">
        <v>9</v>
      </c>
      <c r="G3344" t="s">
        <v>16</v>
      </c>
    </row>
    <row r="3345" spans="1:7">
      <c r="A3345" s="1">
        <f>HYPERLINK("https://cms.ls-nyc.org/matter/dynamic-profile/view/1856593","18-1856593")</f>
        <v>0</v>
      </c>
      <c r="B3345" t="s">
        <v>11</v>
      </c>
      <c r="E3345" t="s">
        <v>14</v>
      </c>
      <c r="G3345" t="s">
        <v>17</v>
      </c>
    </row>
    <row r="3346" spans="1:7">
      <c r="A3346" s="1">
        <f>HYPERLINK("https://cms.ls-nyc.org/matter/dynamic-profile/view/1877604","18-1877604")</f>
        <v>0</v>
      </c>
      <c r="B3346" t="s">
        <v>9</v>
      </c>
      <c r="G3346" t="s">
        <v>16</v>
      </c>
    </row>
    <row r="3347" spans="1:7">
      <c r="A3347" s="1">
        <f>HYPERLINK("https://cms.ls-nyc.org/matter/dynamic-profile/view/1876344","18-1876344")</f>
        <v>0</v>
      </c>
      <c r="B3347" t="s">
        <v>9</v>
      </c>
      <c r="G3347" t="s">
        <v>16</v>
      </c>
    </row>
    <row r="3348" spans="1:7">
      <c r="A3348" s="1">
        <f>HYPERLINK("https://cms.ls-nyc.org/matter/dynamic-profile/view/1891146","19-1891146")</f>
        <v>0</v>
      </c>
      <c r="B3348" t="s">
        <v>9</v>
      </c>
      <c r="F3348" t="s">
        <v>15</v>
      </c>
      <c r="G3348" t="s">
        <v>17</v>
      </c>
    </row>
    <row r="3349" spans="1:7">
      <c r="A3349" s="1">
        <f>HYPERLINK("https://cms.ls-nyc.org/matter/dynamic-profile/view/1845585","17-1845585")</f>
        <v>0</v>
      </c>
      <c r="B3349" t="s">
        <v>11</v>
      </c>
      <c r="G3349" t="s">
        <v>16</v>
      </c>
    </row>
    <row r="3350" spans="1:7">
      <c r="A3350" s="1">
        <f>HYPERLINK("https://cms.ls-nyc.org/matter/dynamic-profile/view/1899107","19-1899107")</f>
        <v>0</v>
      </c>
      <c r="B3350" t="s">
        <v>9</v>
      </c>
      <c r="F3350" t="s">
        <v>15</v>
      </c>
      <c r="G3350" t="s">
        <v>17</v>
      </c>
    </row>
    <row r="3351" spans="1:7">
      <c r="A3351" s="1">
        <f>HYPERLINK("https://cms.ls-nyc.org/matter/dynamic-profile/view/1892318","19-1892318")</f>
        <v>0</v>
      </c>
      <c r="B3351" t="s">
        <v>8</v>
      </c>
      <c r="G3351" t="s">
        <v>16</v>
      </c>
    </row>
    <row r="3352" spans="1:7">
      <c r="A3352" s="1">
        <f>HYPERLINK("https://cms.ls-nyc.org/matter/dynamic-profile/view/1892896","19-1892896")</f>
        <v>0</v>
      </c>
      <c r="B3352" t="s">
        <v>8</v>
      </c>
      <c r="G3352" t="s">
        <v>16</v>
      </c>
    </row>
    <row r="3353" spans="1:7">
      <c r="A3353" s="1">
        <f>HYPERLINK("https://cms.ls-nyc.org/matter/dynamic-profile/view/1892363","19-1892363")</f>
        <v>0</v>
      </c>
      <c r="B3353" t="s">
        <v>8</v>
      </c>
      <c r="G3353" t="s">
        <v>16</v>
      </c>
    </row>
    <row r="3354" spans="1:7">
      <c r="A3354" s="1">
        <f>HYPERLINK("https://cms.ls-nyc.org/matter/dynamic-profile/view/1880269","18-1880269")</f>
        <v>0</v>
      </c>
      <c r="B3354" t="s">
        <v>11</v>
      </c>
      <c r="F3354" t="s">
        <v>15</v>
      </c>
      <c r="G3354" t="s">
        <v>17</v>
      </c>
    </row>
    <row r="3355" spans="1:7">
      <c r="A3355" s="1">
        <f>HYPERLINK("https://cms.ls-nyc.org/matter/dynamic-profile/view/1863061","18-1863061")</f>
        <v>0</v>
      </c>
      <c r="B3355" t="s">
        <v>11</v>
      </c>
      <c r="D3355" t="s">
        <v>13</v>
      </c>
      <c r="G3355" t="s">
        <v>17</v>
      </c>
    </row>
    <row r="3356" spans="1:7">
      <c r="A3356" s="1">
        <f>HYPERLINK("https://cms.ls-nyc.org/matter/dynamic-profile/view/1876628","18-1876628")</f>
        <v>0</v>
      </c>
      <c r="B3356" t="s">
        <v>9</v>
      </c>
      <c r="G3356" t="s">
        <v>16</v>
      </c>
    </row>
    <row r="3357" spans="1:7">
      <c r="A3357" s="1">
        <f>HYPERLINK("https://cms.ls-nyc.org/matter/dynamic-profile/view/1883398","18-1883398")</f>
        <v>0</v>
      </c>
      <c r="B3357" t="s">
        <v>9</v>
      </c>
      <c r="F3357" t="s">
        <v>15</v>
      </c>
      <c r="G3357" t="s">
        <v>17</v>
      </c>
    </row>
    <row r="3358" spans="1:7">
      <c r="A3358" s="1">
        <f>HYPERLINK("https://cms.ls-nyc.org/matter/dynamic-profile/view/1891452","19-1891452")</f>
        <v>0</v>
      </c>
      <c r="B3358" t="s">
        <v>8</v>
      </c>
      <c r="G3358" t="s">
        <v>16</v>
      </c>
    </row>
    <row r="3359" spans="1:7">
      <c r="A3359" s="1">
        <f>HYPERLINK("https://cms.ls-nyc.org/matter/dynamic-profile/view/1888421","19-1888421")</f>
        <v>0</v>
      </c>
      <c r="B3359" t="s">
        <v>9</v>
      </c>
      <c r="F3359" t="s">
        <v>15</v>
      </c>
      <c r="G3359" t="s">
        <v>17</v>
      </c>
    </row>
    <row r="3360" spans="1:7">
      <c r="A3360" s="1">
        <f>HYPERLINK("https://cms.ls-nyc.org/matter/dynamic-profile/view/1886541","18-1886541")</f>
        <v>0</v>
      </c>
      <c r="B3360" t="s">
        <v>8</v>
      </c>
      <c r="G3360" t="s">
        <v>16</v>
      </c>
    </row>
    <row r="3361" spans="1:7">
      <c r="A3361" s="1">
        <f>HYPERLINK("https://cms.ls-nyc.org/matter/dynamic-profile/view/1897050","19-1897050")</f>
        <v>0</v>
      </c>
      <c r="B3361" t="s">
        <v>7</v>
      </c>
      <c r="G3361" t="s">
        <v>16</v>
      </c>
    </row>
    <row r="3362" spans="1:7">
      <c r="A3362" s="1">
        <f>HYPERLINK("https://cms.ls-nyc.org/matter/dynamic-profile/view/1894909","19-1894909")</f>
        <v>0</v>
      </c>
      <c r="B3362" t="s">
        <v>11</v>
      </c>
      <c r="G3362" t="s">
        <v>16</v>
      </c>
    </row>
    <row r="3363" spans="1:7">
      <c r="A3363" s="1">
        <f>HYPERLINK("https://cms.ls-nyc.org/matter/dynamic-profile/view/1881503","18-1881503")</f>
        <v>0</v>
      </c>
      <c r="B3363" t="s">
        <v>8</v>
      </c>
      <c r="G3363" t="s">
        <v>16</v>
      </c>
    </row>
    <row r="3364" spans="1:7">
      <c r="A3364" s="1">
        <f>HYPERLINK("https://cms.ls-nyc.org/matter/dynamic-profile/view/1881496","18-1881496")</f>
        <v>0</v>
      </c>
      <c r="B3364" t="s">
        <v>8</v>
      </c>
      <c r="G3364" t="s">
        <v>16</v>
      </c>
    </row>
    <row r="3365" spans="1:7">
      <c r="A3365" s="1">
        <f>HYPERLINK("https://cms.ls-nyc.org/matter/dynamic-profile/view/1898268","19-1898268")</f>
        <v>0</v>
      </c>
      <c r="B3365" t="s">
        <v>8</v>
      </c>
      <c r="E3365" t="s">
        <v>14</v>
      </c>
      <c r="F3365" t="s">
        <v>15</v>
      </c>
      <c r="G3365" t="s">
        <v>17</v>
      </c>
    </row>
    <row r="3366" spans="1:7">
      <c r="A3366" s="1">
        <f>HYPERLINK("https://cms.ls-nyc.org/matter/dynamic-profile/view/1898269","19-1898269")</f>
        <v>0</v>
      </c>
      <c r="B3366" t="s">
        <v>8</v>
      </c>
      <c r="E3366" t="s">
        <v>14</v>
      </c>
      <c r="F3366" t="s">
        <v>15</v>
      </c>
      <c r="G3366" t="s">
        <v>17</v>
      </c>
    </row>
    <row r="3367" spans="1:7">
      <c r="A3367" s="1">
        <f>HYPERLINK("https://cms.ls-nyc.org/matter/dynamic-profile/view/1890497","19-1890497")</f>
        <v>0</v>
      </c>
      <c r="B3367" t="s">
        <v>9</v>
      </c>
      <c r="G3367" t="s">
        <v>16</v>
      </c>
    </row>
    <row r="3368" spans="1:7">
      <c r="A3368" s="1">
        <f>HYPERLINK("https://cms.ls-nyc.org/matter/dynamic-profile/view/1874670","18-1874670")</f>
        <v>0</v>
      </c>
      <c r="B3368" t="s">
        <v>11</v>
      </c>
      <c r="G3368" t="s">
        <v>16</v>
      </c>
    </row>
    <row r="3369" spans="1:7">
      <c r="A3369" s="1">
        <f>HYPERLINK("https://cms.ls-nyc.org/matter/dynamic-profile/view/1876918","18-1876918")</f>
        <v>0</v>
      </c>
      <c r="B3369" t="s">
        <v>8</v>
      </c>
      <c r="F3369" t="s">
        <v>15</v>
      </c>
      <c r="G3369" t="s">
        <v>17</v>
      </c>
    </row>
    <row r="3370" spans="1:7">
      <c r="A3370" s="1">
        <f>HYPERLINK("https://cms.ls-nyc.org/matter/dynamic-profile/view/1879901","18-1879901")</f>
        <v>0</v>
      </c>
      <c r="B3370" t="s">
        <v>11</v>
      </c>
      <c r="G3370" t="s">
        <v>16</v>
      </c>
    </row>
    <row r="3371" spans="1:7">
      <c r="A3371" s="1">
        <f>HYPERLINK("https://cms.ls-nyc.org/matter/dynamic-profile/view/1889220","19-1889220")</f>
        <v>0</v>
      </c>
      <c r="B3371" t="s">
        <v>8</v>
      </c>
      <c r="G3371" t="s">
        <v>16</v>
      </c>
    </row>
    <row r="3372" spans="1:7">
      <c r="A3372" s="1">
        <f>HYPERLINK("https://cms.ls-nyc.org/matter/dynamic-profile/view/1871582","18-1871582")</f>
        <v>0</v>
      </c>
      <c r="B3372" t="s">
        <v>11</v>
      </c>
      <c r="G3372" t="s">
        <v>16</v>
      </c>
    </row>
    <row r="3373" spans="1:7">
      <c r="A3373" s="1">
        <f>HYPERLINK("https://cms.ls-nyc.org/matter/dynamic-profile/view/1891137","19-1891137")</f>
        <v>0</v>
      </c>
      <c r="B3373" t="s">
        <v>8</v>
      </c>
      <c r="G3373" t="s">
        <v>16</v>
      </c>
    </row>
    <row r="3374" spans="1:7">
      <c r="A3374" s="1">
        <f>HYPERLINK("https://cms.ls-nyc.org/matter/dynamic-profile/view/1892946","19-1892946")</f>
        <v>0</v>
      </c>
      <c r="B3374" t="s">
        <v>8</v>
      </c>
      <c r="G3374" t="s">
        <v>16</v>
      </c>
    </row>
    <row r="3375" spans="1:7">
      <c r="A3375" s="1">
        <f>HYPERLINK("https://cms.ls-nyc.org/matter/dynamic-profile/view/1876541","18-1876541")</f>
        <v>0</v>
      </c>
      <c r="B3375" t="s">
        <v>8</v>
      </c>
      <c r="G3375" t="s">
        <v>16</v>
      </c>
    </row>
    <row r="3376" spans="1:7">
      <c r="A3376" s="1">
        <f>HYPERLINK("https://cms.ls-nyc.org/matter/dynamic-profile/view/1876803","18-1876803")</f>
        <v>0</v>
      </c>
      <c r="B3376" t="s">
        <v>8</v>
      </c>
      <c r="F3376" t="s">
        <v>15</v>
      </c>
      <c r="G3376" t="s">
        <v>17</v>
      </c>
    </row>
    <row r="3377" spans="1:7">
      <c r="A3377" s="1">
        <f>HYPERLINK("https://cms.ls-nyc.org/matter/dynamic-profile/view/1876799","18-1876799")</f>
        <v>0</v>
      </c>
      <c r="B3377" t="s">
        <v>8</v>
      </c>
      <c r="F3377" t="s">
        <v>15</v>
      </c>
      <c r="G3377" t="s">
        <v>17</v>
      </c>
    </row>
    <row r="3378" spans="1:7">
      <c r="A3378" s="1">
        <f>HYPERLINK("https://cms.ls-nyc.org/matter/dynamic-profile/view/1883950","18-1883950")</f>
        <v>0</v>
      </c>
      <c r="B3378" t="s">
        <v>11</v>
      </c>
      <c r="E3378" t="s">
        <v>14</v>
      </c>
      <c r="G3378" t="s">
        <v>17</v>
      </c>
    </row>
    <row r="3379" spans="1:7">
      <c r="A3379" s="1">
        <f>HYPERLINK("https://cms.ls-nyc.org/matter/dynamic-profile/view/1876833","18-1876833")</f>
        <v>0</v>
      </c>
      <c r="B3379" t="s">
        <v>8</v>
      </c>
      <c r="G3379" t="s">
        <v>16</v>
      </c>
    </row>
    <row r="3380" spans="1:7">
      <c r="A3380" s="1">
        <f>HYPERLINK("https://cms.ls-nyc.org/matter/dynamic-profile/view/1876828","18-1876828")</f>
        <v>0</v>
      </c>
      <c r="B3380" t="s">
        <v>8</v>
      </c>
      <c r="G3380" t="s">
        <v>16</v>
      </c>
    </row>
    <row r="3381" spans="1:7">
      <c r="A3381" s="1">
        <f>HYPERLINK("https://cms.ls-nyc.org/matter/dynamic-profile/view/1871568","18-1871568")</f>
        <v>0</v>
      </c>
      <c r="B3381" t="s">
        <v>11</v>
      </c>
      <c r="G3381" t="s">
        <v>16</v>
      </c>
    </row>
    <row r="3382" spans="1:7">
      <c r="A3382" s="1">
        <f>HYPERLINK("https://cms.ls-nyc.org/matter/dynamic-profile/view/1876797","18-1876797")</f>
        <v>0</v>
      </c>
      <c r="B3382" t="s">
        <v>8</v>
      </c>
      <c r="G3382" t="s">
        <v>16</v>
      </c>
    </row>
    <row r="3383" spans="1:7">
      <c r="A3383" s="1">
        <f>HYPERLINK("https://cms.ls-nyc.org/matter/dynamic-profile/view/1876793","18-1876793")</f>
        <v>0</v>
      </c>
      <c r="B3383" t="s">
        <v>8</v>
      </c>
      <c r="G3383" t="s">
        <v>16</v>
      </c>
    </row>
    <row r="3384" spans="1:7">
      <c r="A3384" s="1">
        <f>HYPERLINK("https://cms.ls-nyc.org/matter/dynamic-profile/view/1882803","18-1882803")</f>
        <v>0</v>
      </c>
      <c r="B3384" t="s">
        <v>11</v>
      </c>
      <c r="G3384" t="s">
        <v>16</v>
      </c>
    </row>
    <row r="3385" spans="1:7">
      <c r="A3385" s="1">
        <f>HYPERLINK("https://cms.ls-nyc.org/matter/dynamic-profile/view/1879582","18-1879582")</f>
        <v>0</v>
      </c>
      <c r="B3385" t="s">
        <v>7</v>
      </c>
      <c r="G3385" t="s">
        <v>16</v>
      </c>
    </row>
    <row r="3386" spans="1:7">
      <c r="A3386" s="1">
        <f>HYPERLINK("https://cms.ls-nyc.org/matter/dynamic-profile/view/1889442","19-1889442")</f>
        <v>0</v>
      </c>
      <c r="B3386" t="s">
        <v>8</v>
      </c>
      <c r="F3386" t="s">
        <v>15</v>
      </c>
      <c r="G3386" t="s">
        <v>17</v>
      </c>
    </row>
    <row r="3387" spans="1:7">
      <c r="A3387" s="1">
        <f>HYPERLINK("https://cms.ls-nyc.org/matter/dynamic-profile/view/1891458","19-1891458")</f>
        <v>0</v>
      </c>
      <c r="B3387" t="s">
        <v>8</v>
      </c>
      <c r="F3387" t="s">
        <v>15</v>
      </c>
      <c r="G3387" t="s">
        <v>17</v>
      </c>
    </row>
    <row r="3388" spans="1:7">
      <c r="A3388" s="1">
        <f>HYPERLINK("https://cms.ls-nyc.org/matter/dynamic-profile/view/1901164","19-1901164")</f>
        <v>0</v>
      </c>
      <c r="B3388" t="s">
        <v>11</v>
      </c>
      <c r="G3388" t="s">
        <v>16</v>
      </c>
    </row>
    <row r="3389" spans="1:7">
      <c r="A3389" s="1">
        <f>HYPERLINK("https://cms.ls-nyc.org/matter/dynamic-profile/view/1871586","18-1871586")</f>
        <v>0</v>
      </c>
      <c r="B3389" t="s">
        <v>11</v>
      </c>
      <c r="E3389" t="s">
        <v>14</v>
      </c>
      <c r="F3389" t="s">
        <v>15</v>
      </c>
      <c r="G3389" t="s">
        <v>17</v>
      </c>
    </row>
    <row r="3390" spans="1:7">
      <c r="A3390" s="1">
        <f>HYPERLINK("https://cms.ls-nyc.org/matter/dynamic-profile/view/1876947","18-1876947")</f>
        <v>0</v>
      </c>
      <c r="B3390" t="s">
        <v>8</v>
      </c>
      <c r="G3390" t="s">
        <v>16</v>
      </c>
    </row>
    <row r="3391" spans="1:7">
      <c r="A3391" s="1">
        <f>HYPERLINK("https://cms.ls-nyc.org/matter/dynamic-profile/view/1876941","18-1876941")</f>
        <v>0</v>
      </c>
      <c r="B3391" t="s">
        <v>8</v>
      </c>
      <c r="G3391" t="s">
        <v>16</v>
      </c>
    </row>
    <row r="3392" spans="1:7">
      <c r="A3392" s="1">
        <f>HYPERLINK("https://cms.ls-nyc.org/matter/dynamic-profile/view/1901178","19-1901178")</f>
        <v>0</v>
      </c>
      <c r="B3392" t="s">
        <v>11</v>
      </c>
      <c r="G3392" t="s">
        <v>16</v>
      </c>
    </row>
    <row r="3393" spans="1:7">
      <c r="A3393" s="1">
        <f>HYPERLINK("https://cms.ls-nyc.org/matter/dynamic-profile/view/1891049","19-1891049")</f>
        <v>0</v>
      </c>
      <c r="B3393" t="s">
        <v>11</v>
      </c>
      <c r="F3393" t="s">
        <v>15</v>
      </c>
      <c r="G3393" t="s">
        <v>17</v>
      </c>
    </row>
    <row r="3394" spans="1:7">
      <c r="A3394" s="1">
        <f>HYPERLINK("https://cms.ls-nyc.org/matter/dynamic-profile/view/1896713","19-1896713")</f>
        <v>0</v>
      </c>
      <c r="B3394" t="s">
        <v>8</v>
      </c>
      <c r="F3394" t="s">
        <v>15</v>
      </c>
      <c r="G3394" t="s">
        <v>17</v>
      </c>
    </row>
    <row r="3395" spans="1:7">
      <c r="A3395" s="1">
        <f>HYPERLINK("https://cms.ls-nyc.org/matter/dynamic-profile/view/1889235","19-1889235")</f>
        <v>0</v>
      </c>
      <c r="B3395" t="s">
        <v>8</v>
      </c>
      <c r="G3395" t="s">
        <v>16</v>
      </c>
    </row>
    <row r="3396" spans="1:7">
      <c r="A3396" s="1">
        <f>HYPERLINK("https://cms.ls-nyc.org/matter/dynamic-profile/view/1898263","19-1898263")</f>
        <v>0</v>
      </c>
      <c r="B3396" t="s">
        <v>8</v>
      </c>
      <c r="E3396" t="s">
        <v>14</v>
      </c>
      <c r="F3396" t="s">
        <v>15</v>
      </c>
      <c r="G3396" t="s">
        <v>17</v>
      </c>
    </row>
    <row r="3397" spans="1:7">
      <c r="A3397" s="1">
        <f>HYPERLINK("https://cms.ls-nyc.org/matter/dynamic-profile/view/1892098","19-1892098")</f>
        <v>0</v>
      </c>
      <c r="B3397" t="s">
        <v>8</v>
      </c>
      <c r="E3397" t="s">
        <v>14</v>
      </c>
      <c r="F3397" t="s">
        <v>15</v>
      </c>
      <c r="G3397" t="s">
        <v>17</v>
      </c>
    </row>
    <row r="3398" spans="1:7">
      <c r="A3398" s="1">
        <f>HYPERLINK("https://cms.ls-nyc.org/matter/dynamic-profile/view/1894378","19-1894378")</f>
        <v>0</v>
      </c>
      <c r="B3398" t="s">
        <v>8</v>
      </c>
      <c r="G3398" t="s">
        <v>16</v>
      </c>
    </row>
    <row r="3399" spans="1:7">
      <c r="A3399" s="1">
        <f>HYPERLINK("https://cms.ls-nyc.org/matter/dynamic-profile/view/1892994","19-1892994")</f>
        <v>0</v>
      </c>
      <c r="B3399" t="s">
        <v>8</v>
      </c>
      <c r="F3399" t="s">
        <v>15</v>
      </c>
      <c r="G3399" t="s">
        <v>17</v>
      </c>
    </row>
    <row r="3400" spans="1:7">
      <c r="A3400" s="1">
        <f>HYPERLINK("https://cms.ls-nyc.org/matter/dynamic-profile/view/1891818","19-1891818")</f>
        <v>0</v>
      </c>
      <c r="B3400" t="s">
        <v>8</v>
      </c>
      <c r="G3400" t="s">
        <v>16</v>
      </c>
    </row>
    <row r="3401" spans="1:7">
      <c r="A3401" s="1">
        <f>HYPERLINK("https://cms.ls-nyc.org/matter/dynamic-profile/view/1887692","19-1887692")</f>
        <v>0</v>
      </c>
      <c r="B3401" t="s">
        <v>8</v>
      </c>
      <c r="G3401" t="s">
        <v>16</v>
      </c>
    </row>
    <row r="3402" spans="1:7">
      <c r="A3402" s="1">
        <f>HYPERLINK("https://cms.ls-nyc.org/matter/dynamic-profile/view/1871584","18-1871584")</f>
        <v>0</v>
      </c>
      <c r="B3402" t="s">
        <v>9</v>
      </c>
      <c r="F3402" t="s">
        <v>15</v>
      </c>
      <c r="G340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6</v>
      </c>
      <c r="B2" s="2" t="s">
        <v>17</v>
      </c>
      <c r="C2" s="2" t="s">
        <v>16</v>
      </c>
    </row>
    <row r="3" spans="1:3">
      <c r="A3" s="2" t="s">
        <v>1</v>
      </c>
    </row>
    <row r="4" spans="1:3">
      <c r="A4" s="2" t="s">
        <v>8</v>
      </c>
      <c r="B4">
        <v>534</v>
      </c>
      <c r="C4">
        <v>734</v>
      </c>
    </row>
    <row r="5" spans="1:3">
      <c r="A5" s="2" t="s">
        <v>9</v>
      </c>
      <c r="B5">
        <v>146</v>
      </c>
      <c r="C5">
        <v>810</v>
      </c>
    </row>
    <row r="6" spans="1:3">
      <c r="A6" s="2" t="s">
        <v>11</v>
      </c>
      <c r="B6">
        <v>118</v>
      </c>
      <c r="C6">
        <v>513</v>
      </c>
    </row>
    <row r="7" spans="1:3">
      <c r="A7" s="2" t="s">
        <v>7</v>
      </c>
      <c r="B7">
        <v>44</v>
      </c>
      <c r="C7">
        <v>352</v>
      </c>
    </row>
    <row r="8" spans="1:3">
      <c r="A8" s="2" t="s">
        <v>10</v>
      </c>
      <c r="B8">
        <v>30</v>
      </c>
      <c r="C8">
        <v>120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2</v>
      </c>
      <c r="B2" s="2"/>
      <c r="C2" s="2" t="s">
        <v>12</v>
      </c>
    </row>
    <row r="3" spans="1:3">
      <c r="A3" s="2" t="s">
        <v>1</v>
      </c>
    </row>
    <row r="4" spans="1:3">
      <c r="A4" s="2" t="s">
        <v>8</v>
      </c>
      <c r="B4">
        <v>1159</v>
      </c>
      <c r="C4">
        <v>109</v>
      </c>
    </row>
    <row r="5" spans="1:3">
      <c r="A5" s="2" t="s">
        <v>9</v>
      </c>
      <c r="B5">
        <v>955</v>
      </c>
      <c r="C5">
        <v>1</v>
      </c>
    </row>
    <row r="6" spans="1:3">
      <c r="A6" s="2" t="s">
        <v>11</v>
      </c>
      <c r="B6">
        <v>620</v>
      </c>
      <c r="C6">
        <v>11</v>
      </c>
    </row>
    <row r="7" spans="1:3">
      <c r="A7" s="2" t="s">
        <v>7</v>
      </c>
      <c r="B7">
        <v>395</v>
      </c>
      <c r="C7">
        <v>1</v>
      </c>
    </row>
    <row r="8" spans="1:3">
      <c r="A8" s="2" t="s">
        <v>10</v>
      </c>
      <c r="B8">
        <v>141</v>
      </c>
      <c r="C8">
        <v>9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4</v>
      </c>
      <c r="B2" s="2"/>
      <c r="C2" s="2" t="s">
        <v>14</v>
      </c>
    </row>
    <row r="3" spans="1:3">
      <c r="A3" s="2" t="s">
        <v>1</v>
      </c>
    </row>
    <row r="4" spans="1:3">
      <c r="A4" s="2" t="s">
        <v>8</v>
      </c>
      <c r="B4">
        <v>924</v>
      </c>
      <c r="C4">
        <v>344</v>
      </c>
    </row>
    <row r="5" spans="1:3">
      <c r="A5" s="2" t="s">
        <v>9</v>
      </c>
      <c r="B5">
        <v>935</v>
      </c>
      <c r="C5">
        <v>21</v>
      </c>
    </row>
    <row r="6" spans="1:3">
      <c r="A6" s="2" t="s">
        <v>11</v>
      </c>
      <c r="B6">
        <v>599</v>
      </c>
      <c r="C6">
        <v>32</v>
      </c>
    </row>
    <row r="7" spans="1:3">
      <c r="A7" s="2" t="s">
        <v>7</v>
      </c>
      <c r="B7">
        <v>381</v>
      </c>
      <c r="C7">
        <v>15</v>
      </c>
    </row>
    <row r="8" spans="1:3">
      <c r="A8" s="2" t="s">
        <v>10</v>
      </c>
      <c r="B8">
        <v>135</v>
      </c>
      <c r="C8">
        <v>15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34.7109375" customWidth="1"/>
    <col min="2" max="4" width="20.7109375" customWidth="1"/>
  </cols>
  <sheetData>
    <row r="1" spans="1:3">
      <c r="A1" s="2"/>
      <c r="B1" s="2" t="s">
        <v>0</v>
      </c>
      <c r="C1" s="2"/>
    </row>
    <row r="2" spans="1:3">
      <c r="A2" s="2" t="s">
        <v>3</v>
      </c>
      <c r="B2" s="2"/>
      <c r="C2" s="2" t="s">
        <v>13</v>
      </c>
    </row>
    <row r="3" spans="1:3">
      <c r="A3" s="2" t="s">
        <v>1</v>
      </c>
    </row>
    <row r="4" spans="1:3">
      <c r="A4" s="2" t="s">
        <v>8</v>
      </c>
      <c r="B4">
        <v>1246</v>
      </c>
      <c r="C4">
        <v>22</v>
      </c>
    </row>
    <row r="5" spans="1:3">
      <c r="A5" s="2" t="s">
        <v>9</v>
      </c>
      <c r="B5">
        <v>951</v>
      </c>
      <c r="C5">
        <v>5</v>
      </c>
    </row>
    <row r="6" spans="1:3">
      <c r="A6" s="2" t="s">
        <v>11</v>
      </c>
      <c r="B6">
        <v>621</v>
      </c>
      <c r="C6">
        <v>10</v>
      </c>
    </row>
    <row r="7" spans="1:3">
      <c r="A7" s="2" t="s">
        <v>7</v>
      </c>
      <c r="B7">
        <v>394</v>
      </c>
      <c r="C7">
        <v>2</v>
      </c>
    </row>
    <row r="8" spans="1:3">
      <c r="A8" s="2" t="s">
        <v>10</v>
      </c>
      <c r="B8">
        <v>150</v>
      </c>
      <c r="C8">
        <v>0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5</v>
      </c>
      <c r="B2" s="2"/>
      <c r="C2" s="2" t="s">
        <v>15</v>
      </c>
    </row>
    <row r="3" spans="1:3">
      <c r="A3" s="2" t="s">
        <v>1</v>
      </c>
    </row>
    <row r="4" spans="1:3">
      <c r="A4" s="2" t="s">
        <v>8</v>
      </c>
      <c r="B4">
        <v>862</v>
      </c>
      <c r="C4">
        <v>406</v>
      </c>
    </row>
    <row r="5" spans="1:3">
      <c r="A5" s="2" t="s">
        <v>9</v>
      </c>
      <c r="B5">
        <v>829</v>
      </c>
      <c r="C5">
        <v>127</v>
      </c>
    </row>
    <row r="6" spans="1:3">
      <c r="A6" s="2" t="s">
        <v>11</v>
      </c>
      <c r="B6">
        <v>548</v>
      </c>
      <c r="C6">
        <v>83</v>
      </c>
    </row>
    <row r="7" spans="1:3">
      <c r="A7" s="2" t="s">
        <v>7</v>
      </c>
      <c r="B7">
        <v>368</v>
      </c>
      <c r="C7">
        <v>28</v>
      </c>
    </row>
    <row r="8" spans="1:3">
      <c r="A8" s="2" t="s">
        <v>10</v>
      </c>
      <c r="B8">
        <v>132</v>
      </c>
      <c r="C8">
        <v>18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 List</vt:lpstr>
      <vt:lpstr>Cases Summary</vt:lpstr>
      <vt:lpstr>Needs Release Summary</vt:lpstr>
      <vt:lpstr>Income Verified Summary</vt:lpstr>
      <vt:lpstr>Eligibility Date Summary</vt:lpstr>
      <vt:lpstr>SSA PA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2019-06-20T13:57:55Z</dcterms:created>
  <dcterms:modified xsi:type="dcterms:W3CDTF">2019-06-20T13:57:55Z</dcterms:modified>
</cp:coreProperties>
</file>