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C Raw Case Data Report" sheetId="1" r:id="rId1"/>
  </sheets>
  <calcPr calcId="124519" fullCalcOnLoad="1"/>
</workbook>
</file>

<file path=xl/sharedStrings.xml><?xml version="1.0" encoding="utf-8"?>
<sst xmlns="http://schemas.openxmlformats.org/spreadsheetml/2006/main" count="23373" uniqueCount="4268">
  <si>
    <t>Hyperlinked Case #</t>
  </si>
  <si>
    <t>Primary Advocate</t>
  </si>
  <si>
    <t>Case Disposition</t>
  </si>
  <si>
    <t>Date Opened</t>
  </si>
  <si>
    <t>Date Closed</t>
  </si>
  <si>
    <t>Client First Name</t>
  </si>
  <si>
    <t>Client Last Name</t>
  </si>
  <si>
    <t>Street Address</t>
  </si>
  <si>
    <t>Apt#/Suite#</t>
  </si>
  <si>
    <t>City</t>
  </si>
  <si>
    <t>Zip Code</t>
  </si>
  <si>
    <t>HRA Release?</t>
  </si>
  <si>
    <t>Housing Signed DHCI Form</t>
  </si>
  <si>
    <t>Gen Case Index Number</t>
  </si>
  <si>
    <t>Housing Type Of Case</t>
  </si>
  <si>
    <t>Housing Level of Service</t>
  </si>
  <si>
    <t>Close Reason</t>
  </si>
  <si>
    <t>Primary Funding Code</t>
  </si>
  <si>
    <t>Housing Building Case?</t>
  </si>
  <si>
    <t>Secondary Funding Codes</t>
  </si>
  <si>
    <t>Legal Problem Code</t>
  </si>
  <si>
    <t>Housing Posture of Case on Eligibility Date</t>
  </si>
  <si>
    <t>HAL Eligibility Date</t>
  </si>
  <si>
    <t>Housing Total Monthly Rent</t>
  </si>
  <si>
    <t>Assigned Branch/CC</t>
  </si>
  <si>
    <t>Referral Source</t>
  </si>
  <si>
    <t>IOLA Outcome</t>
  </si>
  <si>
    <t>Date of Birth</t>
  </si>
  <si>
    <t>Gen Pub Assist Case Number</t>
  </si>
  <si>
    <t>Social Security #</t>
  </si>
  <si>
    <t>Housing Number Of Units In Building</t>
  </si>
  <si>
    <t>Housing Form Of Regulation</t>
  </si>
  <si>
    <t>Housing Subsidy Type</t>
  </si>
  <si>
    <t>Housing Years Living In Apartment</t>
  </si>
  <si>
    <t>Number of People 18 and Over</t>
  </si>
  <si>
    <t>Number of People under 18</t>
  </si>
  <si>
    <t>Percentage of Poverty</t>
  </si>
  <si>
    <t>Housing Date Of Waiver Approval</t>
  </si>
  <si>
    <t>Housing TRC HRA Waiver Categories</t>
  </si>
  <si>
    <t>Language</t>
  </si>
  <si>
    <t xml:space="preserve">Total Annual Income </t>
  </si>
  <si>
    <t>Housing Funding Note</t>
  </si>
  <si>
    <t>Housing Activity Indicators</t>
  </si>
  <si>
    <t>Housing Services Rendered to Client</t>
  </si>
  <si>
    <t>Housing Outcome</t>
  </si>
  <si>
    <t>Housing Outcome Date</t>
  </si>
  <si>
    <t>Total Time For Case</t>
  </si>
  <si>
    <t>Service Date</t>
  </si>
  <si>
    <t>Caseworker Name</t>
  </si>
  <si>
    <t>Housing Income Verification</t>
  </si>
  <si>
    <t>Retainer on File Compliance</t>
  </si>
  <si>
    <t>Retainer on File</t>
  </si>
  <si>
    <t>Lam, Kevin</t>
  </si>
  <si>
    <t>Jacobs, Alex</t>
  </si>
  <si>
    <t>Barrett, Samantha</t>
  </si>
  <si>
    <t>Hoque, Shatti</t>
  </si>
  <si>
    <t>Rubin, Jenn</t>
  </si>
  <si>
    <t>Schiff, Logan</t>
  </si>
  <si>
    <t>Pepe, Lailah</t>
  </si>
  <si>
    <t>Patel, Mona</t>
  </si>
  <si>
    <t>Crisona, Kathryn</t>
  </si>
  <si>
    <t>Landry-Reyes, Jane</t>
  </si>
  <si>
    <t>McCowen, Tamella</t>
  </si>
  <si>
    <t>Roman, Melissa</t>
  </si>
  <si>
    <t>DeLong, Sarah</t>
  </si>
  <si>
    <t>McCormick, James</t>
  </si>
  <si>
    <t>Corsaro, Veronica</t>
  </si>
  <si>
    <t>Frizell, Catherine</t>
  </si>
  <si>
    <t>Watson, Michael</t>
  </si>
  <si>
    <t>Hardy, Le`Shera</t>
  </si>
  <si>
    <t>Betances, Gabriella</t>
  </si>
  <si>
    <t>Succop, Steven</t>
  </si>
  <si>
    <t>Nilsson, Erik</t>
  </si>
  <si>
    <t>Falco, Fara</t>
  </si>
  <si>
    <t>Kelly, Kitanya</t>
  </si>
  <si>
    <t>Almanzar, Milagros</t>
  </si>
  <si>
    <t>Mottley, Darlene</t>
  </si>
  <si>
    <t>Latterner, Matt</t>
  </si>
  <si>
    <t>Porcelli, Ronald</t>
  </si>
  <si>
    <t>Brand, Holdyn</t>
  </si>
  <si>
    <t>Garcia, Keiannis</t>
  </si>
  <si>
    <t>Goncharov-Cruickshnk, Natalie</t>
  </si>
  <si>
    <t>Costa, Stephanie</t>
  </si>
  <si>
    <t>Reardon, Elizabeth</t>
  </si>
  <si>
    <t>Chen, Eugene</t>
  </si>
  <si>
    <t>Wong, Humbert</t>
  </si>
  <si>
    <t>Vega, Rita</t>
  </si>
  <si>
    <t>Delgadillo, Omar</t>
  </si>
  <si>
    <t>Heller, Steven</t>
  </si>
  <si>
    <t>Hammond, Robert</t>
  </si>
  <si>
    <t>James, Lelia</t>
  </si>
  <si>
    <t>Drumm, Kristen</t>
  </si>
  <si>
    <t>Burns, Erin</t>
  </si>
  <si>
    <t>Barreda, Catherine</t>
  </si>
  <si>
    <t>Osei, Dionne</t>
  </si>
  <si>
    <t>Chew, Thomas</t>
  </si>
  <si>
    <t>Farrell, Emily</t>
  </si>
  <si>
    <t>Hecht-Felella, Laura</t>
  </si>
  <si>
    <t>Briggs, John</t>
  </si>
  <si>
    <t>MacRae, John</t>
  </si>
  <si>
    <t>Spencer, Eleanor</t>
  </si>
  <si>
    <t>Bailey, Michael</t>
  </si>
  <si>
    <t>Gonzalez, Matias</t>
  </si>
  <si>
    <t>Santos, Marisol</t>
  </si>
  <si>
    <t>Honan, Thomas</t>
  </si>
  <si>
    <t>Puleo Jr, Michael</t>
  </si>
  <si>
    <t>Golden, Tashanna</t>
  </si>
  <si>
    <t>Gonzalez, Atenedoro</t>
  </si>
  <si>
    <t>Joly, Coco</t>
  </si>
  <si>
    <t>Cappellini, Bianca</t>
  </si>
  <si>
    <t>Dranoff, Sarah</t>
  </si>
  <si>
    <t>Sharma, Sagar</t>
  </si>
  <si>
    <t>Hong, Connie</t>
  </si>
  <si>
    <t>Cowen, Lindsay</t>
  </si>
  <si>
    <t>Braudy, Erica</t>
  </si>
  <si>
    <t>Kelly, Dawn</t>
  </si>
  <si>
    <t>Rookwood, Shardae</t>
  </si>
  <si>
    <t>Ma, Chiansan</t>
  </si>
  <si>
    <t>Elmore, Josh</t>
  </si>
  <si>
    <t>Sanderman, Robert</t>
  </si>
  <si>
    <t>Rave, Helen</t>
  </si>
  <si>
    <t>Treadwell, Nathan</t>
  </si>
  <si>
    <t>Ukegbu, Ezi</t>
  </si>
  <si>
    <t>Anunkor, Ifeoma</t>
  </si>
  <si>
    <t>Ross, Jasmine</t>
  </si>
  <si>
    <t>Mui, Ernie</t>
  </si>
  <si>
    <t>He, Ricky</t>
  </si>
  <si>
    <t>Cisneros, Marisol</t>
  </si>
  <si>
    <t>Englard, Rubin</t>
  </si>
  <si>
    <t>Montoute, John</t>
  </si>
  <si>
    <t>Schafler, Eliza</t>
  </si>
  <si>
    <t>Carwin, Mikailla</t>
  </si>
  <si>
    <t>Taylor, Mark</t>
  </si>
  <si>
    <t>Dolin, Brett</t>
  </si>
  <si>
    <t>Gonzalez-Munoz, Rossana</t>
  </si>
  <si>
    <t>Marchena, Ivan</t>
  </si>
  <si>
    <t>Ijaz, Kulsoom</t>
  </si>
  <si>
    <t>Xie, Vivian</t>
  </si>
  <si>
    <t>McCune, Mary</t>
  </si>
  <si>
    <t>Diaz, Lino</t>
  </si>
  <si>
    <t>Guadalupe, Marilyn</t>
  </si>
  <si>
    <t>Tan, Andrea</t>
  </si>
  <si>
    <t>Evers, Erin</t>
  </si>
  <si>
    <t>Lin, Tina</t>
  </si>
  <si>
    <t>Vale, Yvonne</t>
  </si>
  <si>
    <t>Almanzar, Yocari</t>
  </si>
  <si>
    <t>Allen, Sharette</t>
  </si>
  <si>
    <t>Yamasaki, Emily Woo</t>
  </si>
  <si>
    <t>Umoke, Jacob</t>
  </si>
  <si>
    <t>Rhee, Bohee</t>
  </si>
  <si>
    <t>Bauer, Kai</t>
  </si>
  <si>
    <t>Ocana, Johanna</t>
  </si>
  <si>
    <t>Saywack, Priam</t>
  </si>
  <si>
    <t>Belhomme, Wilesca</t>
  </si>
  <si>
    <t>Closed</t>
  </si>
  <si>
    <t>Open</t>
  </si>
  <si>
    <t>09/26/2019</t>
  </si>
  <si>
    <t>10/22/2019</t>
  </si>
  <si>
    <t>07/09/2019</t>
  </si>
  <si>
    <t>06/13/2019</t>
  </si>
  <si>
    <t>07/05/2019</t>
  </si>
  <si>
    <t>09/12/2019</t>
  </si>
  <si>
    <t>08/15/2019</t>
  </si>
  <si>
    <t>10/29/2019</t>
  </si>
  <si>
    <t>07/30/2019</t>
  </si>
  <si>
    <t>10/11/2019</t>
  </si>
  <si>
    <t>10/01/2019</t>
  </si>
  <si>
    <t>09/10/2019</t>
  </si>
  <si>
    <t>10/25/2019</t>
  </si>
  <si>
    <t>10/18/2019</t>
  </si>
  <si>
    <t>09/25/2019</t>
  </si>
  <si>
    <t>09/03/2019</t>
  </si>
  <si>
    <t>07/24/2019</t>
  </si>
  <si>
    <t>07/29/2019</t>
  </si>
  <si>
    <t>10/10/2019</t>
  </si>
  <si>
    <t>07/08/2019</t>
  </si>
  <si>
    <t>08/14/2019</t>
  </si>
  <si>
    <t>08/27/2019</t>
  </si>
  <si>
    <t>09/24/2019</t>
  </si>
  <si>
    <t>10/08/2019</t>
  </si>
  <si>
    <t>07/17/2019</t>
  </si>
  <si>
    <t>08/08/2019</t>
  </si>
  <si>
    <t>03/29/2019</t>
  </si>
  <si>
    <t>08/20/2019</t>
  </si>
  <si>
    <t>08/22/2019</t>
  </si>
  <si>
    <t>08/13/2019</t>
  </si>
  <si>
    <t>09/09/2019</t>
  </si>
  <si>
    <t>08/06/2019</t>
  </si>
  <si>
    <t>11/01/2019</t>
  </si>
  <si>
    <t>09/04/2019</t>
  </si>
  <si>
    <t>08/16/2019</t>
  </si>
  <si>
    <t>08/01/2019</t>
  </si>
  <si>
    <t>07/12/2019</t>
  </si>
  <si>
    <t>08/09/2019</t>
  </si>
  <si>
    <t>09/11/2019</t>
  </si>
  <si>
    <t>08/05/2019</t>
  </si>
  <si>
    <t>09/17/2019</t>
  </si>
  <si>
    <t>10/15/2019</t>
  </si>
  <si>
    <t>07/18/2019</t>
  </si>
  <si>
    <t>10/17/2019</t>
  </si>
  <si>
    <t>09/27/2019</t>
  </si>
  <si>
    <t>07/02/2019</t>
  </si>
  <si>
    <t>10/23/2019</t>
  </si>
  <si>
    <t>07/11/2019</t>
  </si>
  <si>
    <t>10/24/2019</t>
  </si>
  <si>
    <t>07/19/2019</t>
  </si>
  <si>
    <t>08/23/2019</t>
  </si>
  <si>
    <t>07/22/2019</t>
  </si>
  <si>
    <t>08/12/2019</t>
  </si>
  <si>
    <t>03/27/2017</t>
  </si>
  <si>
    <t>07/16/2019</t>
  </si>
  <si>
    <t>09/19/2019</t>
  </si>
  <si>
    <t>09/06/2019</t>
  </si>
  <si>
    <t>04/30/2019</t>
  </si>
  <si>
    <t>09/30/2019</t>
  </si>
  <si>
    <t>04/11/2019</t>
  </si>
  <si>
    <t>08/30/2019</t>
  </si>
  <si>
    <t>04/22/2019</t>
  </si>
  <si>
    <t>10/31/2019</t>
  </si>
  <si>
    <t>05/24/2019</t>
  </si>
  <si>
    <t>07/31/2019</t>
  </si>
  <si>
    <t>08/19/2019</t>
  </si>
  <si>
    <t>10/03/2019</t>
  </si>
  <si>
    <t>07/26/2019</t>
  </si>
  <si>
    <t>10/29/2018</t>
  </si>
  <si>
    <t>10/02/2019</t>
  </si>
  <si>
    <t>03/26/2019</t>
  </si>
  <si>
    <t>02/19/2019</t>
  </si>
  <si>
    <t>07/10/2019</t>
  </si>
  <si>
    <t>09/23/2019</t>
  </si>
  <si>
    <t>10/21/2019</t>
  </si>
  <si>
    <t>04/12/2019</t>
  </si>
  <si>
    <t>09/20/2019</t>
  </si>
  <si>
    <t>06/03/2019</t>
  </si>
  <si>
    <t>08/28/2019</t>
  </si>
  <si>
    <t>09/05/2019</t>
  </si>
  <si>
    <t>06/06/2019</t>
  </si>
  <si>
    <t>08/07/2019</t>
  </si>
  <si>
    <t>10/16/2018</t>
  </si>
  <si>
    <t>04/16/2019</t>
  </si>
  <si>
    <t>08/29/2019</t>
  </si>
  <si>
    <t>10/28/2019</t>
  </si>
  <si>
    <t>09/13/2019</t>
  </si>
  <si>
    <t>09/19/2018</t>
  </si>
  <si>
    <t>08/02/2019</t>
  </si>
  <si>
    <t>10/07/2019</t>
  </si>
  <si>
    <t>06/27/2019</t>
  </si>
  <si>
    <t>08/21/2019</t>
  </si>
  <si>
    <t>10/12/2018</t>
  </si>
  <si>
    <t>05/09/2019</t>
  </si>
  <si>
    <t>05/01/2019</t>
  </si>
  <si>
    <t>06/18/2019</t>
  </si>
  <si>
    <t>06/28/2019</t>
  </si>
  <si>
    <t>06/20/2019</t>
  </si>
  <si>
    <t>07/01/2019</t>
  </si>
  <si>
    <t>05/30/2019</t>
  </si>
  <si>
    <t>06/05/2019</t>
  </si>
  <si>
    <t>09/16/2019</t>
  </si>
  <si>
    <t>03/11/2019</t>
  </si>
  <si>
    <t>06/17/2019</t>
  </si>
  <si>
    <t>06/21/2019</t>
  </si>
  <si>
    <t>10/16/2019</t>
  </si>
  <si>
    <t>02/13/2019</t>
  </si>
  <si>
    <t>10/09/2019</t>
  </si>
  <si>
    <t>08/11/2019</t>
  </si>
  <si>
    <t>07/15/2019</t>
  </si>
  <si>
    <t>03/29/2018</t>
  </si>
  <si>
    <t>07/03/2019</t>
  </si>
  <si>
    <t>09/18/2019</t>
  </si>
  <si>
    <t>06/04/2019</t>
  </si>
  <si>
    <t>03/12/2019</t>
  </si>
  <si>
    <t>05/27/2019</t>
  </si>
  <si>
    <t>10/04/2019</t>
  </si>
  <si>
    <t>02/21/2019</t>
  </si>
  <si>
    <t>07/23/2019</t>
  </si>
  <si>
    <t>11/04/2019</t>
  </si>
  <si>
    <t>05/02/2019</t>
  </si>
  <si>
    <t>06/24/2019</t>
  </si>
  <si>
    <t>06/07/2019</t>
  </si>
  <si>
    <t>06/12/2019</t>
  </si>
  <si>
    <t>10/30/2019</t>
  </si>
  <si>
    <t>09/21/2019</t>
  </si>
  <si>
    <t>05/22/2019</t>
  </si>
  <si>
    <t>01/15/2019</t>
  </si>
  <si>
    <t>02/22/2019</t>
  </si>
  <si>
    <t>05/15/2019</t>
  </si>
  <si>
    <t>10/17/2018</t>
  </si>
  <si>
    <t>04/29/2019</t>
  </si>
  <si>
    <t>01/11/2019</t>
  </si>
  <si>
    <t>08/26/2019</t>
  </si>
  <si>
    <t>04/20/2018</t>
  </si>
  <si>
    <t>04/08/2019</t>
  </si>
  <si>
    <t>09/15/2019</t>
  </si>
  <si>
    <t>08/04/2019</t>
  </si>
  <si>
    <t>06/14/2019</t>
  </si>
  <si>
    <t>01/10/2019</t>
  </si>
  <si>
    <t>07/25/2019</t>
  </si>
  <si>
    <t>Marquise</t>
  </si>
  <si>
    <t>Elicha</t>
  </si>
  <si>
    <t>Lisa</t>
  </si>
  <si>
    <t>Elizabeth</t>
  </si>
  <si>
    <t>Karen</t>
  </si>
  <si>
    <t>Jessica</t>
  </si>
  <si>
    <t>Leidy Yesenia Escandon</t>
  </si>
  <si>
    <t>Onia</t>
  </si>
  <si>
    <t>Estela</t>
  </si>
  <si>
    <t>Anthony</t>
  </si>
  <si>
    <t>Pamela</t>
  </si>
  <si>
    <t>Bridget</t>
  </si>
  <si>
    <t>Brendan</t>
  </si>
  <si>
    <t>Shernelle</t>
  </si>
  <si>
    <t>Sidi</t>
  </si>
  <si>
    <t>Jennifer</t>
  </si>
  <si>
    <t>Luis</t>
  </si>
  <si>
    <t>Rachel</t>
  </si>
  <si>
    <t>Christopher</t>
  </si>
  <si>
    <t>Antoine</t>
  </si>
  <si>
    <t>Roberta</t>
  </si>
  <si>
    <t>Tumininu</t>
  </si>
  <si>
    <t>Shemaine</t>
  </si>
  <si>
    <t>Tammie</t>
  </si>
  <si>
    <t>Georgette</t>
  </si>
  <si>
    <t>Alex</t>
  </si>
  <si>
    <t>Hovac</t>
  </si>
  <si>
    <t>John</t>
  </si>
  <si>
    <t>Cristal</t>
  </si>
  <si>
    <t>Vincent</t>
  </si>
  <si>
    <t>Raphel</t>
  </si>
  <si>
    <t>Denise</t>
  </si>
  <si>
    <t>James</t>
  </si>
  <si>
    <t>Deborah</t>
  </si>
  <si>
    <t>Donna</t>
  </si>
  <si>
    <t>Takeisha</t>
  </si>
  <si>
    <t>Julisa</t>
  </si>
  <si>
    <t>Fatima</t>
  </si>
  <si>
    <t>Sarah</t>
  </si>
  <si>
    <t>Gabby</t>
  </si>
  <si>
    <t>Valicia</t>
  </si>
  <si>
    <t>Rita</t>
  </si>
  <si>
    <t>Halimeh</t>
  </si>
  <si>
    <t>Salisha</t>
  </si>
  <si>
    <t>Margarita</t>
  </si>
  <si>
    <t>Ferney</t>
  </si>
  <si>
    <t>Nicolette</t>
  </si>
  <si>
    <t>Oumaima</t>
  </si>
  <si>
    <t>Cristian</t>
  </si>
  <si>
    <t>Natacha</t>
  </si>
  <si>
    <t>Dania</t>
  </si>
  <si>
    <t>Jasmine</t>
  </si>
  <si>
    <t>Georgina</t>
  </si>
  <si>
    <t>Julie</t>
  </si>
  <si>
    <t>Nikitia</t>
  </si>
  <si>
    <t>Maureen</t>
  </si>
  <si>
    <t>Stephanie</t>
  </si>
  <si>
    <t>Felesha</t>
  </si>
  <si>
    <t>Louise</t>
  </si>
  <si>
    <t>Susana</t>
  </si>
  <si>
    <t>Jenny</t>
  </si>
  <si>
    <t>Vernice</t>
  </si>
  <si>
    <t>Debra</t>
  </si>
  <si>
    <t>Kathleen</t>
  </si>
  <si>
    <t>Marvilin</t>
  </si>
  <si>
    <t>Maria</t>
  </si>
  <si>
    <t>Janice</t>
  </si>
  <si>
    <t>Pedro</t>
  </si>
  <si>
    <t>Gael</t>
  </si>
  <si>
    <t>Mark</t>
  </si>
  <si>
    <t>Quyen</t>
  </si>
  <si>
    <t>Dawn</t>
  </si>
  <si>
    <t>Alexander</t>
  </si>
  <si>
    <t>Ana</t>
  </si>
  <si>
    <t>Shamark</t>
  </si>
  <si>
    <t>Geneva</t>
  </si>
  <si>
    <t>Gwendolyn</t>
  </si>
  <si>
    <t>Emma</t>
  </si>
  <si>
    <t>Talitha</t>
  </si>
  <si>
    <t>Tabitha</t>
  </si>
  <si>
    <t>Candice</t>
  </si>
  <si>
    <t>Amanda</t>
  </si>
  <si>
    <t>Dawna</t>
  </si>
  <si>
    <t>Shakirah</t>
  </si>
  <si>
    <t>Tiyanna</t>
  </si>
  <si>
    <t>Hosnahara</t>
  </si>
  <si>
    <t>Lourenco</t>
  </si>
  <si>
    <t>Abdul</t>
  </si>
  <si>
    <t>Sheena</t>
  </si>
  <si>
    <t>Felipa</t>
  </si>
  <si>
    <t>April</t>
  </si>
  <si>
    <t>Andrej</t>
  </si>
  <si>
    <t>Nina</t>
  </si>
  <si>
    <t>Patricia</t>
  </si>
  <si>
    <t>Carmen</t>
  </si>
  <si>
    <t>Sophia</t>
  </si>
  <si>
    <t>Flavia</t>
  </si>
  <si>
    <t>Todd</t>
  </si>
  <si>
    <t>Sonia</t>
  </si>
  <si>
    <t>Arinola</t>
  </si>
  <si>
    <t>Anderson</t>
  </si>
  <si>
    <t>Michele</t>
  </si>
  <si>
    <t>Liza</t>
  </si>
  <si>
    <t>Erica</t>
  </si>
  <si>
    <t>Jade</t>
  </si>
  <si>
    <t>Richard</t>
  </si>
  <si>
    <t>Rosemae</t>
  </si>
  <si>
    <t>Mirely</t>
  </si>
  <si>
    <t>Howard</t>
  </si>
  <si>
    <t>Thomas</t>
  </si>
  <si>
    <t>Hope</t>
  </si>
  <si>
    <t>Hesham</t>
  </si>
  <si>
    <t>Reynaldo</t>
  </si>
  <si>
    <t>Racquel</t>
  </si>
  <si>
    <t>Angelica</t>
  </si>
  <si>
    <t>Ryanna</t>
  </si>
  <si>
    <t>Redis</t>
  </si>
  <si>
    <t>Ruth</t>
  </si>
  <si>
    <t>Jacqueline</t>
  </si>
  <si>
    <t>Dulce</t>
  </si>
  <si>
    <t>Malana</t>
  </si>
  <si>
    <t>Zeribel</t>
  </si>
  <si>
    <t>Danielle</t>
  </si>
  <si>
    <t>Jessie</t>
  </si>
  <si>
    <t>Miguel</t>
  </si>
  <si>
    <t>Nichole</t>
  </si>
  <si>
    <t>Isabel</t>
  </si>
  <si>
    <t>Vivian</t>
  </si>
  <si>
    <t>Viela</t>
  </si>
  <si>
    <t>Yahaira</t>
  </si>
  <si>
    <t>Aquilina</t>
  </si>
  <si>
    <t>Lorraine</t>
  </si>
  <si>
    <t>Cherly</t>
  </si>
  <si>
    <t>Hanirka</t>
  </si>
  <si>
    <t>Walter</t>
  </si>
  <si>
    <t>Paul</t>
  </si>
  <si>
    <t>Peta</t>
  </si>
  <si>
    <t>Ellen</t>
  </si>
  <si>
    <t>Dionne</t>
  </si>
  <si>
    <t>Danesha</t>
  </si>
  <si>
    <t>Tiara</t>
  </si>
  <si>
    <t>Gregory</t>
  </si>
  <si>
    <t>Brooke</t>
  </si>
  <si>
    <t>Gisela</t>
  </si>
  <si>
    <t>Michelle</t>
  </si>
  <si>
    <t>Lourdes</t>
  </si>
  <si>
    <t>Paulette</t>
  </si>
  <si>
    <t>Marie</t>
  </si>
  <si>
    <t>Asuncion</t>
  </si>
  <si>
    <t>Jae</t>
  </si>
  <si>
    <t>Johny</t>
  </si>
  <si>
    <t>Rosaly</t>
  </si>
  <si>
    <t>Marcia</t>
  </si>
  <si>
    <t>Celia</t>
  </si>
  <si>
    <t>Malisha</t>
  </si>
  <si>
    <t>Keith</t>
  </si>
  <si>
    <t>Ivette</t>
  </si>
  <si>
    <t>Ralph</t>
  </si>
  <si>
    <t>Marina</t>
  </si>
  <si>
    <t>Rafael</t>
  </si>
  <si>
    <t>Veronica</t>
  </si>
  <si>
    <t>Latoya</t>
  </si>
  <si>
    <t>Jeannette</t>
  </si>
  <si>
    <t>Steven</t>
  </si>
  <si>
    <t>Luisa</t>
  </si>
  <si>
    <t>Angel</t>
  </si>
  <si>
    <t>Betty</t>
  </si>
  <si>
    <t>Robin</t>
  </si>
  <si>
    <t>Tyrone</t>
  </si>
  <si>
    <t>Felia</t>
  </si>
  <si>
    <t>Toby</t>
  </si>
  <si>
    <t>Norma</t>
  </si>
  <si>
    <t>Roberto</t>
  </si>
  <si>
    <t>Rebecca</t>
  </si>
  <si>
    <t>Sade</t>
  </si>
  <si>
    <t>Raisa</t>
  </si>
  <si>
    <t>Yadira</t>
  </si>
  <si>
    <t>Temistocles</t>
  </si>
  <si>
    <t>Nicole</t>
  </si>
  <si>
    <t>Heather</t>
  </si>
  <si>
    <t>Kimberly</t>
  </si>
  <si>
    <t>Jardi</t>
  </si>
  <si>
    <t>Ada</t>
  </si>
  <si>
    <t>Fossillon</t>
  </si>
  <si>
    <t>Carol</t>
  </si>
  <si>
    <t>Hector</t>
  </si>
  <si>
    <t>Govchlya</t>
  </si>
  <si>
    <t>Gordon</t>
  </si>
  <si>
    <t>Kalven</t>
  </si>
  <si>
    <t>Evelyn</t>
  </si>
  <si>
    <t>Joshua</t>
  </si>
  <si>
    <t>Erasmo</t>
  </si>
  <si>
    <t>Migdalia</t>
  </si>
  <si>
    <t>Magdalia</t>
  </si>
  <si>
    <t>Avian</t>
  </si>
  <si>
    <t>Barbara</t>
  </si>
  <si>
    <t>Hernando</t>
  </si>
  <si>
    <t>Kim</t>
  </si>
  <si>
    <t>Rosa</t>
  </si>
  <si>
    <t>Juan</t>
  </si>
  <si>
    <t>Elsie</t>
  </si>
  <si>
    <t>Leslie</t>
  </si>
  <si>
    <t>Graciela</t>
  </si>
  <si>
    <t>Jackie</t>
  </si>
  <si>
    <t>Gladys</t>
  </si>
  <si>
    <t>Clyde</t>
  </si>
  <si>
    <t>Obiaba</t>
  </si>
  <si>
    <t>Jose</t>
  </si>
  <si>
    <t>Ramona</t>
  </si>
  <si>
    <t>Aneicia</t>
  </si>
  <si>
    <t>Carrie</t>
  </si>
  <si>
    <t>Archie</t>
  </si>
  <si>
    <t>Maritza</t>
  </si>
  <si>
    <t>Austin</t>
  </si>
  <si>
    <t>Raymond</t>
  </si>
  <si>
    <t>Kin Sau</t>
  </si>
  <si>
    <t>Widisaberto</t>
  </si>
  <si>
    <t>Yvonne</t>
  </si>
  <si>
    <t>Mireya</t>
  </si>
  <si>
    <t>Zulma</t>
  </si>
  <si>
    <t>Nicholas</t>
  </si>
  <si>
    <t>Brender</t>
  </si>
  <si>
    <t>Bart</t>
  </si>
  <si>
    <t>Beryl</t>
  </si>
  <si>
    <t>Dora</t>
  </si>
  <si>
    <t>Joseph</t>
  </si>
  <si>
    <t>Juana</t>
  </si>
  <si>
    <t>Soribel</t>
  </si>
  <si>
    <t>Elva</t>
  </si>
  <si>
    <t>Mario</t>
  </si>
  <si>
    <t>Cindy</t>
  </si>
  <si>
    <t>Russell</t>
  </si>
  <si>
    <t>I</t>
  </si>
  <si>
    <t>Tori</t>
  </si>
  <si>
    <t>Santa</t>
  </si>
  <si>
    <t>Magnolia</t>
  </si>
  <si>
    <t>Wandy</t>
  </si>
  <si>
    <t>Stefanie</t>
  </si>
  <si>
    <t>Sursattie</t>
  </si>
  <si>
    <t>Morris</t>
  </si>
  <si>
    <t>Albert</t>
  </si>
  <si>
    <t>Evita</t>
  </si>
  <si>
    <t>Helen</t>
  </si>
  <si>
    <t>Liautaud</t>
  </si>
  <si>
    <t>Christina</t>
  </si>
  <si>
    <t>Kneysha</t>
  </si>
  <si>
    <t>Harry</t>
  </si>
  <si>
    <t>Krystyna</t>
  </si>
  <si>
    <t>Peter</t>
  </si>
  <si>
    <t>Brian</t>
  </si>
  <si>
    <t>Megnal</t>
  </si>
  <si>
    <t>Zhen Guang</t>
  </si>
  <si>
    <t>Dorothy</t>
  </si>
  <si>
    <t>Rosemarie</t>
  </si>
  <si>
    <t>Maleja</t>
  </si>
  <si>
    <t>Bill</t>
  </si>
  <si>
    <t>Alexandria</t>
  </si>
  <si>
    <t>Yara</t>
  </si>
  <si>
    <t>Carolyn</t>
  </si>
  <si>
    <t>Leonora</t>
  </si>
  <si>
    <t>Myrna</t>
  </si>
  <si>
    <t>Mildred</t>
  </si>
  <si>
    <t>Olivia</t>
  </si>
  <si>
    <t>Victoria</t>
  </si>
  <si>
    <t>Sara</t>
  </si>
  <si>
    <t>Nelson</t>
  </si>
  <si>
    <t>Bernadette</t>
  </si>
  <si>
    <t>Hongjie</t>
  </si>
  <si>
    <t>Kelli</t>
  </si>
  <si>
    <t>In Sun</t>
  </si>
  <si>
    <t>Elba</t>
  </si>
  <si>
    <t>Lakisha</t>
  </si>
  <si>
    <t>Ingrid</t>
  </si>
  <si>
    <t>Chetree</t>
  </si>
  <si>
    <t>Guillermo</t>
  </si>
  <si>
    <t>Zul-qarnain</t>
  </si>
  <si>
    <t>Yvette</t>
  </si>
  <si>
    <t>Nikita</t>
  </si>
  <si>
    <t>Oscar</t>
  </si>
  <si>
    <t>Rosalind</t>
  </si>
  <si>
    <t>Tomicka</t>
  </si>
  <si>
    <t>Erica Gomez</t>
  </si>
  <si>
    <t>Prestina</t>
  </si>
  <si>
    <t>David</t>
  </si>
  <si>
    <t>Loretta</t>
  </si>
  <si>
    <t>Zobeida</t>
  </si>
  <si>
    <t>Gail</t>
  </si>
  <si>
    <t>Jacinto</t>
  </si>
  <si>
    <t>Esperanza</t>
  </si>
  <si>
    <t>Abeda</t>
  </si>
  <si>
    <t>Robert</t>
  </si>
  <si>
    <t>Manuelita</t>
  </si>
  <si>
    <t>Martiza</t>
  </si>
  <si>
    <t>Jhana</t>
  </si>
  <si>
    <t>Blondy</t>
  </si>
  <si>
    <t>Digna</t>
  </si>
  <si>
    <t>Mariano</t>
  </si>
  <si>
    <t>Mayra</t>
  </si>
  <si>
    <t>Modesta</t>
  </si>
  <si>
    <t>Ymelda</t>
  </si>
  <si>
    <t>Jenaire</t>
  </si>
  <si>
    <t>Therese</t>
  </si>
  <si>
    <t>Mary</t>
  </si>
  <si>
    <t>Doris</t>
  </si>
  <si>
    <t>Khmari</t>
  </si>
  <si>
    <t>Diana</t>
  </si>
  <si>
    <t>Phyllis</t>
  </si>
  <si>
    <t>Marcel</t>
  </si>
  <si>
    <t>Raquel</t>
  </si>
  <si>
    <t>Christian</t>
  </si>
  <si>
    <t>Karyn</t>
  </si>
  <si>
    <t>Lola</t>
  </si>
  <si>
    <t>Winston</t>
  </si>
  <si>
    <t>Eva</t>
  </si>
  <si>
    <t>Murris</t>
  </si>
  <si>
    <t>Yesenia</t>
  </si>
  <si>
    <t>Md</t>
  </si>
  <si>
    <t>Adiel</t>
  </si>
  <si>
    <t>Bartola</t>
  </si>
  <si>
    <t>Virginia</t>
  </si>
  <si>
    <t>Faruk</t>
  </si>
  <si>
    <t>Jeanette</t>
  </si>
  <si>
    <t>Renee</t>
  </si>
  <si>
    <t>Daewoo</t>
  </si>
  <si>
    <t>Otha</t>
  </si>
  <si>
    <t>Sheila</t>
  </si>
  <si>
    <t>Yomaira</t>
  </si>
  <si>
    <t>Daina</t>
  </si>
  <si>
    <t>Colleen</t>
  </si>
  <si>
    <t>Laura</t>
  </si>
  <si>
    <t>Marien</t>
  </si>
  <si>
    <t>Jean</t>
  </si>
  <si>
    <t>Clarence</t>
  </si>
  <si>
    <t>Brette</t>
  </si>
  <si>
    <t>Saabirah</t>
  </si>
  <si>
    <t>Dianna</t>
  </si>
  <si>
    <t>Loida</t>
  </si>
  <si>
    <t>Shauna</t>
  </si>
  <si>
    <t>Narcisa</t>
  </si>
  <si>
    <t>Mercedes</t>
  </si>
  <si>
    <t>Claudia</t>
  </si>
  <si>
    <t>Hazel</t>
  </si>
  <si>
    <t>Damaris</t>
  </si>
  <si>
    <t>Inocencio</t>
  </si>
  <si>
    <t>Tameka</t>
  </si>
  <si>
    <t>Roxanne</t>
  </si>
  <si>
    <t>Xenia</t>
  </si>
  <si>
    <t>Ray</t>
  </si>
  <si>
    <t>Aleysi</t>
  </si>
  <si>
    <t>Angellica</t>
  </si>
  <si>
    <t>Aracelly</t>
  </si>
  <si>
    <t>Mahbub</t>
  </si>
  <si>
    <t>Andrew</t>
  </si>
  <si>
    <t>Massa</t>
  </si>
  <si>
    <t>Joe</t>
  </si>
  <si>
    <t>Karla</t>
  </si>
  <si>
    <t>Katherine</t>
  </si>
  <si>
    <t>Vilma</t>
  </si>
  <si>
    <t>Wakina</t>
  </si>
  <si>
    <t>Michael</t>
  </si>
  <si>
    <t>Waquar</t>
  </si>
  <si>
    <t>Venice</t>
  </si>
  <si>
    <t>Socorro</t>
  </si>
  <si>
    <t>Jaime</t>
  </si>
  <si>
    <t>Rosario</t>
  </si>
  <si>
    <t>Francisco</t>
  </si>
  <si>
    <t>Desmond</t>
  </si>
  <si>
    <t>Deyaniris</t>
  </si>
  <si>
    <t>Savannah</t>
  </si>
  <si>
    <t>Samantha</t>
  </si>
  <si>
    <t>Joy</t>
  </si>
  <si>
    <t>Regina</t>
  </si>
  <si>
    <t>Afra</t>
  </si>
  <si>
    <t>Adolfo</t>
  </si>
  <si>
    <t>Nadine</t>
  </si>
  <si>
    <t>Elvida</t>
  </si>
  <si>
    <t>Anna</t>
  </si>
  <si>
    <t>Eugene</t>
  </si>
  <si>
    <t>Valerine</t>
  </si>
  <si>
    <t>Frederica</t>
  </si>
  <si>
    <t>Jere</t>
  </si>
  <si>
    <t>Maurenee</t>
  </si>
  <si>
    <t>Larry</t>
  </si>
  <si>
    <t>Edward</t>
  </si>
  <si>
    <t>Cassandra</t>
  </si>
  <si>
    <t>Beatriz</t>
  </si>
  <si>
    <t>Cesar</t>
  </si>
  <si>
    <t>Marian Valdez</t>
  </si>
  <si>
    <t>Agnes</t>
  </si>
  <si>
    <t>Margaret</t>
  </si>
  <si>
    <t>Selwyn</t>
  </si>
  <si>
    <t>Ted</t>
  </si>
  <si>
    <t>Jane</t>
  </si>
  <si>
    <t>Kenneth</t>
  </si>
  <si>
    <t>Mujahid</t>
  </si>
  <si>
    <t>Pierre</t>
  </si>
  <si>
    <t>Stann</t>
  </si>
  <si>
    <t>Armanda</t>
  </si>
  <si>
    <t>Kenneshea</t>
  </si>
  <si>
    <t>Marva</t>
  </si>
  <si>
    <t>Rosalia</t>
  </si>
  <si>
    <t>Amy</t>
  </si>
  <si>
    <t>Gary</t>
  </si>
  <si>
    <t>Dane</t>
  </si>
  <si>
    <t>Marilyn</t>
  </si>
  <si>
    <t>Daisy</t>
  </si>
  <si>
    <t>Monirul</t>
  </si>
  <si>
    <t>Kelvin</t>
  </si>
  <si>
    <t>Vere</t>
  </si>
  <si>
    <t>Latif</t>
  </si>
  <si>
    <t>Edna</t>
  </si>
  <si>
    <t>Susie</t>
  </si>
  <si>
    <t>Trent</t>
  </si>
  <si>
    <t>Lucy</t>
  </si>
  <si>
    <t>Magino</t>
  </si>
  <si>
    <t>Sherry</t>
  </si>
  <si>
    <t>Naomi</t>
  </si>
  <si>
    <t>Sharon</t>
  </si>
  <si>
    <t>Vicente</t>
  </si>
  <si>
    <t>Florence</t>
  </si>
  <si>
    <t>Yukie</t>
  </si>
  <si>
    <t>Nidia</t>
  </si>
  <si>
    <t>Donald</t>
  </si>
  <si>
    <t>Jodi</t>
  </si>
  <si>
    <t>Arthur</t>
  </si>
  <si>
    <t>Patrice</t>
  </si>
  <si>
    <t>Yuverky</t>
  </si>
  <si>
    <t>Dolores</t>
  </si>
  <si>
    <t>Aysha</t>
  </si>
  <si>
    <t>Soto</t>
  </si>
  <si>
    <t>Charisse</t>
  </si>
  <si>
    <t>Tonia</t>
  </si>
  <si>
    <t>Marisol</t>
  </si>
  <si>
    <t>Jermaine</t>
  </si>
  <si>
    <t>Shani</t>
  </si>
  <si>
    <t>Maude</t>
  </si>
  <si>
    <t>Gloria</t>
  </si>
  <si>
    <t>Brenda</t>
  </si>
  <si>
    <t>Theresa</t>
  </si>
  <si>
    <t>Nermine</t>
  </si>
  <si>
    <t>Francesca</t>
  </si>
  <si>
    <t>Zenaida</t>
  </si>
  <si>
    <t>Wanda</t>
  </si>
  <si>
    <t>Altagracia</t>
  </si>
  <si>
    <t>Frank</t>
  </si>
  <si>
    <t>Rachael</t>
  </si>
  <si>
    <t>Melissa</t>
  </si>
  <si>
    <t>Sandra</t>
  </si>
  <si>
    <t>Roma</t>
  </si>
  <si>
    <t>Takisha</t>
  </si>
  <si>
    <t>Eulogia</t>
  </si>
  <si>
    <t>Clarice</t>
  </si>
  <si>
    <t>Jenneha</t>
  </si>
  <si>
    <t>Quantika</t>
  </si>
  <si>
    <t>Alejandra</t>
  </si>
  <si>
    <t>Carla</t>
  </si>
  <si>
    <t>Moduju</t>
  </si>
  <si>
    <t>Rhonda</t>
  </si>
  <si>
    <t>Ziola</t>
  </si>
  <si>
    <t>Dylan</t>
  </si>
  <si>
    <t>Nedia</t>
  </si>
  <si>
    <t>Nancy</t>
  </si>
  <si>
    <t>Johnathan</t>
  </si>
  <si>
    <t>Jack</t>
  </si>
  <si>
    <t>Vera</t>
  </si>
  <si>
    <t>Selvyn</t>
  </si>
  <si>
    <t>Rosita</t>
  </si>
  <si>
    <t>Ernesto</t>
  </si>
  <si>
    <t>Dazil</t>
  </si>
  <si>
    <t>Kevin</t>
  </si>
  <si>
    <t>Tiffany</t>
  </si>
  <si>
    <t>Aracelis</t>
  </si>
  <si>
    <t>Antoinette</t>
  </si>
  <si>
    <t>Gretelle</t>
  </si>
  <si>
    <t>Jorge</t>
  </si>
  <si>
    <t>Kyianna</t>
  </si>
  <si>
    <t>Juanne</t>
  </si>
  <si>
    <t>Janean</t>
  </si>
  <si>
    <t>Cathy</t>
  </si>
  <si>
    <t>Sabrina</t>
  </si>
  <si>
    <t>Tamika</t>
  </si>
  <si>
    <t>Phon</t>
  </si>
  <si>
    <t>Ariel</t>
  </si>
  <si>
    <t>Edith</t>
  </si>
  <si>
    <t>Gautam</t>
  </si>
  <si>
    <t>Sana</t>
  </si>
  <si>
    <t>Otasowie</t>
  </si>
  <si>
    <t>Joan</t>
  </si>
  <si>
    <t>Herlin</t>
  </si>
  <si>
    <t>Timothy</t>
  </si>
  <si>
    <t>Shelly Ann</t>
  </si>
  <si>
    <t>Marsha</t>
  </si>
  <si>
    <t>Norberto</t>
  </si>
  <si>
    <t>Trilbie</t>
  </si>
  <si>
    <t>Caridad</t>
  </si>
  <si>
    <t>Osei</t>
  </si>
  <si>
    <t>Vicenta</t>
  </si>
  <si>
    <t>Kameeka</t>
  </si>
  <si>
    <t>Desra</t>
  </si>
  <si>
    <t>Josefina</t>
  </si>
  <si>
    <t>Milagro</t>
  </si>
  <si>
    <t>Alberto</t>
  </si>
  <si>
    <t>Delia</t>
  </si>
  <si>
    <t>Ruby</t>
  </si>
  <si>
    <t>Ramesh</t>
  </si>
  <si>
    <t>Natalie</t>
  </si>
  <si>
    <t>Justin</t>
  </si>
  <si>
    <t>Ronald</t>
  </si>
  <si>
    <t>Bukola</t>
  </si>
  <si>
    <t>Mayi</t>
  </si>
  <si>
    <t>Mehira</t>
  </si>
  <si>
    <t>Kieran</t>
  </si>
  <si>
    <t>Ben</t>
  </si>
  <si>
    <t>Calvin</t>
  </si>
  <si>
    <t>Janith</t>
  </si>
  <si>
    <t>Dian</t>
  </si>
  <si>
    <t>Katy</t>
  </si>
  <si>
    <t>Rodney</t>
  </si>
  <si>
    <t>Hannah</t>
  </si>
  <si>
    <t>Monica</t>
  </si>
  <si>
    <t>Alyssa</t>
  </si>
  <si>
    <t>Yolanda</t>
  </si>
  <si>
    <t>Judith</t>
  </si>
  <si>
    <t>Selena</t>
  </si>
  <si>
    <t>Suheylee</t>
  </si>
  <si>
    <t>Teresita</t>
  </si>
  <si>
    <t>Dale</t>
  </si>
  <si>
    <t>Aquanetta</t>
  </si>
  <si>
    <t>Wilmer</t>
  </si>
  <si>
    <t>Deidre</t>
  </si>
  <si>
    <t>Rob</t>
  </si>
  <si>
    <t>George</t>
  </si>
  <si>
    <t>Gabriella</t>
  </si>
  <si>
    <t>Sing Hang</t>
  </si>
  <si>
    <t>Marc</t>
  </si>
  <si>
    <t>Kayla</t>
  </si>
  <si>
    <t>Ryan</t>
  </si>
  <si>
    <t>William</t>
  </si>
  <si>
    <t>Barton</t>
  </si>
  <si>
    <t>Eric</t>
  </si>
  <si>
    <t>Maryline</t>
  </si>
  <si>
    <t>Nedra</t>
  </si>
  <si>
    <t>Emily</t>
  </si>
  <si>
    <t>Jorinda</t>
  </si>
  <si>
    <t>Halima</t>
  </si>
  <si>
    <t>Araceli</t>
  </si>
  <si>
    <t>Dara</t>
  </si>
  <si>
    <t>Livia</t>
  </si>
  <si>
    <t>Robinson</t>
  </si>
  <si>
    <t>Rodgers</t>
  </si>
  <si>
    <t>Adams</t>
  </si>
  <si>
    <t>Tejada</t>
  </si>
  <si>
    <t>Williams</t>
  </si>
  <si>
    <t>Felton</t>
  </si>
  <si>
    <t>Suarez</t>
  </si>
  <si>
    <t>Resmin</t>
  </si>
  <si>
    <t>Hernandez</t>
  </si>
  <si>
    <t>Jackson</t>
  </si>
  <si>
    <t>Narcisse</t>
  </si>
  <si>
    <t>Black</t>
  </si>
  <si>
    <t>Buckley</t>
  </si>
  <si>
    <t>Griffith</t>
  </si>
  <si>
    <t>Somorin</t>
  </si>
  <si>
    <t>Coletta</t>
  </si>
  <si>
    <t>Santos</t>
  </si>
  <si>
    <t>Carbonell</t>
  </si>
  <si>
    <t>Manning</t>
  </si>
  <si>
    <t>Brown</t>
  </si>
  <si>
    <t>Butler</t>
  </si>
  <si>
    <t>Adesanya</t>
  </si>
  <si>
    <t>Reese</t>
  </si>
  <si>
    <t>Torres</t>
  </si>
  <si>
    <t>Mitchell</t>
  </si>
  <si>
    <t>Skeete</t>
  </si>
  <si>
    <t>Sykes</t>
  </si>
  <si>
    <t>Calderon</t>
  </si>
  <si>
    <t>Gorham</t>
  </si>
  <si>
    <t>Faison</t>
  </si>
  <si>
    <t>Fogarty</t>
  </si>
  <si>
    <t>Vogel</t>
  </si>
  <si>
    <t>Creighton</t>
  </si>
  <si>
    <t>Matthews</t>
  </si>
  <si>
    <t>Walkes</t>
  </si>
  <si>
    <t>Roman</t>
  </si>
  <si>
    <t>Khatib</t>
  </si>
  <si>
    <t>Boyko</t>
  </si>
  <si>
    <t>Sepuya</t>
  </si>
  <si>
    <t>Solis</t>
  </si>
  <si>
    <t>Thompson</t>
  </si>
  <si>
    <t>Morabito</t>
  </si>
  <si>
    <t>Abuzahrieh</t>
  </si>
  <si>
    <t>Ali</t>
  </si>
  <si>
    <t>Avelino</t>
  </si>
  <si>
    <t>Herrera</t>
  </si>
  <si>
    <t>Nolan</t>
  </si>
  <si>
    <t>Gaston-Alaoui</t>
  </si>
  <si>
    <t>Laboy</t>
  </si>
  <si>
    <t>Morales</t>
  </si>
  <si>
    <t>Solano</t>
  </si>
  <si>
    <t>Wynns</t>
  </si>
  <si>
    <t>Ithier</t>
  </si>
  <si>
    <t>Reyes Fernandez</t>
  </si>
  <si>
    <t>Peng</t>
  </si>
  <si>
    <t>Pacht</t>
  </si>
  <si>
    <t>Chaphe</t>
  </si>
  <si>
    <t>Lucas</t>
  </si>
  <si>
    <t>Elmore</t>
  </si>
  <si>
    <t>Grimes</t>
  </si>
  <si>
    <t>Arias</t>
  </si>
  <si>
    <t>Aquino</t>
  </si>
  <si>
    <t>Santiago</t>
  </si>
  <si>
    <t>Patterson</t>
  </si>
  <si>
    <t>Banovich</t>
  </si>
  <si>
    <t>White</t>
  </si>
  <si>
    <t>Del Pilar Cabrera</t>
  </si>
  <si>
    <t>Joubert</t>
  </si>
  <si>
    <t>De Rojas</t>
  </si>
  <si>
    <t>Nicolas</t>
  </si>
  <si>
    <t>Handy</t>
  </si>
  <si>
    <t>Hong</t>
  </si>
  <si>
    <t>Obie</t>
  </si>
  <si>
    <t>Ortiz</t>
  </si>
  <si>
    <t>Santana</t>
  </si>
  <si>
    <t>Phillips</t>
  </si>
  <si>
    <t>Palermo</t>
  </si>
  <si>
    <t>Tucker</t>
  </si>
  <si>
    <t>Davila</t>
  </si>
  <si>
    <t>Kinsey</t>
  </si>
  <si>
    <t>Rodriguez</t>
  </si>
  <si>
    <t>Denis</t>
  </si>
  <si>
    <t>Watkins</t>
  </si>
  <si>
    <t>Cameron</t>
  </si>
  <si>
    <t>Akter</t>
  </si>
  <si>
    <t>Almeida</t>
  </si>
  <si>
    <t>Valentine</t>
  </si>
  <si>
    <t>Mullings</t>
  </si>
  <si>
    <t>Sumler</t>
  </si>
  <si>
    <t>Klewicki</t>
  </si>
  <si>
    <t>Johnson</t>
  </si>
  <si>
    <t>Romano</t>
  </si>
  <si>
    <t>Browne</t>
  </si>
  <si>
    <t>Cabrera</t>
  </si>
  <si>
    <t>Segal</t>
  </si>
  <si>
    <t>Smith</t>
  </si>
  <si>
    <t>Brooks</t>
  </si>
  <si>
    <t>Barlon</t>
  </si>
  <si>
    <t>Bell</t>
  </si>
  <si>
    <t>Frazier</t>
  </si>
  <si>
    <t>Meracdo</t>
  </si>
  <si>
    <t>Engesser</t>
  </si>
  <si>
    <t>Shaw</t>
  </si>
  <si>
    <t>Briggs</t>
  </si>
  <si>
    <t>Piper</t>
  </si>
  <si>
    <t>Aristomene</t>
  </si>
  <si>
    <t>Toste</t>
  </si>
  <si>
    <t>Bean</t>
  </si>
  <si>
    <t>Gallagher</t>
  </si>
  <si>
    <t>Tarantola</t>
  </si>
  <si>
    <t>Cochran</t>
  </si>
  <si>
    <t>Elharras</t>
  </si>
  <si>
    <t>Tavarez</t>
  </si>
  <si>
    <t>Burgess</t>
  </si>
  <si>
    <t>Cuatle</t>
  </si>
  <si>
    <t>McDowell-Butts</t>
  </si>
  <si>
    <t>Galvez</t>
  </si>
  <si>
    <t>Mayo</t>
  </si>
  <si>
    <t>Veras</t>
  </si>
  <si>
    <t>Batista</t>
  </si>
  <si>
    <t>Cruz</t>
  </si>
  <si>
    <t>Rivera</t>
  </si>
  <si>
    <t>Guzman</t>
  </si>
  <si>
    <t>Fenton</t>
  </si>
  <si>
    <t>Bernal</t>
  </si>
  <si>
    <t>Paca</t>
  </si>
  <si>
    <t>Dargan</t>
  </si>
  <si>
    <t>Garcia</t>
  </si>
  <si>
    <t>Segura</t>
  </si>
  <si>
    <t>Pineda</t>
  </si>
  <si>
    <t>Channa</t>
  </si>
  <si>
    <t>Gay Campbell</t>
  </si>
  <si>
    <t>Francis</t>
  </si>
  <si>
    <t>Lawrence</t>
  </si>
  <si>
    <t>Delaine</t>
  </si>
  <si>
    <t>Reyes</t>
  </si>
  <si>
    <t>Dowdell</t>
  </si>
  <si>
    <t>Checo</t>
  </si>
  <si>
    <t>Silverio</t>
  </si>
  <si>
    <t>Baltazer</t>
  </si>
  <si>
    <t>Newkirk</t>
  </si>
  <si>
    <t>Saint Louis</t>
  </si>
  <si>
    <t>Diaz</t>
  </si>
  <si>
    <t>Martinez</t>
  </si>
  <si>
    <t>Waiters</t>
  </si>
  <si>
    <t>Banks</t>
  </si>
  <si>
    <t>Calise</t>
  </si>
  <si>
    <t>Zollo</t>
  </si>
  <si>
    <t>Dejesus</t>
  </si>
  <si>
    <t>Bossa -Venecia</t>
  </si>
  <si>
    <t>Brathwaite</t>
  </si>
  <si>
    <t>Daley</t>
  </si>
  <si>
    <t>Moronta</t>
  </si>
  <si>
    <t>Falconi</t>
  </si>
  <si>
    <t>Rojas</t>
  </si>
  <si>
    <t>Jones</t>
  </si>
  <si>
    <t>Franco-Delawrence</t>
  </si>
  <si>
    <t>Suru</t>
  </si>
  <si>
    <t>Hayslett</t>
  </si>
  <si>
    <t>Taylor</t>
  </si>
  <si>
    <t>Vanwagoner</t>
  </si>
  <si>
    <t>Villanueva</t>
  </si>
  <si>
    <t>Best</t>
  </si>
  <si>
    <t>Falu</t>
  </si>
  <si>
    <t>Sullivan</t>
  </si>
  <si>
    <t>Gonzalez</t>
  </si>
  <si>
    <t>Gil Abreu</t>
  </si>
  <si>
    <t>Despinosse</t>
  </si>
  <si>
    <t>Curley</t>
  </si>
  <si>
    <t>Ruiz</t>
  </si>
  <si>
    <t>Cepeda</t>
  </si>
  <si>
    <t>Barrett</t>
  </si>
  <si>
    <t>Durandisse</t>
  </si>
  <si>
    <t>Willson</t>
  </si>
  <si>
    <t>Porro</t>
  </si>
  <si>
    <t>Aleman</t>
  </si>
  <si>
    <t>Sepulveda</t>
  </si>
  <si>
    <t>Lumchan</t>
  </si>
  <si>
    <t>Duesbury</t>
  </si>
  <si>
    <t>Jimenez</t>
  </si>
  <si>
    <t>Medina</t>
  </si>
  <si>
    <t>Zarzuela</t>
  </si>
  <si>
    <t>Rotger</t>
  </si>
  <si>
    <t>Kruglova</t>
  </si>
  <si>
    <t>Bailey</t>
  </si>
  <si>
    <t>Cervantes</t>
  </si>
  <si>
    <t>Lopes Malave</t>
  </si>
  <si>
    <t>Woody</t>
  </si>
  <si>
    <t>Statuto</t>
  </si>
  <si>
    <t>Matos</t>
  </si>
  <si>
    <t>Durham</t>
  </si>
  <si>
    <t>Harris</t>
  </si>
  <si>
    <t>Castro</t>
  </si>
  <si>
    <t>Rosado</t>
  </si>
  <si>
    <t>Rushmore</t>
  </si>
  <si>
    <t>Quispe</t>
  </si>
  <si>
    <t>Wesley</t>
  </si>
  <si>
    <t>Reid</t>
  </si>
  <si>
    <t>Ofulue</t>
  </si>
  <si>
    <t>Fernandez</t>
  </si>
  <si>
    <t>McClendon</t>
  </si>
  <si>
    <t>Novak</t>
  </si>
  <si>
    <t>Washington</t>
  </si>
  <si>
    <t>Clemencia</t>
  </si>
  <si>
    <t>Jeffrey</t>
  </si>
  <si>
    <t>Ajumobi-Obe</t>
  </si>
  <si>
    <t>Aristyl</t>
  </si>
  <si>
    <t>Wong</t>
  </si>
  <si>
    <t>Paulino</t>
  </si>
  <si>
    <t>Montano</t>
  </si>
  <si>
    <t>Taveras</t>
  </si>
  <si>
    <t>Yancey</t>
  </si>
  <si>
    <t>Stackhouse</t>
  </si>
  <si>
    <t>Chavez</t>
  </si>
  <si>
    <t>Reynoso</t>
  </si>
  <si>
    <t>Esponosa</t>
  </si>
  <si>
    <t>Vecchione</t>
  </si>
  <si>
    <t>Stewart</t>
  </si>
  <si>
    <t>Ortega</t>
  </si>
  <si>
    <t>Doolen</t>
  </si>
  <si>
    <t>Jacobsen</t>
  </si>
  <si>
    <t>Espinal</t>
  </si>
  <si>
    <t>Murphy</t>
  </si>
  <si>
    <t>Acevedo</t>
  </si>
  <si>
    <t>DelCarmen</t>
  </si>
  <si>
    <t>Osorio</t>
  </si>
  <si>
    <t>Joa</t>
  </si>
  <si>
    <t>Britton</t>
  </si>
  <si>
    <t>Martin</t>
  </si>
  <si>
    <t>Hicks</t>
  </si>
  <si>
    <t>Lewis</t>
  </si>
  <si>
    <t>Brea</t>
  </si>
  <si>
    <t>Ospina</t>
  </si>
  <si>
    <t>Valentin</t>
  </si>
  <si>
    <t>Hill</t>
  </si>
  <si>
    <t>Dhanraj Smith</t>
  </si>
  <si>
    <t>Lane</t>
  </si>
  <si>
    <t>Perez</t>
  </si>
  <si>
    <t>Ponce</t>
  </si>
  <si>
    <t>Davis</t>
  </si>
  <si>
    <t>Vallejo</t>
  </si>
  <si>
    <t>Bestman</t>
  </si>
  <si>
    <t>Bracy</t>
  </si>
  <si>
    <t>Baker</t>
  </si>
  <si>
    <t>Lemelin</t>
  </si>
  <si>
    <t>Werts</t>
  </si>
  <si>
    <t>Bozek</t>
  </si>
  <si>
    <t>Stuckey</t>
  </si>
  <si>
    <t>Bautista</t>
  </si>
  <si>
    <t>Javier</t>
  </si>
  <si>
    <t>Chen</t>
  </si>
  <si>
    <t>Romain</t>
  </si>
  <si>
    <t>Adlam</t>
  </si>
  <si>
    <t>Alvarez</t>
  </si>
  <si>
    <t>Fermin</t>
  </si>
  <si>
    <t>Lindsey</t>
  </si>
  <si>
    <t>Marizan</t>
  </si>
  <si>
    <t>Gual</t>
  </si>
  <si>
    <t>Grayson</t>
  </si>
  <si>
    <t>Dennis</t>
  </si>
  <si>
    <t>Saravia</t>
  </si>
  <si>
    <t>Jose Rosado</t>
  </si>
  <si>
    <t>Foster</t>
  </si>
  <si>
    <t>Zou</t>
  </si>
  <si>
    <t>de Souza-King</t>
  </si>
  <si>
    <t>Gittens</t>
  </si>
  <si>
    <t>Baldayac</t>
  </si>
  <si>
    <t>Snipes</t>
  </si>
  <si>
    <t>Choe</t>
  </si>
  <si>
    <t>Trujillo</t>
  </si>
  <si>
    <t>Stubbs</t>
  </si>
  <si>
    <t>Waithe</t>
  </si>
  <si>
    <t>Sandoval</t>
  </si>
  <si>
    <t>Abdu-Shahid</t>
  </si>
  <si>
    <t>Augustus</t>
  </si>
  <si>
    <t>Bethea</t>
  </si>
  <si>
    <t>Price</t>
  </si>
  <si>
    <t>Uriel</t>
  </si>
  <si>
    <t>Solis Verdesoto</t>
  </si>
  <si>
    <t>Marrero</t>
  </si>
  <si>
    <t>Polanco</t>
  </si>
  <si>
    <t>Orta</t>
  </si>
  <si>
    <t>Huitzil Paleta</t>
  </si>
  <si>
    <t>Pena</t>
  </si>
  <si>
    <t>Sultana</t>
  </si>
  <si>
    <t>Knight</t>
  </si>
  <si>
    <t>Carter</t>
  </si>
  <si>
    <t>Varela</t>
  </si>
  <si>
    <t>Deoleo</t>
  </si>
  <si>
    <t>McCarthy</t>
  </si>
  <si>
    <t>Cheeks</t>
  </si>
  <si>
    <t>Weekes</t>
  </si>
  <si>
    <t>Colon</t>
  </si>
  <si>
    <t>Moreno</t>
  </si>
  <si>
    <t>Abreu</t>
  </si>
  <si>
    <t>Pimentel</t>
  </si>
  <si>
    <t>King</t>
  </si>
  <si>
    <t>Wells</t>
  </si>
  <si>
    <t>Pacheco</t>
  </si>
  <si>
    <t>Velez</t>
  </si>
  <si>
    <t>Tweel</t>
  </si>
  <si>
    <t>Pestano</t>
  </si>
  <si>
    <t>Benitez</t>
  </si>
  <si>
    <t>Campbell</t>
  </si>
  <si>
    <t>Salcedo</t>
  </si>
  <si>
    <t>Cheuque</t>
  </si>
  <si>
    <t>Portella</t>
  </si>
  <si>
    <t>Weinstein</t>
  </si>
  <si>
    <t>Fletcher</t>
  </si>
  <si>
    <t>Nunez</t>
  </si>
  <si>
    <t>Vazquez</t>
  </si>
  <si>
    <t>Swartzon</t>
  </si>
  <si>
    <t>Bedoya</t>
  </si>
  <si>
    <t>Coleman</t>
  </si>
  <si>
    <t>Rahman</t>
  </si>
  <si>
    <t>Eshkenazi</t>
  </si>
  <si>
    <t>Hargett</t>
  </si>
  <si>
    <t>Salas</t>
  </si>
  <si>
    <t>Ahamed</t>
  </si>
  <si>
    <t>Rolling</t>
  </si>
  <si>
    <t>Furs</t>
  </si>
  <si>
    <t>Riley</t>
  </si>
  <si>
    <t>Soriano</t>
  </si>
  <si>
    <t>Boylan</t>
  </si>
  <si>
    <t>Henry</t>
  </si>
  <si>
    <t>Poteat</t>
  </si>
  <si>
    <t>Soskind</t>
  </si>
  <si>
    <t>Medrano</t>
  </si>
  <si>
    <t>Guerrero</t>
  </si>
  <si>
    <t>Bookman</t>
  </si>
  <si>
    <t>Vaca</t>
  </si>
  <si>
    <t>Morningstar</t>
  </si>
  <si>
    <t>Emanuel</t>
  </si>
  <si>
    <t>Wilson</t>
  </si>
  <si>
    <t>Fabian</t>
  </si>
  <si>
    <t>Colinet</t>
  </si>
  <si>
    <t>Rock</t>
  </si>
  <si>
    <t>Owolabi</t>
  </si>
  <si>
    <t>Scott-Biris</t>
  </si>
  <si>
    <t>Coronel</t>
  </si>
  <si>
    <t>Hazell</t>
  </si>
  <si>
    <t>Silva Sideris</t>
  </si>
  <si>
    <t>Lynch</t>
  </si>
  <si>
    <t>Farrell</t>
  </si>
  <si>
    <t>Henriquez</t>
  </si>
  <si>
    <t>Elvy</t>
  </si>
  <si>
    <t>Piedrahita</t>
  </si>
  <si>
    <t>Sanchez</t>
  </si>
  <si>
    <t>Khan</t>
  </si>
  <si>
    <t>Weiner</t>
  </si>
  <si>
    <t>Swaray</t>
  </si>
  <si>
    <t>Robletto</t>
  </si>
  <si>
    <t>Carrington</t>
  </si>
  <si>
    <t>Parker</t>
  </si>
  <si>
    <t>Cadet</t>
  </si>
  <si>
    <t>Spielmann</t>
  </si>
  <si>
    <t>Ward</t>
  </si>
  <si>
    <t>England</t>
  </si>
  <si>
    <t>Fiallos</t>
  </si>
  <si>
    <t>Chowdhury</t>
  </si>
  <si>
    <t>Thompson-Dean Bailey</t>
  </si>
  <si>
    <t>Cordero</t>
  </si>
  <si>
    <t>Portuondo</t>
  </si>
  <si>
    <t>Pagan</t>
  </si>
  <si>
    <t>Valverde</t>
  </si>
  <si>
    <t>Pickens</t>
  </si>
  <si>
    <t>Sankar</t>
  </si>
  <si>
    <t>Hierro</t>
  </si>
  <si>
    <t>Bragg</t>
  </si>
  <si>
    <t>D'Orazio</t>
  </si>
  <si>
    <t>Randolph</t>
  </si>
  <si>
    <t>Hooks</t>
  </si>
  <si>
    <t>Hailstalk</t>
  </si>
  <si>
    <t>Grate</t>
  </si>
  <si>
    <t>Dor</t>
  </si>
  <si>
    <t>Nazario</t>
  </si>
  <si>
    <t>De la Rosa</t>
  </si>
  <si>
    <t>Fitzgerald</t>
  </si>
  <si>
    <t>Korostyshevskiy</t>
  </si>
  <si>
    <t>Clare</t>
  </si>
  <si>
    <t>Hayes</t>
  </si>
  <si>
    <t>Holland Upsher</t>
  </si>
  <si>
    <t>Cousins</t>
  </si>
  <si>
    <t>Singley</t>
  </si>
  <si>
    <t>Heslin</t>
  </si>
  <si>
    <t>Coello</t>
  </si>
  <si>
    <t>Navarro</t>
  </si>
  <si>
    <t>Cousin</t>
  </si>
  <si>
    <t>Luna</t>
  </si>
  <si>
    <t>Marte</t>
  </si>
  <si>
    <t>Flores</t>
  </si>
  <si>
    <t>Fallah</t>
  </si>
  <si>
    <t>Gillen</t>
  </si>
  <si>
    <t>Stephen</t>
  </si>
  <si>
    <t>Sidorovich</t>
  </si>
  <si>
    <t>Palmer</t>
  </si>
  <si>
    <t>Wright</t>
  </si>
  <si>
    <t>Munoz</t>
  </si>
  <si>
    <t>St. Louis</t>
  </si>
  <si>
    <t>Brewer</t>
  </si>
  <si>
    <t>Allums</t>
  </si>
  <si>
    <t>Cumberbatch</t>
  </si>
  <si>
    <t>Maura</t>
  </si>
  <si>
    <t>Hogan</t>
  </si>
  <si>
    <t>Rosas-Mejia</t>
  </si>
  <si>
    <t>Poirier</t>
  </si>
  <si>
    <t>Ganz</t>
  </si>
  <si>
    <t>Quinones</t>
  </si>
  <si>
    <t>Lara</t>
  </si>
  <si>
    <t>Collins</t>
  </si>
  <si>
    <t>Islam</t>
  </si>
  <si>
    <t>Lotmore</t>
  </si>
  <si>
    <t>Summers</t>
  </si>
  <si>
    <t>Lopez</t>
  </si>
  <si>
    <t>Rodriguez Rodado</t>
  </si>
  <si>
    <t>Acosta-De la Cruz</t>
  </si>
  <si>
    <t>Lowery</t>
  </si>
  <si>
    <t>Morain</t>
  </si>
  <si>
    <t>Ogutu</t>
  </si>
  <si>
    <t>Ellis</t>
  </si>
  <si>
    <t>Eady</t>
  </si>
  <si>
    <t>Edwards</t>
  </si>
  <si>
    <t>Ramirez</t>
  </si>
  <si>
    <t>Gibson</t>
  </si>
  <si>
    <t>Conway</t>
  </si>
  <si>
    <t>Jordan</t>
  </si>
  <si>
    <t>Zarate</t>
  </si>
  <si>
    <t>Khanam</t>
  </si>
  <si>
    <t>Middleton</t>
  </si>
  <si>
    <t>Hucey</t>
  </si>
  <si>
    <t>Adames</t>
  </si>
  <si>
    <t>Donaldson</t>
  </si>
  <si>
    <t>Hinton</t>
  </si>
  <si>
    <t>Blanc</t>
  </si>
  <si>
    <t>Speller</t>
  </si>
  <si>
    <t>Sanders</t>
  </si>
  <si>
    <t>Edwards-Joseph</t>
  </si>
  <si>
    <t>Tapia</t>
  </si>
  <si>
    <t>Hussein</t>
  </si>
  <si>
    <t>Bolanos</t>
  </si>
  <si>
    <t>Mojica</t>
  </si>
  <si>
    <t>Smartt</t>
  </si>
  <si>
    <t>Nuredin</t>
  </si>
  <si>
    <t>Wojtylak</t>
  </si>
  <si>
    <t>Joakim</t>
  </si>
  <si>
    <t>Almonor</t>
  </si>
  <si>
    <t>Irizarry</t>
  </si>
  <si>
    <t>Laroche</t>
  </si>
  <si>
    <t>Sexton</t>
  </si>
  <si>
    <t>Adjeyi</t>
  </si>
  <si>
    <t>Aponte</t>
  </si>
  <si>
    <t>Cooper</t>
  </si>
  <si>
    <t>Faulkner</t>
  </si>
  <si>
    <t>Aguilar</t>
  </si>
  <si>
    <t>Adigun</t>
  </si>
  <si>
    <t>Sylvster</t>
  </si>
  <si>
    <t>Manosalvas</t>
  </si>
  <si>
    <t>Manoslavas</t>
  </si>
  <si>
    <t>Ciancimino</t>
  </si>
  <si>
    <t>Burnett</t>
  </si>
  <si>
    <t>Castaneda</t>
  </si>
  <si>
    <t>Allen</t>
  </si>
  <si>
    <t>Trigueno</t>
  </si>
  <si>
    <t>Tlatelpa</t>
  </si>
  <si>
    <t>Glenn</t>
  </si>
  <si>
    <t>Prescott</t>
  </si>
  <si>
    <t>Turner</t>
  </si>
  <si>
    <t>De Aza</t>
  </si>
  <si>
    <t>Buchanan</t>
  </si>
  <si>
    <t>Tejeda</t>
  </si>
  <si>
    <t>Murray</t>
  </si>
  <si>
    <t>Stephens</t>
  </si>
  <si>
    <t>Hamilton</t>
  </si>
  <si>
    <t>Tuitt</t>
  </si>
  <si>
    <t>Herrera Avalos</t>
  </si>
  <si>
    <t>Laird</t>
  </si>
  <si>
    <t>Quach</t>
  </si>
  <si>
    <t>Munzer</t>
  </si>
  <si>
    <t>Polito</t>
  </si>
  <si>
    <t>Chase</t>
  </si>
  <si>
    <t>Fortuna</t>
  </si>
  <si>
    <t>Choudhury</t>
  </si>
  <si>
    <t>Jaffery</t>
  </si>
  <si>
    <t>Olatidoye</t>
  </si>
  <si>
    <t>Walsh</t>
  </si>
  <si>
    <t>Bowen Nichols</t>
  </si>
  <si>
    <t>Romero</t>
  </si>
  <si>
    <t>Moss</t>
  </si>
  <si>
    <t>Alexis</t>
  </si>
  <si>
    <t>Andujar</t>
  </si>
  <si>
    <t>Linder</t>
  </si>
  <si>
    <t>Maldonado</t>
  </si>
  <si>
    <t>Boasiako</t>
  </si>
  <si>
    <t>VArgas</t>
  </si>
  <si>
    <t>Pope</t>
  </si>
  <si>
    <t>Mendiola</t>
  </si>
  <si>
    <t>Bogdanova</t>
  </si>
  <si>
    <t>Mercado</t>
  </si>
  <si>
    <t>Payero</t>
  </si>
  <si>
    <t>Muhammad</t>
  </si>
  <si>
    <t>Shrestha</t>
  </si>
  <si>
    <t>Hargrove</t>
  </si>
  <si>
    <t>Cortorreal</t>
  </si>
  <si>
    <t>Spring</t>
  </si>
  <si>
    <t>Makinde</t>
  </si>
  <si>
    <t>Lebron</t>
  </si>
  <si>
    <t>Genoves</t>
  </si>
  <si>
    <t>Newton</t>
  </si>
  <si>
    <t>Willmorth</t>
  </si>
  <si>
    <t>Robateau</t>
  </si>
  <si>
    <t>Serby</t>
  </si>
  <si>
    <t>Samios</t>
  </si>
  <si>
    <t>Holder</t>
  </si>
  <si>
    <t>Capell</t>
  </si>
  <si>
    <t>Newell</t>
  </si>
  <si>
    <t>Sweets</t>
  </si>
  <si>
    <t>Prado</t>
  </si>
  <si>
    <t>Carlucci</t>
  </si>
  <si>
    <t>Turner-Matos</t>
  </si>
  <si>
    <t>Randall</t>
  </si>
  <si>
    <t>Tavalin</t>
  </si>
  <si>
    <t>Maillard</t>
  </si>
  <si>
    <t>Paraez</t>
  </si>
  <si>
    <t>Saun</t>
  </si>
  <si>
    <t>Fragoso</t>
  </si>
  <si>
    <t>Leibowitz</t>
  </si>
  <si>
    <t>Levandov</t>
  </si>
  <si>
    <t>Doesserie-Mitchell</t>
  </si>
  <si>
    <t>Yepez</t>
  </si>
  <si>
    <t>Haft</t>
  </si>
  <si>
    <t>Hartley</t>
  </si>
  <si>
    <t>Roche</t>
  </si>
  <si>
    <t>Hinds</t>
  </si>
  <si>
    <t>Cardenas</t>
  </si>
  <si>
    <t>McGhee</t>
  </si>
  <si>
    <t>Sotiroff</t>
  </si>
  <si>
    <t>McLennan</t>
  </si>
  <si>
    <t>Mancuso</t>
  </si>
  <si>
    <t>Gutierrez</t>
  </si>
  <si>
    <t>Chan</t>
  </si>
  <si>
    <t>Moorer</t>
  </si>
  <si>
    <t>Shifrin</t>
  </si>
  <si>
    <t>Sneddon</t>
  </si>
  <si>
    <t>Licthmore</t>
  </si>
  <si>
    <t>Shea</t>
  </si>
  <si>
    <t>Shoup</t>
  </si>
  <si>
    <t>Silverstein</t>
  </si>
  <si>
    <t>Fuller</t>
  </si>
  <si>
    <t>Companzano</t>
  </si>
  <si>
    <t>Soukamneuth</t>
  </si>
  <si>
    <t>Veneziano</t>
  </si>
  <si>
    <t>6919 Hillmeyer Ave</t>
  </si>
  <si>
    <t>1415 Mott Ave</t>
  </si>
  <si>
    <t>1130 Grassmere Ter</t>
  </si>
  <si>
    <t>125 Beach 17th St</t>
  </si>
  <si>
    <t>10306 Remington St</t>
  </si>
  <si>
    <t>10704 Liverpool St</t>
  </si>
  <si>
    <t>107-04 Liverpool Street</t>
  </si>
  <si>
    <t>17515 144th Dr</t>
  </si>
  <si>
    <t>14920 124th St</t>
  </si>
  <si>
    <t>7608 Glenmore Ave</t>
  </si>
  <si>
    <t>10005 37th Ave</t>
  </si>
  <si>
    <t>9830 57th Ave</t>
  </si>
  <si>
    <t>571 Sterling Pl</t>
  </si>
  <si>
    <t>435 Grand Ave</t>
  </si>
  <si>
    <t>249 Thomas S Boyland St</t>
  </si>
  <si>
    <t>295A Bainbridge St</t>
  </si>
  <si>
    <t>21 Truxton St</t>
  </si>
  <si>
    <t>246 Bainbridge St</t>
  </si>
  <si>
    <t>216 Rockaway ave</t>
  </si>
  <si>
    <t>216 Rockaway Ave</t>
  </si>
  <si>
    <t>1711 Fulton St</t>
  </si>
  <si>
    <t>1743 Prospect Pl</t>
  </si>
  <si>
    <t>1639 Saint Marks Ave</t>
  </si>
  <si>
    <t>779 4th Ave</t>
  </si>
  <si>
    <t>15 B Dwight Street</t>
  </si>
  <si>
    <t>310 E 25th St</t>
  </si>
  <si>
    <t>1030 Carroll St</t>
  </si>
  <si>
    <t>572 Manhattan Ave</t>
  </si>
  <si>
    <t>232 Stuyvesant Ave</t>
  </si>
  <si>
    <t>6623 Ridge Blvd</t>
  </si>
  <si>
    <t>372 New York Ave</t>
  </si>
  <si>
    <t>257 Mother Gaston Blvd</t>
  </si>
  <si>
    <t>1406 New York Ave</t>
  </si>
  <si>
    <t>419 Montauk Ave</t>
  </si>
  <si>
    <t>985 Halsey St</t>
  </si>
  <si>
    <t>3433 30th St</t>
  </si>
  <si>
    <t>4754 Richardson Ave</t>
  </si>
  <si>
    <t>1080 Anderson Ave</t>
  </si>
  <si>
    <t>47 Featherbed Ln</t>
  </si>
  <si>
    <t>624 Darlington Ave</t>
  </si>
  <si>
    <t>142 Hillcrest Ter</t>
  </si>
  <si>
    <t>231 Steuben St</t>
  </si>
  <si>
    <t>14 Thayer St</t>
  </si>
  <si>
    <t>30 Sickles St</t>
  </si>
  <si>
    <t>2 Ellwood St</t>
  </si>
  <si>
    <t>113 Nassau St</t>
  </si>
  <si>
    <t>630 Lenox Ave</t>
  </si>
  <si>
    <t>129 Sherman Ave</t>
  </si>
  <si>
    <t>580 Academy St</t>
  </si>
  <si>
    <t>621 W 171st St</t>
  </si>
  <si>
    <t>655 W 160th St</t>
  </si>
  <si>
    <t>2167 2nd Ave</t>
  </si>
  <si>
    <t>345 E 83rd St</t>
  </si>
  <si>
    <t>4 E 28th St</t>
  </si>
  <si>
    <t>9427 Kings Hwy</t>
  </si>
  <si>
    <t>899 Montgomery St</t>
  </si>
  <si>
    <t>675 Lincoln Ave</t>
  </si>
  <si>
    <t>671 Halsey St</t>
  </si>
  <si>
    <t>227 23rd St</t>
  </si>
  <si>
    <t>563 Cauldwell Ave</t>
  </si>
  <si>
    <t>381 Sumpter St</t>
  </si>
  <si>
    <t>1305 Delmar Loope</t>
  </si>
  <si>
    <t>229 Seaman Ave</t>
  </si>
  <si>
    <t>902 Drew St</t>
  </si>
  <si>
    <t>454 E 119th St</t>
  </si>
  <si>
    <t>167 W 83rd St</t>
  </si>
  <si>
    <t>8531 120th St</t>
  </si>
  <si>
    <t>9264 218th PL</t>
  </si>
  <si>
    <t>674 Academy St</t>
  </si>
  <si>
    <t>14220 Franklin Ave</t>
  </si>
  <si>
    <t>417 Pennsylvania Ave</t>
  </si>
  <si>
    <t>1967 Bergen St</t>
  </si>
  <si>
    <t>101 Post Ave</t>
  </si>
  <si>
    <t>530 W 178th St</t>
  </si>
  <si>
    <t>437 Wyona St</t>
  </si>
  <si>
    <t>327 Fillmore St</t>
  </si>
  <si>
    <t>1044 E 93rd St</t>
  </si>
  <si>
    <t>624 Howard Ave</t>
  </si>
  <si>
    <t>18364 Dunlop Ave</t>
  </si>
  <si>
    <t>158 E 119th St</t>
  </si>
  <si>
    <t>13418 133rd Ave</t>
  </si>
  <si>
    <t>968 Bronx Park S</t>
  </si>
  <si>
    <t>1460 Sterling Pl</t>
  </si>
  <si>
    <t>316 Stuyvesant Ave</t>
  </si>
  <si>
    <t>25 utica Ave</t>
  </si>
  <si>
    <t>8912 183rd St</t>
  </si>
  <si>
    <t>3428 44th St</t>
  </si>
  <si>
    <t>14144 182nd St</t>
  </si>
  <si>
    <t>498 Vermont St</t>
  </si>
  <si>
    <t>4135 53rd St</t>
  </si>
  <si>
    <t>558 Ralph Ave</t>
  </si>
  <si>
    <t>975 42nd St</t>
  </si>
  <si>
    <t>906 Mother Gaston Blvd</t>
  </si>
  <si>
    <t>333 Beach 32nd St</t>
  </si>
  <si>
    <t>11609 Francis Lewis Blvd</t>
  </si>
  <si>
    <t>1555 Grand Concourse</t>
  </si>
  <si>
    <t>556 W 181st St</t>
  </si>
  <si>
    <t>6570 Booth St</t>
  </si>
  <si>
    <t>1566 Eastern Pkwy</t>
  </si>
  <si>
    <t>5124 Beach Channel Dr</t>
  </si>
  <si>
    <t>973 Saint Marks Ave</t>
  </si>
  <si>
    <t>343 Herzl St</t>
  </si>
  <si>
    <t>8 Rutland Rd</t>
  </si>
  <si>
    <t>7002 Parsons Blvd</t>
  </si>
  <si>
    <t>11618 147th St</t>
  </si>
  <si>
    <t>30 E 95th St</t>
  </si>
  <si>
    <t>91 Junius St</t>
  </si>
  <si>
    <t>248 Audubon Ave</t>
  </si>
  <si>
    <t>127 E 107th St</t>
  </si>
  <si>
    <t>11810 193rd St</t>
  </si>
  <si>
    <t>9102 Sutter Ave</t>
  </si>
  <si>
    <t>554 W 181st St</t>
  </si>
  <si>
    <t>8355 Austin St</t>
  </si>
  <si>
    <t>966 Saint Nicholas Ave</t>
  </si>
  <si>
    <t>91 Brook St</t>
  </si>
  <si>
    <t>2328 28th Ave</t>
  </si>
  <si>
    <t>327 Franklin Ave</t>
  </si>
  <si>
    <t>2055 Harrison Ave</t>
  </si>
  <si>
    <t>1314 Eastern Pkwy</t>
  </si>
  <si>
    <t>8 W 169th St</t>
  </si>
  <si>
    <t>1777 Grand Concourse</t>
  </si>
  <si>
    <t>631 W 207th St</t>
  </si>
  <si>
    <t>5039 61st St</t>
  </si>
  <si>
    <t>11560 204th St</t>
  </si>
  <si>
    <t>124 E 117th St</t>
  </si>
  <si>
    <t>550 Snediker Ave</t>
  </si>
  <si>
    <t>14 prospect ave</t>
  </si>
  <si>
    <t>160 Vermilyea Ave</t>
  </si>
  <si>
    <t>3706 107th St</t>
  </si>
  <si>
    <t>180 E 18th St</t>
  </si>
  <si>
    <t>54 Bristol St</t>
  </si>
  <si>
    <t>941 Jerome ave</t>
  </si>
  <si>
    <t>392 Rockaway Pkwy</t>
  </si>
  <si>
    <t>5763 wadsworth terrace</t>
  </si>
  <si>
    <t>57-63 wadsworth terrace</t>
  </si>
  <si>
    <t>429 Bergen St</t>
  </si>
  <si>
    <t>411 Westervelt Ave</t>
  </si>
  <si>
    <t>232 Schenectady Ave</t>
  </si>
  <si>
    <t>1880 Valentine Ave</t>
  </si>
  <si>
    <t>338 Wilson Ave</t>
  </si>
  <si>
    <t>1740 Prospect Pl</t>
  </si>
  <si>
    <t>711 W 180th St</t>
  </si>
  <si>
    <t>2070 Union St</t>
  </si>
  <si>
    <t>2111 Lafontaine Ave</t>
  </si>
  <si>
    <t>2511 Newkirk Ave</t>
  </si>
  <si>
    <t>205 Avenue C</t>
  </si>
  <si>
    <t>180 Broad St</t>
  </si>
  <si>
    <t>58 E 117th St</t>
  </si>
  <si>
    <t>693 Flatbush Ave</t>
  </si>
  <si>
    <t>395 Autumn Ave</t>
  </si>
  <si>
    <t>164 Winter Ave</t>
  </si>
  <si>
    <t>1336 Herkimer St</t>
  </si>
  <si>
    <t>444 State St</t>
  </si>
  <si>
    <t>19619 Jamaica Ave</t>
  </si>
  <si>
    <t>57-63 Wadsworth Terrace</t>
  </si>
  <si>
    <t>1370 Saint Nicholas Ave</t>
  </si>
  <si>
    <t>1 Jacobus Pl</t>
  </si>
  <si>
    <t>737 Southern Blvd</t>
  </si>
  <si>
    <t>211 W 101st St</t>
  </si>
  <si>
    <t>13046 226th St</t>
  </si>
  <si>
    <t>329 Beach 86th St</t>
  </si>
  <si>
    <t>707 W 171st St</t>
  </si>
  <si>
    <t>6637 53rd Ave</t>
  </si>
  <si>
    <t>1661 Saint Johns Pl</t>
  </si>
  <si>
    <t>1447 Gipson St</t>
  </si>
  <si>
    <t>408 Lincoln Ave</t>
  </si>
  <si>
    <t>2145 Amsterdam Ave</t>
  </si>
  <si>
    <t>2092 Dean St</t>
  </si>
  <si>
    <t>461 Dean St</t>
  </si>
  <si>
    <t>115 Marcy Pl</t>
  </si>
  <si>
    <t>555 Lincoln Ave</t>
  </si>
  <si>
    <t>2022 3rd Ave</t>
  </si>
  <si>
    <t>321 Milford St</t>
  </si>
  <si>
    <t>1920 Union St</t>
  </si>
  <si>
    <t>1360 Eastern Pkwy</t>
  </si>
  <si>
    <t>1115 1st Ave</t>
  </si>
  <si>
    <t>446 E 98th St</t>
  </si>
  <si>
    <t>8510 148th St</t>
  </si>
  <si>
    <t>4455 Broadway</t>
  </si>
  <si>
    <t>119 Vermilyea Ave</t>
  </si>
  <si>
    <t>284 Eastern Pkwy</t>
  </si>
  <si>
    <t>393 Montauk Ave</t>
  </si>
  <si>
    <t>150 Hendricks Ave</t>
  </si>
  <si>
    <t>598 W 191st St</t>
  </si>
  <si>
    <t>1452 Beach Ave</t>
  </si>
  <si>
    <t>501 W 189th St</t>
  </si>
  <si>
    <t>3413 Avenue H</t>
  </si>
  <si>
    <t>2999 8th Ave</t>
  </si>
  <si>
    <t>521 W 186th St</t>
  </si>
  <si>
    <t>2351 Pacific St</t>
  </si>
  <si>
    <t>60 Thayer St</t>
  </si>
  <si>
    <t>257 Linden St</t>
  </si>
  <si>
    <t>3856 10th Ave</t>
  </si>
  <si>
    <t>14412 28th Ave</t>
  </si>
  <si>
    <t>234 E 119th St</t>
  </si>
  <si>
    <t>2985 Botanical Sq</t>
  </si>
  <si>
    <t>3405 Putnam Pl</t>
  </si>
  <si>
    <t>228 Nagle Ave</t>
  </si>
  <si>
    <t>174 Riverdale Ave</t>
  </si>
  <si>
    <t>1325 Lafayette Ave</t>
  </si>
  <si>
    <t>655 Morris Ave</t>
  </si>
  <si>
    <t>2305 2nd Ave</t>
  </si>
  <si>
    <t>1515 Selwyn Ave</t>
  </si>
  <si>
    <t>435 GRAND AVE</t>
  </si>
  <si>
    <t>230 President St</t>
  </si>
  <si>
    <t>420 Watkins St</t>
  </si>
  <si>
    <t>96 Linwood St</t>
  </si>
  <si>
    <t>165 Saint Marks Pl</t>
  </si>
  <si>
    <t>20-26 Bogardus Pl</t>
  </si>
  <si>
    <t>131 BROOME ST</t>
  </si>
  <si>
    <t>140 Park Hill Ave</t>
  </si>
  <si>
    <t>180 Park Hill Ave</t>
  </si>
  <si>
    <t>1510 Jesup Ave</t>
  </si>
  <si>
    <t>2160 dean st</t>
  </si>
  <si>
    <t>45 Pinehurst Ave</t>
  </si>
  <si>
    <t>1873 Park Pl</t>
  </si>
  <si>
    <t>481 W 165th St</t>
  </si>
  <si>
    <t>15754 21st Ave</t>
  </si>
  <si>
    <t>765 Lincon Ave</t>
  </si>
  <si>
    <t>765 Lincoln Ave</t>
  </si>
  <si>
    <t>516 W 156th St</t>
  </si>
  <si>
    <t>1500 Hornell Loop</t>
  </si>
  <si>
    <t>628 E 17th St</t>
  </si>
  <si>
    <t>67 Manhattan Ave</t>
  </si>
  <si>
    <t>520 Isham St</t>
  </si>
  <si>
    <t>340 E 112th St</t>
  </si>
  <si>
    <t>517 W 160th St</t>
  </si>
  <si>
    <t>400 Clinton Ave</t>
  </si>
  <si>
    <t>331 Beach 31st St</t>
  </si>
  <si>
    <t>1269 Grand Concourse</t>
  </si>
  <si>
    <t>803 W 180th St</t>
  </si>
  <si>
    <t>420 W 206th St</t>
  </si>
  <si>
    <t>509 Flatbush Ave</t>
  </si>
  <si>
    <t>39 Hegeman Ave</t>
  </si>
  <si>
    <t>10470 47th Ave</t>
  </si>
  <si>
    <t>2714 Frederick Douglass Blvd</t>
  </si>
  <si>
    <t>258 67th St</t>
  </si>
  <si>
    <t>615 W 184th St</t>
  </si>
  <si>
    <t>100 Belmont Pl</t>
  </si>
  <si>
    <t>16 Arden St</t>
  </si>
  <si>
    <t>2374 Amsterdam Ave</t>
  </si>
  <si>
    <t>91 E 116th St</t>
  </si>
  <si>
    <t>9407 75th St</t>
  </si>
  <si>
    <t>3736 10th Ave</t>
  </si>
  <si>
    <t>2108 Amsterdam Ave</t>
  </si>
  <si>
    <t>15 W 139th St</t>
  </si>
  <si>
    <t>5929 Queens Blvd</t>
  </si>
  <si>
    <t>903 Drew St</t>
  </si>
  <si>
    <t>430 New Jersey Ave</t>
  </si>
  <si>
    <t>521 Fort Washington Ave</t>
  </si>
  <si>
    <t>125 E 118th St</t>
  </si>
  <si>
    <t>4706 49th St</t>
  </si>
  <si>
    <t>1490 Boone Ave</t>
  </si>
  <si>
    <t>9116 95th Ave</t>
  </si>
  <si>
    <t>4513 10th Ave</t>
  </si>
  <si>
    <t>136 Seaman Ave</t>
  </si>
  <si>
    <t>765 lincoln ave</t>
  </si>
  <si>
    <t>14750 72nd Dr</t>
  </si>
  <si>
    <t>83 Crescent Ave</t>
  </si>
  <si>
    <t>185 Saint Marks Pl</t>
  </si>
  <si>
    <t>1018 Eastern Pkwy</t>
  </si>
  <si>
    <t>34 Layton Ave</t>
  </si>
  <si>
    <t>304 W 148th St</t>
  </si>
  <si>
    <t>702 44th St</t>
  </si>
  <si>
    <t>3805 Crescent St</t>
  </si>
  <si>
    <t>13318 145th St</t>
  </si>
  <si>
    <t>536 E 96th St</t>
  </si>
  <si>
    <t>2260 Webster Ave</t>
  </si>
  <si>
    <t>595 W 207th St</t>
  </si>
  <si>
    <t>95 Clinton St</t>
  </si>
  <si>
    <t>49 Curtis Pl</t>
  </si>
  <si>
    <t>4328 Murray St</t>
  </si>
  <si>
    <t>1120 Loring Ave</t>
  </si>
  <si>
    <t>1415 Wythe Pl</t>
  </si>
  <si>
    <t>227 Oder Ave</t>
  </si>
  <si>
    <t>1238 Simpson St</t>
  </si>
  <si>
    <t>629 E 3rd St</t>
  </si>
  <si>
    <t>9428 86th Rd</t>
  </si>
  <si>
    <t>500 W 176th St</t>
  </si>
  <si>
    <t>10934 221st St</t>
  </si>
  <si>
    <t>13324 Sanford Ave</t>
  </si>
  <si>
    <t>54 S Elliott Pl</t>
  </si>
  <si>
    <t>1206 Bergen St</t>
  </si>
  <si>
    <t>107 E 129th St # 123</t>
  </si>
  <si>
    <t>14308 Roosevelt Ave</t>
  </si>
  <si>
    <t>611 W 158th St</t>
  </si>
  <si>
    <t>1 Bennett Ave</t>
  </si>
  <si>
    <t>1036 President St</t>
  </si>
  <si>
    <t>1454 Shakespeare Ave</t>
  </si>
  <si>
    <t>119 Clark Ln</t>
  </si>
  <si>
    <t>1705 Stanhope St</t>
  </si>
  <si>
    <t>293 Martense St</t>
  </si>
  <si>
    <t>10921 Van Wyck Expy</t>
  </si>
  <si>
    <t>997 Summit Ave</t>
  </si>
  <si>
    <t>217 Van Brunt St</t>
  </si>
  <si>
    <t>11539 135th St</t>
  </si>
  <si>
    <t>110 Chauncey st</t>
  </si>
  <si>
    <t>449 W 206th St</t>
  </si>
  <si>
    <t>662 6th Ave</t>
  </si>
  <si>
    <t>51 E 129th St</t>
  </si>
  <si>
    <t>2545 Linden Blvd</t>
  </si>
  <si>
    <t>790 Riverside Dr</t>
  </si>
  <si>
    <t>14435 37th Ave</t>
  </si>
  <si>
    <t>388 Van Duzer St</t>
  </si>
  <si>
    <t>9863 Corona Ave</t>
  </si>
  <si>
    <t>1954 1st Ave</t>
  </si>
  <si>
    <t>549 Isham St</t>
  </si>
  <si>
    <t>82 Rockaway Pkwy</t>
  </si>
  <si>
    <t>117 Sherman Ave</t>
  </si>
  <si>
    <t>701 Bay St</t>
  </si>
  <si>
    <t>4516 49th St</t>
  </si>
  <si>
    <t>670 E 32nd St</t>
  </si>
  <si>
    <t>15 Post ave</t>
  </si>
  <si>
    <t>3852 10th Ave</t>
  </si>
  <si>
    <t>1805 Pitkin Ave</t>
  </si>
  <si>
    <t>1 Beach 105th St</t>
  </si>
  <si>
    <t>342 21st St</t>
  </si>
  <si>
    <t>615 W 164th St</t>
  </si>
  <si>
    <t>152 E 84th St</t>
  </si>
  <si>
    <t>1325 Eastern Pkwy</t>
  </si>
  <si>
    <t>478 Herzl St</t>
  </si>
  <si>
    <t>205 Boerum st</t>
  </si>
  <si>
    <t>519 E 88th St</t>
  </si>
  <si>
    <t>177 Sheffield Ave</t>
  </si>
  <si>
    <t>530 W 122nd st</t>
  </si>
  <si>
    <t>2860 Ocean Ave</t>
  </si>
  <si>
    <t>776 Van Duzer St</t>
  </si>
  <si>
    <t>483 Pacific St</t>
  </si>
  <si>
    <t>4530 Broadway</t>
  </si>
  <si>
    <t>1695 Lexington Ave</t>
  </si>
  <si>
    <t>600 W 186th St</t>
  </si>
  <si>
    <t>356 Arlington Ave</t>
  </si>
  <si>
    <t>87 Taft Ave</t>
  </si>
  <si>
    <t>16836 88th Ave</t>
  </si>
  <si>
    <t>4410 30th Ave</t>
  </si>
  <si>
    <t>1652 Park Ave</t>
  </si>
  <si>
    <t>160 Prospect Ave</t>
  </si>
  <si>
    <t>122 E 104th St</t>
  </si>
  <si>
    <t>588 Decatur St</t>
  </si>
  <si>
    <t>4011 149th St</t>
  </si>
  <si>
    <t>19215 A 64th Cir</t>
  </si>
  <si>
    <t>249 Thomas S Boyland st</t>
  </si>
  <si>
    <t>1521 Sheridan Ave</t>
  </si>
  <si>
    <t>1350 Park Pl</t>
  </si>
  <si>
    <t>210 Sherman Ave</t>
  </si>
  <si>
    <t>280 Etna St</t>
  </si>
  <si>
    <t>1409 E 98th St</t>
  </si>
  <si>
    <t>1295 5th Ave</t>
  </si>
  <si>
    <t>670 W 193rd St</t>
  </si>
  <si>
    <t>1617 Eastern Pkwy</t>
  </si>
  <si>
    <t>8607 101st St</t>
  </si>
  <si>
    <t>90 Downing St</t>
  </si>
  <si>
    <t>9724 93rd St</t>
  </si>
  <si>
    <t>5024 31st Ave</t>
  </si>
  <si>
    <t>1570 Eastern Pkwy</t>
  </si>
  <si>
    <t>427 Fort Washington Ave</t>
  </si>
  <si>
    <t>220 Osgood Ave</t>
  </si>
  <si>
    <t>700 Victory Blvd</t>
  </si>
  <si>
    <t>139 W 135th St</t>
  </si>
  <si>
    <t>3721 80th St</t>
  </si>
  <si>
    <t>19523 Station Rd</t>
  </si>
  <si>
    <t>9608 57th Ave</t>
  </si>
  <si>
    <t>13 E 124th St</t>
  </si>
  <si>
    <t>280 Park Hill Ave</t>
  </si>
  <si>
    <t>1001 Woodycrest Ave</t>
  </si>
  <si>
    <t>2276 2nd Ave</t>
  </si>
  <si>
    <t>961 42nd St</t>
  </si>
  <si>
    <t>200 Haven Ave</t>
  </si>
  <si>
    <t>11814 83rd Ave</t>
  </si>
  <si>
    <t>815 W 180th St</t>
  </si>
  <si>
    <t>364 Stuyvesant Ave</t>
  </si>
  <si>
    <t>226 Naples Ter</t>
  </si>
  <si>
    <t>240 E 18th St</t>
  </si>
  <si>
    <t>716 W 180th St</t>
  </si>
  <si>
    <t>215 Audubon Ave</t>
  </si>
  <si>
    <t>1050 Anderson Ave</t>
  </si>
  <si>
    <t>15119 34th Ave</t>
  </si>
  <si>
    <t>168 1st Ave</t>
  </si>
  <si>
    <t>215 Mcclellan St</t>
  </si>
  <si>
    <t>4308 40th St</t>
  </si>
  <si>
    <t>24207 149th Ave</t>
  </si>
  <si>
    <t>620 W 189th St</t>
  </si>
  <si>
    <t>14911 Edgewood St</t>
  </si>
  <si>
    <t>22 Post Ave</t>
  </si>
  <si>
    <t>5707 Shore Front Pkwy # Pwy</t>
  </si>
  <si>
    <t>12514 Jamaica Ave</t>
  </si>
  <si>
    <t>604 Sutter Ave</t>
  </si>
  <si>
    <t>125 Sherman Ave</t>
  </si>
  <si>
    <t>30 Dongan Hills Ave</t>
  </si>
  <si>
    <t>251 Fort Washington Ave</t>
  </si>
  <si>
    <t>5009 Broadway</t>
  </si>
  <si>
    <t>114 E 104th St</t>
  </si>
  <si>
    <t>1074 Eastern Pkwy</t>
  </si>
  <si>
    <t>412 Thomas S Boyland St</t>
  </si>
  <si>
    <t>645 W 160th St</t>
  </si>
  <si>
    <t>124 Pelican Cir</t>
  </si>
  <si>
    <t>3750 81st St</t>
  </si>
  <si>
    <t>501 Hegeman Ave</t>
  </si>
  <si>
    <t>5 Saint Marks Pl</t>
  </si>
  <si>
    <t>607 Flatbush Ave</t>
  </si>
  <si>
    <t>168 E 93rd St</t>
  </si>
  <si>
    <t>425 Grand Ave</t>
  </si>
  <si>
    <t>1129 43rd St</t>
  </si>
  <si>
    <t>19 Slosson Ter</t>
  </si>
  <si>
    <t>9728 76th St</t>
  </si>
  <si>
    <t>1940 Pacific St</t>
  </si>
  <si>
    <t>66 Vermilyea Ave</t>
  </si>
  <si>
    <t>89 Seaman Ave</t>
  </si>
  <si>
    <t>320 Vanderbilt Ave</t>
  </si>
  <si>
    <t>800 Grand Concourse</t>
  </si>
  <si>
    <t>178 Rockaway Pkwy</t>
  </si>
  <si>
    <t>292 Westervelt Ave</t>
  </si>
  <si>
    <t>1374 York Ave</t>
  </si>
  <si>
    <t>316 Stuyvesant ave</t>
  </si>
  <si>
    <t>19 Hill St</t>
  </si>
  <si>
    <t>1795 Riverside Dr</t>
  </si>
  <si>
    <t>1460 Grand Concourse</t>
  </si>
  <si>
    <t>26204 Hungry Harbor Rd</t>
  </si>
  <si>
    <t>140 Ralph Ave</t>
  </si>
  <si>
    <t>20 Sky Ln</t>
  </si>
  <si>
    <t>502 W 213th St</t>
  </si>
  <si>
    <t>67 W 107th St</t>
  </si>
  <si>
    <t>1118 Winthrop St</t>
  </si>
  <si>
    <t>122 Hamilton Ave</t>
  </si>
  <si>
    <t>5706 Farragut Rd</t>
  </si>
  <si>
    <t>6115 163rd St</t>
  </si>
  <si>
    <t>500 W 213th St</t>
  </si>
  <si>
    <t>385 Chestnut St</t>
  </si>
  <si>
    <t>1165 Elton St</t>
  </si>
  <si>
    <t>601 W 156th St</t>
  </si>
  <si>
    <t>121 Sherman Ave</t>
  </si>
  <si>
    <t>777 Macdonough St</t>
  </si>
  <si>
    <t>336 E 117th St</t>
  </si>
  <si>
    <t>100 W 83rd St</t>
  </si>
  <si>
    <t>3432 43rd ST</t>
  </si>
  <si>
    <t>100 Cooper St</t>
  </si>
  <si>
    <t>289 Vermont St</t>
  </si>
  <si>
    <t>13146 Laurelton Pkwy</t>
  </si>
  <si>
    <t>7222 Austin St</t>
  </si>
  <si>
    <t>185 Park Hill Ave</t>
  </si>
  <si>
    <t>699 Pennsylvania Ave</t>
  </si>
  <si>
    <t>433 Halsey St</t>
  </si>
  <si>
    <t>74 5th ave</t>
  </si>
  <si>
    <t>99 Osgood Ave</t>
  </si>
  <si>
    <t>506 Decatur St</t>
  </si>
  <si>
    <t>436 W 160th St</t>
  </si>
  <si>
    <t>1760 Madison Ave</t>
  </si>
  <si>
    <t>650 W 173rd St</t>
  </si>
  <si>
    <t>8903 146th St</t>
  </si>
  <si>
    <t>1020 Walton Ave</t>
  </si>
  <si>
    <t>601 West 149th Street 54</t>
  </si>
  <si>
    <t>200 Schermerhorn St</t>
  </si>
  <si>
    <t>711 Herkimer St</t>
  </si>
  <si>
    <t>4325 Hunter St</t>
  </si>
  <si>
    <t>300 10th St</t>
  </si>
  <si>
    <t>15a Chester Pl</t>
  </si>
  <si>
    <t>648 Kings Hwy</t>
  </si>
  <si>
    <t>9507 Kings Hwy</t>
  </si>
  <si>
    <t>620 Baychester Ave</t>
  </si>
  <si>
    <t>145 Elmira Loop</t>
  </si>
  <si>
    <t>1204 Shakespeare Ave</t>
  </si>
  <si>
    <t>14809 Northern Blvd</t>
  </si>
  <si>
    <t>455 101st St</t>
  </si>
  <si>
    <t>3114 42nd St</t>
  </si>
  <si>
    <t>121 Seaman Ave</t>
  </si>
  <si>
    <t>2273 Adam Clayton Powell Jr Blvd</t>
  </si>
  <si>
    <t>917 Ogden Ave</t>
  </si>
  <si>
    <t>1155 E 35th St</t>
  </si>
  <si>
    <t>175 Ardsley Loop</t>
  </si>
  <si>
    <t>35 Sheridan Ave</t>
  </si>
  <si>
    <t>1105 Elder Ave</t>
  </si>
  <si>
    <t>519 W 157th St</t>
  </si>
  <si>
    <t>2919 Lewmay Rd</t>
  </si>
  <si>
    <t>27 W 181st St</t>
  </si>
  <si>
    <t>266 Nagle Ave</t>
  </si>
  <si>
    <t>38 West St</t>
  </si>
  <si>
    <t>240 Park Hill Ave</t>
  </si>
  <si>
    <t>1908 N Railroad Ave</t>
  </si>
  <si>
    <t>996 Hegeman Ave</t>
  </si>
  <si>
    <t>985 Halsey st</t>
  </si>
  <si>
    <t>450 Schenck Ave</t>
  </si>
  <si>
    <t>14070 Ash Ave</t>
  </si>
  <si>
    <t>1176 President St</t>
  </si>
  <si>
    <t>466 Alabama Ave</t>
  </si>
  <si>
    <t>1857 Coney Island Ave</t>
  </si>
  <si>
    <t>642 Eldert Ln</t>
  </si>
  <si>
    <t>315 Pulaski St</t>
  </si>
  <si>
    <t>254 Seaman Ave</t>
  </si>
  <si>
    <t>409 Saratoga Ave</t>
  </si>
  <si>
    <t>904 Winthrop St</t>
  </si>
  <si>
    <t>63 Rockaway Pkwy</t>
  </si>
  <si>
    <t>394 E 98th St</t>
  </si>
  <si>
    <t>2099 Bergen St</t>
  </si>
  <si>
    <t>147 Rockaway Pkwy</t>
  </si>
  <si>
    <t>790 Eldert Ln</t>
  </si>
  <si>
    <t>4536 49th St</t>
  </si>
  <si>
    <t>792 Sterling Pl</t>
  </si>
  <si>
    <t>460n Brielle Ave</t>
  </si>
  <si>
    <t>490 Ocean Parkway</t>
  </si>
  <si>
    <t>490 Ocean Pkwy</t>
  </si>
  <si>
    <t>88 Seaman Ave</t>
  </si>
  <si>
    <t>22 W 25th St</t>
  </si>
  <si>
    <t>14 Spartan Ave</t>
  </si>
  <si>
    <t>603 Mother Gaston Blvd</t>
  </si>
  <si>
    <t>533 Bay St</t>
  </si>
  <si>
    <t>664 W 161st St</t>
  </si>
  <si>
    <t>1933 Fulton St</t>
  </si>
  <si>
    <t>260 Audubon Ave</t>
  </si>
  <si>
    <t>233 E 92nd St</t>
  </si>
  <si>
    <t>785 Belmont Ave</t>
  </si>
  <si>
    <t>38 Post Avenue</t>
  </si>
  <si>
    <t>2505 Bedford Ave</t>
  </si>
  <si>
    <t>9838 57th Ave</t>
  </si>
  <si>
    <t>221 E 122nd St</t>
  </si>
  <si>
    <t>89-95 Seaman Avenue</t>
  </si>
  <si>
    <t>601 W 190th St</t>
  </si>
  <si>
    <t>666 Dumont Ave</t>
  </si>
  <si>
    <t>1781 Riverside Dr</t>
  </si>
  <si>
    <t>269 E 4th St</t>
  </si>
  <si>
    <t>256 Seaman Ave</t>
  </si>
  <si>
    <t>34 Hillside Ave</t>
  </si>
  <si>
    <t>95 Seaman Ave</t>
  </si>
  <si>
    <t>879 Cypress Ave</t>
  </si>
  <si>
    <t>50 Linden Blvd</t>
  </si>
  <si>
    <t>250 E 96th St</t>
  </si>
  <si>
    <t>540 E 23rd St</t>
  </si>
  <si>
    <t>3366 Decatur Ave</t>
  </si>
  <si>
    <t>1330 Fulton St</t>
  </si>
  <si>
    <t>1764 Anthony Ave</t>
  </si>
  <si>
    <t>68 MacDougal St</t>
  </si>
  <si>
    <t>482 Prospect pl</t>
  </si>
  <si>
    <t>1468 5th Ave</t>
  </si>
  <si>
    <t>13912 34th Rd</t>
  </si>
  <si>
    <t>529 W 189th St</t>
  </si>
  <si>
    <t>426 E 118th st</t>
  </si>
  <si>
    <t>540 Fort Washington Ave</t>
  </si>
  <si>
    <t>302 E 126th St</t>
  </si>
  <si>
    <t>510 W 55th St</t>
  </si>
  <si>
    <t>1062 Saint Nicholas Ave</t>
  </si>
  <si>
    <t>611 Flatbush Ave</t>
  </si>
  <si>
    <t>1818 Anthony Ave</t>
  </si>
  <si>
    <t>140 Riverside dr</t>
  </si>
  <si>
    <t>20916 86th drive</t>
  </si>
  <si>
    <t>901 Walton Ave</t>
  </si>
  <si>
    <t>4115 50th Ave</t>
  </si>
  <si>
    <t>200 Haven ave</t>
  </si>
  <si>
    <t>621 W 189th St</t>
  </si>
  <si>
    <t>436 Fort Washington Ave</t>
  </si>
  <si>
    <t>285 Schenectady Ave</t>
  </si>
  <si>
    <t>1401 Hancock St</t>
  </si>
  <si>
    <t>6G</t>
  </si>
  <si>
    <t>2nd fl</t>
  </si>
  <si>
    <t>Bsmnt</t>
  </si>
  <si>
    <t>2A</t>
  </si>
  <si>
    <t>9E</t>
  </si>
  <si>
    <t>3G</t>
  </si>
  <si>
    <t>4B</t>
  </si>
  <si>
    <t>23M</t>
  </si>
  <si>
    <t>2G</t>
  </si>
  <si>
    <t>6R</t>
  </si>
  <si>
    <t>18G</t>
  </si>
  <si>
    <t>1B</t>
  </si>
  <si>
    <t>1R</t>
  </si>
  <si>
    <t>15B</t>
  </si>
  <si>
    <t>2B</t>
  </si>
  <si>
    <t>4-C</t>
  </si>
  <si>
    <t>2L</t>
  </si>
  <si>
    <t>B</t>
  </si>
  <si>
    <t>6E</t>
  </si>
  <si>
    <t>1A</t>
  </si>
  <si>
    <t>2nd Floor</t>
  </si>
  <si>
    <t>1F</t>
  </si>
  <si>
    <t>5E</t>
  </si>
  <si>
    <t>6M</t>
  </si>
  <si>
    <t>1L</t>
  </si>
  <si>
    <t>3i</t>
  </si>
  <si>
    <t>3B</t>
  </si>
  <si>
    <t>23C</t>
  </si>
  <si>
    <t>5S</t>
  </si>
  <si>
    <t>5H</t>
  </si>
  <si>
    <t>5G</t>
  </si>
  <si>
    <t>6A</t>
  </si>
  <si>
    <t>4H</t>
  </si>
  <si>
    <t>3F</t>
  </si>
  <si>
    <t>13G</t>
  </si>
  <si>
    <t>3L</t>
  </si>
  <si>
    <t>C6</t>
  </si>
  <si>
    <t>14B</t>
  </si>
  <si>
    <t>B1</t>
  </si>
  <si>
    <t># 2B</t>
  </si>
  <si>
    <t>D5</t>
  </si>
  <si>
    <t>6V</t>
  </si>
  <si>
    <t>!</t>
  </si>
  <si>
    <t>4D</t>
  </si>
  <si>
    <t>5J</t>
  </si>
  <si>
    <t>Basement</t>
  </si>
  <si>
    <t>1D</t>
  </si>
  <si>
    <t>1st Floor</t>
  </si>
  <si>
    <t>1st fl</t>
  </si>
  <si>
    <t>6I</t>
  </si>
  <si>
    <t>5L</t>
  </si>
  <si>
    <t>4R</t>
  </si>
  <si>
    <t>3rd FL</t>
  </si>
  <si>
    <t>2C</t>
  </si>
  <si>
    <t>3A</t>
  </si>
  <si>
    <t>17K</t>
  </si>
  <si>
    <t>7F</t>
  </si>
  <si>
    <t>16C</t>
  </si>
  <si>
    <t>1 floor</t>
  </si>
  <si>
    <t>BSMT</t>
  </si>
  <si>
    <t>#1</t>
  </si>
  <si>
    <t>#3B</t>
  </si>
  <si>
    <t>5D</t>
  </si>
  <si>
    <t>10M</t>
  </si>
  <si>
    <t>2F</t>
  </si>
  <si>
    <t>2J</t>
  </si>
  <si>
    <t>1st floor</t>
  </si>
  <si>
    <t>1c</t>
  </si>
  <si>
    <t>4L</t>
  </si>
  <si>
    <t>5F</t>
  </si>
  <si>
    <t>4a</t>
  </si>
  <si>
    <t>9F</t>
  </si>
  <si>
    <t>1E</t>
  </si>
  <si>
    <t>2W</t>
  </si>
  <si>
    <t>Apt. 2</t>
  </si>
  <si>
    <t>1h</t>
  </si>
  <si>
    <t>3R</t>
  </si>
  <si>
    <t>4A</t>
  </si>
  <si>
    <t>9A</t>
  </si>
  <si>
    <t>B7</t>
  </si>
  <si>
    <t>20F</t>
  </si>
  <si>
    <t>2D</t>
  </si>
  <si>
    <t>Apt 3</t>
  </si>
  <si>
    <t>1 R</t>
  </si>
  <si>
    <t>Apt 4R</t>
  </si>
  <si>
    <t>4G</t>
  </si>
  <si>
    <t>20J</t>
  </si>
  <si>
    <t>A4</t>
  </si>
  <si>
    <t>1G</t>
  </si>
  <si>
    <t>3H</t>
  </si>
  <si>
    <t>2b</t>
  </si>
  <si>
    <t>2 Floor</t>
  </si>
  <si>
    <t>Apt A4</t>
  </si>
  <si>
    <t>12F</t>
  </si>
  <si>
    <t>2E</t>
  </si>
  <si>
    <t>#1F</t>
  </si>
  <si>
    <t>4b</t>
  </si>
  <si>
    <t>Floor 2</t>
  </si>
  <si>
    <t>32B</t>
  </si>
  <si>
    <t>3C</t>
  </si>
  <si>
    <t>17A</t>
  </si>
  <si>
    <t>2T</t>
  </si>
  <si>
    <t>6H</t>
  </si>
  <si>
    <t>14A</t>
  </si>
  <si>
    <t>4I</t>
  </si>
  <si>
    <t>GG</t>
  </si>
  <si>
    <t>3-A</t>
  </si>
  <si>
    <t>2P</t>
  </si>
  <si>
    <t>10G</t>
  </si>
  <si>
    <t>1-3</t>
  </si>
  <si>
    <t>3 FL</t>
  </si>
  <si>
    <t>Bw</t>
  </si>
  <si>
    <t>4E</t>
  </si>
  <si>
    <t>7E</t>
  </si>
  <si>
    <t>N15</t>
  </si>
  <si>
    <t>6D</t>
  </si>
  <si>
    <t>K</t>
  </si>
  <si>
    <t>Apt. #5-B</t>
  </si>
  <si>
    <t>20H</t>
  </si>
  <si>
    <t>11D</t>
  </si>
  <si>
    <t>#8H</t>
  </si>
  <si>
    <t>5T</t>
  </si>
  <si>
    <t>5B</t>
  </si>
  <si>
    <t>1-R</t>
  </si>
  <si>
    <t>3E</t>
  </si>
  <si>
    <t>7D</t>
  </si>
  <si>
    <t>5s</t>
  </si>
  <si>
    <t>11P</t>
  </si>
  <si>
    <t>1H</t>
  </si>
  <si>
    <t>6B</t>
  </si>
  <si>
    <t>1b</t>
  </si>
  <si>
    <t>15J</t>
  </si>
  <si>
    <t>1C</t>
  </si>
  <si>
    <t>11H</t>
  </si>
  <si>
    <t>7R</t>
  </si>
  <si>
    <t>4F</t>
  </si>
  <si>
    <t>4-G</t>
  </si>
  <si>
    <t>Bsmt.</t>
  </si>
  <si>
    <t>6F</t>
  </si>
  <si>
    <t>2nd floor</t>
  </si>
  <si>
    <t>Apt 4J</t>
  </si>
  <si>
    <t>FL 3</t>
  </si>
  <si>
    <t>3D</t>
  </si>
  <si>
    <t>Apt. 6S</t>
  </si>
  <si>
    <t>D5C</t>
  </si>
  <si>
    <t>5 H</t>
  </si>
  <si>
    <t>Fl 1</t>
  </si>
  <si>
    <t>6yy</t>
  </si>
  <si>
    <t>22K</t>
  </si>
  <si>
    <t>4C</t>
  </si>
  <si>
    <t>5C</t>
  </si>
  <si>
    <t>7C</t>
  </si>
  <si>
    <t>3rd floor</t>
  </si>
  <si>
    <t>1St Floor</t>
  </si>
  <si>
    <t>13P</t>
  </si>
  <si>
    <t>14C</t>
  </si>
  <si>
    <t>#8C</t>
  </si>
  <si>
    <t>41A</t>
  </si>
  <si>
    <t>11B</t>
  </si>
  <si>
    <t>B5</t>
  </si>
  <si>
    <t>5A</t>
  </si>
  <si>
    <t>4T</t>
  </si>
  <si>
    <t>2d</t>
  </si>
  <si>
    <t>Unit 1</t>
  </si>
  <si>
    <t>5M</t>
  </si>
  <si>
    <t>C22</t>
  </si>
  <si>
    <t>8H</t>
  </si>
  <si>
    <t>1st FL</t>
  </si>
  <si>
    <t>2R</t>
  </si>
  <si>
    <t>4N</t>
  </si>
  <si>
    <t>5c</t>
  </si>
  <si>
    <t>8N</t>
  </si>
  <si>
    <t>17L</t>
  </si>
  <si>
    <t>2V</t>
  </si>
  <si>
    <t>3c</t>
  </si>
  <si>
    <t>D9</t>
  </si>
  <si>
    <t>B3</t>
  </si>
  <si>
    <t>3N</t>
  </si>
  <si>
    <t>9C</t>
  </si>
  <si>
    <t>Apt 2</t>
  </si>
  <si>
    <t>3J</t>
  </si>
  <si>
    <t>bsmnt</t>
  </si>
  <si>
    <t>6C</t>
  </si>
  <si>
    <t>3rd Floor</t>
  </si>
  <si>
    <t>4J</t>
  </si>
  <si>
    <t>C7</t>
  </si>
  <si>
    <t>D1</t>
  </si>
  <si>
    <t>Floor 1</t>
  </si>
  <si>
    <t>8D</t>
  </si>
  <si>
    <t>6CN</t>
  </si>
  <si>
    <t>2I</t>
  </si>
  <si>
    <t>14L</t>
  </si>
  <si>
    <t>4e</t>
  </si>
  <si>
    <t>#2D</t>
  </si>
  <si>
    <t>13A</t>
  </si>
  <si>
    <t>16N</t>
  </si>
  <si>
    <t>1g</t>
  </si>
  <si>
    <t>4M</t>
  </si>
  <si>
    <t>3T</t>
  </si>
  <si>
    <t>2nd Fl</t>
  </si>
  <si>
    <t>A-7</t>
  </si>
  <si>
    <t>1416W</t>
  </si>
  <si>
    <t>C1</t>
  </si>
  <si>
    <t>7K</t>
  </si>
  <si>
    <t>7H</t>
  </si>
  <si>
    <t>B-2</t>
  </si>
  <si>
    <t>30A</t>
  </si>
  <si>
    <t>6 O</t>
  </si>
  <si>
    <t>1st floor apt 3</t>
  </si>
  <si>
    <t>2-F</t>
  </si>
  <si>
    <t>F2</t>
  </si>
  <si>
    <t>D4</t>
  </si>
  <si>
    <t>Apt 3D</t>
  </si>
  <si>
    <t>apt 2F</t>
  </si>
  <si>
    <t>#2H</t>
  </si>
  <si>
    <t>2H</t>
  </si>
  <si>
    <t>5K</t>
  </si>
  <si>
    <t>115E</t>
  </si>
  <si>
    <t>2nd Fl.</t>
  </si>
  <si>
    <t>8A</t>
  </si>
  <si>
    <t>17E</t>
  </si>
  <si>
    <t>3K</t>
  </si>
  <si>
    <t>A2</t>
  </si>
  <si>
    <t>12L</t>
  </si>
  <si>
    <t>Apt 4</t>
  </si>
  <si>
    <t>10L</t>
  </si>
  <si>
    <t>17N</t>
  </si>
  <si>
    <t>4i</t>
  </si>
  <si>
    <t>14D</t>
  </si>
  <si>
    <t>Privat house</t>
  </si>
  <si>
    <t>6K</t>
  </si>
  <si>
    <t>1K</t>
  </si>
  <si>
    <t>E5</t>
  </si>
  <si>
    <t>8C</t>
  </si>
  <si>
    <t>20B</t>
  </si>
  <si>
    <t>18J</t>
  </si>
  <si>
    <t>B2</t>
  </si>
  <si>
    <t>PBH</t>
  </si>
  <si>
    <t>2N</t>
  </si>
  <si>
    <t>4-H</t>
  </si>
  <si>
    <t>Arverne</t>
  </si>
  <si>
    <t>Far Rockaway</t>
  </si>
  <si>
    <t>Jamaica</t>
  </si>
  <si>
    <t>South Ozone Park</t>
  </si>
  <si>
    <t>Ozone Park</t>
  </si>
  <si>
    <t>Corona</t>
  </si>
  <si>
    <t>Brooklyn</t>
  </si>
  <si>
    <t>Astoria</t>
  </si>
  <si>
    <t>Bronx</t>
  </si>
  <si>
    <t>Staten Island</t>
  </si>
  <si>
    <t>New York</t>
  </si>
  <si>
    <t>Kew Gardens</t>
  </si>
  <si>
    <t>Queens Village</t>
  </si>
  <si>
    <t>Flushing</t>
  </si>
  <si>
    <t>Saint Albans</t>
  </si>
  <si>
    <t>Hollis</t>
  </si>
  <si>
    <t>Long Island City</t>
  </si>
  <si>
    <t>Springfield Gardens</t>
  </si>
  <si>
    <t>Woodside</t>
  </si>
  <si>
    <t>Cambria Heights</t>
  </si>
  <si>
    <t>Rego Park</t>
  </si>
  <si>
    <t>Fresh Meadows</t>
  </si>
  <si>
    <t>Laurelton</t>
  </si>
  <si>
    <t>Rockaway Beach</t>
  </si>
  <si>
    <t>Maspeth</t>
  </si>
  <si>
    <t>BROOKLYN</t>
  </si>
  <si>
    <t>NEW YORK</t>
  </si>
  <si>
    <t>Whitestone</t>
  </si>
  <si>
    <t>Woodhaven</t>
  </si>
  <si>
    <t>Ridgewood</t>
  </si>
  <si>
    <t>Rockaway Park</t>
  </si>
  <si>
    <t>Richmond Hill</t>
  </si>
  <si>
    <t>staten island</t>
  </si>
  <si>
    <t>Jackson Hts</t>
  </si>
  <si>
    <t>Sunnyside</t>
  </si>
  <si>
    <t>Rosedale</t>
  </si>
  <si>
    <t>Jackson Heights</t>
  </si>
  <si>
    <t>Forest Hills</t>
  </si>
  <si>
    <t>Yes</t>
  </si>
  <si>
    <t>No</t>
  </si>
  <si>
    <t xml:space="preserve"> </t>
  </si>
  <si>
    <t>LT-071267-18/QU</t>
  </si>
  <si>
    <t>no case</t>
  </si>
  <si>
    <t>LT-062052-19/QU</t>
  </si>
  <si>
    <t>LT-063416-19/QU</t>
  </si>
  <si>
    <t>LT-000560-19/QU</t>
  </si>
  <si>
    <t>LT-063334-19/QU</t>
  </si>
  <si>
    <t>LT-063820-19/QU</t>
  </si>
  <si>
    <t>LT-063061-19/QU</t>
  </si>
  <si>
    <t>GS-210008-OD</t>
  </si>
  <si>
    <t>LT-075388-19/KI</t>
  </si>
  <si>
    <t>No case</t>
  </si>
  <si>
    <t>No Case</t>
  </si>
  <si>
    <t>LT-067359-19/KI</t>
  </si>
  <si>
    <t>LT-067539-19/KI</t>
  </si>
  <si>
    <t>LT-067366-19/KI</t>
  </si>
  <si>
    <t>LT-065327-19/KI</t>
  </si>
  <si>
    <t>LT-071742-19/KI</t>
  </si>
  <si>
    <t>none</t>
  </si>
  <si>
    <t>LT-073240-19/KI</t>
  </si>
  <si>
    <t>040820/2019</t>
  </si>
  <si>
    <t>LT-072687-19/KI</t>
  </si>
  <si>
    <t>LT-074475-19/KI</t>
  </si>
  <si>
    <t>LT-062947-19/QU</t>
  </si>
  <si>
    <t>LT-032272-19/BX</t>
  </si>
  <si>
    <t>LT-052202-19/RI</t>
  </si>
  <si>
    <t>LT-051757-19/RI</t>
  </si>
  <si>
    <t>LT-066704-19/NY</t>
  </si>
  <si>
    <t>LT-064690-19/NY</t>
  </si>
  <si>
    <t>None</t>
  </si>
  <si>
    <t>LT-075409-18/KI</t>
  </si>
  <si>
    <t>040822/2019</t>
  </si>
  <si>
    <t>HS-610194-S</t>
  </si>
  <si>
    <t>LT-085791-18/KI</t>
  </si>
  <si>
    <t>LT-075243-19/KI</t>
  </si>
  <si>
    <t>LT-062060-19/QU</t>
  </si>
  <si>
    <t>LT-067073-19/QU</t>
  </si>
  <si>
    <t>LT-065617-19/QU</t>
  </si>
  <si>
    <t>LT-018293-19/KI</t>
  </si>
  <si>
    <t>LT-057620-19/KI</t>
  </si>
  <si>
    <t>LT-050940-19/RI</t>
  </si>
  <si>
    <t>LT-064080-19/KI</t>
  </si>
  <si>
    <t>LT-073674-19/KI</t>
  </si>
  <si>
    <t>LT-061914-19/QU</t>
  </si>
  <si>
    <t>LT-059162-19/QU</t>
  </si>
  <si>
    <t>LT-063895-18/BX</t>
  </si>
  <si>
    <t>GP-210025-R</t>
  </si>
  <si>
    <t>LT-051869-19/KI</t>
  </si>
  <si>
    <t>LT-062604-19/QU</t>
  </si>
  <si>
    <t>LT-063265-19/QU</t>
  </si>
  <si>
    <t>LT-072171-19/KI</t>
  </si>
  <si>
    <t>LT-051247-17/KI</t>
  </si>
  <si>
    <t>LT-050232-17/QU</t>
  </si>
  <si>
    <t>LT-063867-19/QU</t>
  </si>
  <si>
    <t>LT-063650-19/QU</t>
  </si>
  <si>
    <t>LT-054693-19/QU</t>
  </si>
  <si>
    <t>LT-006187-19/KI</t>
  </si>
  <si>
    <t>LT-071469-19/KI</t>
  </si>
  <si>
    <t>LT-062805-19/QU</t>
  </si>
  <si>
    <t>LT-060626-19/QU</t>
  </si>
  <si>
    <t>LT-064064-19/NY</t>
  </si>
  <si>
    <t>LT-077604-19/KI</t>
  </si>
  <si>
    <t>LT-050184-19/NY</t>
  </si>
  <si>
    <t>LT-066810-19/QU</t>
  </si>
  <si>
    <t>LT-063360-19/QU</t>
  </si>
  <si>
    <t>LT-065806-19/QU</t>
  </si>
  <si>
    <t>GQ-610075-OR</t>
  </si>
  <si>
    <t>LT-094403-17/KI</t>
  </si>
  <si>
    <t>LT-065982-19/QU</t>
  </si>
  <si>
    <t>LT-053104-19/QU</t>
  </si>
  <si>
    <t>LT-80097-19/KI</t>
  </si>
  <si>
    <t>LT-050728-19/RI</t>
  </si>
  <si>
    <t>LT-052792-19/QU</t>
  </si>
  <si>
    <t>LT-072591-19/KI</t>
  </si>
  <si>
    <t>LT-057884-19/NY</t>
  </si>
  <si>
    <t>LT-079886-19/KI</t>
  </si>
  <si>
    <t>LT-023429-18/BX</t>
  </si>
  <si>
    <t>LT-078069-19/KI</t>
  </si>
  <si>
    <t>LT-809393-16/BX</t>
  </si>
  <si>
    <t>LT-051788-19/RI</t>
  </si>
  <si>
    <t>LT-200074-18/NY</t>
  </si>
  <si>
    <t>LT-076797-19/KI</t>
  </si>
  <si>
    <t>LT-052214-17/RI</t>
  </si>
  <si>
    <t>LT-096258-18/KI</t>
  </si>
  <si>
    <t>LT-000322-19/QU</t>
  </si>
  <si>
    <t>LT-057621-19/BX</t>
  </si>
  <si>
    <t>LT-007084-19/BX</t>
  </si>
  <si>
    <t>LT-060753-19/QU</t>
  </si>
  <si>
    <t>LT-060920-19/QU</t>
  </si>
  <si>
    <t>LT-054825-19/KI</t>
  </si>
  <si>
    <t>LT-059198-19/QU</t>
  </si>
  <si>
    <t>LT-051834-19/RI</t>
  </si>
  <si>
    <t>LT-059006-19/KI</t>
  </si>
  <si>
    <t>LT-0608623/19-NY</t>
  </si>
  <si>
    <t>LT-074634-18/KI</t>
  </si>
  <si>
    <t>LT-063191-19/KI</t>
  </si>
  <si>
    <t>LT-069638-19/KI</t>
  </si>
  <si>
    <t>LT-076038-19/KI</t>
  </si>
  <si>
    <t>LT-071995-19/KI</t>
  </si>
  <si>
    <t>LT-051480-19/RI</t>
  </si>
  <si>
    <t>LT-047475-18/BX</t>
  </si>
  <si>
    <t>LT-059701-19/KI</t>
  </si>
  <si>
    <t>LT-012645-19/NY</t>
  </si>
  <si>
    <t>LT-055242-19/NY</t>
  </si>
  <si>
    <t>LT-080074-18/KI</t>
  </si>
  <si>
    <t>LT-065512-19/QU</t>
  </si>
  <si>
    <t>LT-251164-19/NY</t>
  </si>
  <si>
    <t>LT-032256-19/BX</t>
  </si>
  <si>
    <t>LT-020164-19/BX</t>
  </si>
  <si>
    <t>LT-094957-18/KI</t>
  </si>
  <si>
    <t>LT-251141-19/NY</t>
  </si>
  <si>
    <t>77343/2019</t>
  </si>
  <si>
    <t>LT-073440-19/KI</t>
  </si>
  <si>
    <t>LT-051688-19/RI</t>
  </si>
  <si>
    <t>LT-053497-18/RI</t>
  </si>
  <si>
    <t>LT-051946-19/RI</t>
  </si>
  <si>
    <t>LT-071393-19/KI</t>
  </si>
  <si>
    <t>LT-075654-19/KI</t>
  </si>
  <si>
    <t>LT-063369-19/QU</t>
  </si>
  <si>
    <t>LT-076809-19/KI</t>
  </si>
  <si>
    <t>LT-077282-18/NY</t>
  </si>
  <si>
    <t>LT-080971-19/KI</t>
  </si>
  <si>
    <t>GW-430022-OM</t>
  </si>
  <si>
    <t>LT-070294-18/QU</t>
  </si>
  <si>
    <t>LT-089593-18/KI</t>
  </si>
  <si>
    <t>LT-066947-19/QU</t>
  </si>
  <si>
    <t>LT-059740-19/NY</t>
  </si>
  <si>
    <t>LT-001137-19/NY</t>
  </si>
  <si>
    <t>LT-051527-19/RI</t>
  </si>
  <si>
    <t>LT-251353-19/NY</t>
  </si>
  <si>
    <t>GW-130070-OM</t>
  </si>
  <si>
    <t>LT-005984-19/KI</t>
  </si>
  <si>
    <t>LT-250601-19/NY</t>
  </si>
  <si>
    <t>LT-028805-19/BX</t>
  </si>
  <si>
    <t>LT-059920-19/QU</t>
  </si>
  <si>
    <t>LT-051840-19/RI</t>
  </si>
  <si>
    <t>LT-071824-19/KI</t>
  </si>
  <si>
    <t>LT-084391-18/KI</t>
  </si>
  <si>
    <t>LT-051973-19/RI</t>
  </si>
  <si>
    <t>LT-051773-19/RI</t>
  </si>
  <si>
    <t>LT-069320-19/KI</t>
  </si>
  <si>
    <t>LT-063545-19/NY</t>
  </si>
  <si>
    <t>LT-</t>
  </si>
  <si>
    <t>LT-078556-19/QU</t>
  </si>
  <si>
    <t>LT-059792-19/NY</t>
  </si>
  <si>
    <t>LT-051737-19/RI</t>
  </si>
  <si>
    <t>LT-063595-19/QU</t>
  </si>
  <si>
    <t>LT-077712-19/KI</t>
  </si>
  <si>
    <t>LT-051981-19/RI</t>
  </si>
  <si>
    <t>LT-031389-19/BX</t>
  </si>
  <si>
    <t>LT-073148-19/KI</t>
  </si>
  <si>
    <t>LT-074838-18/QU</t>
  </si>
  <si>
    <t>LT-077528-18/QU</t>
  </si>
  <si>
    <t>LT-078292-19/KI</t>
  </si>
  <si>
    <t>LT-071849-19/KI</t>
  </si>
  <si>
    <t>LT-251530-19/NY</t>
  </si>
  <si>
    <t>LT-065718-19/QU</t>
  </si>
  <si>
    <t>LT-059876-19/NY</t>
  </si>
  <si>
    <t>LT-061783-19/KI</t>
  </si>
  <si>
    <t>CV-024411-15/QU</t>
  </si>
  <si>
    <t>HS-210129-S</t>
  </si>
  <si>
    <t>LT-063916-19/QU</t>
  </si>
  <si>
    <t>LT-017132-19/BX</t>
  </si>
  <si>
    <t>LT-075189-19/KI</t>
  </si>
  <si>
    <t>LT-064297-19/QU</t>
  </si>
  <si>
    <t>LT-050261-19/KI</t>
  </si>
  <si>
    <t>LT-250785-19/NY</t>
  </si>
  <si>
    <t>LT-052240-19/RI</t>
  </si>
  <si>
    <t>LT-060978-19/QU</t>
  </si>
  <si>
    <t>LT-075190-19/KI</t>
  </si>
  <si>
    <t>LT-063289-19/QU</t>
  </si>
  <si>
    <t>LT-071791-19/KI</t>
  </si>
  <si>
    <t>LT-066271-19/KI</t>
  </si>
  <si>
    <t>LT-064510-19/QU</t>
  </si>
  <si>
    <t>077591/19</t>
  </si>
  <si>
    <t>LT-056490-19/KI</t>
  </si>
  <si>
    <t>LT-070975-19/KI</t>
  </si>
  <si>
    <t>LT-074207-19/KI</t>
  </si>
  <si>
    <t>LT-051691-19/RI</t>
  </si>
  <si>
    <t>LT-062870-19/QU</t>
  </si>
  <si>
    <t>LT-068003-19/NY</t>
  </si>
  <si>
    <t>LT-063530-19/NY</t>
  </si>
  <si>
    <t>LT-051689-19/RI</t>
  </si>
  <si>
    <t>LT-064890-19/QU</t>
  </si>
  <si>
    <t>HT-110017-RV</t>
  </si>
  <si>
    <t>LT-051451-19/RI</t>
  </si>
  <si>
    <t>LT-050619-19/RI</t>
  </si>
  <si>
    <t>LT-069358-19/KI</t>
  </si>
  <si>
    <t>M-H-Z-19-71808</t>
  </si>
  <si>
    <t>LT-060954-19/QU</t>
  </si>
  <si>
    <t>LT-064740-18/KI</t>
  </si>
  <si>
    <t>CV-017856-19/KI</t>
  </si>
  <si>
    <t>LT-064502-19/QU</t>
  </si>
  <si>
    <t>LT-063534-19/QU</t>
  </si>
  <si>
    <t>LT-077440-19/KI</t>
  </si>
  <si>
    <t>LT-062779-19/NY</t>
  </si>
  <si>
    <t>LT-050367-19/RI</t>
  </si>
  <si>
    <t>LT-051784-19/RI</t>
  </si>
  <si>
    <t>LT-064408-19/NY</t>
  </si>
  <si>
    <t>LT-062630-19/QU</t>
  </si>
  <si>
    <t>LT-064518-19/QU</t>
  </si>
  <si>
    <t>GX-110104-OM</t>
  </si>
  <si>
    <t>LT-051546-19/RI</t>
  </si>
  <si>
    <t>LT-251107-19/NY</t>
  </si>
  <si>
    <t>LT-077157-19/KI</t>
  </si>
  <si>
    <t>LT-073109-19/KI</t>
  </si>
  <si>
    <t>LT-076161-18/QU</t>
  </si>
  <si>
    <t>LT-066112-19/KI</t>
  </si>
  <si>
    <t>LT-69910-19/NY</t>
  </si>
  <si>
    <t>LT-016946-19/BX</t>
  </si>
  <si>
    <t>LT-064385-19/QU</t>
  </si>
  <si>
    <t>40822/2019</t>
  </si>
  <si>
    <t>LT-062103-19/NY</t>
  </si>
  <si>
    <t>LT-040086-19/BX</t>
  </si>
  <si>
    <t>LT-051366-19/QU</t>
  </si>
  <si>
    <t>LT-063716-19/QU</t>
  </si>
  <si>
    <t>LT-064640-19/QU</t>
  </si>
  <si>
    <t>LT-252448-19/NY</t>
  </si>
  <si>
    <t>LT-063791-19/QU</t>
  </si>
  <si>
    <t>HP-410071-OM</t>
  </si>
  <si>
    <t>LT-011313-18/RI</t>
  </si>
  <si>
    <t>LT-051320-19/RI</t>
  </si>
  <si>
    <t>LT-075052-18/QU</t>
  </si>
  <si>
    <t>LT-057814-19/NY</t>
  </si>
  <si>
    <t>LT-073946-19/KI</t>
  </si>
  <si>
    <t>LT-077331-19/KI</t>
  </si>
  <si>
    <t>LT-066423-19/QU</t>
  </si>
  <si>
    <t>LT-065317-19/KI</t>
  </si>
  <si>
    <t>LT-052139-19/RI</t>
  </si>
  <si>
    <t>LT-051492-19/RI</t>
  </si>
  <si>
    <t>LT-053659-19/NY</t>
  </si>
  <si>
    <t>LT-080728-19/KI</t>
  </si>
  <si>
    <t>LT-075956-18/KI</t>
  </si>
  <si>
    <t>LT-064911-19/QU</t>
  </si>
  <si>
    <t>LT-074317-19/KI</t>
  </si>
  <si>
    <t>LT-051516-19/RI</t>
  </si>
  <si>
    <t>LT-077664-19/KI</t>
  </si>
  <si>
    <t>LT-052064-19/RI</t>
  </si>
  <si>
    <t>LT-001433-19/KI</t>
  </si>
  <si>
    <t>LT-059617-19/QU</t>
  </si>
  <si>
    <t>LT-067298-19/NY</t>
  </si>
  <si>
    <t>LT-077777-18/QU</t>
  </si>
  <si>
    <t>LT-052666-19/KI</t>
  </si>
  <si>
    <t>LT-251349-19/NY</t>
  </si>
  <si>
    <t>LT-057444-19/NY</t>
  </si>
  <si>
    <t>450170/2019</t>
  </si>
  <si>
    <t>ER-410056-RT</t>
  </si>
  <si>
    <t>LT-062856-19/QU</t>
  </si>
  <si>
    <t>LT-051823-19/RI</t>
  </si>
  <si>
    <t>LT-073824-19/KI</t>
  </si>
  <si>
    <t>LT-057153-19/QU</t>
  </si>
  <si>
    <t>LT-065009-19/QU</t>
  </si>
  <si>
    <t>LT-001631-19/KI</t>
  </si>
  <si>
    <t>LT-077394-19/KI</t>
  </si>
  <si>
    <t>LT-058694-19/KI</t>
  </si>
  <si>
    <t>LT-000600-19/QU</t>
  </si>
  <si>
    <t>LT-066022-19/QU</t>
  </si>
  <si>
    <t>LT-082466-17/NY</t>
  </si>
  <si>
    <t>LT-069790-19/KI</t>
  </si>
  <si>
    <t>LT-061685-19/QU</t>
  </si>
  <si>
    <t>LT-052197-19/RI</t>
  </si>
  <si>
    <t>LT-068984-19/KI</t>
  </si>
  <si>
    <t>LT-055726-19/KI</t>
  </si>
  <si>
    <t>LT-065463-19/QU</t>
  </si>
  <si>
    <t>LT-061550-19/NY</t>
  </si>
  <si>
    <t>LT-078379-19/KI</t>
  </si>
  <si>
    <t>LT-062081-19/QU</t>
  </si>
  <si>
    <t>LT-025352-19/BX</t>
  </si>
  <si>
    <t>LT-064944-19/NY</t>
  </si>
  <si>
    <t>LT-051778-19/RI</t>
  </si>
  <si>
    <t>LT-072237-19/KI</t>
  </si>
  <si>
    <t>LT-250726-19/NY</t>
  </si>
  <si>
    <t>LT-056804-19/QU</t>
  </si>
  <si>
    <t>LT-077105-19/KI</t>
  </si>
  <si>
    <t>LT-069112-19/KI</t>
  </si>
  <si>
    <t>LT-074234-19/KI</t>
  </si>
  <si>
    <t>LT-064089-19/NY</t>
  </si>
  <si>
    <t>LT-071177-19/KI</t>
  </si>
  <si>
    <t>LT-066319-19/KI</t>
  </si>
  <si>
    <t>LT-077952-19/KI</t>
  </si>
  <si>
    <t>LT-078066-19/KI</t>
  </si>
  <si>
    <t>LT-093193-18/KI</t>
  </si>
  <si>
    <t>HN-110017-OM</t>
  </si>
  <si>
    <t>LT-068254-19/QU</t>
  </si>
  <si>
    <t>002704/2018</t>
  </si>
  <si>
    <t>LT-060876-19/NY</t>
  </si>
  <si>
    <t>CV-151576-19/RI</t>
  </si>
  <si>
    <t>not available</t>
  </si>
  <si>
    <t>51413-19</t>
  </si>
  <si>
    <t>LT-056474-19/KI</t>
  </si>
  <si>
    <t>LT-072500-19/KI</t>
  </si>
  <si>
    <t>LT-069535-19/KI</t>
  </si>
  <si>
    <t>Unknown</t>
  </si>
  <si>
    <t>GX-110098-OM</t>
  </si>
  <si>
    <t>LT-058093-19/KI</t>
  </si>
  <si>
    <t>LT-077328-19/KI</t>
  </si>
  <si>
    <t>LT-062661-19/QU</t>
  </si>
  <si>
    <t>68559-19</t>
  </si>
  <si>
    <t>CV-015118-17/KI</t>
  </si>
  <si>
    <t>LT-004359-19/BX</t>
  </si>
  <si>
    <t>LT-063667-19/KI</t>
  </si>
  <si>
    <t>HM-130106-OM</t>
  </si>
  <si>
    <t>LT-078894-19/KI</t>
  </si>
  <si>
    <t>LT-057210-17/QU</t>
  </si>
  <si>
    <t>LT-063688-19/KI</t>
  </si>
  <si>
    <t>LT-075205-19/KI</t>
  </si>
  <si>
    <t>LT-050642-19/KI</t>
  </si>
  <si>
    <t>Holdover</t>
  </si>
  <si>
    <t>HP Action</t>
  </si>
  <si>
    <t>Non-payment</t>
  </si>
  <si>
    <t>Tenant Rights</t>
  </si>
  <si>
    <t>DHCR Administrative Action</t>
  </si>
  <si>
    <t>Section 8 other</t>
  </si>
  <si>
    <t>Non-Litigation Advocacy</t>
  </si>
  <si>
    <t>PA Issue: LINC</t>
  </si>
  <si>
    <t>SCRIE/DRIE</t>
  </si>
  <si>
    <t>PA Issue: City FEPS/SEPS</t>
  </si>
  <si>
    <t>PA Issue: RAU</t>
  </si>
  <si>
    <t>Other Civil Court</t>
  </si>
  <si>
    <t>PA Issue: Other</t>
  </si>
  <si>
    <t>Affirmative Litigation Supreme</t>
  </si>
  <si>
    <t>PA Issue: FEPS</t>
  </si>
  <si>
    <t>Appeal-Appellate Term</t>
  </si>
  <si>
    <t>NYCHA Housing Grievance</t>
  </si>
  <si>
    <t>Sec. 8 Termination</t>
  </si>
  <si>
    <t>Certificate of No Harassment Case</t>
  </si>
  <si>
    <t>Other Administrative Proceeding</t>
  </si>
  <si>
    <t>Human Rights Complaint</t>
  </si>
  <si>
    <t>Article 78</t>
  </si>
  <si>
    <t>Ejectment Action</t>
  </si>
  <si>
    <t>Advice</t>
  </si>
  <si>
    <t>Out-of-Court Advocacy</t>
  </si>
  <si>
    <t>Representation - State Court</t>
  </si>
  <si>
    <t>Hold For Review</t>
  </si>
  <si>
    <t>Representation - Admin. Agency</t>
  </si>
  <si>
    <t>Brief Service</t>
  </si>
  <si>
    <t>Representation - Federal Court</t>
  </si>
  <si>
    <t>A - Counsel and Advice</t>
  </si>
  <si>
    <t>G - Negotiated Settlement with Litigation</t>
  </si>
  <si>
    <t>F - Negotiated Settlement w/out Litigation</t>
  </si>
  <si>
    <t>B - Limited Action (Brief Service)</t>
  </si>
  <si>
    <t>H - Administrative Agency Decision</t>
  </si>
  <si>
    <t>IA - Uncontested Court Decision</t>
  </si>
  <si>
    <t>3018 Tenant Rights Coalition (TRC)</t>
  </si>
  <si>
    <t>3011 TRC FJC Initiative</t>
  </si>
  <si>
    <t>5556 Robin Hood-Foreclosure and Housing</t>
  </si>
  <si>
    <t>3311 Anti-Eviction and SRO Legal Services (formerly "HPD")</t>
  </si>
  <si>
    <t>5221 SSUSA-Single Stop USA</t>
  </si>
  <si>
    <t>4302 PHS- ADV-Client Advocacy</t>
  </si>
  <si>
    <t>5227 RH VJP (Veterans Justice Project)</t>
  </si>
  <si>
    <t>3020 CLS-Civil Legal Services</t>
  </si>
  <si>
    <t>3312 Housing Preservation Initiative (HPI)</t>
  </si>
  <si>
    <t>63 Private Landlord/Tenant</t>
  </si>
  <si>
    <t>71 TANF</t>
  </si>
  <si>
    <t>69 Other Housing</t>
  </si>
  <si>
    <t>01 Bankruptcy/Debtor Relief</t>
  </si>
  <si>
    <t>64 Public Housing</t>
  </si>
  <si>
    <t>61 Federally Subsidized Housing</t>
  </si>
  <si>
    <t>79 Other Income Maintenence</t>
  </si>
  <si>
    <t>02 Collect/Repo/Def/Garnsh</t>
  </si>
  <si>
    <t>39 Other Family</t>
  </si>
  <si>
    <t>Post-Judgment, Tenant in Possession-Judgment Due to Default</t>
  </si>
  <si>
    <t>No Stipulation; No Judgment</t>
  </si>
  <si>
    <t>Post-Judgment, Tenant Out of Possession</t>
  </si>
  <si>
    <t>Post-Stipulation, No Judgment</t>
  </si>
  <si>
    <t>Post-Judgment, Tenant in Possession-Judgment Due to Other</t>
  </si>
  <si>
    <t>On for Trial</t>
  </si>
  <si>
    <t>No Stipulation; No Judgment, Post-Stipulation, No Judgment</t>
  </si>
  <si>
    <t>09/01/2019</t>
  </si>
  <si>
    <t>08/03/2019</t>
  </si>
  <si>
    <t>09/02/2019</t>
  </si>
  <si>
    <t>08/31/2019</t>
  </si>
  <si>
    <t>09/14/2019</t>
  </si>
  <si>
    <t>10/27/2019</t>
  </si>
  <si>
    <t>07/28/2019</t>
  </si>
  <si>
    <t>09/22/2019</t>
  </si>
  <si>
    <t>09/29/2019</t>
  </si>
  <si>
    <t>Queens Legal Services</t>
  </si>
  <si>
    <t>Brooklyn Legal Services</t>
  </si>
  <si>
    <t>Bronx Legal Services</t>
  </si>
  <si>
    <t>Staten Island Legal Services</t>
  </si>
  <si>
    <t>Manhattan Legal Services</t>
  </si>
  <si>
    <t>HRA</t>
  </si>
  <si>
    <t>Outreach</t>
  </si>
  <si>
    <t>FJC Housing Intake</t>
  </si>
  <si>
    <t>Other</t>
  </si>
  <si>
    <t>Word of mouth</t>
  </si>
  <si>
    <t>Returning Client</t>
  </si>
  <si>
    <t>Community Organization</t>
  </si>
  <si>
    <t>Elected Official</t>
  </si>
  <si>
    <t>Tenant Support Unit</t>
  </si>
  <si>
    <t>Self-referred</t>
  </si>
  <si>
    <t>Court Referral-NON HRA</t>
  </si>
  <si>
    <t>3-1-1</t>
  </si>
  <si>
    <t>Friends/Family</t>
  </si>
  <si>
    <t>Other City Agency</t>
  </si>
  <si>
    <t>HRA ELS Part F Brooklyn</t>
  </si>
  <si>
    <t>In-House</t>
  </si>
  <si>
    <t>Home base</t>
  </si>
  <si>
    <t>ADP Hotline</t>
  </si>
  <si>
    <t>6014-Obtained advice and counsel on a Housing matter</t>
  </si>
  <si>
    <t>6003-Delayed eviction providing time to seek alternative housing</t>
  </si>
  <si>
    <t>6002-Prevented eviction from private housing</t>
  </si>
  <si>
    <t>6015-Obtained non-litgation advocacy services on a Housing  matter</t>
  </si>
  <si>
    <t>6017-Obtained other benefit on a Housing matter</t>
  </si>
  <si>
    <t>7001-Obtained, preserved or increased public assistance, TANF or other welfare benefit/right</t>
  </si>
  <si>
    <t>1013-Obtained advice and counsel  on Consumer matter</t>
  </si>
  <si>
    <t>6001-Prevented eviction from public housing</t>
  </si>
  <si>
    <t>7012-Obtained advice and counsel  on an Income Maintenance matter</t>
  </si>
  <si>
    <t>6007-Avoided, or obtained redress for charges by landlord</t>
  </si>
  <si>
    <t>7015-Obtained other benefit on an Income Maintenance matter</t>
  </si>
  <si>
    <t>6009-Obtained repairs, Improved housing conditions or otherwise enforced rights to decent, habitable housing</t>
  </si>
  <si>
    <t>05/22/1992</t>
  </si>
  <si>
    <t>09/12/1985</t>
  </si>
  <si>
    <t>02/24/1993</t>
  </si>
  <si>
    <t>11/04/1969</t>
  </si>
  <si>
    <t>05/22/1965</t>
  </si>
  <si>
    <t>12/14/1989</t>
  </si>
  <si>
    <t>04/19/1985</t>
  </si>
  <si>
    <t>06/15/1991</t>
  </si>
  <si>
    <t>09/12/1995</t>
  </si>
  <si>
    <t>04/06/1982</t>
  </si>
  <si>
    <t>07/18/1960</t>
  </si>
  <si>
    <t>10/23/1962</t>
  </si>
  <si>
    <t>02/19/1980</t>
  </si>
  <si>
    <t>07/09/1962</t>
  </si>
  <si>
    <t>07/27/1967</t>
  </si>
  <si>
    <t>12/25/1979</t>
  </si>
  <si>
    <t>12/28/1980</t>
  </si>
  <si>
    <t>07/03/1986</t>
  </si>
  <si>
    <t>10/15/1983</t>
  </si>
  <si>
    <t>07/10/1960</t>
  </si>
  <si>
    <t>01/01/1964</t>
  </si>
  <si>
    <t>05/09/1993</t>
  </si>
  <si>
    <t>09/30/1974</t>
  </si>
  <si>
    <t>07/10/1968</t>
  </si>
  <si>
    <t>03/22/1972</t>
  </si>
  <si>
    <t>01/01/1978</t>
  </si>
  <si>
    <t>02/12/1986</t>
  </si>
  <si>
    <t>12/13/1964</t>
  </si>
  <si>
    <t>11/11/1962</t>
  </si>
  <si>
    <t>08/31/1973</t>
  </si>
  <si>
    <t>10/11/1969</t>
  </si>
  <si>
    <t>01/01/1954</t>
  </si>
  <si>
    <t>02/12/1975</t>
  </si>
  <si>
    <t>10/31/1981</t>
  </si>
  <si>
    <t>10/05/1993</t>
  </si>
  <si>
    <t>06/08/1977</t>
  </si>
  <si>
    <t>03/17/1957</t>
  </si>
  <si>
    <t>12/28/1984</t>
  </si>
  <si>
    <t>06/15/1967</t>
  </si>
  <si>
    <t>09/20/1979</t>
  </si>
  <si>
    <t>12/09/1981</t>
  </si>
  <si>
    <t>08/15/1981</t>
  </si>
  <si>
    <t>04/28/1949</t>
  </si>
  <si>
    <t>10/01/1962</t>
  </si>
  <si>
    <t>08/23/1975</t>
  </si>
  <si>
    <t>02/11/1990</t>
  </si>
  <si>
    <t>10/17/1992</t>
  </si>
  <si>
    <t>06/26/1968</t>
  </si>
  <si>
    <t>05/13/1961</t>
  </si>
  <si>
    <t>03/30/1960</t>
  </si>
  <si>
    <t>08/01/1975</t>
  </si>
  <si>
    <t>12/09/1960</t>
  </si>
  <si>
    <t>07/23/1977</t>
  </si>
  <si>
    <t>10/27/1974</t>
  </si>
  <si>
    <t>06/15/1987</t>
  </si>
  <si>
    <t>12/18/1963</t>
  </si>
  <si>
    <t>09/09/1966</t>
  </si>
  <si>
    <t>07/29/1977</t>
  </si>
  <si>
    <t>12/30/1940</t>
  </si>
  <si>
    <t>08/11/1980</t>
  </si>
  <si>
    <t>05/03/1980</t>
  </si>
  <si>
    <t>04/04/1967</t>
  </si>
  <si>
    <t>09/19/1957</t>
  </si>
  <si>
    <t>07/04/1955</t>
  </si>
  <si>
    <t>04/17/1963</t>
  </si>
  <si>
    <t>09/22/1973</t>
  </si>
  <si>
    <t>02/04/1983</t>
  </si>
  <si>
    <t>10/19/1962</t>
  </si>
  <si>
    <t>10/25/1944</t>
  </si>
  <si>
    <t>10/22/1969</t>
  </si>
  <si>
    <t>06/14/1968</t>
  </si>
  <si>
    <t>06/29/1958</t>
  </si>
  <si>
    <t>09/15/1973</t>
  </si>
  <si>
    <t>08/19/1969</t>
  </si>
  <si>
    <t>05/15/1961</t>
  </si>
  <si>
    <t>10/01/1975</t>
  </si>
  <si>
    <t>08/13/1983</t>
  </si>
  <si>
    <t>07/17/1984</t>
  </si>
  <si>
    <t>10/24/1959</t>
  </si>
  <si>
    <t>10/16/1991</t>
  </si>
  <si>
    <t>09/29/1985</t>
  </si>
  <si>
    <t>08/17/1992</t>
  </si>
  <si>
    <t>02/27/1983</t>
  </si>
  <si>
    <t>07/31/1969</t>
  </si>
  <si>
    <t>07/16/1978</t>
  </si>
  <si>
    <t>06/26/1978</t>
  </si>
  <si>
    <t>04/19/1995</t>
  </si>
  <si>
    <t>02/05/1985</t>
  </si>
  <si>
    <t>10/06/1961</t>
  </si>
  <si>
    <t>01/21/1991</t>
  </si>
  <si>
    <t>06/25/1984</t>
  </si>
  <si>
    <t>02/05/1982</t>
  </si>
  <si>
    <t>04/06/1970</t>
  </si>
  <si>
    <t>02/29/1960</t>
  </si>
  <si>
    <t>07/18/1979</t>
  </si>
  <si>
    <t>01/05/1966</t>
  </si>
  <si>
    <t>09/22/1980</t>
  </si>
  <si>
    <t>11/01/1969</t>
  </si>
  <si>
    <t>06/17/1953</t>
  </si>
  <si>
    <t>04/12/1963</t>
  </si>
  <si>
    <t>12/03/1982</t>
  </si>
  <si>
    <t>01/28/1960</t>
  </si>
  <si>
    <t>10/11/1954</t>
  </si>
  <si>
    <t>08/16/1964</t>
  </si>
  <si>
    <t>01/12/1988</t>
  </si>
  <si>
    <t>12/21/1967</t>
  </si>
  <si>
    <t>10/02/1979</t>
  </si>
  <si>
    <t>02/20/1977</t>
  </si>
  <si>
    <t>07/09/1986</t>
  </si>
  <si>
    <t>05/08/1959</t>
  </si>
  <si>
    <t>10/06/1986</t>
  </si>
  <si>
    <t>03/02/1957</t>
  </si>
  <si>
    <t>08/10/1982</t>
  </si>
  <si>
    <t>06/04/1959</t>
  </si>
  <si>
    <t>04/20/1965</t>
  </si>
  <si>
    <t>11/08/1972</t>
  </si>
  <si>
    <t>05/07/1978</t>
  </si>
  <si>
    <t>07/11/1966</t>
  </si>
  <si>
    <t>01/05/1995</t>
  </si>
  <si>
    <t>09/27/1969</t>
  </si>
  <si>
    <t>10/18/1985</t>
  </si>
  <si>
    <t>03/08/1993</t>
  </si>
  <si>
    <t>05/27/1958</t>
  </si>
  <si>
    <t>10/15/1950</t>
  </si>
  <si>
    <t>07/19/1964</t>
  </si>
  <si>
    <t>11/23/1977</t>
  </si>
  <si>
    <t>03/20/1963</t>
  </si>
  <si>
    <t>06/10/1970</t>
  </si>
  <si>
    <t>07/04/1980</t>
  </si>
  <si>
    <t>05/14/1986</t>
  </si>
  <si>
    <t>01/09/1946</t>
  </si>
  <si>
    <t>03/29/1947</t>
  </si>
  <si>
    <t>07/21/1990</t>
  </si>
  <si>
    <t>09/21/1978</t>
  </si>
  <si>
    <t>06/21/1986</t>
  </si>
  <si>
    <t>08/05/1956</t>
  </si>
  <si>
    <t>05/16/1957</t>
  </si>
  <si>
    <t>06/27/1960</t>
  </si>
  <si>
    <t>02/07/1997</t>
  </si>
  <si>
    <t>10/05/1978</t>
  </si>
  <si>
    <t>01/20/1973</t>
  </si>
  <si>
    <t>10/08/1958</t>
  </si>
  <si>
    <t>02/12/1982</t>
  </si>
  <si>
    <t>06/10/1952</t>
  </si>
  <si>
    <t>11/06/1978</t>
  </si>
  <si>
    <t>01/22/1993</t>
  </si>
  <si>
    <t>02/17/1986</t>
  </si>
  <si>
    <t>07/30/1962</t>
  </si>
  <si>
    <t>04/28/1979</t>
  </si>
  <si>
    <t>03/07/1981</t>
  </si>
  <si>
    <t>04/24/1946</t>
  </si>
  <si>
    <t>03/22/1993</t>
  </si>
  <si>
    <t>04/19/1977</t>
  </si>
  <si>
    <t>03/25/1958</t>
  </si>
  <si>
    <t>03/15/1955</t>
  </si>
  <si>
    <t>01/08/1955</t>
  </si>
  <si>
    <t>08/19/1986</t>
  </si>
  <si>
    <t>04/02/1970</t>
  </si>
  <si>
    <t>10/06/1966</t>
  </si>
  <si>
    <t>11/12/1956</t>
  </si>
  <si>
    <t>06/11/1967</t>
  </si>
  <si>
    <t>02/22/1980</t>
  </si>
  <si>
    <t>04/28/1959</t>
  </si>
  <si>
    <t>07/01/1964</t>
  </si>
  <si>
    <t>09/14/1956</t>
  </si>
  <si>
    <t>08/07/1955</t>
  </si>
  <si>
    <t>01/17/1950</t>
  </si>
  <si>
    <t>04/30/1968</t>
  </si>
  <si>
    <t>11/08/1976</t>
  </si>
  <si>
    <t>07/18/1972</t>
  </si>
  <si>
    <t>02/10/1972</t>
  </si>
  <si>
    <t>10/17/1980</t>
  </si>
  <si>
    <t>10/03/1985</t>
  </si>
  <si>
    <t>09/09/1962</t>
  </si>
  <si>
    <t>07/06/1977</t>
  </si>
  <si>
    <t>02/23/1961</t>
  </si>
  <si>
    <t>09/03/1961</t>
  </si>
  <si>
    <t>08/23/1948</t>
  </si>
  <si>
    <t>09/06/1968</t>
  </si>
  <si>
    <t>09/15/1961</t>
  </si>
  <si>
    <t>08/24/1973</t>
  </si>
  <si>
    <t>08/02/1978</t>
  </si>
  <si>
    <t>09/14/1963</t>
  </si>
  <si>
    <t>02/23/1967</t>
  </si>
  <si>
    <t>11/16/1981</t>
  </si>
  <si>
    <t>04/23/1968</t>
  </si>
  <si>
    <t>09/19/1967</t>
  </si>
  <si>
    <t>06/13/1963</t>
  </si>
  <si>
    <t>06/09/1984</t>
  </si>
  <si>
    <t>02/04/1956</t>
  </si>
  <si>
    <t>06/21/1979</t>
  </si>
  <si>
    <t>09/17/1971</t>
  </si>
  <si>
    <t>06/02/1989</t>
  </si>
  <si>
    <t>06/21/1990</t>
  </si>
  <si>
    <t>02/14/1987</t>
  </si>
  <si>
    <t>08/10/1957</t>
  </si>
  <si>
    <t>10/17/1961</t>
  </si>
  <si>
    <t>03/19/1989</t>
  </si>
  <si>
    <t>09/03/1983</t>
  </si>
  <si>
    <t>10/30/1978</t>
  </si>
  <si>
    <t>02/01/1965</t>
  </si>
  <si>
    <t>04/23/1944</t>
  </si>
  <si>
    <t>05/07/1946</t>
  </si>
  <si>
    <t>02/06/1965</t>
  </si>
  <si>
    <t>09/27/1957</t>
  </si>
  <si>
    <t>03/21/1957</t>
  </si>
  <si>
    <t>10/01/1950</t>
  </si>
  <si>
    <t>09/04/1954</t>
  </si>
  <si>
    <t>10/21/1965</t>
  </si>
  <si>
    <t>05/24/2012</t>
  </si>
  <si>
    <t>11/10/1984</t>
  </si>
  <si>
    <t>12/21/1994</t>
  </si>
  <si>
    <t>05/02/1959</t>
  </si>
  <si>
    <t>02/10/1944</t>
  </si>
  <si>
    <t>06/25/1977</t>
  </si>
  <si>
    <t>04/29/1974</t>
  </si>
  <si>
    <t>12/26/1966</t>
  </si>
  <si>
    <t>08/26/1972</t>
  </si>
  <si>
    <t>11/13/1957</t>
  </si>
  <si>
    <t>12/14/1954</t>
  </si>
  <si>
    <t>01/16/1960</t>
  </si>
  <si>
    <t>08/11/1958</t>
  </si>
  <si>
    <t>06/10/1947</t>
  </si>
  <si>
    <t>12/29/1966</t>
  </si>
  <si>
    <t>06/25/1956</t>
  </si>
  <si>
    <t>01/27/1952</t>
  </si>
  <si>
    <t>08/15/1958</t>
  </si>
  <si>
    <t>03/28/1945</t>
  </si>
  <si>
    <t>03/25/1957</t>
  </si>
  <si>
    <t>02/11/1978</t>
  </si>
  <si>
    <t>02/02/1968</t>
  </si>
  <si>
    <t>01/07/1946</t>
  </si>
  <si>
    <t>09/08/1962</t>
  </si>
  <si>
    <t>03/29/1990</t>
  </si>
  <si>
    <t>01/26/1944</t>
  </si>
  <si>
    <t>09/08/1977</t>
  </si>
  <si>
    <t>10/01/1981</t>
  </si>
  <si>
    <t>02/08/1958</t>
  </si>
  <si>
    <t>04/24/1950</t>
  </si>
  <si>
    <t>04/17/1960</t>
  </si>
  <si>
    <t>02/08/1939</t>
  </si>
  <si>
    <t>10/26/1957</t>
  </si>
  <si>
    <t>04/13/1959</t>
  </si>
  <si>
    <t>04/03/1982</t>
  </si>
  <si>
    <t>07/17/1959</t>
  </si>
  <si>
    <t>04/10/1958</t>
  </si>
  <si>
    <t>10/09/1961</t>
  </si>
  <si>
    <t>08/10/1962</t>
  </si>
  <si>
    <t>06/06/1968</t>
  </si>
  <si>
    <t>05/21/1951</t>
  </si>
  <si>
    <t>09/20/1959</t>
  </si>
  <si>
    <t>04/08/1942</t>
  </si>
  <si>
    <t>03/20/1947</t>
  </si>
  <si>
    <t>12/28/1951</t>
  </si>
  <si>
    <t>11/23/1989</t>
  </si>
  <si>
    <t>12/09/1950</t>
  </si>
  <si>
    <t>09/29/1962</t>
  </si>
  <si>
    <t>03/02/1937</t>
  </si>
  <si>
    <t>05/18/1977</t>
  </si>
  <si>
    <t>04/15/1983</t>
  </si>
  <si>
    <t>09/06/1951</t>
  </si>
  <si>
    <t>06/16/1941</t>
  </si>
  <si>
    <t>10/01/1986</t>
  </si>
  <si>
    <t>03/11/1935</t>
  </si>
  <si>
    <t>05/15/1944</t>
  </si>
  <si>
    <t>10/30/1977</t>
  </si>
  <si>
    <t>11/21/1962</t>
  </si>
  <si>
    <t>08/14/1954</t>
  </si>
  <si>
    <t>06/21/1963</t>
  </si>
  <si>
    <t>01/18/1956</t>
  </si>
  <si>
    <t>05/29/1958</t>
  </si>
  <si>
    <t>06/09/1968</t>
  </si>
  <si>
    <t>07/10/1961</t>
  </si>
  <si>
    <t>09/23/1959</t>
  </si>
  <si>
    <t>11/11/1956</t>
  </si>
  <si>
    <t>03/04/1958</t>
  </si>
  <si>
    <t>09/19/1959</t>
  </si>
  <si>
    <t>02/19/1978</t>
  </si>
  <si>
    <t>01/19/1954</t>
  </si>
  <si>
    <t>02/15/1962</t>
  </si>
  <si>
    <t>10/18/1984</t>
  </si>
  <si>
    <t>01/20/1958</t>
  </si>
  <si>
    <t>03/12/1948</t>
  </si>
  <si>
    <t>04/19/1953</t>
  </si>
  <si>
    <t>09/01/1940</t>
  </si>
  <si>
    <t>08/26/1945</t>
  </si>
  <si>
    <t>12/13/1984</t>
  </si>
  <si>
    <t>05/28/1933</t>
  </si>
  <si>
    <t>04/24/1989</t>
  </si>
  <si>
    <t>04/30/1953</t>
  </si>
  <si>
    <t>07/24/1957</t>
  </si>
  <si>
    <t>08/22/1991</t>
  </si>
  <si>
    <t>01/26/1956</t>
  </si>
  <si>
    <t>10/11/1956</t>
  </si>
  <si>
    <t>11/08/1946</t>
  </si>
  <si>
    <t>06/12/1972</t>
  </si>
  <si>
    <t>08/04/1964</t>
  </si>
  <si>
    <t>01/20/1999</t>
  </si>
  <si>
    <t>07/05/1966</t>
  </si>
  <si>
    <t>04/10/1967</t>
  </si>
  <si>
    <t>02/21/1974</t>
  </si>
  <si>
    <t>09/04/1944</t>
  </si>
  <si>
    <t>03/14/1955</t>
  </si>
  <si>
    <t>10/14/1960</t>
  </si>
  <si>
    <t>11/02/1969</t>
  </si>
  <si>
    <t>05/26/1960</t>
  </si>
  <si>
    <t>11/03/1966</t>
  </si>
  <si>
    <t>05/16/1982</t>
  </si>
  <si>
    <t>05/25/1958</t>
  </si>
  <si>
    <t>03/25/1984</t>
  </si>
  <si>
    <t>12/30/1971</t>
  </si>
  <si>
    <t>09/05/1962</t>
  </si>
  <si>
    <t>12/15/1964</t>
  </si>
  <si>
    <t>12/13/1971</t>
  </si>
  <si>
    <t>02/15/1989</t>
  </si>
  <si>
    <t>01/02/1939</t>
  </si>
  <si>
    <t>08/15/1952</t>
  </si>
  <si>
    <t>01/18/1958</t>
  </si>
  <si>
    <t>08/13/1975</t>
  </si>
  <si>
    <t>04/14/1945</t>
  </si>
  <si>
    <t>11/21/1954</t>
  </si>
  <si>
    <t>10/10/1949</t>
  </si>
  <si>
    <t>01/27/1956</t>
  </si>
  <si>
    <t>01/03/1972</t>
  </si>
  <si>
    <t>06/24/1951</t>
  </si>
  <si>
    <t>06/02/1982</t>
  </si>
  <si>
    <t>09/29/1968</t>
  </si>
  <si>
    <t>11/26/1976</t>
  </si>
  <si>
    <t>01/07/1957</t>
  </si>
  <si>
    <t>03/06/1970</t>
  </si>
  <si>
    <t>05/17/1964</t>
  </si>
  <si>
    <t>01/16/1976</t>
  </si>
  <si>
    <t>09/29/1971</t>
  </si>
  <si>
    <t>08/31/1976</t>
  </si>
  <si>
    <t>10/30/1954</t>
  </si>
  <si>
    <t>07/09/1979</t>
  </si>
  <si>
    <t>07/04/1945</t>
  </si>
  <si>
    <t>10/20/1961</t>
  </si>
  <si>
    <t>03/05/1952</t>
  </si>
  <si>
    <t>03/09/1988</t>
  </si>
  <si>
    <t>08/17/1974</t>
  </si>
  <si>
    <t>12/20/1948</t>
  </si>
  <si>
    <t>01/05/1979</t>
  </si>
  <si>
    <t>01/20/1951</t>
  </si>
  <si>
    <t>05/14/1952</t>
  </si>
  <si>
    <t>04/23/1996</t>
  </si>
  <si>
    <t>06/03/1963</t>
  </si>
  <si>
    <t>10/01/1957</t>
  </si>
  <si>
    <t>07/27/1964</t>
  </si>
  <si>
    <t>03/28/1981</t>
  </si>
  <si>
    <t>12/27/1978</t>
  </si>
  <si>
    <t>09/22/1937</t>
  </si>
  <si>
    <t>05/14/1982</t>
  </si>
  <si>
    <t>02/20/1958</t>
  </si>
  <si>
    <t>02/28/1955</t>
  </si>
  <si>
    <t>11/10/1970</t>
  </si>
  <si>
    <t>12/27/1960</t>
  </si>
  <si>
    <t>04/30/1939</t>
  </si>
  <si>
    <t>11/30/1979</t>
  </si>
  <si>
    <t>05/23/1947</t>
  </si>
  <si>
    <t>06/07/1944</t>
  </si>
  <si>
    <t>06/14/1958</t>
  </si>
  <si>
    <t>12/17/1969</t>
  </si>
  <si>
    <t>09/18/1990</t>
  </si>
  <si>
    <t>06/23/1974</t>
  </si>
  <si>
    <t>04/06/1943</t>
  </si>
  <si>
    <t>12/31/1970</t>
  </si>
  <si>
    <t>12/23/1961</t>
  </si>
  <si>
    <t>06/24/1954</t>
  </si>
  <si>
    <t>03/19/1960</t>
  </si>
  <si>
    <t>05/26/1985</t>
  </si>
  <si>
    <t>06/06/1986</t>
  </si>
  <si>
    <t>08/21/1990</t>
  </si>
  <si>
    <t>06/03/1941</t>
  </si>
  <si>
    <t>05/25/1936</t>
  </si>
  <si>
    <t>02/01/1945</t>
  </si>
  <si>
    <t>10/23/1958</t>
  </si>
  <si>
    <t>06/02/1947</t>
  </si>
  <si>
    <t>01/07/1967</t>
  </si>
  <si>
    <t>10/02/1955</t>
  </si>
  <si>
    <t>08/27/1958</t>
  </si>
  <si>
    <t>04/06/1973</t>
  </si>
  <si>
    <t>11/17/1936</t>
  </si>
  <si>
    <t>06/08/1964</t>
  </si>
  <si>
    <t>11/30/1976</t>
  </si>
  <si>
    <t>11/23/1967</t>
  </si>
  <si>
    <t>07/31/1961</t>
  </si>
  <si>
    <t>10/01/1982</t>
  </si>
  <si>
    <t>10/24/1964</t>
  </si>
  <si>
    <t>07/13/1956</t>
  </si>
  <si>
    <t>03/03/1965</t>
  </si>
  <si>
    <t>05/27/1989</t>
  </si>
  <si>
    <t>11/21/1977</t>
  </si>
  <si>
    <t>02/28/1978</t>
  </si>
  <si>
    <t>02/15/1950</t>
  </si>
  <si>
    <t>12/13/1949</t>
  </si>
  <si>
    <t>06/18/1961</t>
  </si>
  <si>
    <t>08/17/1979</t>
  </si>
  <si>
    <t>09/22/1963</t>
  </si>
  <si>
    <t>09/15/1948</t>
  </si>
  <si>
    <t>06/04/1956</t>
  </si>
  <si>
    <t>05/15/1968</t>
  </si>
  <si>
    <t>04/13/1946</t>
  </si>
  <si>
    <t>03/02/1941</t>
  </si>
  <si>
    <t>03/16/1983</t>
  </si>
  <si>
    <t>06/08/1960</t>
  </si>
  <si>
    <t>02/12/1973</t>
  </si>
  <si>
    <t>09/13/1955</t>
  </si>
  <si>
    <t>02/01/1954</t>
  </si>
  <si>
    <t>11/10/1988</t>
  </si>
  <si>
    <t>01/08/1981</t>
  </si>
  <si>
    <t>12/14/1959</t>
  </si>
  <si>
    <t>12/20/1960</t>
  </si>
  <si>
    <t>10/29/1943</t>
  </si>
  <si>
    <t>07/08/1970</t>
  </si>
  <si>
    <t>09/04/1986</t>
  </si>
  <si>
    <t>12/22/1990</t>
  </si>
  <si>
    <t>02/01/1946</t>
  </si>
  <si>
    <t>08/23/1965</t>
  </si>
  <si>
    <t>05/01/1942</t>
  </si>
  <si>
    <t>08/21/1967</t>
  </si>
  <si>
    <t>12/04/1955</t>
  </si>
  <si>
    <t>08/08/1946</t>
  </si>
  <si>
    <t>09/05/1972</t>
  </si>
  <si>
    <t>05/29/1988</t>
  </si>
  <si>
    <t>07/05/1977</t>
  </si>
  <si>
    <t>12/08/1950</t>
  </si>
  <si>
    <t>09/27/1959</t>
  </si>
  <si>
    <t>02/03/1964</t>
  </si>
  <si>
    <t>11/29/1942</t>
  </si>
  <si>
    <t>08/18/1974</t>
  </si>
  <si>
    <t>07/08/1967</t>
  </si>
  <si>
    <t>10/08/1956</t>
  </si>
  <si>
    <t>11/26/1970</t>
  </si>
  <si>
    <t>12/09/1969</t>
  </si>
  <si>
    <t>06/25/1980</t>
  </si>
  <si>
    <t>03/14/1945</t>
  </si>
  <si>
    <t>10/03/1969</t>
  </si>
  <si>
    <t>12/17/1984</t>
  </si>
  <si>
    <t>06/04/1984</t>
  </si>
  <si>
    <t>02/04/1968</t>
  </si>
  <si>
    <t>05/24/1964</t>
  </si>
  <si>
    <t>02/23/1986</t>
  </si>
  <si>
    <t>09/20/1963</t>
  </si>
  <si>
    <t>11/07/1960</t>
  </si>
  <si>
    <t>07/31/1972</t>
  </si>
  <si>
    <t>01/09/1973</t>
  </si>
  <si>
    <t>07/14/1954</t>
  </si>
  <si>
    <t>04/02/1966</t>
  </si>
  <si>
    <t>05/11/1983</t>
  </si>
  <si>
    <t>12/31/1967</t>
  </si>
  <si>
    <t>08/03/1969</t>
  </si>
  <si>
    <t>05/21/1955</t>
  </si>
  <si>
    <t>02/06/1941</t>
  </si>
  <si>
    <t>09/24/1984</t>
  </si>
  <si>
    <t>04/27/1970</t>
  </si>
  <si>
    <t>12/03/1960</t>
  </si>
  <si>
    <t>03/21/1980</t>
  </si>
  <si>
    <t>05/07/1967</t>
  </si>
  <si>
    <t>08/23/1968</t>
  </si>
  <si>
    <t>04/17/1988</t>
  </si>
  <si>
    <t>05/23/1980</t>
  </si>
  <si>
    <t>01/17/1996</t>
  </si>
  <si>
    <t>05/29/1991</t>
  </si>
  <si>
    <t>11/01/1951</t>
  </si>
  <si>
    <t>09/06/1993</t>
  </si>
  <si>
    <t>01/22/1976</t>
  </si>
  <si>
    <t>01/02/1941</t>
  </si>
  <si>
    <t>09/20/1989</t>
  </si>
  <si>
    <t>07/20/1953</t>
  </si>
  <si>
    <t>12/09/1989</t>
  </si>
  <si>
    <t>10/31/1934</t>
  </si>
  <si>
    <t>02/25/1989</t>
  </si>
  <si>
    <t>12/29/1989</t>
  </si>
  <si>
    <t>08/13/1973</t>
  </si>
  <si>
    <t>09/25/1946</t>
  </si>
  <si>
    <t>04/04/1954</t>
  </si>
  <si>
    <t>02/17/1981</t>
  </si>
  <si>
    <t>08/20/1948</t>
  </si>
  <si>
    <t>08/07/1966</t>
  </si>
  <si>
    <t>05/24/1969</t>
  </si>
  <si>
    <t>05/22/1963</t>
  </si>
  <si>
    <t>11/16/1960</t>
  </si>
  <si>
    <t>05/01/1969</t>
  </si>
  <si>
    <t>02/08/1967</t>
  </si>
  <si>
    <t>07/14/1966</t>
  </si>
  <si>
    <t>09/17/1981</t>
  </si>
  <si>
    <t>05/31/1962</t>
  </si>
  <si>
    <t>10/02/1967</t>
  </si>
  <si>
    <t>06/13/1947</t>
  </si>
  <si>
    <t>04/15/1950</t>
  </si>
  <si>
    <t>11/05/1948</t>
  </si>
  <si>
    <t>04/02/1956</t>
  </si>
  <si>
    <t>12/13/1946</t>
  </si>
  <si>
    <t>10/20/1962</t>
  </si>
  <si>
    <t>08/18/1980</t>
  </si>
  <si>
    <t>03/10/1951</t>
  </si>
  <si>
    <t>11/21/1992</t>
  </si>
  <si>
    <t>12/20/1946</t>
  </si>
  <si>
    <t>01/19/1988</t>
  </si>
  <si>
    <t>08/25/1952</t>
  </si>
  <si>
    <t>06/27/1966</t>
  </si>
  <si>
    <t>07/10/1978</t>
  </si>
  <si>
    <t>02/10/1957</t>
  </si>
  <si>
    <t>08/14/1955</t>
  </si>
  <si>
    <t>11/15/1969</t>
  </si>
  <si>
    <t>09/23/1975</t>
  </si>
  <si>
    <t>01/23/1962</t>
  </si>
  <si>
    <t>12/01/1958</t>
  </si>
  <si>
    <t>10/06/1974</t>
  </si>
  <si>
    <t>02/07/1958</t>
  </si>
  <si>
    <t>08/08/1955</t>
  </si>
  <si>
    <t>07/08/1962</t>
  </si>
  <si>
    <t>01/29/1968</t>
  </si>
  <si>
    <t>08/23/1976</t>
  </si>
  <si>
    <t>05/05/1983</t>
  </si>
  <si>
    <t>08/23/1936</t>
  </si>
  <si>
    <t>04/27/1990</t>
  </si>
  <si>
    <t>01/18/1971</t>
  </si>
  <si>
    <t>09/24/1937</t>
  </si>
  <si>
    <t>01/31/1968</t>
  </si>
  <si>
    <t>09/30/1957</t>
  </si>
  <si>
    <t>02/03/1977</t>
  </si>
  <si>
    <t>04/14/1975</t>
  </si>
  <si>
    <t>08/19/1949</t>
  </si>
  <si>
    <t>03/04/1989</t>
  </si>
  <si>
    <t>01/09/1955</t>
  </si>
  <si>
    <t>12/24/1954</t>
  </si>
  <si>
    <t>06/19/1968</t>
  </si>
  <si>
    <t>12/29/1973</t>
  </si>
  <si>
    <t>12/08/1966</t>
  </si>
  <si>
    <t>01/22/1965</t>
  </si>
  <si>
    <t>11/02/1962</t>
  </si>
  <si>
    <t>04/12/1974</t>
  </si>
  <si>
    <t>06/12/1952</t>
  </si>
  <si>
    <t>09/13/1983</t>
  </si>
  <si>
    <t>04/26/1987</t>
  </si>
  <si>
    <t>09/02/1971</t>
  </si>
  <si>
    <t>10/05/1968</t>
  </si>
  <si>
    <t>09/14/1969</t>
  </si>
  <si>
    <t>12/03/1965</t>
  </si>
  <si>
    <t>04/15/1945</t>
  </si>
  <si>
    <t>09/03/1970</t>
  </si>
  <si>
    <t>06/11/1971</t>
  </si>
  <si>
    <t>11/08/1967</t>
  </si>
  <si>
    <t>03/21/1964</t>
  </si>
  <si>
    <t>01/01/1986</t>
  </si>
  <si>
    <t>07/26/1937</t>
  </si>
  <si>
    <t>05/26/1961</t>
  </si>
  <si>
    <t>07/06/1947</t>
  </si>
  <si>
    <t>03/10/1971</t>
  </si>
  <si>
    <t>05/03/1968</t>
  </si>
  <si>
    <t>04/15/1987</t>
  </si>
  <si>
    <t>08/09/1975</t>
  </si>
  <si>
    <t>12/03/1979</t>
  </si>
  <si>
    <t>01/19/1967</t>
  </si>
  <si>
    <t>08/06/1952</t>
  </si>
  <si>
    <t>08/31/1968</t>
  </si>
  <si>
    <t>08/20/1943</t>
  </si>
  <si>
    <t>03/12/1971</t>
  </si>
  <si>
    <t>09/08/1996</t>
  </si>
  <si>
    <t>05/15/1970</t>
  </si>
  <si>
    <t>09/10/1981</t>
  </si>
  <si>
    <t>12/24/1925</t>
  </si>
  <si>
    <t>04/25/1967</t>
  </si>
  <si>
    <t>07/24/1973</t>
  </si>
  <si>
    <t>08/29/1974</t>
  </si>
  <si>
    <t>08/12/1937</t>
  </si>
  <si>
    <t>05/15/1955</t>
  </si>
  <si>
    <t>02/10/1987</t>
  </si>
  <si>
    <t>04/30/1979</t>
  </si>
  <si>
    <t>04/13/1965</t>
  </si>
  <si>
    <t>08/31/1940</t>
  </si>
  <si>
    <t>09/17/1952</t>
  </si>
  <si>
    <t>02/26/1977</t>
  </si>
  <si>
    <t>02/08/1971</t>
  </si>
  <si>
    <t>11/02/1976</t>
  </si>
  <si>
    <t>09/13/1962</t>
  </si>
  <si>
    <t>06/04/1967</t>
  </si>
  <si>
    <t>09/04/1970</t>
  </si>
  <si>
    <t>06/30/1963</t>
  </si>
  <si>
    <t>09/01/1988</t>
  </si>
  <si>
    <t>11/02/1985</t>
  </si>
  <si>
    <t>01/29/1975</t>
  </si>
  <si>
    <t>10/29/1971</t>
  </si>
  <si>
    <t>08/11/1974</t>
  </si>
  <si>
    <t>05/21/1964</t>
  </si>
  <si>
    <t>05/01/1951</t>
  </si>
  <si>
    <t>03/01/1993</t>
  </si>
  <si>
    <t>09/02/1961</t>
  </si>
  <si>
    <t>06/03/1987</t>
  </si>
  <si>
    <t>11/18/1989</t>
  </si>
  <si>
    <t>03/25/1954</t>
  </si>
  <si>
    <t>10/30/1929</t>
  </si>
  <si>
    <t>10/04/1973</t>
  </si>
  <si>
    <t>02/06/1944</t>
  </si>
  <si>
    <t>10/08/1981</t>
  </si>
  <si>
    <t>11/07/1956</t>
  </si>
  <si>
    <t>06/06/1971</t>
  </si>
  <si>
    <t>04/07/1970</t>
  </si>
  <si>
    <t>07/29/1963</t>
  </si>
  <si>
    <t>04/21/1986</t>
  </si>
  <si>
    <t>05/06/1976</t>
  </si>
  <si>
    <t>05/18/1957</t>
  </si>
  <si>
    <t>05/21/1970</t>
  </si>
  <si>
    <t>07/24/1945</t>
  </si>
  <si>
    <t>07/13/1954</t>
  </si>
  <si>
    <t>07/01/1994</t>
  </si>
  <si>
    <t>06/19/1975</t>
  </si>
  <si>
    <t>03/22/1978</t>
  </si>
  <si>
    <t>05/09/1961</t>
  </si>
  <si>
    <t>02/24/1995</t>
  </si>
  <si>
    <t>03/12/1978</t>
  </si>
  <si>
    <t>07/13/1959</t>
  </si>
  <si>
    <t>12/05/1978</t>
  </si>
  <si>
    <t>11/04/1968</t>
  </si>
  <si>
    <t>06/17/1994</t>
  </si>
  <si>
    <t>10/15/1957</t>
  </si>
  <si>
    <t>06/26/1988</t>
  </si>
  <si>
    <t>12/06/1946</t>
  </si>
  <si>
    <t>11/01/1968</t>
  </si>
  <si>
    <t>02/13/1971</t>
  </si>
  <si>
    <t>08/25/1962</t>
  </si>
  <si>
    <t>12/14/1981</t>
  </si>
  <si>
    <t>12/23/1980</t>
  </si>
  <si>
    <t>07/14/1969</t>
  </si>
  <si>
    <t>09/05/1934</t>
  </si>
  <si>
    <t>06/05/1965</t>
  </si>
  <si>
    <t>09/12/1981</t>
  </si>
  <si>
    <t>10/10/1942</t>
  </si>
  <si>
    <t>02/25/1981</t>
  </si>
  <si>
    <t>10/02/1956</t>
  </si>
  <si>
    <t>01/06/1979</t>
  </si>
  <si>
    <t>05/09/1978</t>
  </si>
  <si>
    <t>07/03/1960</t>
  </si>
  <si>
    <t>04/03/1962</t>
  </si>
  <si>
    <t>06/06/1965</t>
  </si>
  <si>
    <t>12/02/1951</t>
  </si>
  <si>
    <t>11/13/1951</t>
  </si>
  <si>
    <t>11/09/1961</t>
  </si>
  <si>
    <t>01/10/1992</t>
  </si>
  <si>
    <t>09/19/1956</t>
  </si>
  <si>
    <t>03/21/1989</t>
  </si>
  <si>
    <t>10/28/1975</t>
  </si>
  <si>
    <t>03/30/1956</t>
  </si>
  <si>
    <t>01/14/1953</t>
  </si>
  <si>
    <t>01/19/1936</t>
  </si>
  <si>
    <t>06/10/1957</t>
  </si>
  <si>
    <t>08/07/1950</t>
  </si>
  <si>
    <t>02/20/1962</t>
  </si>
  <si>
    <t>06/05/1950</t>
  </si>
  <si>
    <t>06/01/1938</t>
  </si>
  <si>
    <t>06/09/1965</t>
  </si>
  <si>
    <t>09/22/1969</t>
  </si>
  <si>
    <t>08/14/1982</t>
  </si>
  <si>
    <t>10/16/1979</t>
  </si>
  <si>
    <t>11/25/1968</t>
  </si>
  <si>
    <t>09/30/1972</t>
  </si>
  <si>
    <t>05/03/1956</t>
  </si>
  <si>
    <t>09/04/1959</t>
  </si>
  <si>
    <t>06/10/1976</t>
  </si>
  <si>
    <t>11/13/1948</t>
  </si>
  <si>
    <t>11/01/1954</t>
  </si>
  <si>
    <t>02/17/1969</t>
  </si>
  <si>
    <t>12/04/1973</t>
  </si>
  <si>
    <t>11/08/1993</t>
  </si>
  <si>
    <t>03/16/1986</t>
  </si>
  <si>
    <t>07/18/1989</t>
  </si>
  <si>
    <t>02/17/1991</t>
  </si>
  <si>
    <t>06/23/1984</t>
  </si>
  <si>
    <t>06/21/1961</t>
  </si>
  <si>
    <t>08/19/1988</t>
  </si>
  <si>
    <t>09/11/1959</t>
  </si>
  <si>
    <t>07/09/1972</t>
  </si>
  <si>
    <t>06/30/1960</t>
  </si>
  <si>
    <t>12/29/1962</t>
  </si>
  <si>
    <t>08/13/1965</t>
  </si>
  <si>
    <t>08/22/1963</t>
  </si>
  <si>
    <t>01/01/1971</t>
  </si>
  <si>
    <t>10/26/1972</t>
  </si>
  <si>
    <t>06/29/1991</t>
  </si>
  <si>
    <t>07/25/1979</t>
  </si>
  <si>
    <t>10/22/1987</t>
  </si>
  <si>
    <t>02/16/1992</t>
  </si>
  <si>
    <t>11/15/1952</t>
  </si>
  <si>
    <t>11/01/1963</t>
  </si>
  <si>
    <t>12/24/1961</t>
  </si>
  <si>
    <t>03/04/1951</t>
  </si>
  <si>
    <t>06/13/1977</t>
  </si>
  <si>
    <t>06/02/1955</t>
  </si>
  <si>
    <t>01/22/1987</t>
  </si>
  <si>
    <t>04/26/1989</t>
  </si>
  <si>
    <t>04/19/1987</t>
  </si>
  <si>
    <t>06/14/1965</t>
  </si>
  <si>
    <t>09/22/1949</t>
  </si>
  <si>
    <t>02/07/1954</t>
  </si>
  <si>
    <t>08/01/1943</t>
  </si>
  <si>
    <t>12/27/1946</t>
  </si>
  <si>
    <t>08/18/1967</t>
  </si>
  <si>
    <t>09/15/1969</t>
  </si>
  <si>
    <t>11/29/1963</t>
  </si>
  <si>
    <t>07/21/1984</t>
  </si>
  <si>
    <t>03/08/1949</t>
  </si>
  <si>
    <t>05/27/1976</t>
  </si>
  <si>
    <t>05/10/1995</t>
  </si>
  <si>
    <t>10/11/1958</t>
  </si>
  <si>
    <t>05/18/1971</t>
  </si>
  <si>
    <t>03/31/1985</t>
  </si>
  <si>
    <t>11/10/1981</t>
  </si>
  <si>
    <t>01/14/1971</t>
  </si>
  <si>
    <t>10/04/1972</t>
  </si>
  <si>
    <t>01/10/1989</t>
  </si>
  <si>
    <t>02/26/1965</t>
  </si>
  <si>
    <t>05/12/1976</t>
  </si>
  <si>
    <t>08/31/1983</t>
  </si>
  <si>
    <t>04/16/1967</t>
  </si>
  <si>
    <t>05/30/1980</t>
  </si>
  <si>
    <t>02/25/1974</t>
  </si>
  <si>
    <t>06/19/1981</t>
  </si>
  <si>
    <t>08/01/1988</t>
  </si>
  <si>
    <t>017673880F</t>
  </si>
  <si>
    <t>037678479J</t>
  </si>
  <si>
    <t>037084027E</t>
  </si>
  <si>
    <t>00033547058J</t>
  </si>
  <si>
    <t>N/a</t>
  </si>
  <si>
    <t>9279334I</t>
  </si>
  <si>
    <t>032322299c</t>
  </si>
  <si>
    <t>00015062587J</t>
  </si>
  <si>
    <t>unknown</t>
  </si>
  <si>
    <t>37713934A</t>
  </si>
  <si>
    <t>Unavailable</t>
  </si>
  <si>
    <t>00037540753D</t>
  </si>
  <si>
    <t>4647469-1</t>
  </si>
  <si>
    <t>000745939J</t>
  </si>
  <si>
    <t>Not available</t>
  </si>
  <si>
    <t>004383214G</t>
  </si>
  <si>
    <t>005748535B</t>
  </si>
  <si>
    <t>035624995D</t>
  </si>
  <si>
    <t>37572302A</t>
  </si>
  <si>
    <t>37627759G</t>
  </si>
  <si>
    <t>36932590H</t>
  </si>
  <si>
    <t>009912518J</t>
  </si>
  <si>
    <t>036812101 I</t>
  </si>
  <si>
    <t>12318083I</t>
  </si>
  <si>
    <t>037432131D</t>
  </si>
  <si>
    <t>8635595-F</t>
  </si>
  <si>
    <t>008958635I</t>
  </si>
  <si>
    <t>018155124D</t>
  </si>
  <si>
    <t>006265154C</t>
  </si>
  <si>
    <t>03645232E</t>
  </si>
  <si>
    <t>002260959I</t>
  </si>
  <si>
    <t>002490638A</t>
  </si>
  <si>
    <t>021738973C</t>
  </si>
  <si>
    <t>037048355E</t>
  </si>
  <si>
    <t>037358662H</t>
  </si>
  <si>
    <t>00009048875A</t>
  </si>
  <si>
    <t>WV95484M</t>
  </si>
  <si>
    <t>wv9548m</t>
  </si>
  <si>
    <t>005566824I</t>
  </si>
  <si>
    <t>1448589 A</t>
  </si>
  <si>
    <t>018333465F</t>
  </si>
  <si>
    <t>006976669J</t>
  </si>
  <si>
    <t>00030632229 I</t>
  </si>
  <si>
    <t>006110973C</t>
  </si>
  <si>
    <t>010018822G</t>
  </si>
  <si>
    <t>WX87371X</t>
  </si>
  <si>
    <t>023267533A</t>
  </si>
  <si>
    <t>00014709603G</t>
  </si>
  <si>
    <t>2171609HCL</t>
  </si>
  <si>
    <t>008414814H</t>
  </si>
  <si>
    <t>004483522B</t>
  </si>
  <si>
    <t>012518875F</t>
  </si>
  <si>
    <t>zk82756v</t>
  </si>
  <si>
    <t>9382022D</t>
  </si>
  <si>
    <t>034949626F</t>
  </si>
  <si>
    <t>not avail</t>
  </si>
  <si>
    <t>010750702C</t>
  </si>
  <si>
    <t>ZA4663T</t>
  </si>
  <si>
    <t>3780864J</t>
  </si>
  <si>
    <t>4179881-1</t>
  </si>
  <si>
    <t>037695307B</t>
  </si>
  <si>
    <t>000-00-0000</t>
  </si>
  <si>
    <t>004184233H</t>
  </si>
  <si>
    <t>038095875B</t>
  </si>
  <si>
    <t>unavailable</t>
  </si>
  <si>
    <t>033147318B</t>
  </si>
  <si>
    <t>014709603G</t>
  </si>
  <si>
    <t>011104302C</t>
  </si>
  <si>
    <t>005423328D</t>
  </si>
  <si>
    <t>9230562C-01</t>
  </si>
  <si>
    <t>Y020364E</t>
  </si>
  <si>
    <t>9833470-1</t>
  </si>
  <si>
    <t>034725982C</t>
  </si>
  <si>
    <t>2822854-C</t>
  </si>
  <si>
    <t>010337152C</t>
  </si>
  <si>
    <t>13033987C</t>
  </si>
  <si>
    <t>4791837 A</t>
  </si>
  <si>
    <t>018865918J</t>
  </si>
  <si>
    <t>012975213F</t>
  </si>
  <si>
    <t>006139334 E</t>
  </si>
  <si>
    <t>015114542C</t>
  </si>
  <si>
    <t>036754541F</t>
  </si>
  <si>
    <t>034316424A</t>
  </si>
  <si>
    <t>00011517556E</t>
  </si>
  <si>
    <t>006427687G</t>
  </si>
  <si>
    <t>035358990G</t>
  </si>
  <si>
    <t>014236837C</t>
  </si>
  <si>
    <t>16241685D</t>
  </si>
  <si>
    <t>003761746B</t>
  </si>
  <si>
    <t>014629800F</t>
  </si>
  <si>
    <t>006100617H</t>
  </si>
  <si>
    <t>036982304C</t>
  </si>
  <si>
    <t>018800816D</t>
  </si>
  <si>
    <t>018288893D</t>
  </si>
  <si>
    <t>014803813G</t>
  </si>
  <si>
    <t>31984172C</t>
  </si>
  <si>
    <t>096-80-6511</t>
  </si>
  <si>
    <t>060-96-8909</t>
  </si>
  <si>
    <t>087-92-8800</t>
  </si>
  <si>
    <t>078-74-7343</t>
  </si>
  <si>
    <t>064-72-9983</t>
  </si>
  <si>
    <t>485-95-1075</t>
  </si>
  <si>
    <t>797-90-5269</t>
  </si>
  <si>
    <t>144-31-4815</t>
  </si>
  <si>
    <t>065-68-2661</t>
  </si>
  <si>
    <t>000-00-8053</t>
  </si>
  <si>
    <t>105-68-5357</t>
  </si>
  <si>
    <t>000-00-2360</t>
  </si>
  <si>
    <t>584-73-2683</t>
  </si>
  <si>
    <t>000-00-7429</t>
  </si>
  <si>
    <t>090-72-9973</t>
  </si>
  <si>
    <t>130-76-9259</t>
  </si>
  <si>
    <t>108-54-3993</t>
  </si>
  <si>
    <t>000-00-4307</t>
  </si>
  <si>
    <t>063-58-3885</t>
  </si>
  <si>
    <t>000-00-8022</t>
  </si>
  <si>
    <t>127-60-0446</t>
  </si>
  <si>
    <t>133-80-9120</t>
  </si>
  <si>
    <t>000-00-5432</t>
  </si>
  <si>
    <t>064-58-7548</t>
  </si>
  <si>
    <t>111-72-5519</t>
  </si>
  <si>
    <t>567-71-7821</t>
  </si>
  <si>
    <t>000-00-3578</t>
  </si>
  <si>
    <t>105-82-3029</t>
  </si>
  <si>
    <t>582-53-0401</t>
  </si>
  <si>
    <t>111-66-6471</t>
  </si>
  <si>
    <t>107-66-1627</t>
  </si>
  <si>
    <t>099-80-8189</t>
  </si>
  <si>
    <t>127-68-2900</t>
  </si>
  <si>
    <t>643-91-2283</t>
  </si>
  <si>
    <t>214-87-7100</t>
  </si>
  <si>
    <t>123-80-4006</t>
  </si>
  <si>
    <t>097-56-3138</t>
  </si>
  <si>
    <t>059-58-9571</t>
  </si>
  <si>
    <t>080-66-6759</t>
  </si>
  <si>
    <t>476-92-5143</t>
  </si>
  <si>
    <t>075-86-2185</t>
  </si>
  <si>
    <t>163-68-3170</t>
  </si>
  <si>
    <t>000-00-9201</t>
  </si>
  <si>
    <t>123-56-8341</t>
  </si>
  <si>
    <t>119-76-9003</t>
  </si>
  <si>
    <t>247-74-2787</t>
  </si>
  <si>
    <t>052-78-6062</t>
  </si>
  <si>
    <t>126-55-4980</t>
  </si>
  <si>
    <t>064-48-9922</t>
  </si>
  <si>
    <t>133-48-4104</t>
  </si>
  <si>
    <t>086-62-9196</t>
  </si>
  <si>
    <t>227-72-1230</t>
  </si>
  <si>
    <t>583-35-1366</t>
  </si>
  <si>
    <t>146-35-7950</t>
  </si>
  <si>
    <t>108-64-8148</t>
  </si>
  <si>
    <t>216-90-2648</t>
  </si>
  <si>
    <t>083-64-4372</t>
  </si>
  <si>
    <t>096-56-7589</t>
  </si>
  <si>
    <t>085-52-2717</t>
  </si>
  <si>
    <t>117-56-9577</t>
  </si>
  <si>
    <t>125-58-8426</t>
  </si>
  <si>
    <t>090-68-1494</t>
  </si>
  <si>
    <t>113-68-0200</t>
  </si>
  <si>
    <t>192-54-0241</t>
  </si>
  <si>
    <t>000-00-2744</t>
  </si>
  <si>
    <t>093-74-8889</t>
  </si>
  <si>
    <t>106-80-0605</t>
  </si>
  <si>
    <t>576-31-9499</t>
  </si>
  <si>
    <t>059-58-8647</t>
  </si>
  <si>
    <t>140-86-9516</t>
  </si>
  <si>
    <t>090-84-9289</t>
  </si>
  <si>
    <t>658-29-4649</t>
  </si>
  <si>
    <t>419-37-8798</t>
  </si>
  <si>
    <t>105-96-4969</t>
  </si>
  <si>
    <t>145-76-8212</t>
  </si>
  <si>
    <t>045-04-0378</t>
  </si>
  <si>
    <t>000-00-0427</t>
  </si>
  <si>
    <t>096-58-6839</t>
  </si>
  <si>
    <t>093-70-5767</t>
  </si>
  <si>
    <t>067-58-8053</t>
  </si>
  <si>
    <t>115-52-9638</t>
  </si>
  <si>
    <t>088-46-7644</t>
  </si>
  <si>
    <t>116-66-2535</t>
  </si>
  <si>
    <t>398-88-4174</t>
  </si>
  <si>
    <t>072-54-7402</t>
  </si>
  <si>
    <t>593-64-9081</t>
  </si>
  <si>
    <t>127-58-0075</t>
  </si>
  <si>
    <t>085-64-7147</t>
  </si>
  <si>
    <t>121-70-1371</t>
  </si>
  <si>
    <t>082-56-4010</t>
  </si>
  <si>
    <t>122-70-6748</t>
  </si>
  <si>
    <t>056-88-6442</t>
  </si>
  <si>
    <t>050-58-0192</t>
  </si>
  <si>
    <t>066-66-1450</t>
  </si>
  <si>
    <t>134-60-9442</t>
  </si>
  <si>
    <t>372-84-5289</t>
  </si>
  <si>
    <t>623-08-2052</t>
  </si>
  <si>
    <t>128-92-8905</t>
  </si>
  <si>
    <t>118-66-9945</t>
  </si>
  <si>
    <t>243-75-7400</t>
  </si>
  <si>
    <t>099-42-8739</t>
  </si>
  <si>
    <t>582-27-2529</t>
  </si>
  <si>
    <t>040-04-2795</t>
  </si>
  <si>
    <t>073-70-5097</t>
  </si>
  <si>
    <t>082-60-0855</t>
  </si>
  <si>
    <t>089-64-6514</t>
  </si>
  <si>
    <t>000-00-7281</t>
  </si>
  <si>
    <t>053-78-2518</t>
  </si>
  <si>
    <t>130-98-8445</t>
  </si>
  <si>
    <t>145-13-2292</t>
  </si>
  <si>
    <t>000-00-7454</t>
  </si>
  <si>
    <t>058-66-2147</t>
  </si>
  <si>
    <t>099-52-9805</t>
  </si>
  <si>
    <t>087-86-4402</t>
  </si>
  <si>
    <t>076-86-9957</t>
  </si>
  <si>
    <t>101-90-3599</t>
  </si>
  <si>
    <t>000-00-4995</t>
  </si>
  <si>
    <t>781-32-1331</t>
  </si>
  <si>
    <t>075-44-4059</t>
  </si>
  <si>
    <t>231-17-4273</t>
  </si>
  <si>
    <t>113-70-8725</t>
  </si>
  <si>
    <t>057-58-8387</t>
  </si>
  <si>
    <t>099-84-5712</t>
  </si>
  <si>
    <t>260-39-2242</t>
  </si>
  <si>
    <t>115-90-2839</t>
  </si>
  <si>
    <t>065-82-4071</t>
  </si>
  <si>
    <t>085-72-1739</t>
  </si>
  <si>
    <t>000-00-0301</t>
  </si>
  <si>
    <t>128-48-3275</t>
  </si>
  <si>
    <t>081-56-7111</t>
  </si>
  <si>
    <t>120-74-5250</t>
  </si>
  <si>
    <t>592-33-4514</t>
  </si>
  <si>
    <t>105-60-5976</t>
  </si>
  <si>
    <t>119-84-0064</t>
  </si>
  <si>
    <t>067-64-8634</t>
  </si>
  <si>
    <t>099-58-7158</t>
  </si>
  <si>
    <t>112-58-0464</t>
  </si>
  <si>
    <t>057-50-8883</t>
  </si>
  <si>
    <t>123-54-6854</t>
  </si>
  <si>
    <t>124-82-2769</t>
  </si>
  <si>
    <t>134-96-3516</t>
  </si>
  <si>
    <t>117-62-0932</t>
  </si>
  <si>
    <t>098-94-3587</t>
  </si>
  <si>
    <t>000-00-9645</t>
  </si>
  <si>
    <t>069-70-1662</t>
  </si>
  <si>
    <t>109-66-5774</t>
  </si>
  <si>
    <t>109-72-7516</t>
  </si>
  <si>
    <t>098-54-5212</t>
  </si>
  <si>
    <t>081-56-5874</t>
  </si>
  <si>
    <t>096-84-7683</t>
  </si>
  <si>
    <t>071-60-6177</t>
  </si>
  <si>
    <t>084-56-8573</t>
  </si>
  <si>
    <t>051-60-7216</t>
  </si>
  <si>
    <t>127-96-7620</t>
  </si>
  <si>
    <t>074-60-5023</t>
  </si>
  <si>
    <t>116-56-9672</t>
  </si>
  <si>
    <t>059-66-4834</t>
  </si>
  <si>
    <t>069-58-3444</t>
  </si>
  <si>
    <t>050-70-5504</t>
  </si>
  <si>
    <t>098-56-3990</t>
  </si>
  <si>
    <t>105-68-4147</t>
  </si>
  <si>
    <t>104-56-2006</t>
  </si>
  <si>
    <t>000-00-8192</t>
  </si>
  <si>
    <t>096-62-7716</t>
  </si>
  <si>
    <t>058-80-0591</t>
  </si>
  <si>
    <t>112-98-9221</t>
  </si>
  <si>
    <t>068-90-1392</t>
  </si>
  <si>
    <t>127-42-5546</t>
  </si>
  <si>
    <t>072-54-9330</t>
  </si>
  <si>
    <t>066-76-5444</t>
  </si>
  <si>
    <t>069-68-4613</t>
  </si>
  <si>
    <t>359-78-7522</t>
  </si>
  <si>
    <t>112-98-8334</t>
  </si>
  <si>
    <t>377-44-8873</t>
  </si>
  <si>
    <t>118-56-1550</t>
  </si>
  <si>
    <t>058-50-5191</t>
  </si>
  <si>
    <t>583-78-2300</t>
  </si>
  <si>
    <t>584-22-5295</t>
  </si>
  <si>
    <t>066-84-2062</t>
  </si>
  <si>
    <t>081-84-7167</t>
  </si>
  <si>
    <t>106-68-9482</t>
  </si>
  <si>
    <t>581-88-8112</t>
  </si>
  <si>
    <t>052-82-8861</t>
  </si>
  <si>
    <t>000-00-4219</t>
  </si>
  <si>
    <t>581-75-9889</t>
  </si>
  <si>
    <t>084-50-9809</t>
  </si>
  <si>
    <t>080-70-3580</t>
  </si>
  <si>
    <t>096-54-4276</t>
  </si>
  <si>
    <t>119-82-9788</t>
  </si>
  <si>
    <t>129-36-3367</t>
  </si>
  <si>
    <t>000-00-4676</t>
  </si>
  <si>
    <t>100-54-7668</t>
  </si>
  <si>
    <t>584-54-2387</t>
  </si>
  <si>
    <t>062-54-6005</t>
  </si>
  <si>
    <t>053-88-5925</t>
  </si>
  <si>
    <t>086-48-2152</t>
  </si>
  <si>
    <t>057-92-5679</t>
  </si>
  <si>
    <t>094-58-3516</t>
  </si>
  <si>
    <t>074-36-3120</t>
  </si>
  <si>
    <t>114-78-5084</t>
  </si>
  <si>
    <t>000-00-8902</t>
  </si>
  <si>
    <t>000-00-6286</t>
  </si>
  <si>
    <t>104-40-9953</t>
  </si>
  <si>
    <t>359-58-3514</t>
  </si>
  <si>
    <t>117-82-4105</t>
  </si>
  <si>
    <t>126-48-0614</t>
  </si>
  <si>
    <t>122-82-8922</t>
  </si>
  <si>
    <t>070-78-1970</t>
  </si>
  <si>
    <t>085-50-2719</t>
  </si>
  <si>
    <t>584-08-5697</t>
  </si>
  <si>
    <t>051-82-3570</t>
  </si>
  <si>
    <t>119-40-9191</t>
  </si>
  <si>
    <t>233-02-0051</t>
  </si>
  <si>
    <t>052-46-5357</t>
  </si>
  <si>
    <t>121-62-9499</t>
  </si>
  <si>
    <t>583-54-9823</t>
  </si>
  <si>
    <t>106-76-7872</t>
  </si>
  <si>
    <t>088-42-4781</t>
  </si>
  <si>
    <t>094-56-5789</t>
  </si>
  <si>
    <t>154-72-0727</t>
  </si>
  <si>
    <t>377-04-0695</t>
  </si>
  <si>
    <t>108-28-2340</t>
  </si>
  <si>
    <t>077-70-4462</t>
  </si>
  <si>
    <t>093-82-9730</t>
  </si>
  <si>
    <t>118-46-3293</t>
  </si>
  <si>
    <t>111-66-3225</t>
  </si>
  <si>
    <t>059-62-9331</t>
  </si>
  <si>
    <t>082-52-7119</t>
  </si>
  <si>
    <t>097-60-3286</t>
  </si>
  <si>
    <t>267-02-9739</t>
  </si>
  <si>
    <t>123-88-5390</t>
  </si>
  <si>
    <t>000-00-9077</t>
  </si>
  <si>
    <t>133-58-3032</t>
  </si>
  <si>
    <t>053-84-8766</t>
  </si>
  <si>
    <t>055-50-8675</t>
  </si>
  <si>
    <t>095-64-3185</t>
  </si>
  <si>
    <t>052-54-5396</t>
  </si>
  <si>
    <t>625-71-9125</t>
  </si>
  <si>
    <t>279-52-0987</t>
  </si>
  <si>
    <t>067-70-6245</t>
  </si>
  <si>
    <t>123-68-8724</t>
  </si>
  <si>
    <t>103-50-8117</t>
  </si>
  <si>
    <t>067-64-3361</t>
  </si>
  <si>
    <t>119-52-5006</t>
  </si>
  <si>
    <t>104-32-0617</t>
  </si>
  <si>
    <t>156-72-1990</t>
  </si>
  <si>
    <t>061-74-3568</t>
  </si>
  <si>
    <t>581-46-3019</t>
  </si>
  <si>
    <t>999-99-9999</t>
  </si>
  <si>
    <t>250-04-4650</t>
  </si>
  <si>
    <t>069-72-5393</t>
  </si>
  <si>
    <t>094-62-6919</t>
  </si>
  <si>
    <t>065-26-1368</t>
  </si>
  <si>
    <t>067-72-0783</t>
  </si>
  <si>
    <t>087-68-2342</t>
  </si>
  <si>
    <t>128-92-0344</t>
  </si>
  <si>
    <t>195-86-5442</t>
  </si>
  <si>
    <t>098-02-9496</t>
  </si>
  <si>
    <t>087-88-1015</t>
  </si>
  <si>
    <t>062-54-5804</t>
  </si>
  <si>
    <t>111-86-9048</t>
  </si>
  <si>
    <t>163-42-5038</t>
  </si>
  <si>
    <t>085-72-7021</t>
  </si>
  <si>
    <t>593-13-5574</t>
  </si>
  <si>
    <t>581-67-1674</t>
  </si>
  <si>
    <t>080-52-9201</t>
  </si>
  <si>
    <t>069-56-4280</t>
  </si>
  <si>
    <t>123-88-2249</t>
  </si>
  <si>
    <t>127-60-7211</t>
  </si>
  <si>
    <t>121-98-2773</t>
  </si>
  <si>
    <t>083-86-5042</t>
  </si>
  <si>
    <t>859-21-5813</t>
  </si>
  <si>
    <t>075-84-5743</t>
  </si>
  <si>
    <t>091-70-5239</t>
  </si>
  <si>
    <t>116-78-3571</t>
  </si>
  <si>
    <t>096-66-5787</t>
  </si>
  <si>
    <t>070-46-7829</t>
  </si>
  <si>
    <t>098-54-8767</t>
  </si>
  <si>
    <t>085-58-9145</t>
  </si>
  <si>
    <t>052-70-0892</t>
  </si>
  <si>
    <t>068-48-8275</t>
  </si>
  <si>
    <t>000-00-9949</t>
  </si>
  <si>
    <t>112-82-2612</t>
  </si>
  <si>
    <t>071-40-6716</t>
  </si>
  <si>
    <t>083-60-3258</t>
  </si>
  <si>
    <t>085-48-7962</t>
  </si>
  <si>
    <t>084-60-8407</t>
  </si>
  <si>
    <t>055-58-5672</t>
  </si>
  <si>
    <t>758-37-0163</t>
  </si>
  <si>
    <t>072-60-5573</t>
  </si>
  <si>
    <t>110-82-2652</t>
  </si>
  <si>
    <t>065-64-9016</t>
  </si>
  <si>
    <t>025-64-6550</t>
  </si>
  <si>
    <t>096-68-6113</t>
  </si>
  <si>
    <t>065-40-7700</t>
  </si>
  <si>
    <t>078-74-6038</t>
  </si>
  <si>
    <t>073-62-7777</t>
  </si>
  <si>
    <t>000-00-0349</t>
  </si>
  <si>
    <t>088-42-6232</t>
  </si>
  <si>
    <t>000-00-4473</t>
  </si>
  <si>
    <t>059-86-9495</t>
  </si>
  <si>
    <t>053-68-6319</t>
  </si>
  <si>
    <t>118-54-2101</t>
  </si>
  <si>
    <t>068-58-6529</t>
  </si>
  <si>
    <t>546-77-2211</t>
  </si>
  <si>
    <t>057-92-6427</t>
  </si>
  <si>
    <t>583-20-9056</t>
  </si>
  <si>
    <t>134-70-7159</t>
  </si>
  <si>
    <t>078-70-5975</t>
  </si>
  <si>
    <t>865-86-7838</t>
  </si>
  <si>
    <t>055-74-5765</t>
  </si>
  <si>
    <t>064-32-8222</t>
  </si>
  <si>
    <t>262-93-0699</t>
  </si>
  <si>
    <t>122-36-9434</t>
  </si>
  <si>
    <t>233-76-1052</t>
  </si>
  <si>
    <t>049-70-2432</t>
  </si>
  <si>
    <t>000-00-8850</t>
  </si>
  <si>
    <t>072-82-1692</t>
  </si>
  <si>
    <t>729-18-7560</t>
  </si>
  <si>
    <t>236-66-5231</t>
  </si>
  <si>
    <t>000-00-9649</t>
  </si>
  <si>
    <t>126-68-5017</t>
  </si>
  <si>
    <t>102-52-7374</t>
  </si>
  <si>
    <t>057-56-7231</t>
  </si>
  <si>
    <t>133-70-9471</t>
  </si>
  <si>
    <t>064-96-9060</t>
  </si>
  <si>
    <t>084-78-2051</t>
  </si>
  <si>
    <t>118-46-9004</t>
  </si>
  <si>
    <t>134-28-7924</t>
  </si>
  <si>
    <t>091-44-1808</t>
  </si>
  <si>
    <t>129-50-1474</t>
  </si>
  <si>
    <t>071-46-3302</t>
  </si>
  <si>
    <t>055-60-0118</t>
  </si>
  <si>
    <t>079-50-0331</t>
  </si>
  <si>
    <t>119-50-7277</t>
  </si>
  <si>
    <t>130-58-8477</t>
  </si>
  <si>
    <t>581-64-4634</t>
  </si>
  <si>
    <t>148-60-1760</t>
  </si>
  <si>
    <t>893-94-1879</t>
  </si>
  <si>
    <t>120-54-2166</t>
  </si>
  <si>
    <t>583-47-7551</t>
  </si>
  <si>
    <t>089-70-0842</t>
  </si>
  <si>
    <t>000-00-4409</t>
  </si>
  <si>
    <t>061-68-7477</t>
  </si>
  <si>
    <t>084-86-7598</t>
  </si>
  <si>
    <t>073-76-0735</t>
  </si>
  <si>
    <t>590-26-6788</t>
  </si>
  <si>
    <t>000-00-5760</t>
  </si>
  <si>
    <t>108-40-6603</t>
  </si>
  <si>
    <t>084-84-8419</t>
  </si>
  <si>
    <t>061-80-4181</t>
  </si>
  <si>
    <t>097-70-5274</t>
  </si>
  <si>
    <t>092-40-7625</t>
  </si>
  <si>
    <t>000-00-1223</t>
  </si>
  <si>
    <t>073-02-1406</t>
  </si>
  <si>
    <t>109-46-4981</t>
  </si>
  <si>
    <t>197-32-6777</t>
  </si>
  <si>
    <t>580-27-5785</t>
  </si>
  <si>
    <t>591-01-4055</t>
  </si>
  <si>
    <t>589-23-4399</t>
  </si>
  <si>
    <t>097-46-4066</t>
  </si>
  <si>
    <t>074-46-1890</t>
  </si>
  <si>
    <t>074-78-2751</t>
  </si>
  <si>
    <t>072-74-4734</t>
  </si>
  <si>
    <t>084-54-3623</t>
  </si>
  <si>
    <t>083-76-7025</t>
  </si>
  <si>
    <t>043-52-2819</t>
  </si>
  <si>
    <t>127-64-1503</t>
  </si>
  <si>
    <t>126-70-9635</t>
  </si>
  <si>
    <t>100-78-4734</t>
  </si>
  <si>
    <t>074-36-6882</t>
  </si>
  <si>
    <t>093-84-9934</t>
  </si>
  <si>
    <t>099-44-7045</t>
  </si>
  <si>
    <t>762-13-1563</t>
  </si>
  <si>
    <t>583-44-3866</t>
  </si>
  <si>
    <t>106-48-9252</t>
  </si>
  <si>
    <t>088-94-2041</t>
  </si>
  <si>
    <t>862-69-8155</t>
  </si>
  <si>
    <t>111-60-5783</t>
  </si>
  <si>
    <t>104-40-2638</t>
  </si>
  <si>
    <t>104-92-3063</t>
  </si>
  <si>
    <t>113-56-5950</t>
  </si>
  <si>
    <t>113-40-8268</t>
  </si>
  <si>
    <t>050-96-0460</t>
  </si>
  <si>
    <t>156-49-6673</t>
  </si>
  <si>
    <t>103-74-8303</t>
  </si>
  <si>
    <t>109-88-3339</t>
  </si>
  <si>
    <t>081-68-8799</t>
  </si>
  <si>
    <t>072-98-3866</t>
  </si>
  <si>
    <t>105-34-4504</t>
  </si>
  <si>
    <t>238-47-0292</t>
  </si>
  <si>
    <t>088-98-0666</t>
  </si>
  <si>
    <t>129-78-0632</t>
  </si>
  <si>
    <t>100-80-5792</t>
  </si>
  <si>
    <t>064-56-8677</t>
  </si>
  <si>
    <t>102-62-2887</t>
  </si>
  <si>
    <t>067-58-3872</t>
  </si>
  <si>
    <t>104-58-3968</t>
  </si>
  <si>
    <t>069-46-7647</t>
  </si>
  <si>
    <t>255-21-1421</t>
  </si>
  <si>
    <t>062-70-8859</t>
  </si>
  <si>
    <t>670-51-1002</t>
  </si>
  <si>
    <t>174-95-0848</t>
  </si>
  <si>
    <t>584-66-0346</t>
  </si>
  <si>
    <t>127-84-5060</t>
  </si>
  <si>
    <t>593-03-3171</t>
  </si>
  <si>
    <t>103-70-7197</t>
  </si>
  <si>
    <t>127-84-1342</t>
  </si>
  <si>
    <t>408-69-3048</t>
  </si>
  <si>
    <t>090-52-5150</t>
  </si>
  <si>
    <t>053-96-7708</t>
  </si>
  <si>
    <t>050-92-6559</t>
  </si>
  <si>
    <t>000-00-7833</t>
  </si>
  <si>
    <t>115-78-4315</t>
  </si>
  <si>
    <t>578-72-1205</t>
  </si>
  <si>
    <t>090-82-4511</t>
  </si>
  <si>
    <t>096-70-7786</t>
  </si>
  <si>
    <t>582-21-6737</t>
  </si>
  <si>
    <t>355-45-7393</t>
  </si>
  <si>
    <t>130-48-7994</t>
  </si>
  <si>
    <t>125-64-7009</t>
  </si>
  <si>
    <t>246-65-7650</t>
  </si>
  <si>
    <t>128-26-5162</t>
  </si>
  <si>
    <t>478-21-9172</t>
  </si>
  <si>
    <t>068-80-4361</t>
  </si>
  <si>
    <t>112-36-5156</t>
  </si>
  <si>
    <t>067-46-5820</t>
  </si>
  <si>
    <t>062-68-2973</t>
  </si>
  <si>
    <t>113-54-3790</t>
  </si>
  <si>
    <t>000-00-9952</t>
  </si>
  <si>
    <t>673-76-1425</t>
  </si>
  <si>
    <t>076-58-8477</t>
  </si>
  <si>
    <t>103-82-4642</t>
  </si>
  <si>
    <t>070-88-7611</t>
  </si>
  <si>
    <t>143-97-7751</t>
  </si>
  <si>
    <t>133-76-2262</t>
  </si>
  <si>
    <t>102-98-2065</t>
  </si>
  <si>
    <t>075-82-8008</t>
  </si>
  <si>
    <t>070-42-5556</t>
  </si>
  <si>
    <t>298-46-7618</t>
  </si>
  <si>
    <t>066-50-7724</t>
  </si>
  <si>
    <t>053-66-4297</t>
  </si>
  <si>
    <t>000-00-9864</t>
  </si>
  <si>
    <t>580-37-7897</t>
  </si>
  <si>
    <t>433-73-3540</t>
  </si>
  <si>
    <t>094-02-9016</t>
  </si>
  <si>
    <t>300-56-3275</t>
  </si>
  <si>
    <t>023-58-6984</t>
  </si>
  <si>
    <t>072-50-6590</t>
  </si>
  <si>
    <t>059-54-9523</t>
  </si>
  <si>
    <t>112-92-4236</t>
  </si>
  <si>
    <t>098-88-0607</t>
  </si>
  <si>
    <t>158-52-0769</t>
  </si>
  <si>
    <t>052-54-2516</t>
  </si>
  <si>
    <t>000-00-7480</t>
  </si>
  <si>
    <t>125-46-3667</t>
  </si>
  <si>
    <t>068-48-5106</t>
  </si>
  <si>
    <t>000-00-4848</t>
  </si>
  <si>
    <t>086-72-8728</t>
  </si>
  <si>
    <t>056-60-8341</t>
  </si>
  <si>
    <t>057-86-3392</t>
  </si>
  <si>
    <t>110-82-0129</t>
  </si>
  <si>
    <t>126-76-6025</t>
  </si>
  <si>
    <t>060-58-2207</t>
  </si>
  <si>
    <t>428-66-0813</t>
  </si>
  <si>
    <t>131-70-9663</t>
  </si>
  <si>
    <t>134-46-6941</t>
  </si>
  <si>
    <t>114-96-7528</t>
  </si>
  <si>
    <t>129-90-2688</t>
  </si>
  <si>
    <t>126-62-9928</t>
  </si>
  <si>
    <t>081-80-6178</t>
  </si>
  <si>
    <t>116-80-6742</t>
  </si>
  <si>
    <t>101-50-5485</t>
  </si>
  <si>
    <t>054-48-0009</t>
  </si>
  <si>
    <t>122-78-2974</t>
  </si>
  <si>
    <t>715-26-5027</t>
  </si>
  <si>
    <t>102-60-5194</t>
  </si>
  <si>
    <t>102-96-8739</t>
  </si>
  <si>
    <t>124-56-2820</t>
  </si>
  <si>
    <t>069-72-8929</t>
  </si>
  <si>
    <t>373-64-5954</t>
  </si>
  <si>
    <t>131-68-2755</t>
  </si>
  <si>
    <t>114-96-7551</t>
  </si>
  <si>
    <t>097-56-8616</t>
  </si>
  <si>
    <t>082-50-2255</t>
  </si>
  <si>
    <t>152-68-4308</t>
  </si>
  <si>
    <t>102-62-7314</t>
  </si>
  <si>
    <t>056-58-9041</t>
  </si>
  <si>
    <t>096-96-8484</t>
  </si>
  <si>
    <t>126-50-9074</t>
  </si>
  <si>
    <t>126-13-7947</t>
  </si>
  <si>
    <t>093-36-9010</t>
  </si>
  <si>
    <t>000-00-7216</t>
  </si>
  <si>
    <t>050-38-5481</t>
  </si>
  <si>
    <t>129-60-0035</t>
  </si>
  <si>
    <t>099-72-5450</t>
  </si>
  <si>
    <t>089-72-2213</t>
  </si>
  <si>
    <t>103-62-0516</t>
  </si>
  <si>
    <t>094-64-9085</t>
  </si>
  <si>
    <t>081-44-6643</t>
  </si>
  <si>
    <t>000-00-7392</t>
  </si>
  <si>
    <t>134-32-0118</t>
  </si>
  <si>
    <t>000-00-3670</t>
  </si>
  <si>
    <t>070-86-6463</t>
  </si>
  <si>
    <t>061-02-8917</t>
  </si>
  <si>
    <t>062-68-0411</t>
  </si>
  <si>
    <t>044-70-4495</t>
  </si>
  <si>
    <t>584-47-4471</t>
  </si>
  <si>
    <t>000-00-5113</t>
  </si>
  <si>
    <t>064-58-5051</t>
  </si>
  <si>
    <t>057-34-1734</t>
  </si>
  <si>
    <t>056-40-1468</t>
  </si>
  <si>
    <t>100-76-6561</t>
  </si>
  <si>
    <t>111-64-6730</t>
  </si>
  <si>
    <t>074-62-1096</t>
  </si>
  <si>
    <t>061-34-2606</t>
  </si>
  <si>
    <t>100-54-1483</t>
  </si>
  <si>
    <t>106-60-2025</t>
  </si>
  <si>
    <t>104-80-7661</t>
  </si>
  <si>
    <t>124-92-1988</t>
  </si>
  <si>
    <t>083-86-5750</t>
  </si>
  <si>
    <t>093-58-6703</t>
  </si>
  <si>
    <t>069-58-0202</t>
  </si>
  <si>
    <t>053-92-3642</t>
  </si>
  <si>
    <t>138-06-2503</t>
  </si>
  <si>
    <t>085-70-0759</t>
  </si>
  <si>
    <t>101-87-9429</t>
  </si>
  <si>
    <t>000-00-8489</t>
  </si>
  <si>
    <t>090-56-8808</t>
  </si>
  <si>
    <t>073-56-9766</t>
  </si>
  <si>
    <t>089-52-0390</t>
  </si>
  <si>
    <t>000-00-1788</t>
  </si>
  <si>
    <t>128-44-8364</t>
  </si>
  <si>
    <t>070-60-1058</t>
  </si>
  <si>
    <t>129-82-1910</t>
  </si>
  <si>
    <t>060-66-4045</t>
  </si>
  <si>
    <t>116-72-8003</t>
  </si>
  <si>
    <t>187-70-7024</t>
  </si>
  <si>
    <t>085-58-3440</t>
  </si>
  <si>
    <t>076-64-4349</t>
  </si>
  <si>
    <t>058-72-0224</t>
  </si>
  <si>
    <t>113-70-4557</t>
  </si>
  <si>
    <t>132-80-0224</t>
  </si>
  <si>
    <t>096-88-6073</t>
  </si>
  <si>
    <t>050-84-9419</t>
  </si>
  <si>
    <t>069-90-7973</t>
  </si>
  <si>
    <t>000-00-1064</t>
  </si>
  <si>
    <t>060-58-9508</t>
  </si>
  <si>
    <t>092-84-3259</t>
  </si>
  <si>
    <t>106-80-1752</t>
  </si>
  <si>
    <t>080-74-0099</t>
  </si>
  <si>
    <t>127-60-5998</t>
  </si>
  <si>
    <t>000-00-0432</t>
  </si>
  <si>
    <t>065-64-2804</t>
  </si>
  <si>
    <t>041-84-6055</t>
  </si>
  <si>
    <t>084-36-8017</t>
  </si>
  <si>
    <t>058-62-1216</t>
  </si>
  <si>
    <t>000-00-1216</t>
  </si>
  <si>
    <t>141-78-4009</t>
  </si>
  <si>
    <t>141-68-6532</t>
  </si>
  <si>
    <t>611-26-9717</t>
  </si>
  <si>
    <t>067-82-0067</t>
  </si>
  <si>
    <t>050-28-0673</t>
  </si>
  <si>
    <t>064-68-6086</t>
  </si>
  <si>
    <t>090-34-2657</t>
  </si>
  <si>
    <t>065-72-6768</t>
  </si>
  <si>
    <t>025-46-5873</t>
  </si>
  <si>
    <t>134-62-9568</t>
  </si>
  <si>
    <t>068-88-6285</t>
  </si>
  <si>
    <t>072-92-4190</t>
  </si>
  <si>
    <t>070-02-3583</t>
  </si>
  <si>
    <t>000-00-4565</t>
  </si>
  <si>
    <t>000-00-3006</t>
  </si>
  <si>
    <t>119-90-8146</t>
  </si>
  <si>
    <t>074-68-3568</t>
  </si>
  <si>
    <t>059-76-5877</t>
  </si>
  <si>
    <t>126-48-0476</t>
  </si>
  <si>
    <t>075-46-2203</t>
  </si>
  <si>
    <t>128-48-8728</t>
  </si>
  <si>
    <t>128-80-5920</t>
  </si>
  <si>
    <t>583-11-3015</t>
  </si>
  <si>
    <t>858-94-6918</t>
  </si>
  <si>
    <t>208-58-9688</t>
  </si>
  <si>
    <t>117-70-7974</t>
  </si>
  <si>
    <t>069-64-3494</t>
  </si>
  <si>
    <t>132-88-0017</t>
  </si>
  <si>
    <t>000-00-9115</t>
  </si>
  <si>
    <t>128-50-3227</t>
  </si>
  <si>
    <t>000-00-2160</t>
  </si>
  <si>
    <t>115-60-4516</t>
  </si>
  <si>
    <t>132-36-2113</t>
  </si>
  <si>
    <t>082-56-6937</t>
  </si>
  <si>
    <t>125-68-8738</t>
  </si>
  <si>
    <t>603-70-6655</t>
  </si>
  <si>
    <t>186-70-5725</t>
  </si>
  <si>
    <t>092-76-6481</t>
  </si>
  <si>
    <t>519-39-2805</t>
  </si>
  <si>
    <t>107-68-4705</t>
  </si>
  <si>
    <t>101-50-5332</t>
  </si>
  <si>
    <t>004-72-8629</t>
  </si>
  <si>
    <t>125-54-5343</t>
  </si>
  <si>
    <t>000-00-5025</t>
  </si>
  <si>
    <t>052-82-2957</t>
  </si>
  <si>
    <t>079-60-0683</t>
  </si>
  <si>
    <t>098-64-8015</t>
  </si>
  <si>
    <t>198-72-0111</t>
  </si>
  <si>
    <t>080-64-8187</t>
  </si>
  <si>
    <t>627-20-2678</t>
  </si>
  <si>
    <t>255-83-0669</t>
  </si>
  <si>
    <t>045-40-3737</t>
  </si>
  <si>
    <t>100-56-7256</t>
  </si>
  <si>
    <t>051-56-8784</t>
  </si>
  <si>
    <t>209-40-2166</t>
  </si>
  <si>
    <t>593-36-0702</t>
  </si>
  <si>
    <t>065-50-7123</t>
  </si>
  <si>
    <t>069-76-7824</t>
  </si>
  <si>
    <t>017-70-7033</t>
  </si>
  <si>
    <t>054-70-7207</t>
  </si>
  <si>
    <t>088-40-4774</t>
  </si>
  <si>
    <t>055-40-0059</t>
  </si>
  <si>
    <t>072-58-6750</t>
  </si>
  <si>
    <t>117-62-7802</t>
  </si>
  <si>
    <t>057-60-4094</t>
  </si>
  <si>
    <t>249-81-5160</t>
  </si>
  <si>
    <t>105-30-4113</t>
  </si>
  <si>
    <t>549-02-9948</t>
  </si>
  <si>
    <t>088-72-2873</t>
  </si>
  <si>
    <t>492-11-8787</t>
  </si>
  <si>
    <t>117-86-6544</t>
  </si>
  <si>
    <t>083-68-6866</t>
  </si>
  <si>
    <t>609-24-9962</t>
  </si>
  <si>
    <t>366-96-3121</t>
  </si>
  <si>
    <t>532-94-6576</t>
  </si>
  <si>
    <t>100-68-0083</t>
  </si>
  <si>
    <t>111-70-1310</t>
  </si>
  <si>
    <t>000-00-0303</t>
  </si>
  <si>
    <t>082-58-6054</t>
  </si>
  <si>
    <t>000-00-5374</t>
  </si>
  <si>
    <t>000-00-1612</t>
  </si>
  <si>
    <t>029-64-3712</t>
  </si>
  <si>
    <t>068-68-6129</t>
  </si>
  <si>
    <t>000-00-6832</t>
  </si>
  <si>
    <t>057-68-2109</t>
  </si>
  <si>
    <t>022-74-5857</t>
  </si>
  <si>
    <t>Unregulated</t>
  </si>
  <si>
    <t>Rent Stabilized</t>
  </si>
  <si>
    <t>HDFC</t>
  </si>
  <si>
    <t>Mitchell-Lama</t>
  </si>
  <si>
    <t>Supportive Housing</t>
  </si>
  <si>
    <t>Other Subsidized Housing</t>
  </si>
  <si>
    <t>Project-based Sec. 8</t>
  </si>
  <si>
    <t>Unregulated – Co-Op</t>
  </si>
  <si>
    <t>Public Housing/NYCHA</t>
  </si>
  <si>
    <t>Unregulated – Other</t>
  </si>
  <si>
    <t>Low Income Tax Credit</t>
  </si>
  <si>
    <t>Public Housing</t>
  </si>
  <si>
    <t>Rent Controlled</t>
  </si>
  <si>
    <t>Unregulated – Sublet</t>
  </si>
  <si>
    <t>Section 8</t>
  </si>
  <si>
    <t>FEPS</t>
  </si>
  <si>
    <t>HUD VASH</t>
  </si>
  <si>
    <t>HASA</t>
  </si>
  <si>
    <t>DRIE/SCRIE</t>
  </si>
  <si>
    <t>City FEPS</t>
  </si>
  <si>
    <t>SEPS</t>
  </si>
  <si>
    <t>LINC</t>
  </si>
  <si>
    <t>Pathways Home</t>
  </si>
  <si>
    <t>11/28/2016</t>
  </si>
  <si>
    <t>10/26/2019</t>
  </si>
  <si>
    <t>FJC Waiver</t>
  </si>
  <si>
    <t>Zip Code Waiver</t>
  </si>
  <si>
    <t>Income Waiver</t>
  </si>
  <si>
    <t>English</t>
  </si>
  <si>
    <t>Spanish</t>
  </si>
  <si>
    <t>Bengali</t>
  </si>
  <si>
    <t>Cantonese</t>
  </si>
  <si>
    <t>Polish</t>
  </si>
  <si>
    <t>Arabic</t>
  </si>
  <si>
    <t>Creole</t>
  </si>
  <si>
    <t>Chinese/Cantonese</t>
  </si>
  <si>
    <t>French Creole</t>
  </si>
  <si>
    <t>French</t>
  </si>
  <si>
    <t>Mandarin</t>
  </si>
  <si>
    <t>Chinese/Mandarin</t>
  </si>
  <si>
    <t>Portuguese</t>
  </si>
  <si>
    <t>Korean</t>
  </si>
  <si>
    <t>Russian</t>
  </si>
  <si>
    <t xml:space="preserve">Chinese </t>
  </si>
  <si>
    <t>DHCI requirement waived re building wide initiative in opposition to Facial Recognition</t>
  </si>
  <si>
    <t>Opposition to Facial Recogntion. Wavier for APT Facial Recognition. No DHCI Required.</t>
  </si>
  <si>
    <t>Atlantic Plaza Towers facial recognition advocacy</t>
  </si>
  <si>
    <t>refused to give SS#</t>
  </si>
  <si>
    <t>releases in 19-1900448</t>
  </si>
  <si>
    <t>Neeeds New DHCI and Consent Form</t>
  </si>
  <si>
    <t>Compliance forms are in 19-1896778</t>
  </si>
  <si>
    <t>City FHEPS Case #:10154731</t>
  </si>
  <si>
    <t>Releases are in the attestation folder</t>
  </si>
  <si>
    <t>PA advocacy for index # LT-076809-19/KI</t>
  </si>
  <si>
    <t>Compliance docs located in Master file #19-1895077</t>
  </si>
  <si>
    <t>see 19-1900440 for release and DHCI</t>
  </si>
  <si>
    <t>SCRIE</t>
  </si>
  <si>
    <t>Opposition to facial recognition. Wavier for APT facial recogniton. No DHCI required.</t>
  </si>
  <si>
    <t>zipcode waiver for NEBHDCO building wide initiative</t>
  </si>
  <si>
    <t>Consent to Obtain Only  Uploaded</t>
  </si>
  <si>
    <t>Opposition to facial recogntiton. Wavier for APT Facial Recognition. No DHCI required.</t>
  </si>
  <si>
    <t>Wavier for APT Facial Recognition. No DHCI or SSN required. Compliance Docs located in parent file #19-1890555</t>
  </si>
  <si>
    <t>need income waiver</t>
  </si>
  <si>
    <t>Will require income waiver</t>
  </si>
  <si>
    <t>refuse to give full SS#</t>
  </si>
  <si>
    <t>Income waiver required for client in a Duckler building wide initiative</t>
  </si>
  <si>
    <t>Did not want to disclose SSN (identity theft concerns)</t>
  </si>
  <si>
    <t>Reasobable accom case; needs waiver</t>
  </si>
  <si>
    <t>HRA consent and DHCI forms are located in LS File - 19-1887832</t>
  </si>
  <si>
    <t>Letter to the landlord regarding conditions. Notes in case 19-1911193. Compliance forms have been uploaded.</t>
  </si>
  <si>
    <t>Need income waiver for non-pay client associated with a building wide initiative.</t>
  </si>
  <si>
    <t>overincome but will be part of group loft law case once bill is passed</t>
  </si>
  <si>
    <t>Atlantic Towers Group initiative client - needs income waiver</t>
  </si>
  <si>
    <t>Needs income waiver for building wide/group work</t>
  </si>
  <si>
    <t>Income waiver needed for participant in building wide initiative</t>
  </si>
  <si>
    <t>Filed for an Emergency Order to Show Cause</t>
  </si>
  <si>
    <t>Filed/Argued/Supplemented Dispositive or other Substantive Motion, Filed for an Emergency Order to Show Cause</t>
  </si>
  <si>
    <t>Counsel Assisted in Filing or Refiling of Answer, Filed for an Emergency Order to Show Cause</t>
  </si>
  <si>
    <t>Counsel Assisted in Filing or Refiling of Answer, Filed/Argued/Supplemented Dispositive or other Substantive Motion</t>
  </si>
  <si>
    <t>Counsel Assisted in Filing or Refiling of Answer</t>
  </si>
  <si>
    <t>Conducted Evidentiary Hearing</t>
  </si>
  <si>
    <t>Filed/Argued/Supplemented Dispositive or other Substantive Motion</t>
  </si>
  <si>
    <t>Commenced Trial</t>
  </si>
  <si>
    <t>Case Discontinued/Dismissed/Landlord Fails to Prosecute</t>
  </si>
  <si>
    <t>Restored Access to Personal Property</t>
  </si>
  <si>
    <t>Case Discontinued/Dismissed/Landlord Fails to Prosecute, Case Resolved without Judgment of Eviction Against Client</t>
  </si>
  <si>
    <t>Case Discontinued/Dismissed/Landlord Fails to Prosecute, Case Resolved without Judgment of Eviction Against Client, Other</t>
  </si>
  <si>
    <t>Case Discontinued/Dismissed/Landlord Fails to Prosecute, Secured Order or Agreement for Repairs in Apartment/Building, Secured Rent Abatement</t>
  </si>
  <si>
    <t>Case Resolved without Judgment of Eviction Against Client, Secured Order or Agreement for Repairs in Apartment/Building, Secured Rent Abatement</t>
  </si>
  <si>
    <t>Obtain Ongoing Rent Subsidy</t>
  </si>
  <si>
    <t>Client Allowed to Remain in Residence</t>
  </si>
  <si>
    <t>Client Required to be Displaced from Residence</t>
  </si>
  <si>
    <t>2019-10-31</t>
  </si>
  <si>
    <t>2019-08-29</t>
  </si>
  <si>
    <t>2019-10-21</t>
  </si>
  <si>
    <t>2019-09-04</t>
  </si>
  <si>
    <t>2019-08-16</t>
  </si>
  <si>
    <t>2019-10-28</t>
  </si>
  <si>
    <t>2019-08-08</t>
  </si>
  <si>
    <t>2019-09-18</t>
  </si>
  <si>
    <t>2019-07-19</t>
  </si>
  <si>
    <t>2019-10-11</t>
  </si>
  <si>
    <t>2019-08-28</t>
  </si>
  <si>
    <t>2019-09-30</t>
  </si>
  <si>
    <t>2019-08-06</t>
  </si>
  <si>
    <t>2019-06-03</t>
  </si>
  <si>
    <t>2019-10-07</t>
  </si>
  <si>
    <t>2019-08-20</t>
  </si>
  <si>
    <t>2019-07-09</t>
  </si>
  <si>
    <t>2019-10-30</t>
  </si>
  <si>
    <t>2019-08-13</t>
  </si>
  <si>
    <t>2019-07-25</t>
  </si>
  <si>
    <t>2019-06-30</t>
  </si>
  <si>
    <t>2019-08-21</t>
  </si>
  <si>
    <t>2019-09-23</t>
  </si>
  <si>
    <t>2019-10-02</t>
  </si>
  <si>
    <t>2019-07-16</t>
  </si>
  <si>
    <t>2019-10-24</t>
  </si>
  <si>
    <t>2019-07-17</t>
  </si>
  <si>
    <t>2019-09-01</t>
  </si>
  <si>
    <t>05/03/2019</t>
  </si>
  <si>
    <t>05/23/2019</t>
  </si>
  <si>
    <t>07/21/2019</t>
  </si>
  <si>
    <t>11/03/2019</t>
  </si>
  <si>
    <t>10/22/2018</t>
  </si>
  <si>
    <t>Pujols, Isabel</t>
  </si>
  <si>
    <t>Bernardez, Florencita</t>
  </si>
  <si>
    <t>Flores, Irene</t>
  </si>
  <si>
    <t>St. Louis, Bianca</t>
  </si>
  <si>
    <t>Dong, Sean</t>
  </si>
  <si>
    <t>Wilson-Wieland, Cherille</t>
  </si>
  <si>
    <t>Djourab, Atteib</t>
  </si>
  <si>
    <t>Martinez, Renee</t>
  </si>
  <si>
    <t>Duman, Shirley</t>
  </si>
  <si>
    <t>Villanueva, Anthony</t>
  </si>
  <si>
    <t>Griffin, Jacquelyn</t>
  </si>
  <si>
    <t>Pettit, Stephanie</t>
  </si>
  <si>
    <t>Oquendo, Joann</t>
  </si>
  <si>
    <t>Baldova, Maria</t>
  </si>
  <si>
    <t>Vergeli, Evelyn</t>
  </si>
  <si>
    <t>Garcia, Diana</t>
  </si>
  <si>
    <t>Lane, Diane</t>
  </si>
  <si>
    <t>Pozo, Caridad</t>
  </si>
  <si>
    <t>Santana, Bridgette</t>
  </si>
  <si>
    <t>Wong, Angela</t>
  </si>
  <si>
    <t>Pierre, Haenley</t>
  </si>
  <si>
    <t>Zabizhin, Albert</t>
  </si>
  <si>
    <t>Villalobos, Tanya</t>
  </si>
  <si>
    <t>Amponsah, Oheneba</t>
  </si>
  <si>
    <t>Sanchez, Dennis</t>
  </si>
  <si>
    <t>Castillo, Angel</t>
  </si>
  <si>
    <t>Morales-Robinson, Ana</t>
  </si>
  <si>
    <t>Stump, Rafaela</t>
  </si>
  <si>
    <t>Escobar, Sarah</t>
  </si>
  <si>
    <t>Guerra, Yolanda</t>
  </si>
  <si>
    <t>Khanam, Aysha</t>
  </si>
  <si>
    <t>Ortega, Luis</t>
  </si>
  <si>
    <t>Prado, Steven</t>
  </si>
  <si>
    <t>Castillo, Evette</t>
  </si>
  <si>
    <t>Goldberg, Heather</t>
  </si>
  <si>
    <t>Guzman Velazquez, Leida</t>
  </si>
  <si>
    <t>Velasquez, Diana</t>
  </si>
  <si>
    <t>Lee, Thomas</t>
  </si>
  <si>
    <t>Sampert, Monica</t>
  </si>
  <si>
    <t>Benitez, Vicenta</t>
  </si>
  <si>
    <t>Torres, Elizabeth</t>
  </si>
  <si>
    <t>Fuentes, Maria</t>
  </si>
  <si>
    <t>McDonald, Susan</t>
  </si>
  <si>
    <t>DHCI Form</t>
  </si>
  <si>
    <t>Active CA/SNAP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</si>
</sst>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Z806"/>
  <sheetViews>
    <sheetView tabSelected="1" workbookViewId="0"/>
  </sheetViews>
  <sheetFormatPr defaultRowHeight="15"/>
  <cols>
    <col min="1" max="1" width="20.7109375" style="1" customWidth="1"/>
  </cols>
  <sheetData>
    <row r="1" spans="1:5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</row>
    <row r="2" spans="1:52">
      <c r="A2" s="1">
        <f>HYPERLINK("https://lsnyc.legalserver.org/matter/dynamic-profile/view/1910667","19-1910667")</f>
        <v>0</v>
      </c>
      <c r="B2" t="s">
        <v>52</v>
      </c>
      <c r="C2" t="s">
        <v>154</v>
      </c>
      <c r="D2" t="s">
        <v>156</v>
      </c>
      <c r="E2" t="s">
        <v>174</v>
      </c>
      <c r="F2" t="s">
        <v>297</v>
      </c>
      <c r="G2" t="s">
        <v>845</v>
      </c>
      <c r="H2" t="s">
        <v>1396</v>
      </c>
      <c r="I2">
        <v>2</v>
      </c>
      <c r="J2" t="s">
        <v>2186</v>
      </c>
      <c r="K2">
        <v>11692</v>
      </c>
      <c r="L2" t="s">
        <v>2224</v>
      </c>
      <c r="M2" t="s">
        <v>2226</v>
      </c>
      <c r="N2" t="s">
        <v>2227</v>
      </c>
      <c r="O2" t="s">
        <v>2533</v>
      </c>
      <c r="P2" t="s">
        <v>2556</v>
      </c>
      <c r="Q2" t="s">
        <v>2563</v>
      </c>
      <c r="R2" t="s">
        <v>2569</v>
      </c>
      <c r="S2" t="s">
        <v>2225</v>
      </c>
      <c r="U2" t="s">
        <v>2578</v>
      </c>
      <c r="V2" t="s">
        <v>2587</v>
      </c>
      <c r="W2" t="s">
        <v>156</v>
      </c>
      <c r="X2">
        <v>250</v>
      </c>
      <c r="Y2" t="s">
        <v>2603</v>
      </c>
      <c r="Z2" t="s">
        <v>2608</v>
      </c>
      <c r="AA2" t="s">
        <v>2626</v>
      </c>
      <c r="AB2" t="s">
        <v>2638</v>
      </c>
      <c r="AC2" t="s">
        <v>3358</v>
      </c>
      <c r="AD2" t="s">
        <v>3454</v>
      </c>
      <c r="AE2">
        <v>2</v>
      </c>
      <c r="AF2" t="s">
        <v>4098</v>
      </c>
      <c r="AG2" t="s">
        <v>4112</v>
      </c>
      <c r="AH2">
        <v>5</v>
      </c>
      <c r="AI2">
        <v>1</v>
      </c>
      <c r="AJ2">
        <v>0</v>
      </c>
      <c r="AK2">
        <v>0</v>
      </c>
      <c r="AN2" t="s">
        <v>4126</v>
      </c>
      <c r="AO2">
        <v>0</v>
      </c>
      <c r="AU2">
        <v>1.4</v>
      </c>
      <c r="AV2" t="s">
        <v>200</v>
      </c>
      <c r="AW2" t="s">
        <v>4223</v>
      </c>
      <c r="AX2" t="s">
        <v>4266</v>
      </c>
      <c r="AY2" t="s">
        <v>2226</v>
      </c>
      <c r="AZ2" t="s">
        <v>2225</v>
      </c>
    </row>
    <row r="3" spans="1:52">
      <c r="A3" s="1">
        <f>HYPERLINK("https://lsnyc.legalserver.org/matter/dynamic-profile/view/1912645","19-1912645")</f>
        <v>0</v>
      </c>
      <c r="B3" t="s">
        <v>53</v>
      </c>
      <c r="C3" t="s">
        <v>155</v>
      </c>
      <c r="D3" t="s">
        <v>157</v>
      </c>
      <c r="F3" t="s">
        <v>298</v>
      </c>
      <c r="G3" t="s">
        <v>846</v>
      </c>
      <c r="H3" t="s">
        <v>1397</v>
      </c>
      <c r="I3" t="s">
        <v>1946</v>
      </c>
      <c r="J3" t="s">
        <v>2187</v>
      </c>
      <c r="K3">
        <v>11691</v>
      </c>
      <c r="L3" t="s">
        <v>2224</v>
      </c>
      <c r="M3" t="s">
        <v>2226</v>
      </c>
      <c r="O3" t="s">
        <v>2534</v>
      </c>
      <c r="P3" t="s">
        <v>2557</v>
      </c>
      <c r="R3" t="s">
        <v>2569</v>
      </c>
      <c r="S3" t="s">
        <v>2224</v>
      </c>
      <c r="U3" t="s">
        <v>2578</v>
      </c>
      <c r="W3" t="s">
        <v>157</v>
      </c>
      <c r="X3">
        <v>660</v>
      </c>
      <c r="Y3" t="s">
        <v>2603</v>
      </c>
      <c r="Z3" t="s">
        <v>2609</v>
      </c>
      <c r="AB3" t="s">
        <v>2639</v>
      </c>
      <c r="AD3" t="s">
        <v>3455</v>
      </c>
      <c r="AE3">
        <v>43</v>
      </c>
      <c r="AF3" t="s">
        <v>4099</v>
      </c>
      <c r="AG3" t="s">
        <v>2255</v>
      </c>
      <c r="AH3">
        <v>8</v>
      </c>
      <c r="AI3">
        <v>1</v>
      </c>
      <c r="AJ3">
        <v>0</v>
      </c>
      <c r="AK3">
        <v>0</v>
      </c>
      <c r="AN3" t="s">
        <v>4126</v>
      </c>
      <c r="AO3">
        <v>0</v>
      </c>
      <c r="AU3">
        <v>0.3</v>
      </c>
      <c r="AV3" t="s">
        <v>157</v>
      </c>
      <c r="AW3" t="s">
        <v>4224</v>
      </c>
      <c r="AX3" t="s">
        <v>4266</v>
      </c>
      <c r="AY3" t="s">
        <v>2224</v>
      </c>
      <c r="AZ3" t="s">
        <v>2224</v>
      </c>
    </row>
    <row r="4" spans="1:52">
      <c r="A4" s="1">
        <f>HYPERLINK("https://lsnyc.legalserver.org/matter/dynamic-profile/view/1904337","19-1904337")</f>
        <v>0</v>
      </c>
      <c r="B4" t="s">
        <v>52</v>
      </c>
      <c r="C4" t="s">
        <v>154</v>
      </c>
      <c r="D4" t="s">
        <v>158</v>
      </c>
      <c r="E4" t="s">
        <v>228</v>
      </c>
      <c r="F4" t="s">
        <v>299</v>
      </c>
      <c r="G4" t="s">
        <v>847</v>
      </c>
      <c r="H4" t="s">
        <v>1398</v>
      </c>
      <c r="J4" t="s">
        <v>2187</v>
      </c>
      <c r="K4">
        <v>11691</v>
      </c>
      <c r="L4" t="s">
        <v>2224</v>
      </c>
      <c r="M4" t="s">
        <v>2226</v>
      </c>
      <c r="N4" t="s">
        <v>2228</v>
      </c>
      <c r="O4" t="s">
        <v>2238</v>
      </c>
      <c r="P4" t="s">
        <v>2556</v>
      </c>
      <c r="Q4" t="s">
        <v>2563</v>
      </c>
      <c r="R4" t="s">
        <v>2570</v>
      </c>
      <c r="S4" t="s">
        <v>2225</v>
      </c>
      <c r="U4" t="s">
        <v>2578</v>
      </c>
      <c r="V4" t="s">
        <v>2588</v>
      </c>
      <c r="W4" t="s">
        <v>228</v>
      </c>
      <c r="X4">
        <v>600</v>
      </c>
      <c r="Y4" t="s">
        <v>2603</v>
      </c>
      <c r="Z4" t="s">
        <v>2610</v>
      </c>
      <c r="AA4" t="s">
        <v>2626</v>
      </c>
      <c r="AB4" t="s">
        <v>2640</v>
      </c>
      <c r="AC4" t="s">
        <v>2255</v>
      </c>
      <c r="AD4" t="s">
        <v>3419</v>
      </c>
      <c r="AE4">
        <v>2</v>
      </c>
      <c r="AF4" t="s">
        <v>4098</v>
      </c>
      <c r="AG4" t="s">
        <v>2255</v>
      </c>
      <c r="AH4">
        <v>5</v>
      </c>
      <c r="AI4">
        <v>1</v>
      </c>
      <c r="AJ4">
        <v>2</v>
      </c>
      <c r="AK4">
        <v>0</v>
      </c>
      <c r="AL4" t="s">
        <v>4121</v>
      </c>
      <c r="AM4" t="s">
        <v>4123</v>
      </c>
      <c r="AN4" t="s">
        <v>4126</v>
      </c>
      <c r="AO4">
        <v>0</v>
      </c>
      <c r="AU4">
        <v>1.2</v>
      </c>
      <c r="AV4" t="s">
        <v>228</v>
      </c>
      <c r="AW4" t="s">
        <v>52</v>
      </c>
      <c r="AX4" t="s">
        <v>4266</v>
      </c>
      <c r="AY4" t="s">
        <v>2226</v>
      </c>
      <c r="AZ4" t="s">
        <v>2225</v>
      </c>
    </row>
    <row r="5" spans="1:52">
      <c r="A5" s="1">
        <f>HYPERLINK("https://lsnyc.legalserver.org/matter/dynamic-profile/view/1902338","19-1902338")</f>
        <v>0</v>
      </c>
      <c r="B5" t="s">
        <v>53</v>
      </c>
      <c r="C5" t="s">
        <v>155</v>
      </c>
      <c r="D5" t="s">
        <v>159</v>
      </c>
      <c r="F5" t="s">
        <v>300</v>
      </c>
      <c r="G5" t="s">
        <v>848</v>
      </c>
      <c r="H5" t="s">
        <v>1399</v>
      </c>
      <c r="J5" t="s">
        <v>2187</v>
      </c>
      <c r="K5">
        <v>11691</v>
      </c>
      <c r="L5" t="s">
        <v>2224</v>
      </c>
      <c r="M5" t="s">
        <v>2226</v>
      </c>
      <c r="N5" t="s">
        <v>2229</v>
      </c>
      <c r="O5" t="s">
        <v>2535</v>
      </c>
      <c r="P5" t="s">
        <v>2558</v>
      </c>
      <c r="R5" t="s">
        <v>2569</v>
      </c>
      <c r="S5" t="s">
        <v>2225</v>
      </c>
      <c r="U5" t="s">
        <v>2578</v>
      </c>
      <c r="V5" t="s">
        <v>2588</v>
      </c>
      <c r="W5" t="s">
        <v>228</v>
      </c>
      <c r="X5">
        <v>1075</v>
      </c>
      <c r="Y5" t="s">
        <v>2603</v>
      </c>
      <c r="Z5" t="s">
        <v>2611</v>
      </c>
      <c r="AB5" t="s">
        <v>2641</v>
      </c>
      <c r="AD5" t="s">
        <v>3456</v>
      </c>
      <c r="AE5">
        <v>602</v>
      </c>
      <c r="AF5" t="s">
        <v>2518</v>
      </c>
      <c r="AG5" t="s">
        <v>2611</v>
      </c>
      <c r="AH5">
        <v>3</v>
      </c>
      <c r="AI5">
        <v>1</v>
      </c>
      <c r="AJ5">
        <v>0</v>
      </c>
      <c r="AK5">
        <v>0</v>
      </c>
      <c r="AN5" t="s">
        <v>4127</v>
      </c>
      <c r="AO5">
        <v>0</v>
      </c>
      <c r="AU5">
        <v>2.56</v>
      </c>
      <c r="AV5" t="s">
        <v>187</v>
      </c>
      <c r="AW5" t="s">
        <v>4225</v>
      </c>
      <c r="AX5" t="s">
        <v>4266</v>
      </c>
      <c r="AY5" t="s">
        <v>2224</v>
      </c>
      <c r="AZ5" t="s">
        <v>2224</v>
      </c>
    </row>
    <row r="6" spans="1:52">
      <c r="A6" s="1">
        <f>HYPERLINK("https://lsnyc.legalserver.org/matter/dynamic-profile/view/1912643","19-1912643")</f>
        <v>0</v>
      </c>
      <c r="B6" t="s">
        <v>53</v>
      </c>
      <c r="C6" t="s">
        <v>155</v>
      </c>
      <c r="D6" t="s">
        <v>157</v>
      </c>
      <c r="F6" t="s">
        <v>298</v>
      </c>
      <c r="G6" t="s">
        <v>846</v>
      </c>
      <c r="H6" t="s">
        <v>1397</v>
      </c>
      <c r="I6" t="s">
        <v>1946</v>
      </c>
      <c r="J6" t="s">
        <v>2187</v>
      </c>
      <c r="K6">
        <v>11691</v>
      </c>
      <c r="L6" t="s">
        <v>2224</v>
      </c>
      <c r="M6" t="s">
        <v>2226</v>
      </c>
      <c r="O6" t="s">
        <v>2535</v>
      </c>
      <c r="P6" t="s">
        <v>2557</v>
      </c>
      <c r="R6" t="s">
        <v>2569</v>
      </c>
      <c r="S6" t="s">
        <v>2224</v>
      </c>
      <c r="U6" t="s">
        <v>2578</v>
      </c>
      <c r="W6" t="s">
        <v>157</v>
      </c>
      <c r="X6">
        <v>660</v>
      </c>
      <c r="Y6" t="s">
        <v>2603</v>
      </c>
      <c r="Z6" t="s">
        <v>2609</v>
      </c>
      <c r="AB6" t="s">
        <v>2639</v>
      </c>
      <c r="AD6" t="s">
        <v>3455</v>
      </c>
      <c r="AE6">
        <v>43</v>
      </c>
      <c r="AF6" t="s">
        <v>4099</v>
      </c>
      <c r="AG6" t="s">
        <v>2255</v>
      </c>
      <c r="AH6">
        <v>8</v>
      </c>
      <c r="AI6">
        <v>1</v>
      </c>
      <c r="AJ6">
        <v>0</v>
      </c>
      <c r="AK6">
        <v>0</v>
      </c>
      <c r="AN6" t="s">
        <v>4126</v>
      </c>
      <c r="AO6">
        <v>0</v>
      </c>
      <c r="AU6">
        <v>0.3</v>
      </c>
      <c r="AV6" t="s">
        <v>157</v>
      </c>
      <c r="AW6" t="s">
        <v>4224</v>
      </c>
      <c r="AX6" t="s">
        <v>4266</v>
      </c>
      <c r="AY6" t="s">
        <v>2224</v>
      </c>
      <c r="AZ6" t="s">
        <v>2224</v>
      </c>
    </row>
    <row r="7" spans="1:52">
      <c r="A7" s="1">
        <f>HYPERLINK("https://lsnyc.legalserver.org/matter/dynamic-profile/view/1904043","19-1904043")</f>
        <v>0</v>
      </c>
      <c r="B7" t="s">
        <v>54</v>
      </c>
      <c r="C7" t="s">
        <v>155</v>
      </c>
      <c r="D7" t="s">
        <v>160</v>
      </c>
      <c r="F7" t="s">
        <v>301</v>
      </c>
      <c r="G7" t="s">
        <v>849</v>
      </c>
      <c r="H7" t="s">
        <v>1400</v>
      </c>
      <c r="I7" t="s">
        <v>1947</v>
      </c>
      <c r="J7" t="s">
        <v>2188</v>
      </c>
      <c r="K7">
        <v>11435</v>
      </c>
      <c r="L7" t="s">
        <v>2224</v>
      </c>
      <c r="M7" t="s">
        <v>2226</v>
      </c>
      <c r="N7" t="s">
        <v>2230</v>
      </c>
      <c r="O7" t="s">
        <v>2533</v>
      </c>
      <c r="P7" t="s">
        <v>2556</v>
      </c>
      <c r="R7" t="s">
        <v>2569</v>
      </c>
      <c r="S7" t="s">
        <v>2225</v>
      </c>
      <c r="U7" t="s">
        <v>2578</v>
      </c>
      <c r="V7" t="s">
        <v>2588</v>
      </c>
      <c r="W7" t="s">
        <v>160</v>
      </c>
      <c r="X7">
        <v>2200</v>
      </c>
      <c r="Y7" t="s">
        <v>2603</v>
      </c>
      <c r="Z7" t="s">
        <v>2608</v>
      </c>
      <c r="AB7" t="s">
        <v>2642</v>
      </c>
      <c r="AD7" t="s">
        <v>3457</v>
      </c>
      <c r="AE7">
        <v>2</v>
      </c>
      <c r="AF7" t="s">
        <v>2518</v>
      </c>
      <c r="AG7" t="s">
        <v>2255</v>
      </c>
      <c r="AH7">
        <v>1</v>
      </c>
      <c r="AI7">
        <v>2</v>
      </c>
      <c r="AJ7">
        <v>0</v>
      </c>
      <c r="AK7">
        <v>0</v>
      </c>
      <c r="AN7" t="s">
        <v>4126</v>
      </c>
      <c r="AO7">
        <v>0</v>
      </c>
      <c r="AU7">
        <v>1.47</v>
      </c>
      <c r="AV7" t="s">
        <v>245</v>
      </c>
      <c r="AW7" t="s">
        <v>4224</v>
      </c>
      <c r="AX7" t="s">
        <v>4266</v>
      </c>
      <c r="AY7" t="s">
        <v>2224</v>
      </c>
      <c r="AZ7" t="s">
        <v>2224</v>
      </c>
    </row>
    <row r="8" spans="1:52">
      <c r="A8" s="1">
        <f>HYPERLINK("https://lsnyc.legalserver.org/matter/dynamic-profile/view/1909542","19-1909542")</f>
        <v>0</v>
      </c>
      <c r="B8" t="s">
        <v>53</v>
      </c>
      <c r="C8" t="s">
        <v>155</v>
      </c>
      <c r="D8" t="s">
        <v>161</v>
      </c>
      <c r="F8" t="s">
        <v>302</v>
      </c>
      <c r="G8" t="s">
        <v>402</v>
      </c>
      <c r="H8" t="s">
        <v>1401</v>
      </c>
      <c r="I8">
        <v>2</v>
      </c>
      <c r="J8" t="s">
        <v>2188</v>
      </c>
      <c r="K8">
        <v>11435</v>
      </c>
      <c r="L8" t="s">
        <v>2224</v>
      </c>
      <c r="M8" t="s">
        <v>2226</v>
      </c>
      <c r="N8" t="s">
        <v>2231</v>
      </c>
      <c r="O8" t="s">
        <v>2534</v>
      </c>
      <c r="P8" t="s">
        <v>2558</v>
      </c>
      <c r="R8" t="s">
        <v>2569</v>
      </c>
      <c r="S8" t="s">
        <v>2225</v>
      </c>
      <c r="U8" t="s">
        <v>2578</v>
      </c>
      <c r="W8" t="s">
        <v>161</v>
      </c>
      <c r="X8">
        <v>1650</v>
      </c>
      <c r="Y8" t="s">
        <v>2603</v>
      </c>
      <c r="Z8" t="s">
        <v>2608</v>
      </c>
      <c r="AB8" t="s">
        <v>2643</v>
      </c>
      <c r="AD8" t="s">
        <v>3458</v>
      </c>
      <c r="AE8">
        <v>2</v>
      </c>
      <c r="AF8" t="s">
        <v>4098</v>
      </c>
      <c r="AG8" t="s">
        <v>2255</v>
      </c>
      <c r="AH8">
        <v>2</v>
      </c>
      <c r="AI8">
        <v>1</v>
      </c>
      <c r="AJ8">
        <v>3</v>
      </c>
      <c r="AK8">
        <v>0</v>
      </c>
      <c r="AN8" t="s">
        <v>4126</v>
      </c>
      <c r="AO8">
        <v>0</v>
      </c>
      <c r="AU8">
        <v>2.2</v>
      </c>
      <c r="AV8" t="s">
        <v>188</v>
      </c>
      <c r="AW8" t="s">
        <v>4224</v>
      </c>
      <c r="AX8" t="s">
        <v>4266</v>
      </c>
      <c r="AY8" t="s">
        <v>2224</v>
      </c>
      <c r="AZ8" t="s">
        <v>2224</v>
      </c>
    </row>
    <row r="9" spans="1:52">
      <c r="A9" s="1">
        <f>HYPERLINK("https://lsnyc.legalserver.org/matter/dynamic-profile/view/1907457","19-1907457")</f>
        <v>0</v>
      </c>
      <c r="B9" t="s">
        <v>53</v>
      </c>
      <c r="C9" t="s">
        <v>155</v>
      </c>
      <c r="D9" t="s">
        <v>162</v>
      </c>
      <c r="F9" t="s">
        <v>302</v>
      </c>
      <c r="G9" t="s">
        <v>402</v>
      </c>
      <c r="H9" t="s">
        <v>1402</v>
      </c>
      <c r="J9" t="s">
        <v>2188</v>
      </c>
      <c r="K9">
        <v>11435</v>
      </c>
      <c r="L9" t="s">
        <v>2224</v>
      </c>
      <c r="M9" t="s">
        <v>2226</v>
      </c>
      <c r="N9" t="s">
        <v>2232</v>
      </c>
      <c r="O9" t="s">
        <v>2535</v>
      </c>
      <c r="P9" t="s">
        <v>2558</v>
      </c>
      <c r="R9" t="s">
        <v>2569</v>
      </c>
      <c r="S9" t="s">
        <v>2225</v>
      </c>
      <c r="U9" t="s">
        <v>2578</v>
      </c>
      <c r="V9" t="s">
        <v>2588</v>
      </c>
      <c r="W9" t="s">
        <v>162</v>
      </c>
      <c r="X9">
        <v>1650</v>
      </c>
      <c r="Y9" t="s">
        <v>2603</v>
      </c>
      <c r="Z9" t="s">
        <v>2608</v>
      </c>
      <c r="AB9" t="s">
        <v>2643</v>
      </c>
      <c r="AD9" t="s">
        <v>3458</v>
      </c>
      <c r="AE9">
        <v>2</v>
      </c>
      <c r="AF9" t="s">
        <v>4098</v>
      </c>
      <c r="AG9" t="s">
        <v>2255</v>
      </c>
      <c r="AH9">
        <v>2</v>
      </c>
      <c r="AI9">
        <v>1</v>
      </c>
      <c r="AJ9">
        <v>3</v>
      </c>
      <c r="AK9">
        <v>0</v>
      </c>
      <c r="AN9" t="s">
        <v>4126</v>
      </c>
      <c r="AO9">
        <v>0</v>
      </c>
      <c r="AU9">
        <v>17.85</v>
      </c>
      <c r="AV9" t="s">
        <v>261</v>
      </c>
      <c r="AW9" t="s">
        <v>53</v>
      </c>
      <c r="AY9" t="s">
        <v>2224</v>
      </c>
      <c r="AZ9" t="s">
        <v>2224</v>
      </c>
    </row>
    <row r="10" spans="1:52">
      <c r="A10" s="1">
        <f>HYPERLINK("https://lsnyc.legalserver.org/matter/dynamic-profile/view/1913156","19-1913156")</f>
        <v>0</v>
      </c>
      <c r="B10" t="s">
        <v>55</v>
      </c>
      <c r="C10" t="s">
        <v>155</v>
      </c>
      <c r="D10" t="s">
        <v>163</v>
      </c>
      <c r="F10" t="s">
        <v>297</v>
      </c>
      <c r="G10" t="s">
        <v>850</v>
      </c>
      <c r="H10" t="s">
        <v>1403</v>
      </c>
      <c r="J10" t="s">
        <v>2188</v>
      </c>
      <c r="K10">
        <v>11434</v>
      </c>
      <c r="L10" t="s">
        <v>2224</v>
      </c>
      <c r="M10" t="s">
        <v>2226</v>
      </c>
      <c r="N10" t="s">
        <v>2227</v>
      </c>
      <c r="O10" t="s">
        <v>2533</v>
      </c>
      <c r="P10" t="s">
        <v>2556</v>
      </c>
      <c r="R10" t="s">
        <v>2570</v>
      </c>
      <c r="S10" t="s">
        <v>2225</v>
      </c>
      <c r="U10" t="s">
        <v>2578</v>
      </c>
      <c r="V10" t="s">
        <v>2589</v>
      </c>
      <c r="W10" t="s">
        <v>163</v>
      </c>
      <c r="X10">
        <v>0</v>
      </c>
      <c r="Y10" t="s">
        <v>2603</v>
      </c>
      <c r="Z10" t="s">
        <v>2610</v>
      </c>
      <c r="AB10" t="s">
        <v>2638</v>
      </c>
      <c r="AD10" t="s">
        <v>3454</v>
      </c>
      <c r="AE10">
        <v>2</v>
      </c>
      <c r="AG10" t="s">
        <v>4112</v>
      </c>
      <c r="AH10">
        <v>0</v>
      </c>
      <c r="AI10">
        <v>1</v>
      </c>
      <c r="AJ10">
        <v>0</v>
      </c>
      <c r="AK10">
        <v>0</v>
      </c>
      <c r="AN10" t="s">
        <v>4126</v>
      </c>
      <c r="AO10">
        <v>0</v>
      </c>
      <c r="AU10">
        <v>0.6</v>
      </c>
      <c r="AV10" t="s">
        <v>218</v>
      </c>
      <c r="AW10" t="s">
        <v>55</v>
      </c>
      <c r="AY10" t="s">
        <v>2226</v>
      </c>
      <c r="AZ10" t="s">
        <v>2226</v>
      </c>
    </row>
    <row r="11" spans="1:52">
      <c r="A11" s="1">
        <f>HYPERLINK("https://lsnyc.legalserver.org/matter/dynamic-profile/view/1906436","19-1906436")</f>
        <v>0</v>
      </c>
      <c r="B11" t="s">
        <v>55</v>
      </c>
      <c r="C11" t="s">
        <v>155</v>
      </c>
      <c r="D11" t="s">
        <v>164</v>
      </c>
      <c r="F11" t="s">
        <v>303</v>
      </c>
      <c r="G11" t="s">
        <v>851</v>
      </c>
      <c r="H11" t="s">
        <v>1404</v>
      </c>
      <c r="J11" t="s">
        <v>2189</v>
      </c>
      <c r="K11">
        <v>11420</v>
      </c>
      <c r="L11" t="s">
        <v>2224</v>
      </c>
      <c r="M11" t="s">
        <v>2226</v>
      </c>
      <c r="O11" t="s">
        <v>2238</v>
      </c>
      <c r="P11" t="s">
        <v>2558</v>
      </c>
      <c r="R11" t="s">
        <v>2570</v>
      </c>
      <c r="S11" t="s">
        <v>2225</v>
      </c>
      <c r="U11" t="s">
        <v>2578</v>
      </c>
      <c r="W11" t="s">
        <v>164</v>
      </c>
      <c r="X11">
        <v>0.01</v>
      </c>
      <c r="Y11" t="s">
        <v>2603</v>
      </c>
      <c r="Z11" t="s">
        <v>2610</v>
      </c>
      <c r="AB11" t="s">
        <v>2644</v>
      </c>
      <c r="AD11" t="s">
        <v>3459</v>
      </c>
      <c r="AE11">
        <v>3</v>
      </c>
      <c r="AF11" t="s">
        <v>4098</v>
      </c>
      <c r="AG11" t="s">
        <v>2255</v>
      </c>
      <c r="AH11">
        <v>9</v>
      </c>
      <c r="AI11">
        <v>1</v>
      </c>
      <c r="AJ11">
        <v>2</v>
      </c>
      <c r="AK11">
        <v>0</v>
      </c>
      <c r="AL11" t="s">
        <v>4121</v>
      </c>
      <c r="AM11" t="s">
        <v>4123</v>
      </c>
      <c r="AN11" t="s">
        <v>4127</v>
      </c>
      <c r="AO11">
        <v>0</v>
      </c>
      <c r="AU11">
        <v>4.46</v>
      </c>
      <c r="AV11" t="s">
        <v>218</v>
      </c>
      <c r="AW11" t="s">
        <v>55</v>
      </c>
      <c r="AX11" t="s">
        <v>4266</v>
      </c>
      <c r="AY11" t="s">
        <v>2226</v>
      </c>
      <c r="AZ11" t="s">
        <v>2226</v>
      </c>
    </row>
    <row r="12" spans="1:52">
      <c r="A12" s="1">
        <f>HYPERLINK("https://lsnyc.legalserver.org/matter/dynamic-profile/view/1911831","19-1911831")</f>
        <v>0</v>
      </c>
      <c r="B12" t="s">
        <v>55</v>
      </c>
      <c r="C12" t="s">
        <v>155</v>
      </c>
      <c r="D12" t="s">
        <v>165</v>
      </c>
      <c r="F12" t="s">
        <v>304</v>
      </c>
      <c r="G12" t="s">
        <v>852</v>
      </c>
      <c r="H12" t="s">
        <v>1405</v>
      </c>
      <c r="I12" t="s">
        <v>1948</v>
      </c>
      <c r="J12" t="s">
        <v>2190</v>
      </c>
      <c r="K12">
        <v>11417</v>
      </c>
      <c r="L12" t="s">
        <v>2224</v>
      </c>
      <c r="M12" t="s">
        <v>2226</v>
      </c>
      <c r="N12" t="s">
        <v>2233</v>
      </c>
      <c r="O12" t="s">
        <v>2533</v>
      </c>
      <c r="P12" t="s">
        <v>2558</v>
      </c>
      <c r="R12" t="s">
        <v>2569</v>
      </c>
      <c r="S12" t="s">
        <v>2225</v>
      </c>
      <c r="U12" t="s">
        <v>2578</v>
      </c>
      <c r="W12" t="s">
        <v>165</v>
      </c>
      <c r="X12">
        <v>500</v>
      </c>
      <c r="Y12" t="s">
        <v>2603</v>
      </c>
      <c r="Z12" t="s">
        <v>2608</v>
      </c>
      <c r="AB12" t="s">
        <v>2645</v>
      </c>
      <c r="AC12" t="s">
        <v>3359</v>
      </c>
      <c r="AD12" t="s">
        <v>3460</v>
      </c>
      <c r="AE12">
        <v>2</v>
      </c>
      <c r="AF12" t="s">
        <v>2518</v>
      </c>
      <c r="AG12" t="s">
        <v>2255</v>
      </c>
      <c r="AH12">
        <v>1</v>
      </c>
      <c r="AI12">
        <v>1</v>
      </c>
      <c r="AJ12">
        <v>1</v>
      </c>
      <c r="AK12">
        <v>0</v>
      </c>
      <c r="AN12" t="s">
        <v>4128</v>
      </c>
      <c r="AO12">
        <v>0</v>
      </c>
      <c r="AU12">
        <v>37.5</v>
      </c>
      <c r="AV12" t="s">
        <v>218</v>
      </c>
      <c r="AW12" t="s">
        <v>4224</v>
      </c>
      <c r="AX12" t="s">
        <v>4266</v>
      </c>
      <c r="AY12" t="s">
        <v>2226</v>
      </c>
      <c r="AZ12" t="s">
        <v>2226</v>
      </c>
    </row>
    <row r="13" spans="1:52">
      <c r="A13" s="1">
        <f>HYPERLINK("https://lsnyc.legalserver.org/matter/dynamic-profile/view/1910900","19-1910900")</f>
        <v>0</v>
      </c>
      <c r="B13" t="s">
        <v>55</v>
      </c>
      <c r="C13" t="s">
        <v>155</v>
      </c>
      <c r="D13" t="s">
        <v>166</v>
      </c>
      <c r="F13" t="s">
        <v>305</v>
      </c>
      <c r="G13" t="s">
        <v>853</v>
      </c>
      <c r="H13" t="s">
        <v>1406</v>
      </c>
      <c r="I13" t="s">
        <v>1949</v>
      </c>
      <c r="J13" t="s">
        <v>2191</v>
      </c>
      <c r="K13">
        <v>11368</v>
      </c>
      <c r="L13" t="s">
        <v>2224</v>
      </c>
      <c r="M13" t="s">
        <v>2226</v>
      </c>
      <c r="O13" t="s">
        <v>2238</v>
      </c>
      <c r="P13" t="s">
        <v>2559</v>
      </c>
      <c r="R13" t="s">
        <v>2570</v>
      </c>
      <c r="S13" t="s">
        <v>2225</v>
      </c>
      <c r="U13" t="s">
        <v>2578</v>
      </c>
      <c r="W13" t="s">
        <v>166</v>
      </c>
      <c r="X13">
        <v>2000</v>
      </c>
      <c r="Y13" t="s">
        <v>2603</v>
      </c>
      <c r="Z13" t="s">
        <v>2610</v>
      </c>
      <c r="AB13" t="s">
        <v>2646</v>
      </c>
      <c r="AD13" t="s">
        <v>3461</v>
      </c>
      <c r="AE13">
        <v>11</v>
      </c>
      <c r="AH13">
        <v>1</v>
      </c>
      <c r="AI13">
        <v>1</v>
      </c>
      <c r="AJ13">
        <v>4</v>
      </c>
      <c r="AK13">
        <v>0</v>
      </c>
      <c r="AL13" t="s">
        <v>4121</v>
      </c>
      <c r="AM13" t="s">
        <v>4123</v>
      </c>
      <c r="AN13" t="s">
        <v>4127</v>
      </c>
      <c r="AO13">
        <v>0</v>
      </c>
      <c r="AU13">
        <v>2.5</v>
      </c>
      <c r="AV13" t="s">
        <v>163</v>
      </c>
      <c r="AW13" t="s">
        <v>55</v>
      </c>
      <c r="AY13" t="s">
        <v>2226</v>
      </c>
      <c r="AZ13" t="s">
        <v>2226</v>
      </c>
    </row>
    <row r="14" spans="1:52">
      <c r="A14" s="1">
        <f>HYPERLINK("https://lsnyc.legalserver.org/matter/dynamic-profile/view/1909287","19-1909287")</f>
        <v>0</v>
      </c>
      <c r="B14" t="s">
        <v>56</v>
      </c>
      <c r="C14" t="s">
        <v>155</v>
      </c>
      <c r="D14" t="s">
        <v>167</v>
      </c>
      <c r="F14" t="s">
        <v>306</v>
      </c>
      <c r="G14" t="s">
        <v>854</v>
      </c>
      <c r="H14" t="s">
        <v>1407</v>
      </c>
      <c r="I14" t="s">
        <v>1950</v>
      </c>
      <c r="J14" t="s">
        <v>2191</v>
      </c>
      <c r="K14">
        <v>11368</v>
      </c>
      <c r="L14" t="s">
        <v>2224</v>
      </c>
      <c r="M14" t="s">
        <v>2226</v>
      </c>
      <c r="N14" t="s">
        <v>2234</v>
      </c>
      <c r="O14" t="s">
        <v>2535</v>
      </c>
      <c r="P14" t="s">
        <v>2556</v>
      </c>
      <c r="R14" t="s">
        <v>2569</v>
      </c>
      <c r="S14" t="s">
        <v>2225</v>
      </c>
      <c r="U14" t="s">
        <v>2578</v>
      </c>
      <c r="W14" t="s">
        <v>167</v>
      </c>
      <c r="X14">
        <v>1079</v>
      </c>
      <c r="Y14" t="s">
        <v>2603</v>
      </c>
      <c r="Z14" t="s">
        <v>2608</v>
      </c>
      <c r="AB14" t="s">
        <v>2647</v>
      </c>
      <c r="AC14" t="s">
        <v>3360</v>
      </c>
      <c r="AD14" t="s">
        <v>3462</v>
      </c>
      <c r="AE14">
        <v>237</v>
      </c>
      <c r="AF14" t="s">
        <v>4099</v>
      </c>
      <c r="AG14" t="s">
        <v>2611</v>
      </c>
      <c r="AH14">
        <v>2</v>
      </c>
      <c r="AI14">
        <v>1</v>
      </c>
      <c r="AJ14">
        <v>0</v>
      </c>
      <c r="AK14">
        <v>0</v>
      </c>
      <c r="AN14" t="s">
        <v>4126</v>
      </c>
      <c r="AO14">
        <v>0</v>
      </c>
      <c r="AU14">
        <v>0.9</v>
      </c>
      <c r="AV14" t="s">
        <v>257</v>
      </c>
      <c r="AW14" t="s">
        <v>4224</v>
      </c>
      <c r="AX14" t="s">
        <v>4266</v>
      </c>
      <c r="AY14" t="s">
        <v>2224</v>
      </c>
      <c r="AZ14" t="s">
        <v>2224</v>
      </c>
    </row>
    <row r="15" spans="1:52">
      <c r="A15" s="1">
        <f>HYPERLINK("https://lsnyc.legalserver.org/matter/dynamic-profile/view/1912582","19-1912582")</f>
        <v>0</v>
      </c>
      <c r="B15" t="s">
        <v>56</v>
      </c>
      <c r="C15" t="s">
        <v>155</v>
      </c>
      <c r="D15" t="s">
        <v>168</v>
      </c>
      <c r="F15" t="s">
        <v>307</v>
      </c>
      <c r="G15" t="s">
        <v>855</v>
      </c>
      <c r="H15" t="s">
        <v>1407</v>
      </c>
      <c r="J15" t="s">
        <v>2191</v>
      </c>
      <c r="K15">
        <v>11368</v>
      </c>
      <c r="L15" t="s">
        <v>2224</v>
      </c>
      <c r="M15" t="s">
        <v>2226</v>
      </c>
      <c r="O15" t="s">
        <v>2536</v>
      </c>
      <c r="P15" t="s">
        <v>2557</v>
      </c>
      <c r="R15" t="s">
        <v>2569</v>
      </c>
      <c r="S15" t="s">
        <v>2224</v>
      </c>
      <c r="U15" t="s">
        <v>2578</v>
      </c>
      <c r="W15" t="s">
        <v>168</v>
      </c>
      <c r="X15">
        <v>1240</v>
      </c>
      <c r="Y15" t="s">
        <v>2603</v>
      </c>
      <c r="Z15" t="s">
        <v>2609</v>
      </c>
      <c r="AB15" t="s">
        <v>2648</v>
      </c>
      <c r="AD15" t="s">
        <v>3419</v>
      </c>
      <c r="AE15">
        <v>0</v>
      </c>
      <c r="AF15" t="s">
        <v>4099</v>
      </c>
      <c r="AG15" t="s">
        <v>2255</v>
      </c>
      <c r="AH15">
        <v>27</v>
      </c>
      <c r="AI15">
        <v>1</v>
      </c>
      <c r="AJ15">
        <v>0</v>
      </c>
      <c r="AK15">
        <v>0</v>
      </c>
      <c r="AN15" t="s">
        <v>4126</v>
      </c>
      <c r="AO15">
        <v>0</v>
      </c>
      <c r="AU15">
        <v>0.5</v>
      </c>
      <c r="AV15" t="s">
        <v>168</v>
      </c>
      <c r="AW15" t="s">
        <v>4224</v>
      </c>
      <c r="AX15" t="s">
        <v>4266</v>
      </c>
      <c r="AY15" t="s">
        <v>2226</v>
      </c>
      <c r="AZ15" t="s">
        <v>2226</v>
      </c>
    </row>
    <row r="16" spans="1:52">
      <c r="A16" s="1">
        <f>HYPERLINK("https://lsnyc.legalserver.org/matter/dynamic-profile/view/1910682","19-1910682")</f>
        <v>0</v>
      </c>
      <c r="B16" t="s">
        <v>57</v>
      </c>
      <c r="C16" t="s">
        <v>155</v>
      </c>
      <c r="D16" t="s">
        <v>156</v>
      </c>
      <c r="F16" t="s">
        <v>308</v>
      </c>
      <c r="G16" t="s">
        <v>856</v>
      </c>
      <c r="H16" t="s">
        <v>1408</v>
      </c>
      <c r="I16">
        <v>11</v>
      </c>
      <c r="J16" t="s">
        <v>2192</v>
      </c>
      <c r="K16">
        <v>11238</v>
      </c>
      <c r="L16" t="s">
        <v>2224</v>
      </c>
      <c r="M16" t="s">
        <v>2226</v>
      </c>
      <c r="O16" t="s">
        <v>2533</v>
      </c>
      <c r="P16" t="s">
        <v>2559</v>
      </c>
      <c r="R16" t="s">
        <v>2569</v>
      </c>
      <c r="S16" t="s">
        <v>2225</v>
      </c>
      <c r="U16" t="s">
        <v>2578</v>
      </c>
      <c r="W16" t="s">
        <v>156</v>
      </c>
      <c r="X16">
        <v>1200</v>
      </c>
      <c r="Y16" t="s">
        <v>2604</v>
      </c>
      <c r="AB16" t="s">
        <v>2649</v>
      </c>
      <c r="AD16" t="s">
        <v>3463</v>
      </c>
      <c r="AE16">
        <v>6</v>
      </c>
      <c r="AH16">
        <v>0</v>
      </c>
      <c r="AI16">
        <v>2</v>
      </c>
      <c r="AJ16">
        <v>0</v>
      </c>
      <c r="AK16">
        <v>0</v>
      </c>
      <c r="AN16" t="s">
        <v>4126</v>
      </c>
      <c r="AO16">
        <v>0</v>
      </c>
      <c r="AU16">
        <v>0</v>
      </c>
      <c r="AW16" t="s">
        <v>153</v>
      </c>
      <c r="AX16" t="s">
        <v>4266</v>
      </c>
      <c r="AY16" t="s">
        <v>2226</v>
      </c>
      <c r="AZ16" t="s">
        <v>2226</v>
      </c>
    </row>
    <row r="17" spans="1:52">
      <c r="A17" s="1">
        <f>HYPERLINK("https://lsnyc.legalserver.org/matter/dynamic-profile/view/1910906","19-1910906")</f>
        <v>0</v>
      </c>
      <c r="B17" t="s">
        <v>58</v>
      </c>
      <c r="C17" t="s">
        <v>155</v>
      </c>
      <c r="D17" t="s">
        <v>166</v>
      </c>
      <c r="F17" t="s">
        <v>309</v>
      </c>
      <c r="G17" t="s">
        <v>857</v>
      </c>
      <c r="J17" t="s">
        <v>2192</v>
      </c>
      <c r="K17">
        <v>11238</v>
      </c>
      <c r="L17" t="s">
        <v>2224</v>
      </c>
      <c r="M17" t="s">
        <v>2226</v>
      </c>
      <c r="O17" t="s">
        <v>2535</v>
      </c>
      <c r="P17" t="s">
        <v>2558</v>
      </c>
      <c r="R17" t="s">
        <v>2569</v>
      </c>
      <c r="S17" t="s">
        <v>2224</v>
      </c>
      <c r="U17" t="s">
        <v>2578</v>
      </c>
      <c r="V17" t="s">
        <v>2588</v>
      </c>
      <c r="W17" t="s">
        <v>200</v>
      </c>
      <c r="X17">
        <v>0</v>
      </c>
      <c r="Y17" t="s">
        <v>2604</v>
      </c>
      <c r="Z17" t="s">
        <v>2612</v>
      </c>
      <c r="AE17">
        <v>0</v>
      </c>
      <c r="AF17" t="s">
        <v>4099</v>
      </c>
      <c r="AH17">
        <v>0</v>
      </c>
      <c r="AI17">
        <v>1</v>
      </c>
      <c r="AJ17">
        <v>0</v>
      </c>
      <c r="AK17">
        <v>0</v>
      </c>
      <c r="AN17" t="s">
        <v>4126</v>
      </c>
      <c r="AO17">
        <v>0</v>
      </c>
      <c r="AU17">
        <v>3</v>
      </c>
      <c r="AV17" t="s">
        <v>200</v>
      </c>
      <c r="AW17" t="s">
        <v>58</v>
      </c>
      <c r="AX17" t="s">
        <v>4266</v>
      </c>
      <c r="AY17" t="s">
        <v>2226</v>
      </c>
      <c r="AZ17" t="s">
        <v>2226</v>
      </c>
    </row>
    <row r="18" spans="1:52">
      <c r="A18" s="1">
        <f>HYPERLINK("https://lsnyc.legalserver.org/matter/dynamic-profile/view/1912384","19-1912384")</f>
        <v>0</v>
      </c>
      <c r="B18" t="s">
        <v>58</v>
      </c>
      <c r="C18" t="s">
        <v>155</v>
      </c>
      <c r="D18" t="s">
        <v>169</v>
      </c>
      <c r="F18" t="s">
        <v>310</v>
      </c>
      <c r="G18" t="s">
        <v>858</v>
      </c>
      <c r="H18" t="s">
        <v>1409</v>
      </c>
      <c r="I18" t="s">
        <v>1951</v>
      </c>
      <c r="J18" t="s">
        <v>2192</v>
      </c>
      <c r="K18">
        <v>11238</v>
      </c>
      <c r="L18" t="s">
        <v>2224</v>
      </c>
      <c r="M18" t="s">
        <v>2226</v>
      </c>
      <c r="O18" t="s">
        <v>2535</v>
      </c>
      <c r="P18" t="s">
        <v>2558</v>
      </c>
      <c r="R18" t="s">
        <v>2569</v>
      </c>
      <c r="U18" t="s">
        <v>2578</v>
      </c>
      <c r="W18" t="s">
        <v>169</v>
      </c>
      <c r="X18">
        <v>989.25</v>
      </c>
      <c r="Y18" t="s">
        <v>2604</v>
      </c>
      <c r="AB18" t="s">
        <v>2650</v>
      </c>
      <c r="AD18" t="s">
        <v>3464</v>
      </c>
      <c r="AE18">
        <v>29</v>
      </c>
      <c r="AG18" t="s">
        <v>4113</v>
      </c>
      <c r="AH18">
        <v>10</v>
      </c>
      <c r="AI18">
        <v>1</v>
      </c>
      <c r="AJ18">
        <v>1</v>
      </c>
      <c r="AK18">
        <v>0</v>
      </c>
      <c r="AN18" t="s">
        <v>4126</v>
      </c>
      <c r="AO18">
        <v>0</v>
      </c>
      <c r="AU18">
        <v>0</v>
      </c>
      <c r="AW18" t="s">
        <v>153</v>
      </c>
      <c r="AX18" t="s">
        <v>4266</v>
      </c>
      <c r="AY18" t="s">
        <v>2224</v>
      </c>
      <c r="AZ18" t="s">
        <v>2224</v>
      </c>
    </row>
    <row r="19" spans="1:52">
      <c r="A19" s="1">
        <f>HYPERLINK("https://lsnyc.legalserver.org/matter/dynamic-profile/view/1910536","19-1910536")</f>
        <v>0</v>
      </c>
      <c r="B19" t="s">
        <v>59</v>
      </c>
      <c r="C19" t="s">
        <v>155</v>
      </c>
      <c r="D19" t="s">
        <v>170</v>
      </c>
      <c r="F19" t="s">
        <v>311</v>
      </c>
      <c r="G19" t="s">
        <v>859</v>
      </c>
      <c r="H19" t="s">
        <v>1410</v>
      </c>
      <c r="J19" t="s">
        <v>2192</v>
      </c>
      <c r="K19">
        <v>11233</v>
      </c>
      <c r="L19" t="s">
        <v>2224</v>
      </c>
      <c r="M19" t="s">
        <v>2226</v>
      </c>
      <c r="N19" t="s">
        <v>2235</v>
      </c>
      <c r="O19" t="s">
        <v>2537</v>
      </c>
      <c r="P19" t="s">
        <v>2560</v>
      </c>
      <c r="R19" t="s">
        <v>2569</v>
      </c>
      <c r="S19" t="s">
        <v>2224</v>
      </c>
      <c r="U19" t="s">
        <v>2578</v>
      </c>
      <c r="V19" t="s">
        <v>2588</v>
      </c>
      <c r="W19" t="s">
        <v>2594</v>
      </c>
      <c r="X19">
        <v>0</v>
      </c>
      <c r="Y19" t="s">
        <v>2604</v>
      </c>
      <c r="Z19" t="s">
        <v>2609</v>
      </c>
      <c r="AB19" t="s">
        <v>2651</v>
      </c>
      <c r="AC19" t="s">
        <v>2244</v>
      </c>
      <c r="AE19">
        <v>1107</v>
      </c>
      <c r="AF19" t="s">
        <v>4099</v>
      </c>
      <c r="AG19" t="s">
        <v>2611</v>
      </c>
      <c r="AH19">
        <v>0</v>
      </c>
      <c r="AI19">
        <v>4</v>
      </c>
      <c r="AJ19">
        <v>0</v>
      </c>
      <c r="AK19">
        <v>0</v>
      </c>
      <c r="AN19" t="s">
        <v>4126</v>
      </c>
      <c r="AO19">
        <v>0</v>
      </c>
      <c r="AP19" t="s">
        <v>4142</v>
      </c>
      <c r="AU19">
        <v>0</v>
      </c>
      <c r="AW19" t="s">
        <v>4226</v>
      </c>
      <c r="AX19" t="s">
        <v>2255</v>
      </c>
      <c r="AY19" t="s">
        <v>2224</v>
      </c>
      <c r="AZ19" t="s">
        <v>2224</v>
      </c>
    </row>
    <row r="20" spans="1:52">
      <c r="A20" s="1">
        <f>HYPERLINK("https://lsnyc.legalserver.org/matter/dynamic-profile/view/1908740","19-1908740")</f>
        <v>0</v>
      </c>
      <c r="B20" t="s">
        <v>60</v>
      </c>
      <c r="C20" t="s">
        <v>154</v>
      </c>
      <c r="D20" t="s">
        <v>171</v>
      </c>
      <c r="E20" t="s">
        <v>188</v>
      </c>
      <c r="F20" t="s">
        <v>312</v>
      </c>
      <c r="G20" t="s">
        <v>860</v>
      </c>
      <c r="H20" t="s">
        <v>1411</v>
      </c>
      <c r="I20" t="s">
        <v>1952</v>
      </c>
      <c r="J20" t="s">
        <v>2192</v>
      </c>
      <c r="K20">
        <v>11233</v>
      </c>
      <c r="L20" t="s">
        <v>2224</v>
      </c>
      <c r="M20" t="s">
        <v>2226</v>
      </c>
      <c r="N20" t="s">
        <v>2236</v>
      </c>
      <c r="O20" t="s">
        <v>2533</v>
      </c>
      <c r="P20" t="s">
        <v>2558</v>
      </c>
      <c r="Q20" t="s">
        <v>2564</v>
      </c>
      <c r="R20" t="s">
        <v>2569</v>
      </c>
      <c r="S20" t="s">
        <v>2225</v>
      </c>
      <c r="U20" t="s">
        <v>2578</v>
      </c>
      <c r="V20" t="s">
        <v>2588</v>
      </c>
      <c r="W20" t="s">
        <v>211</v>
      </c>
      <c r="X20">
        <v>1129</v>
      </c>
      <c r="Y20" t="s">
        <v>2604</v>
      </c>
      <c r="Z20" t="s">
        <v>2612</v>
      </c>
      <c r="AA20" t="s">
        <v>2627</v>
      </c>
      <c r="AB20" t="s">
        <v>2652</v>
      </c>
      <c r="AC20" t="s">
        <v>2244</v>
      </c>
      <c r="AD20" t="s">
        <v>3465</v>
      </c>
      <c r="AE20">
        <v>8</v>
      </c>
      <c r="AF20" t="s">
        <v>4099</v>
      </c>
      <c r="AG20" t="s">
        <v>2255</v>
      </c>
      <c r="AH20">
        <v>3</v>
      </c>
      <c r="AI20">
        <v>1</v>
      </c>
      <c r="AJ20">
        <v>0</v>
      </c>
      <c r="AK20">
        <v>0</v>
      </c>
      <c r="AN20" t="s">
        <v>4126</v>
      </c>
      <c r="AO20">
        <v>0</v>
      </c>
      <c r="AU20">
        <v>2.7</v>
      </c>
      <c r="AV20" t="s">
        <v>188</v>
      </c>
      <c r="AW20" t="s">
        <v>4226</v>
      </c>
      <c r="AX20" t="s">
        <v>4266</v>
      </c>
      <c r="AY20" t="s">
        <v>2224</v>
      </c>
      <c r="AZ20" t="s">
        <v>2224</v>
      </c>
    </row>
    <row r="21" spans="1:52">
      <c r="A21" s="1">
        <f>HYPERLINK("https://lsnyc.legalserver.org/matter/dynamic-profile/view/1905738","19-1905738")</f>
        <v>0</v>
      </c>
      <c r="B21" t="s">
        <v>61</v>
      </c>
      <c r="C21" t="s">
        <v>155</v>
      </c>
      <c r="D21" t="s">
        <v>172</v>
      </c>
      <c r="F21" t="s">
        <v>313</v>
      </c>
      <c r="G21" t="s">
        <v>861</v>
      </c>
      <c r="H21" t="s">
        <v>1412</v>
      </c>
      <c r="I21" t="s">
        <v>1952</v>
      </c>
      <c r="J21" t="s">
        <v>2192</v>
      </c>
      <c r="K21">
        <v>11233</v>
      </c>
      <c r="L21" t="s">
        <v>2224</v>
      </c>
      <c r="M21" t="s">
        <v>2226</v>
      </c>
      <c r="N21" t="s">
        <v>2237</v>
      </c>
      <c r="O21" t="s">
        <v>2238</v>
      </c>
      <c r="P21" t="s">
        <v>2556</v>
      </c>
      <c r="R21" t="s">
        <v>2569</v>
      </c>
      <c r="S21" t="s">
        <v>2225</v>
      </c>
      <c r="U21" t="s">
        <v>2578</v>
      </c>
      <c r="W21" t="s">
        <v>172</v>
      </c>
      <c r="X21">
        <v>215</v>
      </c>
      <c r="Y21" t="s">
        <v>2604</v>
      </c>
      <c r="Z21" t="s">
        <v>2611</v>
      </c>
      <c r="AB21" t="s">
        <v>2653</v>
      </c>
      <c r="AC21" t="s">
        <v>3361</v>
      </c>
      <c r="AD21" t="s">
        <v>3466</v>
      </c>
      <c r="AE21">
        <v>48</v>
      </c>
      <c r="AF21" t="s">
        <v>4100</v>
      </c>
      <c r="AG21" t="s">
        <v>2611</v>
      </c>
      <c r="AH21">
        <v>4</v>
      </c>
      <c r="AI21">
        <v>1</v>
      </c>
      <c r="AJ21">
        <v>0</v>
      </c>
      <c r="AK21">
        <v>0</v>
      </c>
      <c r="AN21" t="s">
        <v>4126</v>
      </c>
      <c r="AO21">
        <v>0</v>
      </c>
      <c r="AU21">
        <v>0</v>
      </c>
      <c r="AW21" t="s">
        <v>127</v>
      </c>
      <c r="AX21" t="s">
        <v>4267</v>
      </c>
      <c r="AY21" t="s">
        <v>2226</v>
      </c>
      <c r="AZ21" t="s">
        <v>2226</v>
      </c>
    </row>
    <row r="22" spans="1:52">
      <c r="A22" s="1">
        <f>HYPERLINK("https://lsnyc.legalserver.org/matter/dynamic-profile/view/1906126","19-1906126")</f>
        <v>0</v>
      </c>
      <c r="B22" t="s">
        <v>62</v>
      </c>
      <c r="C22" t="s">
        <v>154</v>
      </c>
      <c r="D22" t="s">
        <v>173</v>
      </c>
      <c r="E22" t="s">
        <v>240</v>
      </c>
      <c r="F22" t="s">
        <v>314</v>
      </c>
      <c r="G22" t="s">
        <v>862</v>
      </c>
      <c r="H22" t="s">
        <v>1413</v>
      </c>
      <c r="I22">
        <v>4</v>
      </c>
      <c r="J22" t="s">
        <v>2192</v>
      </c>
      <c r="K22">
        <v>11233</v>
      </c>
      <c r="L22" t="s">
        <v>2224</v>
      </c>
      <c r="M22" t="s">
        <v>2226</v>
      </c>
      <c r="N22" t="s">
        <v>2238</v>
      </c>
      <c r="O22" t="s">
        <v>2238</v>
      </c>
      <c r="P22" t="s">
        <v>2556</v>
      </c>
      <c r="Q22" t="s">
        <v>2563</v>
      </c>
      <c r="R22" t="s">
        <v>2569</v>
      </c>
      <c r="S22" t="s">
        <v>2225</v>
      </c>
      <c r="U22" t="s">
        <v>2578</v>
      </c>
      <c r="W22" t="s">
        <v>164</v>
      </c>
      <c r="X22">
        <v>2500</v>
      </c>
      <c r="Y22" t="s">
        <v>2604</v>
      </c>
      <c r="AA22" t="s">
        <v>2626</v>
      </c>
      <c r="AB22" t="s">
        <v>2654</v>
      </c>
      <c r="AD22" t="s">
        <v>3467</v>
      </c>
      <c r="AE22">
        <v>8</v>
      </c>
      <c r="AH22">
        <v>1</v>
      </c>
      <c r="AI22">
        <v>1</v>
      </c>
      <c r="AJ22">
        <v>0</v>
      </c>
      <c r="AK22">
        <v>0</v>
      </c>
      <c r="AN22" t="s">
        <v>4126</v>
      </c>
      <c r="AO22">
        <v>0</v>
      </c>
      <c r="AU22">
        <v>6.5</v>
      </c>
      <c r="AV22" t="s">
        <v>240</v>
      </c>
      <c r="AW22" t="s">
        <v>4227</v>
      </c>
      <c r="AX22" t="s">
        <v>4266</v>
      </c>
      <c r="AY22" t="s">
        <v>2226</v>
      </c>
      <c r="AZ22" t="s">
        <v>2225</v>
      </c>
    </row>
    <row r="23" spans="1:52">
      <c r="A23" s="1">
        <f>HYPERLINK("https://lsnyc.legalserver.org/matter/dynamic-profile/view/1911764","19-1911764")</f>
        <v>0</v>
      </c>
      <c r="B23" t="s">
        <v>63</v>
      </c>
      <c r="C23" t="s">
        <v>155</v>
      </c>
      <c r="D23" t="s">
        <v>174</v>
      </c>
      <c r="F23" t="s">
        <v>315</v>
      </c>
      <c r="G23" t="s">
        <v>863</v>
      </c>
      <c r="H23" t="s">
        <v>1414</v>
      </c>
      <c r="I23" t="s">
        <v>1953</v>
      </c>
      <c r="J23" t="s">
        <v>2192</v>
      </c>
      <c r="K23">
        <v>11233</v>
      </c>
      <c r="L23" t="s">
        <v>2224</v>
      </c>
      <c r="M23" t="s">
        <v>2226</v>
      </c>
      <c r="N23" t="s">
        <v>2237</v>
      </c>
      <c r="O23" t="s">
        <v>2238</v>
      </c>
      <c r="P23" t="s">
        <v>2561</v>
      </c>
      <c r="R23" t="s">
        <v>2569</v>
      </c>
      <c r="S23" t="s">
        <v>2224</v>
      </c>
      <c r="U23" t="s">
        <v>2578</v>
      </c>
      <c r="V23" t="s">
        <v>2588</v>
      </c>
      <c r="W23" t="s">
        <v>240</v>
      </c>
      <c r="X23">
        <v>1930</v>
      </c>
      <c r="Y23" t="s">
        <v>2604</v>
      </c>
      <c r="Z23" t="s">
        <v>2613</v>
      </c>
      <c r="AB23" t="s">
        <v>2655</v>
      </c>
      <c r="AC23" t="s">
        <v>2244</v>
      </c>
      <c r="AD23" t="s">
        <v>3468</v>
      </c>
      <c r="AE23">
        <v>359</v>
      </c>
      <c r="AF23" t="s">
        <v>4099</v>
      </c>
      <c r="AG23" t="s">
        <v>2255</v>
      </c>
      <c r="AH23">
        <v>1</v>
      </c>
      <c r="AI23">
        <v>1</v>
      </c>
      <c r="AJ23">
        <v>1</v>
      </c>
      <c r="AK23">
        <v>0</v>
      </c>
      <c r="AN23" t="s">
        <v>4126</v>
      </c>
      <c r="AO23">
        <v>0</v>
      </c>
      <c r="AU23">
        <v>0</v>
      </c>
      <c r="AW23" t="s">
        <v>4226</v>
      </c>
      <c r="AX23" t="s">
        <v>4266</v>
      </c>
      <c r="AY23" t="s">
        <v>2224</v>
      </c>
      <c r="AZ23" t="s">
        <v>2224</v>
      </c>
    </row>
    <row r="24" spans="1:52">
      <c r="A24" s="1">
        <f>HYPERLINK("https://lsnyc.legalserver.org/matter/dynamic-profile/view/1904189","19-1904189")</f>
        <v>0</v>
      </c>
      <c r="B24" t="s">
        <v>64</v>
      </c>
      <c r="C24" t="s">
        <v>155</v>
      </c>
      <c r="D24" t="s">
        <v>175</v>
      </c>
      <c r="F24" t="s">
        <v>316</v>
      </c>
      <c r="G24" t="s">
        <v>864</v>
      </c>
      <c r="H24" t="s">
        <v>1415</v>
      </c>
      <c r="I24" t="s">
        <v>1954</v>
      </c>
      <c r="J24" t="s">
        <v>2192</v>
      </c>
      <c r="K24">
        <v>11233</v>
      </c>
      <c r="L24" t="s">
        <v>2224</v>
      </c>
      <c r="M24" t="s">
        <v>2226</v>
      </c>
      <c r="N24" t="s">
        <v>2239</v>
      </c>
      <c r="O24" t="s">
        <v>2535</v>
      </c>
      <c r="P24" t="s">
        <v>2558</v>
      </c>
      <c r="R24" t="s">
        <v>2569</v>
      </c>
      <c r="S24" t="s">
        <v>2225</v>
      </c>
      <c r="U24" t="s">
        <v>2578</v>
      </c>
      <c r="V24" t="s">
        <v>2588</v>
      </c>
      <c r="W24" t="s">
        <v>2594</v>
      </c>
      <c r="X24">
        <v>980</v>
      </c>
      <c r="Y24" t="s">
        <v>2604</v>
      </c>
      <c r="Z24" t="s">
        <v>2612</v>
      </c>
      <c r="AB24" t="s">
        <v>2656</v>
      </c>
      <c r="AC24" t="s">
        <v>2244</v>
      </c>
      <c r="AD24" t="s">
        <v>3469</v>
      </c>
      <c r="AE24">
        <v>359</v>
      </c>
      <c r="AF24" t="s">
        <v>4099</v>
      </c>
      <c r="AG24" t="s">
        <v>4114</v>
      </c>
      <c r="AH24">
        <v>35</v>
      </c>
      <c r="AI24">
        <v>1</v>
      </c>
      <c r="AJ24">
        <v>2</v>
      </c>
      <c r="AK24">
        <v>0</v>
      </c>
      <c r="AN24" t="s">
        <v>4126</v>
      </c>
      <c r="AO24">
        <v>0</v>
      </c>
      <c r="AU24">
        <v>12.9</v>
      </c>
      <c r="AV24" t="s">
        <v>204</v>
      </c>
      <c r="AW24" t="s">
        <v>4226</v>
      </c>
      <c r="AX24" t="s">
        <v>4266</v>
      </c>
      <c r="AY24" t="s">
        <v>2226</v>
      </c>
      <c r="AZ24" t="s">
        <v>2226</v>
      </c>
    </row>
    <row r="25" spans="1:52">
      <c r="A25" s="1">
        <f>HYPERLINK("https://lsnyc.legalserver.org/matter/dynamic-profile/view/1907358","19-1907358")</f>
        <v>0</v>
      </c>
      <c r="B25" t="s">
        <v>60</v>
      </c>
      <c r="C25" t="s">
        <v>155</v>
      </c>
      <c r="D25" t="s">
        <v>176</v>
      </c>
      <c r="F25" t="s">
        <v>317</v>
      </c>
      <c r="G25" t="s">
        <v>865</v>
      </c>
      <c r="H25" t="s">
        <v>1416</v>
      </c>
      <c r="I25" t="s">
        <v>1955</v>
      </c>
      <c r="J25" t="s">
        <v>2192</v>
      </c>
      <c r="K25">
        <v>11233</v>
      </c>
      <c r="L25" t="s">
        <v>2224</v>
      </c>
      <c r="M25" t="s">
        <v>2226</v>
      </c>
      <c r="N25" t="s">
        <v>2240</v>
      </c>
      <c r="O25" t="s">
        <v>2535</v>
      </c>
      <c r="P25" t="s">
        <v>2558</v>
      </c>
      <c r="R25" t="s">
        <v>2569</v>
      </c>
      <c r="S25" t="s">
        <v>2225</v>
      </c>
      <c r="U25" t="s">
        <v>2578</v>
      </c>
      <c r="V25" t="s">
        <v>2587</v>
      </c>
      <c r="W25" t="s">
        <v>162</v>
      </c>
      <c r="X25">
        <v>1542</v>
      </c>
      <c r="Y25" t="s">
        <v>2604</v>
      </c>
      <c r="Z25" t="s">
        <v>2611</v>
      </c>
      <c r="AB25" t="s">
        <v>2657</v>
      </c>
      <c r="AD25" t="s">
        <v>3470</v>
      </c>
      <c r="AE25">
        <v>287</v>
      </c>
      <c r="AF25" t="s">
        <v>4101</v>
      </c>
      <c r="AG25" t="s">
        <v>2255</v>
      </c>
      <c r="AH25">
        <v>4</v>
      </c>
      <c r="AI25">
        <v>1</v>
      </c>
      <c r="AJ25">
        <v>2</v>
      </c>
      <c r="AK25">
        <v>0</v>
      </c>
      <c r="AN25" t="s">
        <v>4126</v>
      </c>
      <c r="AO25">
        <v>0</v>
      </c>
      <c r="AU25">
        <v>8.9</v>
      </c>
      <c r="AV25" t="s">
        <v>202</v>
      </c>
      <c r="AW25" t="s">
        <v>4227</v>
      </c>
      <c r="AX25" t="s">
        <v>4266</v>
      </c>
      <c r="AY25" t="s">
        <v>2226</v>
      </c>
      <c r="AZ25" t="s">
        <v>2226</v>
      </c>
    </row>
    <row r="26" spans="1:52">
      <c r="A26" s="1">
        <f>HYPERLINK("https://lsnyc.legalserver.org/matter/dynamic-profile/view/1907517","19-1907517")</f>
        <v>0</v>
      </c>
      <c r="B26" t="s">
        <v>64</v>
      </c>
      <c r="C26" t="s">
        <v>154</v>
      </c>
      <c r="D26" t="s">
        <v>162</v>
      </c>
      <c r="E26" t="s">
        <v>188</v>
      </c>
      <c r="F26" t="s">
        <v>318</v>
      </c>
      <c r="G26" t="s">
        <v>866</v>
      </c>
      <c r="H26" t="s">
        <v>1415</v>
      </c>
      <c r="I26" t="s">
        <v>1956</v>
      </c>
      <c r="J26" t="s">
        <v>2192</v>
      </c>
      <c r="K26">
        <v>11233</v>
      </c>
      <c r="L26" t="s">
        <v>2224</v>
      </c>
      <c r="M26" t="s">
        <v>2226</v>
      </c>
      <c r="N26" t="s">
        <v>2241</v>
      </c>
      <c r="O26" t="s">
        <v>2535</v>
      </c>
      <c r="P26" t="s">
        <v>2558</v>
      </c>
      <c r="Q26" t="s">
        <v>2565</v>
      </c>
      <c r="R26" t="s">
        <v>2569</v>
      </c>
      <c r="S26" t="s">
        <v>2225</v>
      </c>
      <c r="U26" t="s">
        <v>2578</v>
      </c>
      <c r="V26" t="s">
        <v>2588</v>
      </c>
      <c r="W26" t="s">
        <v>162</v>
      </c>
      <c r="X26">
        <v>997.45</v>
      </c>
      <c r="Y26" t="s">
        <v>2604</v>
      </c>
      <c r="Z26" t="s">
        <v>2611</v>
      </c>
      <c r="AA26" t="s">
        <v>2628</v>
      </c>
      <c r="AB26" t="s">
        <v>2658</v>
      </c>
      <c r="AC26" t="s">
        <v>3362</v>
      </c>
      <c r="AE26">
        <v>359</v>
      </c>
      <c r="AF26" t="s">
        <v>4099</v>
      </c>
      <c r="AG26" t="s">
        <v>2255</v>
      </c>
      <c r="AH26">
        <v>9</v>
      </c>
      <c r="AI26">
        <v>3</v>
      </c>
      <c r="AJ26">
        <v>0</v>
      </c>
      <c r="AK26">
        <v>0</v>
      </c>
      <c r="AN26" t="s">
        <v>4126</v>
      </c>
      <c r="AO26">
        <v>0</v>
      </c>
      <c r="AS26" t="s">
        <v>4188</v>
      </c>
      <c r="AT26" t="s">
        <v>4190</v>
      </c>
      <c r="AU26">
        <v>18.5</v>
      </c>
      <c r="AV26" t="s">
        <v>225</v>
      </c>
      <c r="AW26" t="s">
        <v>127</v>
      </c>
      <c r="AX26" t="s">
        <v>4266</v>
      </c>
      <c r="AY26" t="s">
        <v>2224</v>
      </c>
      <c r="AZ26" t="s">
        <v>2224</v>
      </c>
    </row>
    <row r="27" spans="1:52">
      <c r="A27" s="1">
        <f>HYPERLINK("https://lsnyc.legalserver.org/matter/dynamic-profile/view/1908279","19-1908279")</f>
        <v>0</v>
      </c>
      <c r="B27" t="s">
        <v>65</v>
      </c>
      <c r="C27" t="s">
        <v>154</v>
      </c>
      <c r="D27" t="s">
        <v>177</v>
      </c>
      <c r="E27" t="s">
        <v>292</v>
      </c>
      <c r="F27" t="s">
        <v>319</v>
      </c>
      <c r="G27" t="s">
        <v>329</v>
      </c>
      <c r="H27" t="s">
        <v>1417</v>
      </c>
      <c r="I27" t="s">
        <v>1957</v>
      </c>
      <c r="J27" t="s">
        <v>2192</v>
      </c>
      <c r="K27">
        <v>11233</v>
      </c>
      <c r="L27" t="s">
        <v>2224</v>
      </c>
      <c r="M27" t="s">
        <v>2226</v>
      </c>
      <c r="N27" t="s">
        <v>2242</v>
      </c>
      <c r="O27" t="s">
        <v>2535</v>
      </c>
      <c r="P27" t="s">
        <v>2558</v>
      </c>
      <c r="Q27" t="s">
        <v>2564</v>
      </c>
      <c r="R27" t="s">
        <v>2569</v>
      </c>
      <c r="S27" t="s">
        <v>2225</v>
      </c>
      <c r="U27" t="s">
        <v>2578</v>
      </c>
      <c r="V27" t="s">
        <v>2589</v>
      </c>
      <c r="W27" t="s">
        <v>289</v>
      </c>
      <c r="X27">
        <v>0</v>
      </c>
      <c r="Y27" t="s">
        <v>2604</v>
      </c>
      <c r="AA27" t="s">
        <v>2628</v>
      </c>
      <c r="AB27" t="s">
        <v>2659</v>
      </c>
      <c r="AC27" t="s">
        <v>2513</v>
      </c>
      <c r="AD27" t="s">
        <v>3471</v>
      </c>
      <c r="AE27">
        <v>110</v>
      </c>
      <c r="AF27" t="s">
        <v>2518</v>
      </c>
      <c r="AG27" t="s">
        <v>2611</v>
      </c>
      <c r="AH27">
        <v>0</v>
      </c>
      <c r="AI27">
        <v>1</v>
      </c>
      <c r="AJ27">
        <v>2</v>
      </c>
      <c r="AK27">
        <v>0</v>
      </c>
      <c r="AN27" t="s">
        <v>4126</v>
      </c>
      <c r="AO27">
        <v>0</v>
      </c>
      <c r="AQ27" t="s">
        <v>4173</v>
      </c>
      <c r="AR27" t="s">
        <v>4181</v>
      </c>
      <c r="AS27" t="s">
        <v>4188</v>
      </c>
      <c r="AT27" t="s">
        <v>4191</v>
      </c>
      <c r="AU27">
        <v>5.1</v>
      </c>
      <c r="AV27" t="s">
        <v>163</v>
      </c>
      <c r="AW27" t="s">
        <v>4226</v>
      </c>
      <c r="AX27" t="s">
        <v>4266</v>
      </c>
      <c r="AY27" t="s">
        <v>2224</v>
      </c>
      <c r="AZ27" t="s">
        <v>2224</v>
      </c>
    </row>
    <row r="28" spans="1:52">
      <c r="A28" s="1">
        <f>HYPERLINK("https://lsnyc.legalserver.org/matter/dynamic-profile/view/1911716","19-1911716")</f>
        <v>0</v>
      </c>
      <c r="B28" t="s">
        <v>62</v>
      </c>
      <c r="C28" t="s">
        <v>155</v>
      </c>
      <c r="D28" t="s">
        <v>174</v>
      </c>
      <c r="F28" t="s">
        <v>320</v>
      </c>
      <c r="G28" t="s">
        <v>867</v>
      </c>
      <c r="H28" t="s">
        <v>1418</v>
      </c>
      <c r="I28">
        <v>7</v>
      </c>
      <c r="J28" t="s">
        <v>2192</v>
      </c>
      <c r="K28">
        <v>11233</v>
      </c>
      <c r="L28" t="s">
        <v>2224</v>
      </c>
      <c r="M28" t="s">
        <v>2226</v>
      </c>
      <c r="N28" t="s">
        <v>2238</v>
      </c>
      <c r="O28" t="s">
        <v>2538</v>
      </c>
      <c r="P28" t="s">
        <v>2559</v>
      </c>
      <c r="R28" t="s">
        <v>2569</v>
      </c>
      <c r="S28" t="s">
        <v>2225</v>
      </c>
      <c r="U28" t="s">
        <v>2579</v>
      </c>
      <c r="W28" t="s">
        <v>157</v>
      </c>
      <c r="X28">
        <v>871</v>
      </c>
      <c r="Y28" t="s">
        <v>2604</v>
      </c>
      <c r="Z28" t="s">
        <v>2611</v>
      </c>
      <c r="AB28" t="s">
        <v>2660</v>
      </c>
      <c r="AD28" t="s">
        <v>3472</v>
      </c>
      <c r="AE28">
        <v>8</v>
      </c>
      <c r="AF28" t="s">
        <v>4099</v>
      </c>
      <c r="AG28" t="s">
        <v>4112</v>
      </c>
      <c r="AH28">
        <v>0</v>
      </c>
      <c r="AI28">
        <v>2</v>
      </c>
      <c r="AJ28">
        <v>0</v>
      </c>
      <c r="AK28">
        <v>0</v>
      </c>
      <c r="AN28" t="s">
        <v>4126</v>
      </c>
      <c r="AO28">
        <v>0</v>
      </c>
      <c r="AU28">
        <v>1.25</v>
      </c>
      <c r="AV28" t="s">
        <v>163</v>
      </c>
      <c r="AW28" t="s">
        <v>127</v>
      </c>
      <c r="AX28" t="s">
        <v>4266</v>
      </c>
      <c r="AY28" t="s">
        <v>2224</v>
      </c>
      <c r="AZ28" t="s">
        <v>2224</v>
      </c>
    </row>
    <row r="29" spans="1:52">
      <c r="A29" s="1">
        <f>HYPERLINK("https://lsnyc.legalserver.org/matter/dynamic-profile/view/1906163","19-1906163")</f>
        <v>0</v>
      </c>
      <c r="B29" t="s">
        <v>66</v>
      </c>
      <c r="C29" t="s">
        <v>155</v>
      </c>
      <c r="D29" t="s">
        <v>164</v>
      </c>
      <c r="F29" t="s">
        <v>313</v>
      </c>
      <c r="G29" t="s">
        <v>868</v>
      </c>
      <c r="H29" t="s">
        <v>1419</v>
      </c>
      <c r="I29" t="s">
        <v>1958</v>
      </c>
      <c r="J29" t="s">
        <v>2192</v>
      </c>
      <c r="K29">
        <v>11232</v>
      </c>
      <c r="L29" t="s">
        <v>2224</v>
      </c>
      <c r="M29" t="s">
        <v>2226</v>
      </c>
      <c r="N29" t="s">
        <v>2243</v>
      </c>
      <c r="O29" t="s">
        <v>2533</v>
      </c>
      <c r="P29" t="s">
        <v>2556</v>
      </c>
      <c r="R29" t="s">
        <v>2569</v>
      </c>
      <c r="S29" t="s">
        <v>2225</v>
      </c>
      <c r="U29" t="s">
        <v>2578</v>
      </c>
      <c r="V29" t="s">
        <v>2588</v>
      </c>
      <c r="W29" t="s">
        <v>173</v>
      </c>
      <c r="X29">
        <v>600</v>
      </c>
      <c r="Y29" t="s">
        <v>2604</v>
      </c>
      <c r="Z29" t="s">
        <v>2608</v>
      </c>
      <c r="AB29" t="s">
        <v>2661</v>
      </c>
      <c r="AC29" t="s">
        <v>2255</v>
      </c>
      <c r="AD29" t="s">
        <v>3473</v>
      </c>
      <c r="AE29">
        <v>6</v>
      </c>
      <c r="AF29" t="s">
        <v>2518</v>
      </c>
      <c r="AG29" t="s">
        <v>2255</v>
      </c>
      <c r="AH29">
        <v>22</v>
      </c>
      <c r="AI29">
        <v>1</v>
      </c>
      <c r="AJ29">
        <v>0</v>
      </c>
      <c r="AK29">
        <v>0</v>
      </c>
      <c r="AN29" t="s">
        <v>4126</v>
      </c>
      <c r="AO29">
        <v>0</v>
      </c>
      <c r="AU29">
        <v>20.4</v>
      </c>
      <c r="AV29" t="s">
        <v>188</v>
      </c>
      <c r="AW29" t="s">
        <v>4228</v>
      </c>
      <c r="AX29" t="s">
        <v>4266</v>
      </c>
      <c r="AY29" t="s">
        <v>2226</v>
      </c>
      <c r="AZ29" t="s">
        <v>2226</v>
      </c>
    </row>
    <row r="30" spans="1:52">
      <c r="A30" s="1">
        <f>HYPERLINK("https://lsnyc.legalserver.org/matter/dynamic-profile/view/1910440","19-1910440")</f>
        <v>0</v>
      </c>
      <c r="B30" t="s">
        <v>67</v>
      </c>
      <c r="C30" t="s">
        <v>155</v>
      </c>
      <c r="D30" t="s">
        <v>178</v>
      </c>
      <c r="F30" t="s">
        <v>321</v>
      </c>
      <c r="G30" t="s">
        <v>869</v>
      </c>
      <c r="H30" t="s">
        <v>1420</v>
      </c>
      <c r="I30" t="s">
        <v>1959</v>
      </c>
      <c r="J30" t="s">
        <v>2192</v>
      </c>
      <c r="K30">
        <v>11231</v>
      </c>
      <c r="L30" t="s">
        <v>2224</v>
      </c>
      <c r="M30" t="s">
        <v>2226</v>
      </c>
      <c r="O30" t="s">
        <v>2539</v>
      </c>
      <c r="P30" t="s">
        <v>2557</v>
      </c>
      <c r="R30" t="s">
        <v>2569</v>
      </c>
      <c r="U30" t="s">
        <v>2578</v>
      </c>
      <c r="W30" t="s">
        <v>211</v>
      </c>
      <c r="X30">
        <v>0</v>
      </c>
      <c r="Y30" t="s">
        <v>2604</v>
      </c>
      <c r="AB30" t="s">
        <v>2662</v>
      </c>
      <c r="AC30" t="s">
        <v>3363</v>
      </c>
      <c r="AD30" t="s">
        <v>3474</v>
      </c>
      <c r="AE30">
        <v>10</v>
      </c>
      <c r="AH30">
        <v>0</v>
      </c>
      <c r="AI30">
        <v>4</v>
      </c>
      <c r="AJ30">
        <v>1</v>
      </c>
      <c r="AK30">
        <v>0</v>
      </c>
      <c r="AN30" t="s">
        <v>4126</v>
      </c>
      <c r="AO30">
        <v>0</v>
      </c>
      <c r="AU30">
        <v>1.6</v>
      </c>
      <c r="AV30" t="s">
        <v>166</v>
      </c>
      <c r="AW30" t="s">
        <v>153</v>
      </c>
      <c r="AY30" t="s">
        <v>2226</v>
      </c>
      <c r="AZ30" t="s">
        <v>2226</v>
      </c>
    </row>
    <row r="31" spans="1:52">
      <c r="A31" s="1">
        <f>HYPERLINK("https://lsnyc.legalserver.org/matter/dynamic-profile/view/1910612","19-1910612")</f>
        <v>0</v>
      </c>
      <c r="B31" t="s">
        <v>66</v>
      </c>
      <c r="C31" t="s">
        <v>155</v>
      </c>
      <c r="D31" t="s">
        <v>156</v>
      </c>
      <c r="F31" t="s">
        <v>322</v>
      </c>
      <c r="G31" t="s">
        <v>324</v>
      </c>
      <c r="H31" t="s">
        <v>1421</v>
      </c>
      <c r="I31">
        <v>1</v>
      </c>
      <c r="J31" t="s">
        <v>2192</v>
      </c>
      <c r="K31">
        <v>11226</v>
      </c>
      <c r="L31" t="s">
        <v>2224</v>
      </c>
      <c r="M31" t="s">
        <v>2226</v>
      </c>
      <c r="O31" t="s">
        <v>2534</v>
      </c>
      <c r="P31" t="s">
        <v>2558</v>
      </c>
      <c r="R31" t="s">
        <v>2569</v>
      </c>
      <c r="S31" t="s">
        <v>2224</v>
      </c>
      <c r="U31" t="s">
        <v>2578</v>
      </c>
      <c r="V31" t="s">
        <v>2588</v>
      </c>
      <c r="W31" t="s">
        <v>156</v>
      </c>
      <c r="X31">
        <v>820</v>
      </c>
      <c r="Y31" t="s">
        <v>2604</v>
      </c>
      <c r="Z31" t="s">
        <v>2614</v>
      </c>
      <c r="AE31">
        <v>16</v>
      </c>
      <c r="AF31" t="s">
        <v>4099</v>
      </c>
      <c r="AH31">
        <v>15</v>
      </c>
      <c r="AI31">
        <v>1</v>
      </c>
      <c r="AJ31">
        <v>0</v>
      </c>
      <c r="AK31">
        <v>0</v>
      </c>
      <c r="AN31" t="s">
        <v>4126</v>
      </c>
      <c r="AO31">
        <v>0</v>
      </c>
      <c r="AU31">
        <v>0.2</v>
      </c>
      <c r="AV31" t="s">
        <v>156</v>
      </c>
      <c r="AW31" t="s">
        <v>124</v>
      </c>
      <c r="AY31" t="s">
        <v>2224</v>
      </c>
      <c r="AZ31" t="s">
        <v>2224</v>
      </c>
    </row>
    <row r="32" spans="1:52">
      <c r="A32" s="1">
        <f>HYPERLINK("https://lsnyc.legalserver.org/matter/dynamic-profile/view/1910619","19-1910619")</f>
        <v>0</v>
      </c>
      <c r="B32" t="s">
        <v>66</v>
      </c>
      <c r="C32" t="s">
        <v>155</v>
      </c>
      <c r="D32" t="s">
        <v>156</v>
      </c>
      <c r="F32" t="s">
        <v>323</v>
      </c>
      <c r="G32" t="s">
        <v>870</v>
      </c>
      <c r="H32" t="s">
        <v>1421</v>
      </c>
      <c r="I32" t="s">
        <v>1960</v>
      </c>
      <c r="J32" t="s">
        <v>2192</v>
      </c>
      <c r="K32">
        <v>11226</v>
      </c>
      <c r="L32" t="s">
        <v>2224</v>
      </c>
      <c r="M32" t="s">
        <v>2226</v>
      </c>
      <c r="O32" t="s">
        <v>2534</v>
      </c>
      <c r="P32" t="s">
        <v>2558</v>
      </c>
      <c r="R32" t="s">
        <v>2569</v>
      </c>
      <c r="S32" t="s">
        <v>2224</v>
      </c>
      <c r="U32" t="s">
        <v>2578</v>
      </c>
      <c r="V32" t="s">
        <v>2588</v>
      </c>
      <c r="W32" t="s">
        <v>156</v>
      </c>
      <c r="X32">
        <v>1375</v>
      </c>
      <c r="Y32" t="s">
        <v>2604</v>
      </c>
      <c r="Z32" t="s">
        <v>2614</v>
      </c>
      <c r="AC32" t="s">
        <v>3364</v>
      </c>
      <c r="AD32" t="s">
        <v>3475</v>
      </c>
      <c r="AE32">
        <v>16</v>
      </c>
      <c r="AF32" t="s">
        <v>4099</v>
      </c>
      <c r="AG32" t="s">
        <v>4115</v>
      </c>
      <c r="AH32">
        <v>9</v>
      </c>
      <c r="AI32">
        <v>1</v>
      </c>
      <c r="AJ32">
        <v>0</v>
      </c>
      <c r="AK32">
        <v>0</v>
      </c>
      <c r="AN32" t="s">
        <v>4126</v>
      </c>
      <c r="AO32">
        <v>0</v>
      </c>
      <c r="AU32">
        <v>0.2</v>
      </c>
      <c r="AV32" t="s">
        <v>156</v>
      </c>
      <c r="AW32" t="s">
        <v>124</v>
      </c>
      <c r="AY32" t="s">
        <v>2226</v>
      </c>
      <c r="AZ32" t="s">
        <v>2226</v>
      </c>
    </row>
    <row r="33" spans="1:52">
      <c r="A33" s="1">
        <f>HYPERLINK("https://lsnyc.legalserver.org/matter/dynamic-profile/view/1911522","19-1911522")</f>
        <v>0</v>
      </c>
      <c r="B33" t="s">
        <v>66</v>
      </c>
      <c r="C33" t="s">
        <v>155</v>
      </c>
      <c r="D33" t="s">
        <v>179</v>
      </c>
      <c r="F33" t="s">
        <v>323</v>
      </c>
      <c r="G33" t="s">
        <v>870</v>
      </c>
      <c r="H33" t="s">
        <v>1421</v>
      </c>
      <c r="I33" t="s">
        <v>1960</v>
      </c>
      <c r="J33" t="s">
        <v>2192</v>
      </c>
      <c r="K33">
        <v>11226</v>
      </c>
      <c r="L33" t="s">
        <v>2224</v>
      </c>
      <c r="M33" t="s">
        <v>2226</v>
      </c>
      <c r="P33" t="s">
        <v>2558</v>
      </c>
      <c r="R33" t="s">
        <v>2569</v>
      </c>
      <c r="U33" t="s">
        <v>2578</v>
      </c>
      <c r="W33" t="s">
        <v>245</v>
      </c>
      <c r="X33">
        <v>0</v>
      </c>
      <c r="Y33" t="s">
        <v>2604</v>
      </c>
      <c r="AD33" t="s">
        <v>3475</v>
      </c>
      <c r="AE33">
        <v>16</v>
      </c>
      <c r="AH33">
        <v>0</v>
      </c>
      <c r="AI33">
        <v>1</v>
      </c>
      <c r="AJ33">
        <v>0</v>
      </c>
      <c r="AK33">
        <v>0</v>
      </c>
      <c r="AN33" t="s">
        <v>4126</v>
      </c>
      <c r="AO33">
        <v>0</v>
      </c>
      <c r="AU33">
        <v>0</v>
      </c>
      <c r="AW33" t="s">
        <v>153</v>
      </c>
      <c r="AX33" t="s">
        <v>4266</v>
      </c>
      <c r="AY33" t="s">
        <v>2226</v>
      </c>
      <c r="AZ33" t="s">
        <v>2226</v>
      </c>
    </row>
    <row r="34" spans="1:52">
      <c r="A34" s="1">
        <f>HYPERLINK("https://lsnyc.legalserver.org/matter/dynamic-profile/view/1911770","19-1911770")</f>
        <v>0</v>
      </c>
      <c r="B34" t="s">
        <v>66</v>
      </c>
      <c r="C34" t="s">
        <v>155</v>
      </c>
      <c r="D34" t="s">
        <v>174</v>
      </c>
      <c r="F34" t="s">
        <v>322</v>
      </c>
      <c r="G34" t="s">
        <v>324</v>
      </c>
      <c r="H34" t="s">
        <v>1421</v>
      </c>
      <c r="I34">
        <v>1</v>
      </c>
      <c r="J34" t="s">
        <v>2192</v>
      </c>
      <c r="K34">
        <v>11226</v>
      </c>
      <c r="L34" t="s">
        <v>2225</v>
      </c>
      <c r="M34" t="s">
        <v>2226</v>
      </c>
      <c r="P34" t="s">
        <v>2558</v>
      </c>
      <c r="R34" t="s">
        <v>2569</v>
      </c>
      <c r="U34" t="s">
        <v>2578</v>
      </c>
      <c r="W34" t="s">
        <v>245</v>
      </c>
      <c r="X34">
        <v>0</v>
      </c>
      <c r="Y34" t="s">
        <v>2604</v>
      </c>
      <c r="AE34">
        <v>16</v>
      </c>
      <c r="AH34">
        <v>0</v>
      </c>
      <c r="AI34">
        <v>1</v>
      </c>
      <c r="AJ34">
        <v>0</v>
      </c>
      <c r="AK34">
        <v>0</v>
      </c>
      <c r="AN34" t="s">
        <v>4126</v>
      </c>
      <c r="AO34">
        <v>0</v>
      </c>
      <c r="AU34">
        <v>0</v>
      </c>
      <c r="AW34" t="s">
        <v>153</v>
      </c>
      <c r="AY34" t="s">
        <v>2226</v>
      </c>
      <c r="AZ34" t="s">
        <v>2226</v>
      </c>
    </row>
    <row r="35" spans="1:52">
      <c r="A35" s="1">
        <f>HYPERLINK("https://lsnyc.legalserver.org/matter/dynamic-profile/view/1907514","19-1907514")</f>
        <v>0</v>
      </c>
      <c r="B35" t="s">
        <v>68</v>
      </c>
      <c r="C35" t="s">
        <v>155</v>
      </c>
      <c r="D35" t="s">
        <v>162</v>
      </c>
      <c r="F35" t="s">
        <v>324</v>
      </c>
      <c r="G35" t="s">
        <v>871</v>
      </c>
      <c r="H35" t="s">
        <v>1422</v>
      </c>
      <c r="I35" t="s">
        <v>1961</v>
      </c>
      <c r="J35" t="s">
        <v>2192</v>
      </c>
      <c r="K35">
        <v>11225</v>
      </c>
      <c r="L35" t="s">
        <v>2224</v>
      </c>
      <c r="M35" t="s">
        <v>2226</v>
      </c>
      <c r="O35" t="s">
        <v>2539</v>
      </c>
      <c r="P35" t="s">
        <v>2557</v>
      </c>
      <c r="R35" t="s">
        <v>2569</v>
      </c>
      <c r="S35" t="s">
        <v>2224</v>
      </c>
      <c r="T35" t="s">
        <v>2571</v>
      </c>
      <c r="U35" t="s">
        <v>2578</v>
      </c>
      <c r="W35" t="s">
        <v>162</v>
      </c>
      <c r="X35">
        <v>0</v>
      </c>
      <c r="Y35" t="s">
        <v>2604</v>
      </c>
      <c r="AB35" t="s">
        <v>2663</v>
      </c>
      <c r="AE35">
        <v>46</v>
      </c>
      <c r="AH35">
        <v>0</v>
      </c>
      <c r="AI35">
        <v>3</v>
      </c>
      <c r="AJ35">
        <v>2</v>
      </c>
      <c r="AK35">
        <v>0</v>
      </c>
      <c r="AN35" t="s">
        <v>4126</v>
      </c>
      <c r="AO35">
        <v>0</v>
      </c>
      <c r="AU35">
        <v>0</v>
      </c>
      <c r="AW35" t="s">
        <v>153</v>
      </c>
      <c r="AX35" t="s">
        <v>4266</v>
      </c>
      <c r="AY35" t="s">
        <v>2224</v>
      </c>
      <c r="AZ35" t="s">
        <v>2224</v>
      </c>
    </row>
    <row r="36" spans="1:52">
      <c r="A36" s="1">
        <f>HYPERLINK("https://lsnyc.legalserver.org/matter/dynamic-profile/view/1907437","19-1907437")</f>
        <v>0</v>
      </c>
      <c r="B36" t="s">
        <v>65</v>
      </c>
      <c r="C36" t="s">
        <v>154</v>
      </c>
      <c r="D36" t="s">
        <v>162</v>
      </c>
      <c r="E36" t="s">
        <v>167</v>
      </c>
      <c r="F36" t="s">
        <v>325</v>
      </c>
      <c r="G36" t="s">
        <v>872</v>
      </c>
      <c r="H36" t="s">
        <v>1423</v>
      </c>
      <c r="I36" t="s">
        <v>1962</v>
      </c>
      <c r="J36" t="s">
        <v>2192</v>
      </c>
      <c r="K36">
        <v>11222</v>
      </c>
      <c r="L36" t="s">
        <v>2224</v>
      </c>
      <c r="M36" t="s">
        <v>2226</v>
      </c>
      <c r="N36" t="s">
        <v>2244</v>
      </c>
      <c r="O36" t="s">
        <v>2534</v>
      </c>
      <c r="P36" t="s">
        <v>2556</v>
      </c>
      <c r="Q36" t="s">
        <v>2563</v>
      </c>
      <c r="R36" t="s">
        <v>2569</v>
      </c>
      <c r="S36" t="s">
        <v>2225</v>
      </c>
      <c r="U36" t="s">
        <v>2578</v>
      </c>
      <c r="V36" t="s">
        <v>2588</v>
      </c>
      <c r="W36" t="s">
        <v>186</v>
      </c>
      <c r="X36">
        <v>2400</v>
      </c>
      <c r="Y36" t="s">
        <v>2604</v>
      </c>
      <c r="Z36" t="s">
        <v>2611</v>
      </c>
      <c r="AA36" t="s">
        <v>2626</v>
      </c>
      <c r="AB36" t="s">
        <v>2664</v>
      </c>
      <c r="AC36" t="s">
        <v>2244</v>
      </c>
      <c r="AD36" t="s">
        <v>3476</v>
      </c>
      <c r="AE36">
        <v>4</v>
      </c>
      <c r="AF36" t="s">
        <v>4099</v>
      </c>
      <c r="AG36" t="s">
        <v>2255</v>
      </c>
      <c r="AH36">
        <v>10</v>
      </c>
      <c r="AI36">
        <v>1</v>
      </c>
      <c r="AJ36">
        <v>0</v>
      </c>
      <c r="AK36">
        <v>0</v>
      </c>
      <c r="AN36" t="s">
        <v>4126</v>
      </c>
      <c r="AO36">
        <v>0</v>
      </c>
      <c r="AU36">
        <v>1.8</v>
      </c>
      <c r="AV36" t="s">
        <v>186</v>
      </c>
      <c r="AW36" t="s">
        <v>4229</v>
      </c>
      <c r="AX36" t="s">
        <v>4267</v>
      </c>
      <c r="AY36" t="s">
        <v>2226</v>
      </c>
      <c r="AZ36" t="s">
        <v>2226</v>
      </c>
    </row>
    <row r="37" spans="1:52">
      <c r="A37" s="1">
        <f>HYPERLINK("https://lsnyc.legalserver.org/matter/dynamic-profile/view/1904324","19-1904324")</f>
        <v>0</v>
      </c>
      <c r="B37" t="s">
        <v>68</v>
      </c>
      <c r="C37" t="s">
        <v>155</v>
      </c>
      <c r="D37" t="s">
        <v>158</v>
      </c>
      <c r="F37" t="s">
        <v>326</v>
      </c>
      <c r="G37" t="s">
        <v>873</v>
      </c>
      <c r="H37" t="s">
        <v>1424</v>
      </c>
      <c r="I37" t="s">
        <v>1963</v>
      </c>
      <c r="J37" t="s">
        <v>2192</v>
      </c>
      <c r="K37">
        <v>11221</v>
      </c>
      <c r="L37" t="s">
        <v>2224</v>
      </c>
      <c r="M37" t="s">
        <v>2226</v>
      </c>
      <c r="O37" t="s">
        <v>2539</v>
      </c>
      <c r="P37" t="s">
        <v>2557</v>
      </c>
      <c r="R37" t="s">
        <v>2569</v>
      </c>
      <c r="S37" t="s">
        <v>2224</v>
      </c>
      <c r="T37" t="s">
        <v>2571</v>
      </c>
      <c r="U37" t="s">
        <v>2578</v>
      </c>
      <c r="W37" t="s">
        <v>158</v>
      </c>
      <c r="X37">
        <v>0</v>
      </c>
      <c r="Y37" t="s">
        <v>2604</v>
      </c>
      <c r="AB37" t="s">
        <v>2665</v>
      </c>
      <c r="AE37">
        <v>2</v>
      </c>
      <c r="AH37">
        <v>0</v>
      </c>
      <c r="AI37">
        <v>1</v>
      </c>
      <c r="AJ37">
        <v>0</v>
      </c>
      <c r="AK37">
        <v>0</v>
      </c>
      <c r="AN37" t="s">
        <v>4126</v>
      </c>
      <c r="AO37">
        <v>0</v>
      </c>
      <c r="AU37">
        <v>2</v>
      </c>
      <c r="AV37" t="s">
        <v>158</v>
      </c>
      <c r="AW37" t="s">
        <v>124</v>
      </c>
      <c r="AY37" t="s">
        <v>2226</v>
      </c>
      <c r="AZ37" t="s">
        <v>2226</v>
      </c>
    </row>
    <row r="38" spans="1:52">
      <c r="A38" s="1">
        <f>HYPERLINK("https://lsnyc.legalserver.org/matter/dynamic-profile/view/1905064","19-1905064")</f>
        <v>0</v>
      </c>
      <c r="B38" t="s">
        <v>68</v>
      </c>
      <c r="C38" t="s">
        <v>155</v>
      </c>
      <c r="D38" t="s">
        <v>180</v>
      </c>
      <c r="F38" t="s">
        <v>327</v>
      </c>
      <c r="G38" t="s">
        <v>874</v>
      </c>
      <c r="H38" t="s">
        <v>1424</v>
      </c>
      <c r="I38">
        <v>1</v>
      </c>
      <c r="J38" t="s">
        <v>2192</v>
      </c>
      <c r="K38">
        <v>11221</v>
      </c>
      <c r="L38" t="s">
        <v>2224</v>
      </c>
      <c r="M38" t="s">
        <v>2226</v>
      </c>
      <c r="O38" t="s">
        <v>2539</v>
      </c>
      <c r="P38" t="s">
        <v>2557</v>
      </c>
      <c r="R38" t="s">
        <v>2569</v>
      </c>
      <c r="S38" t="s">
        <v>2224</v>
      </c>
      <c r="U38" t="s">
        <v>2578</v>
      </c>
      <c r="W38" t="s">
        <v>254</v>
      </c>
      <c r="X38">
        <v>0</v>
      </c>
      <c r="Y38" t="s">
        <v>2604</v>
      </c>
      <c r="AB38" t="s">
        <v>2666</v>
      </c>
      <c r="AD38" t="s">
        <v>3477</v>
      </c>
      <c r="AE38">
        <v>2</v>
      </c>
      <c r="AH38">
        <v>0</v>
      </c>
      <c r="AI38">
        <v>1</v>
      </c>
      <c r="AJ38">
        <v>0</v>
      </c>
      <c r="AK38">
        <v>0</v>
      </c>
      <c r="AN38" t="s">
        <v>4126</v>
      </c>
      <c r="AO38">
        <v>0</v>
      </c>
      <c r="AU38">
        <v>0.7</v>
      </c>
      <c r="AV38" t="s">
        <v>214</v>
      </c>
      <c r="AW38" t="s">
        <v>124</v>
      </c>
      <c r="AY38" t="s">
        <v>2226</v>
      </c>
      <c r="AZ38" t="s">
        <v>2226</v>
      </c>
    </row>
    <row r="39" spans="1:52">
      <c r="A39" s="1">
        <f>HYPERLINK("https://lsnyc.legalserver.org/matter/dynamic-profile/view/1906538","19-1906538")</f>
        <v>0</v>
      </c>
      <c r="B39" t="s">
        <v>65</v>
      </c>
      <c r="C39" t="s">
        <v>154</v>
      </c>
      <c r="D39" t="s">
        <v>181</v>
      </c>
      <c r="E39" t="s">
        <v>202</v>
      </c>
      <c r="F39" t="s">
        <v>328</v>
      </c>
      <c r="G39" t="s">
        <v>875</v>
      </c>
      <c r="H39" t="s">
        <v>1425</v>
      </c>
      <c r="I39" t="s">
        <v>1964</v>
      </c>
      <c r="J39" t="s">
        <v>2192</v>
      </c>
      <c r="K39">
        <v>11220</v>
      </c>
      <c r="L39" t="s">
        <v>2224</v>
      </c>
      <c r="M39" t="s">
        <v>2226</v>
      </c>
      <c r="N39" t="s">
        <v>2245</v>
      </c>
      <c r="O39" t="s">
        <v>2535</v>
      </c>
      <c r="P39" t="s">
        <v>2558</v>
      </c>
      <c r="Q39" t="s">
        <v>2564</v>
      </c>
      <c r="R39" t="s">
        <v>2569</v>
      </c>
      <c r="S39" t="s">
        <v>2225</v>
      </c>
      <c r="U39" t="s">
        <v>2578</v>
      </c>
      <c r="V39" t="s">
        <v>2588</v>
      </c>
      <c r="W39" t="s">
        <v>183</v>
      </c>
      <c r="X39">
        <v>1938</v>
      </c>
      <c r="Y39" t="s">
        <v>2604</v>
      </c>
      <c r="Z39" t="s">
        <v>2615</v>
      </c>
      <c r="AA39" t="s">
        <v>2627</v>
      </c>
      <c r="AB39" t="s">
        <v>2667</v>
      </c>
      <c r="AC39" t="s">
        <v>3365</v>
      </c>
      <c r="AD39" t="s">
        <v>3478</v>
      </c>
      <c r="AE39">
        <v>60</v>
      </c>
      <c r="AF39" t="s">
        <v>4099</v>
      </c>
      <c r="AG39" t="s">
        <v>2255</v>
      </c>
      <c r="AH39">
        <v>2</v>
      </c>
      <c r="AI39">
        <v>1</v>
      </c>
      <c r="AJ39">
        <v>1</v>
      </c>
      <c r="AK39">
        <v>0</v>
      </c>
      <c r="AN39" t="s">
        <v>4126</v>
      </c>
      <c r="AO39">
        <v>0</v>
      </c>
      <c r="AR39" t="s">
        <v>2611</v>
      </c>
      <c r="AS39" t="s">
        <v>4189</v>
      </c>
      <c r="AT39" t="s">
        <v>4192</v>
      </c>
      <c r="AU39">
        <v>23.7</v>
      </c>
      <c r="AV39" t="s">
        <v>202</v>
      </c>
      <c r="AW39" t="s">
        <v>127</v>
      </c>
      <c r="AX39" t="s">
        <v>4266</v>
      </c>
      <c r="AY39" t="s">
        <v>2224</v>
      </c>
      <c r="AZ39" t="s">
        <v>2224</v>
      </c>
    </row>
    <row r="40" spans="1:52">
      <c r="A40" s="1">
        <f>HYPERLINK("https://lsnyc.legalserver.org/matter/dynamic-profile/view/1912335","19-1912335")</f>
        <v>0</v>
      </c>
      <c r="B40" t="s">
        <v>58</v>
      </c>
      <c r="C40" t="s">
        <v>155</v>
      </c>
      <c r="D40" t="s">
        <v>169</v>
      </c>
      <c r="F40" t="s">
        <v>329</v>
      </c>
      <c r="G40" t="s">
        <v>876</v>
      </c>
      <c r="J40" t="s">
        <v>2192</v>
      </c>
      <c r="K40">
        <v>11216</v>
      </c>
      <c r="L40" t="s">
        <v>2224</v>
      </c>
      <c r="M40" t="s">
        <v>2226</v>
      </c>
      <c r="O40" t="s">
        <v>2535</v>
      </c>
      <c r="P40" t="s">
        <v>2559</v>
      </c>
      <c r="R40" t="s">
        <v>2569</v>
      </c>
      <c r="S40" t="s">
        <v>2225</v>
      </c>
      <c r="U40" t="s">
        <v>2578</v>
      </c>
      <c r="V40" t="s">
        <v>2588</v>
      </c>
      <c r="W40" t="s">
        <v>169</v>
      </c>
      <c r="X40">
        <v>0</v>
      </c>
      <c r="Y40" t="s">
        <v>2604</v>
      </c>
      <c r="Z40" t="s">
        <v>2608</v>
      </c>
      <c r="AE40">
        <v>0</v>
      </c>
      <c r="AF40" t="s">
        <v>4099</v>
      </c>
      <c r="AG40" t="s">
        <v>2255</v>
      </c>
      <c r="AH40">
        <v>0</v>
      </c>
      <c r="AI40">
        <v>1</v>
      </c>
      <c r="AJ40">
        <v>0</v>
      </c>
      <c r="AK40">
        <v>0</v>
      </c>
      <c r="AN40" t="s">
        <v>4126</v>
      </c>
      <c r="AO40">
        <v>0</v>
      </c>
      <c r="AU40">
        <v>3</v>
      </c>
      <c r="AV40" t="s">
        <v>166</v>
      </c>
      <c r="AW40" t="s">
        <v>58</v>
      </c>
      <c r="AX40" t="s">
        <v>4266</v>
      </c>
      <c r="AY40" t="s">
        <v>2226</v>
      </c>
      <c r="AZ40" t="s">
        <v>2226</v>
      </c>
    </row>
    <row r="41" spans="1:52">
      <c r="A41" s="1">
        <f>HYPERLINK("https://lsnyc.legalserver.org/matter/dynamic-profile/view/1905722","19-1905722")</f>
        <v>0</v>
      </c>
      <c r="B41" t="s">
        <v>65</v>
      </c>
      <c r="C41" t="s">
        <v>154</v>
      </c>
      <c r="D41" t="s">
        <v>172</v>
      </c>
      <c r="E41" t="s">
        <v>242</v>
      </c>
      <c r="F41" t="s">
        <v>330</v>
      </c>
      <c r="G41" t="s">
        <v>877</v>
      </c>
      <c r="H41" t="s">
        <v>1426</v>
      </c>
      <c r="I41">
        <v>1</v>
      </c>
      <c r="J41" t="s">
        <v>2192</v>
      </c>
      <c r="K41">
        <v>11213</v>
      </c>
      <c r="L41" t="s">
        <v>2224</v>
      </c>
      <c r="M41" t="s">
        <v>2226</v>
      </c>
      <c r="N41" t="s">
        <v>2238</v>
      </c>
      <c r="O41" t="s">
        <v>2238</v>
      </c>
      <c r="P41" t="s">
        <v>2561</v>
      </c>
      <c r="Q41" t="s">
        <v>2566</v>
      </c>
      <c r="R41" t="s">
        <v>2569</v>
      </c>
      <c r="S41" t="s">
        <v>2225</v>
      </c>
      <c r="U41" t="s">
        <v>2578</v>
      </c>
      <c r="W41" t="s">
        <v>195</v>
      </c>
      <c r="X41">
        <v>2000</v>
      </c>
      <c r="Y41" t="s">
        <v>2604</v>
      </c>
      <c r="Z41" t="s">
        <v>2611</v>
      </c>
      <c r="AA41" t="s">
        <v>2629</v>
      </c>
      <c r="AB41" t="s">
        <v>2668</v>
      </c>
      <c r="AD41" t="s">
        <v>3479</v>
      </c>
      <c r="AE41">
        <v>3</v>
      </c>
      <c r="AH41">
        <v>5</v>
      </c>
      <c r="AI41">
        <v>1</v>
      </c>
      <c r="AJ41">
        <v>0</v>
      </c>
      <c r="AK41">
        <v>0</v>
      </c>
      <c r="AN41" t="s">
        <v>4126</v>
      </c>
      <c r="AO41">
        <v>0</v>
      </c>
      <c r="AU41">
        <v>1.3</v>
      </c>
      <c r="AV41" t="s">
        <v>187</v>
      </c>
      <c r="AW41" t="s">
        <v>4227</v>
      </c>
      <c r="AX41" t="s">
        <v>4266</v>
      </c>
      <c r="AY41" t="s">
        <v>2224</v>
      </c>
      <c r="AZ41" t="s">
        <v>2224</v>
      </c>
    </row>
    <row r="42" spans="1:52">
      <c r="A42" s="1">
        <f>HYPERLINK("https://lsnyc.legalserver.org/matter/dynamic-profile/view/1895273","19-1895273")</f>
        <v>0</v>
      </c>
      <c r="B42" t="s">
        <v>69</v>
      </c>
      <c r="C42" t="s">
        <v>155</v>
      </c>
      <c r="D42" t="s">
        <v>182</v>
      </c>
      <c r="F42" t="s">
        <v>331</v>
      </c>
      <c r="G42" t="s">
        <v>878</v>
      </c>
      <c r="H42" t="s">
        <v>1427</v>
      </c>
      <c r="I42" t="s">
        <v>1952</v>
      </c>
      <c r="J42" t="s">
        <v>2192</v>
      </c>
      <c r="K42">
        <v>11212</v>
      </c>
      <c r="L42" t="s">
        <v>2224</v>
      </c>
      <c r="M42" t="s">
        <v>2225</v>
      </c>
      <c r="N42" t="s">
        <v>2246</v>
      </c>
      <c r="O42" t="s">
        <v>2536</v>
      </c>
      <c r="P42" t="s">
        <v>2562</v>
      </c>
      <c r="R42" t="s">
        <v>2569</v>
      </c>
      <c r="S42" t="s">
        <v>2224</v>
      </c>
      <c r="U42" t="s">
        <v>2578</v>
      </c>
      <c r="V42" t="s">
        <v>2588</v>
      </c>
      <c r="W42" t="s">
        <v>254</v>
      </c>
      <c r="X42">
        <v>683</v>
      </c>
      <c r="Y42" t="s">
        <v>2604</v>
      </c>
      <c r="Z42" t="s">
        <v>2616</v>
      </c>
      <c r="AB42" t="s">
        <v>2669</v>
      </c>
      <c r="AE42">
        <v>10</v>
      </c>
      <c r="AF42" t="s">
        <v>4099</v>
      </c>
      <c r="AG42" t="s">
        <v>2255</v>
      </c>
      <c r="AH42">
        <v>30</v>
      </c>
      <c r="AI42">
        <v>2</v>
      </c>
      <c r="AJ42">
        <v>0</v>
      </c>
      <c r="AK42">
        <v>0</v>
      </c>
      <c r="AN42" t="s">
        <v>4126</v>
      </c>
      <c r="AO42">
        <v>0</v>
      </c>
      <c r="AU42">
        <v>1</v>
      </c>
      <c r="AV42" t="s">
        <v>4218</v>
      </c>
      <c r="AW42" t="s">
        <v>4226</v>
      </c>
      <c r="AY42" t="s">
        <v>2226</v>
      </c>
      <c r="AZ42" t="s">
        <v>2226</v>
      </c>
    </row>
    <row r="43" spans="1:52">
      <c r="A43" s="1">
        <f>HYPERLINK("https://lsnyc.legalserver.org/matter/dynamic-profile/view/1907743","19-1907743")</f>
        <v>0</v>
      </c>
      <c r="B43" t="s">
        <v>68</v>
      </c>
      <c r="C43" t="s">
        <v>155</v>
      </c>
      <c r="D43" t="s">
        <v>183</v>
      </c>
      <c r="F43" t="s">
        <v>332</v>
      </c>
      <c r="G43" t="s">
        <v>879</v>
      </c>
      <c r="H43" t="s">
        <v>1428</v>
      </c>
      <c r="I43" t="s">
        <v>1965</v>
      </c>
      <c r="J43" t="s">
        <v>2192</v>
      </c>
      <c r="K43">
        <v>11210</v>
      </c>
      <c r="L43" t="s">
        <v>2224</v>
      </c>
      <c r="M43" t="s">
        <v>2226</v>
      </c>
      <c r="N43" t="s">
        <v>2247</v>
      </c>
      <c r="O43" t="s">
        <v>2533</v>
      </c>
      <c r="P43" t="s">
        <v>2558</v>
      </c>
      <c r="R43" t="s">
        <v>2569</v>
      </c>
      <c r="U43" t="s">
        <v>2578</v>
      </c>
      <c r="W43" t="s">
        <v>183</v>
      </c>
      <c r="X43">
        <v>1400</v>
      </c>
      <c r="Y43" t="s">
        <v>2604</v>
      </c>
      <c r="AB43" t="s">
        <v>2670</v>
      </c>
      <c r="AD43" t="s">
        <v>3480</v>
      </c>
      <c r="AE43">
        <v>42</v>
      </c>
      <c r="AF43" t="s">
        <v>4099</v>
      </c>
      <c r="AH43">
        <v>23</v>
      </c>
      <c r="AI43">
        <v>1</v>
      </c>
      <c r="AJ43">
        <v>2</v>
      </c>
      <c r="AK43">
        <v>0</v>
      </c>
      <c r="AN43" t="s">
        <v>4126</v>
      </c>
      <c r="AO43">
        <v>0</v>
      </c>
      <c r="AU43">
        <v>9.85</v>
      </c>
      <c r="AV43" t="s">
        <v>156</v>
      </c>
      <c r="AW43" t="s">
        <v>4229</v>
      </c>
      <c r="AX43" t="s">
        <v>4266</v>
      </c>
      <c r="AY43" t="s">
        <v>2226</v>
      </c>
      <c r="AZ43" t="s">
        <v>2226</v>
      </c>
    </row>
    <row r="44" spans="1:52">
      <c r="A44" s="1">
        <f>HYPERLINK("https://lsnyc.legalserver.org/matter/dynamic-profile/view/1911798","19-1911798")</f>
        <v>0</v>
      </c>
      <c r="B44" t="s">
        <v>60</v>
      </c>
      <c r="C44" t="s">
        <v>154</v>
      </c>
      <c r="D44" t="s">
        <v>165</v>
      </c>
      <c r="E44" t="s">
        <v>165</v>
      </c>
      <c r="F44" t="s">
        <v>333</v>
      </c>
      <c r="G44" t="s">
        <v>880</v>
      </c>
      <c r="H44" t="s">
        <v>1429</v>
      </c>
      <c r="J44" t="s">
        <v>2192</v>
      </c>
      <c r="K44">
        <v>11208</v>
      </c>
      <c r="L44" t="s">
        <v>2224</v>
      </c>
      <c r="M44" t="s">
        <v>2226</v>
      </c>
      <c r="O44" t="s">
        <v>2540</v>
      </c>
      <c r="P44" t="s">
        <v>2556</v>
      </c>
      <c r="Q44" t="s">
        <v>2563</v>
      </c>
      <c r="R44" t="s">
        <v>2569</v>
      </c>
      <c r="S44" t="s">
        <v>2225</v>
      </c>
      <c r="U44" t="s">
        <v>2578</v>
      </c>
      <c r="W44" t="s">
        <v>178</v>
      </c>
      <c r="X44">
        <v>0</v>
      </c>
      <c r="Y44" t="s">
        <v>2604</v>
      </c>
      <c r="Z44" t="s">
        <v>2614</v>
      </c>
      <c r="AA44" t="s">
        <v>2626</v>
      </c>
      <c r="AB44" t="s">
        <v>2671</v>
      </c>
      <c r="AE44">
        <v>6</v>
      </c>
      <c r="AH44">
        <v>0</v>
      </c>
      <c r="AI44">
        <v>1</v>
      </c>
      <c r="AJ44">
        <v>3</v>
      </c>
      <c r="AK44">
        <v>0</v>
      </c>
      <c r="AN44" t="s">
        <v>4126</v>
      </c>
      <c r="AO44">
        <v>0</v>
      </c>
      <c r="AU44">
        <v>0.2</v>
      </c>
      <c r="AV44" t="s">
        <v>165</v>
      </c>
      <c r="AW44" t="s">
        <v>4226</v>
      </c>
      <c r="AX44" t="s">
        <v>4266</v>
      </c>
      <c r="AY44" t="s">
        <v>2226</v>
      </c>
      <c r="AZ44" t="s">
        <v>2225</v>
      </c>
    </row>
    <row r="45" spans="1:52">
      <c r="A45" s="1">
        <f>HYPERLINK("https://lsnyc.legalserver.org/matter/dynamic-profile/view/1907956","19-1907956")</f>
        <v>0</v>
      </c>
      <c r="B45" t="s">
        <v>64</v>
      </c>
      <c r="C45" t="s">
        <v>155</v>
      </c>
      <c r="D45" t="s">
        <v>184</v>
      </c>
      <c r="F45" t="s">
        <v>334</v>
      </c>
      <c r="G45" t="s">
        <v>881</v>
      </c>
      <c r="H45" t="s">
        <v>1430</v>
      </c>
      <c r="I45" t="s">
        <v>1966</v>
      </c>
      <c r="J45" t="s">
        <v>2192</v>
      </c>
      <c r="K45">
        <v>11207</v>
      </c>
      <c r="L45" t="s">
        <v>2224</v>
      </c>
      <c r="M45" t="s">
        <v>2226</v>
      </c>
      <c r="N45" t="s">
        <v>2248</v>
      </c>
      <c r="O45" t="s">
        <v>2533</v>
      </c>
      <c r="P45" t="s">
        <v>2558</v>
      </c>
      <c r="R45" t="s">
        <v>2569</v>
      </c>
      <c r="S45" t="s">
        <v>2225</v>
      </c>
      <c r="U45" t="s">
        <v>2578</v>
      </c>
      <c r="V45" t="s">
        <v>2588</v>
      </c>
      <c r="W45" t="s">
        <v>184</v>
      </c>
      <c r="X45">
        <v>1000</v>
      </c>
      <c r="Y45" t="s">
        <v>2604</v>
      </c>
      <c r="Z45" t="s">
        <v>2617</v>
      </c>
      <c r="AB45" t="s">
        <v>2672</v>
      </c>
      <c r="AC45" t="s">
        <v>3366</v>
      </c>
      <c r="AD45" t="s">
        <v>3481</v>
      </c>
      <c r="AE45">
        <v>3</v>
      </c>
      <c r="AF45" t="s">
        <v>4098</v>
      </c>
      <c r="AG45" t="s">
        <v>2255</v>
      </c>
      <c r="AH45">
        <v>2</v>
      </c>
      <c r="AI45">
        <v>2</v>
      </c>
      <c r="AJ45">
        <v>0</v>
      </c>
      <c r="AK45">
        <v>0</v>
      </c>
      <c r="AN45" t="s">
        <v>4126</v>
      </c>
      <c r="AO45">
        <v>0</v>
      </c>
      <c r="AU45">
        <v>25</v>
      </c>
      <c r="AV45" t="s">
        <v>197</v>
      </c>
      <c r="AW45" t="s">
        <v>127</v>
      </c>
      <c r="AX45" t="s">
        <v>4266</v>
      </c>
      <c r="AY45" t="s">
        <v>2224</v>
      </c>
      <c r="AZ45" t="s">
        <v>2224</v>
      </c>
    </row>
    <row r="46" spans="1:52">
      <c r="A46" s="1">
        <f>HYPERLINK("https://lsnyc.legalserver.org/matter/dynamic-profile/view/1907285","19-1907285")</f>
        <v>0</v>
      </c>
      <c r="B46" t="s">
        <v>55</v>
      </c>
      <c r="C46" t="s">
        <v>155</v>
      </c>
      <c r="D46" t="s">
        <v>185</v>
      </c>
      <c r="F46" t="s">
        <v>314</v>
      </c>
      <c r="G46" t="s">
        <v>882</v>
      </c>
      <c r="H46" t="s">
        <v>1431</v>
      </c>
      <c r="I46" t="s">
        <v>1967</v>
      </c>
      <c r="J46" t="s">
        <v>2193</v>
      </c>
      <c r="K46">
        <v>11106</v>
      </c>
      <c r="L46" t="s">
        <v>2224</v>
      </c>
      <c r="M46" t="s">
        <v>2226</v>
      </c>
      <c r="N46" t="s">
        <v>2249</v>
      </c>
      <c r="O46" t="s">
        <v>2535</v>
      </c>
      <c r="P46" t="s">
        <v>2556</v>
      </c>
      <c r="R46" t="s">
        <v>2570</v>
      </c>
      <c r="S46" t="s">
        <v>2225</v>
      </c>
      <c r="U46" t="s">
        <v>2578</v>
      </c>
      <c r="V46" t="s">
        <v>2588</v>
      </c>
      <c r="W46" t="s">
        <v>185</v>
      </c>
      <c r="X46">
        <v>474</v>
      </c>
      <c r="Y46" t="s">
        <v>2603</v>
      </c>
      <c r="Z46" t="s">
        <v>2610</v>
      </c>
      <c r="AB46" t="s">
        <v>2673</v>
      </c>
      <c r="AC46" t="s">
        <v>3367</v>
      </c>
      <c r="AD46" t="s">
        <v>3482</v>
      </c>
      <c r="AE46">
        <v>6</v>
      </c>
      <c r="AF46" t="s">
        <v>4099</v>
      </c>
      <c r="AG46" t="s">
        <v>2255</v>
      </c>
      <c r="AH46">
        <v>1</v>
      </c>
      <c r="AI46">
        <v>1</v>
      </c>
      <c r="AJ46">
        <v>1</v>
      </c>
      <c r="AK46">
        <v>0</v>
      </c>
      <c r="AL46" t="s">
        <v>4121</v>
      </c>
      <c r="AM46" t="s">
        <v>4123</v>
      </c>
      <c r="AN46" t="s">
        <v>4126</v>
      </c>
      <c r="AO46">
        <v>0</v>
      </c>
      <c r="AU46">
        <v>3.65</v>
      </c>
      <c r="AV46" t="s">
        <v>200</v>
      </c>
      <c r="AW46" t="s">
        <v>55</v>
      </c>
      <c r="AX46" t="s">
        <v>4267</v>
      </c>
      <c r="AY46" t="s">
        <v>2226</v>
      </c>
      <c r="AZ46" t="s">
        <v>2226</v>
      </c>
    </row>
    <row r="47" spans="1:52">
      <c r="A47" s="1">
        <f>HYPERLINK("https://lsnyc.legalserver.org/matter/dynamic-profile/view/1907244","19-1907244")</f>
        <v>0</v>
      </c>
      <c r="B47" t="s">
        <v>70</v>
      </c>
      <c r="C47" t="s">
        <v>154</v>
      </c>
      <c r="D47" t="s">
        <v>185</v>
      </c>
      <c r="E47" t="s">
        <v>241</v>
      </c>
      <c r="F47" t="s">
        <v>335</v>
      </c>
      <c r="G47" t="s">
        <v>883</v>
      </c>
      <c r="H47" t="s">
        <v>1432</v>
      </c>
      <c r="I47" t="s">
        <v>1968</v>
      </c>
      <c r="J47" t="s">
        <v>2194</v>
      </c>
      <c r="K47">
        <v>10470</v>
      </c>
      <c r="L47" t="s">
        <v>2224</v>
      </c>
      <c r="M47" t="s">
        <v>2226</v>
      </c>
      <c r="N47" t="s">
        <v>2244</v>
      </c>
      <c r="O47" t="s">
        <v>2238</v>
      </c>
      <c r="P47" t="s">
        <v>2556</v>
      </c>
      <c r="Q47" t="s">
        <v>2563</v>
      </c>
      <c r="R47" t="s">
        <v>2569</v>
      </c>
      <c r="S47" t="s">
        <v>2225</v>
      </c>
      <c r="U47" t="s">
        <v>2578</v>
      </c>
      <c r="W47" t="s">
        <v>184</v>
      </c>
      <c r="X47">
        <v>1486.4</v>
      </c>
      <c r="Y47" t="s">
        <v>2605</v>
      </c>
      <c r="Z47" t="s">
        <v>2614</v>
      </c>
      <c r="AA47" t="s">
        <v>2626</v>
      </c>
      <c r="AB47" t="s">
        <v>2674</v>
      </c>
      <c r="AE47">
        <v>84</v>
      </c>
      <c r="AF47" t="s">
        <v>4099</v>
      </c>
      <c r="AG47" t="s">
        <v>2255</v>
      </c>
      <c r="AH47">
        <v>12</v>
      </c>
      <c r="AI47">
        <v>1</v>
      </c>
      <c r="AJ47">
        <v>0</v>
      </c>
      <c r="AK47">
        <v>0</v>
      </c>
      <c r="AN47" t="s">
        <v>4126</v>
      </c>
      <c r="AO47">
        <v>0</v>
      </c>
      <c r="AU47">
        <v>2</v>
      </c>
      <c r="AV47" t="s">
        <v>241</v>
      </c>
      <c r="AW47" t="s">
        <v>70</v>
      </c>
      <c r="AX47" t="s">
        <v>4266</v>
      </c>
      <c r="AY47" t="s">
        <v>2226</v>
      </c>
      <c r="AZ47" t="s">
        <v>2225</v>
      </c>
    </row>
    <row r="48" spans="1:52">
      <c r="A48" s="1">
        <f>HYPERLINK("https://lsnyc.legalserver.org/matter/dynamic-profile/view/1909129","19-1909129")</f>
        <v>0</v>
      </c>
      <c r="B48" t="s">
        <v>70</v>
      </c>
      <c r="C48" t="s">
        <v>154</v>
      </c>
      <c r="D48" t="s">
        <v>186</v>
      </c>
      <c r="E48" t="s">
        <v>179</v>
      </c>
      <c r="F48" t="s">
        <v>336</v>
      </c>
      <c r="G48" t="s">
        <v>884</v>
      </c>
      <c r="H48" t="s">
        <v>1433</v>
      </c>
      <c r="I48" t="s">
        <v>1969</v>
      </c>
      <c r="J48" t="s">
        <v>2194</v>
      </c>
      <c r="K48">
        <v>10452</v>
      </c>
      <c r="L48" t="s">
        <v>2224</v>
      </c>
      <c r="M48" t="s">
        <v>2226</v>
      </c>
      <c r="O48" t="s">
        <v>2238</v>
      </c>
      <c r="P48" t="s">
        <v>2561</v>
      </c>
      <c r="Q48" t="s">
        <v>2566</v>
      </c>
      <c r="R48" t="s">
        <v>2569</v>
      </c>
      <c r="S48" t="s">
        <v>2225</v>
      </c>
      <c r="U48" t="s">
        <v>2578</v>
      </c>
      <c r="W48" t="s">
        <v>214</v>
      </c>
      <c r="X48">
        <v>1428.24</v>
      </c>
      <c r="Y48" t="s">
        <v>2605</v>
      </c>
      <c r="Z48" t="s">
        <v>2613</v>
      </c>
      <c r="AA48" t="s">
        <v>2630</v>
      </c>
      <c r="AB48" t="s">
        <v>2675</v>
      </c>
      <c r="AE48">
        <v>92</v>
      </c>
      <c r="AF48" t="s">
        <v>4099</v>
      </c>
      <c r="AG48" t="s">
        <v>4112</v>
      </c>
      <c r="AH48">
        <v>9</v>
      </c>
      <c r="AI48">
        <v>2</v>
      </c>
      <c r="AJ48">
        <v>0</v>
      </c>
      <c r="AK48">
        <v>0</v>
      </c>
      <c r="AN48" t="s">
        <v>4126</v>
      </c>
      <c r="AO48">
        <v>0</v>
      </c>
      <c r="AU48">
        <v>2.3</v>
      </c>
      <c r="AV48" t="s">
        <v>179</v>
      </c>
      <c r="AW48" t="s">
        <v>70</v>
      </c>
      <c r="AX48" t="s">
        <v>4266</v>
      </c>
      <c r="AY48" t="s">
        <v>2224</v>
      </c>
      <c r="AZ48" t="s">
        <v>2224</v>
      </c>
    </row>
    <row r="49" spans="1:52">
      <c r="A49" s="1">
        <f>HYPERLINK("https://lsnyc.legalserver.org/matter/dynamic-profile/view/1906737","19-1906737")</f>
        <v>0</v>
      </c>
      <c r="B49" t="s">
        <v>71</v>
      </c>
      <c r="C49" t="s">
        <v>154</v>
      </c>
      <c r="D49" t="s">
        <v>187</v>
      </c>
      <c r="E49" t="s">
        <v>181</v>
      </c>
      <c r="F49" t="s">
        <v>337</v>
      </c>
      <c r="G49" t="s">
        <v>885</v>
      </c>
      <c r="H49" t="s">
        <v>1434</v>
      </c>
      <c r="J49" t="s">
        <v>2194</v>
      </c>
      <c r="K49">
        <v>10452</v>
      </c>
      <c r="L49" t="s">
        <v>2224</v>
      </c>
      <c r="M49" t="s">
        <v>2226</v>
      </c>
      <c r="N49" t="s">
        <v>2250</v>
      </c>
      <c r="O49" t="s">
        <v>2535</v>
      </c>
      <c r="P49" t="s">
        <v>2556</v>
      </c>
      <c r="Q49" t="s">
        <v>2563</v>
      </c>
      <c r="R49" t="s">
        <v>2569</v>
      </c>
      <c r="S49" t="s">
        <v>2225</v>
      </c>
      <c r="U49" t="s">
        <v>2578</v>
      </c>
      <c r="V49" t="s">
        <v>2588</v>
      </c>
      <c r="W49" t="s">
        <v>181</v>
      </c>
      <c r="X49">
        <v>705.35</v>
      </c>
      <c r="Y49" t="s">
        <v>2605</v>
      </c>
      <c r="Z49" t="s">
        <v>2613</v>
      </c>
      <c r="AA49" t="s">
        <v>2626</v>
      </c>
      <c r="AB49" t="s">
        <v>2676</v>
      </c>
      <c r="AE49">
        <v>55</v>
      </c>
      <c r="AF49" t="s">
        <v>4099</v>
      </c>
      <c r="AH49">
        <v>28</v>
      </c>
      <c r="AI49">
        <v>1</v>
      </c>
      <c r="AJ49">
        <v>0</v>
      </c>
      <c r="AK49">
        <v>0</v>
      </c>
      <c r="AN49" t="s">
        <v>4126</v>
      </c>
      <c r="AO49">
        <v>0</v>
      </c>
      <c r="AU49">
        <v>1</v>
      </c>
      <c r="AV49" t="s">
        <v>244</v>
      </c>
      <c r="AW49" t="s">
        <v>71</v>
      </c>
      <c r="AX49" t="s">
        <v>4266</v>
      </c>
      <c r="AY49" t="s">
        <v>2224</v>
      </c>
      <c r="AZ49" t="s">
        <v>2224</v>
      </c>
    </row>
    <row r="50" spans="1:52">
      <c r="A50" s="1">
        <f>HYPERLINK("https://lsnyc.legalserver.org/matter/dynamic-profile/view/1912414","19-1912414")</f>
        <v>0</v>
      </c>
      <c r="B50" t="s">
        <v>72</v>
      </c>
      <c r="C50" t="s">
        <v>155</v>
      </c>
      <c r="D50" t="s">
        <v>188</v>
      </c>
      <c r="F50" t="s">
        <v>338</v>
      </c>
      <c r="G50" t="s">
        <v>886</v>
      </c>
      <c r="H50" t="s">
        <v>1435</v>
      </c>
      <c r="J50" t="s">
        <v>2195</v>
      </c>
      <c r="K50">
        <v>10309</v>
      </c>
      <c r="L50" t="s">
        <v>2224</v>
      </c>
      <c r="M50" t="s">
        <v>2226</v>
      </c>
      <c r="N50" t="s">
        <v>2251</v>
      </c>
      <c r="O50" t="s">
        <v>2533</v>
      </c>
      <c r="R50" t="s">
        <v>2570</v>
      </c>
      <c r="S50" t="s">
        <v>2225</v>
      </c>
      <c r="U50" t="s">
        <v>2578</v>
      </c>
      <c r="W50" t="s">
        <v>280</v>
      </c>
      <c r="X50">
        <v>0</v>
      </c>
      <c r="Y50" t="s">
        <v>2606</v>
      </c>
      <c r="Z50" t="s">
        <v>2610</v>
      </c>
      <c r="AB50" t="s">
        <v>2677</v>
      </c>
      <c r="AE50">
        <v>1</v>
      </c>
      <c r="AF50" t="s">
        <v>4098</v>
      </c>
      <c r="AG50" t="s">
        <v>2255</v>
      </c>
      <c r="AH50">
        <v>6</v>
      </c>
      <c r="AI50">
        <v>1</v>
      </c>
      <c r="AJ50">
        <v>1</v>
      </c>
      <c r="AK50">
        <v>0</v>
      </c>
      <c r="AN50" t="s">
        <v>4126</v>
      </c>
      <c r="AO50">
        <v>0</v>
      </c>
      <c r="AU50">
        <v>0.45</v>
      </c>
      <c r="AV50" t="s">
        <v>188</v>
      </c>
      <c r="AW50" t="s">
        <v>72</v>
      </c>
      <c r="AX50" t="s">
        <v>4266</v>
      </c>
      <c r="AY50" t="s">
        <v>2224</v>
      </c>
      <c r="AZ50" t="s">
        <v>2224</v>
      </c>
    </row>
    <row r="51" spans="1:52">
      <c r="A51" s="1">
        <f>HYPERLINK("https://lsnyc.legalserver.org/matter/dynamic-profile/view/1908836","19-1908836")</f>
        <v>0</v>
      </c>
      <c r="B51" t="s">
        <v>73</v>
      </c>
      <c r="C51" t="s">
        <v>154</v>
      </c>
      <c r="D51" t="s">
        <v>189</v>
      </c>
      <c r="E51" t="s">
        <v>170</v>
      </c>
      <c r="F51" t="s">
        <v>339</v>
      </c>
      <c r="G51" t="s">
        <v>887</v>
      </c>
      <c r="H51" t="s">
        <v>1436</v>
      </c>
      <c r="J51" t="s">
        <v>2195</v>
      </c>
      <c r="K51">
        <v>10305</v>
      </c>
      <c r="L51" t="s">
        <v>2224</v>
      </c>
      <c r="M51" t="s">
        <v>2226</v>
      </c>
      <c r="N51" t="s">
        <v>2237</v>
      </c>
      <c r="O51" t="s">
        <v>2238</v>
      </c>
      <c r="P51" t="s">
        <v>2556</v>
      </c>
      <c r="Q51" t="s">
        <v>2563</v>
      </c>
      <c r="R51" t="s">
        <v>2570</v>
      </c>
      <c r="S51" t="s">
        <v>2225</v>
      </c>
      <c r="U51" t="s">
        <v>2580</v>
      </c>
      <c r="W51" t="s">
        <v>189</v>
      </c>
      <c r="X51">
        <v>0</v>
      </c>
      <c r="Y51" t="s">
        <v>2606</v>
      </c>
      <c r="Z51" t="s">
        <v>2610</v>
      </c>
      <c r="AA51" t="s">
        <v>2626</v>
      </c>
      <c r="AB51" t="s">
        <v>2678</v>
      </c>
      <c r="AD51" t="s">
        <v>3483</v>
      </c>
      <c r="AE51">
        <v>1</v>
      </c>
      <c r="AF51" t="s">
        <v>4098</v>
      </c>
      <c r="AG51" t="s">
        <v>2255</v>
      </c>
      <c r="AH51">
        <v>0</v>
      </c>
      <c r="AI51">
        <v>4</v>
      </c>
      <c r="AJ51">
        <v>2</v>
      </c>
      <c r="AK51">
        <v>0</v>
      </c>
      <c r="AL51" t="s">
        <v>4121</v>
      </c>
      <c r="AM51" t="s">
        <v>4123</v>
      </c>
      <c r="AN51" t="s">
        <v>4126</v>
      </c>
      <c r="AO51">
        <v>0</v>
      </c>
      <c r="AR51" t="s">
        <v>2611</v>
      </c>
      <c r="AT51" t="s">
        <v>4193</v>
      </c>
      <c r="AU51">
        <v>1.7</v>
      </c>
      <c r="AV51" t="s">
        <v>170</v>
      </c>
      <c r="AW51" t="s">
        <v>73</v>
      </c>
      <c r="AX51" t="s">
        <v>4266</v>
      </c>
      <c r="AY51" t="s">
        <v>2224</v>
      </c>
      <c r="AZ51" t="s">
        <v>2224</v>
      </c>
    </row>
    <row r="52" spans="1:52">
      <c r="A52" s="1">
        <f>HYPERLINK("https://lsnyc.legalserver.org/matter/dynamic-profile/view/1907746","19-1907746")</f>
        <v>0</v>
      </c>
      <c r="B52" t="s">
        <v>73</v>
      </c>
      <c r="C52" t="s">
        <v>155</v>
      </c>
      <c r="D52" t="s">
        <v>183</v>
      </c>
      <c r="F52" t="s">
        <v>340</v>
      </c>
      <c r="G52" t="s">
        <v>888</v>
      </c>
      <c r="H52" t="s">
        <v>1437</v>
      </c>
      <c r="I52" t="s">
        <v>1970</v>
      </c>
      <c r="J52" t="s">
        <v>2195</v>
      </c>
      <c r="K52">
        <v>10304</v>
      </c>
      <c r="L52" t="s">
        <v>2224</v>
      </c>
      <c r="M52" t="s">
        <v>2226</v>
      </c>
      <c r="N52" t="s">
        <v>2252</v>
      </c>
      <c r="O52" t="s">
        <v>2535</v>
      </c>
      <c r="P52" t="s">
        <v>2558</v>
      </c>
      <c r="R52" t="s">
        <v>2569</v>
      </c>
      <c r="S52" t="s">
        <v>2225</v>
      </c>
      <c r="U52" t="s">
        <v>2578</v>
      </c>
      <c r="V52" t="s">
        <v>2588</v>
      </c>
      <c r="W52" t="s">
        <v>183</v>
      </c>
      <c r="X52">
        <v>529</v>
      </c>
      <c r="Y52" t="s">
        <v>2606</v>
      </c>
      <c r="Z52" t="s">
        <v>2618</v>
      </c>
      <c r="AB52" t="s">
        <v>2679</v>
      </c>
      <c r="AD52" t="s">
        <v>3484</v>
      </c>
      <c r="AE52">
        <v>98</v>
      </c>
      <c r="AF52" t="s">
        <v>4099</v>
      </c>
      <c r="AG52" t="s">
        <v>2255</v>
      </c>
      <c r="AH52">
        <v>10</v>
      </c>
      <c r="AI52">
        <v>1</v>
      </c>
      <c r="AJ52">
        <v>3</v>
      </c>
      <c r="AK52">
        <v>0</v>
      </c>
      <c r="AN52" t="s">
        <v>4126</v>
      </c>
      <c r="AO52">
        <v>0</v>
      </c>
      <c r="AU52">
        <v>12</v>
      </c>
      <c r="AV52" t="s">
        <v>275</v>
      </c>
      <c r="AW52" t="s">
        <v>4230</v>
      </c>
      <c r="AX52" t="s">
        <v>4266</v>
      </c>
      <c r="AY52" t="s">
        <v>2224</v>
      </c>
      <c r="AZ52" t="s">
        <v>2224</v>
      </c>
    </row>
    <row r="53" spans="1:52">
      <c r="A53" s="1">
        <f>HYPERLINK("https://lsnyc.legalserver.org/matter/dynamic-profile/view/1909283","19-1909283")</f>
        <v>0</v>
      </c>
      <c r="B53" t="s">
        <v>74</v>
      </c>
      <c r="C53" t="s">
        <v>155</v>
      </c>
      <c r="D53" t="s">
        <v>167</v>
      </c>
      <c r="F53" t="s">
        <v>341</v>
      </c>
      <c r="G53" t="s">
        <v>889</v>
      </c>
      <c r="H53" t="s">
        <v>1438</v>
      </c>
      <c r="I53" t="s">
        <v>1967</v>
      </c>
      <c r="J53" t="s">
        <v>2196</v>
      </c>
      <c r="K53">
        <v>10040</v>
      </c>
      <c r="L53" t="s">
        <v>2224</v>
      </c>
      <c r="M53" t="s">
        <v>2226</v>
      </c>
      <c r="N53" t="s">
        <v>2253</v>
      </c>
      <c r="O53" t="s">
        <v>2535</v>
      </c>
      <c r="P53" t="s">
        <v>2558</v>
      </c>
      <c r="R53" t="s">
        <v>2569</v>
      </c>
      <c r="S53" t="s">
        <v>2225</v>
      </c>
      <c r="U53" t="s">
        <v>2578</v>
      </c>
      <c r="W53" t="s">
        <v>167</v>
      </c>
      <c r="X53">
        <v>843.6</v>
      </c>
      <c r="Y53" t="s">
        <v>2607</v>
      </c>
      <c r="Z53" t="s">
        <v>2613</v>
      </c>
      <c r="AB53" t="s">
        <v>2680</v>
      </c>
      <c r="AD53" t="s">
        <v>3485</v>
      </c>
      <c r="AE53">
        <v>42</v>
      </c>
      <c r="AF53" t="s">
        <v>4099</v>
      </c>
      <c r="AG53" t="s">
        <v>4116</v>
      </c>
      <c r="AH53">
        <v>24</v>
      </c>
      <c r="AI53">
        <v>1</v>
      </c>
      <c r="AJ53">
        <v>0</v>
      </c>
      <c r="AK53">
        <v>0</v>
      </c>
      <c r="AN53" t="s">
        <v>4127</v>
      </c>
      <c r="AO53">
        <v>0</v>
      </c>
      <c r="AU53">
        <v>21.9</v>
      </c>
      <c r="AV53" t="s">
        <v>188</v>
      </c>
      <c r="AW53" t="s">
        <v>80</v>
      </c>
      <c r="AX53" t="s">
        <v>4266</v>
      </c>
      <c r="AY53" t="s">
        <v>2224</v>
      </c>
      <c r="AZ53" t="s">
        <v>2224</v>
      </c>
    </row>
    <row r="54" spans="1:52">
      <c r="A54" s="1">
        <f>HYPERLINK("https://lsnyc.legalserver.org/matter/dynamic-profile/view/1909580","19-1909580")</f>
        <v>0</v>
      </c>
      <c r="B54" t="s">
        <v>75</v>
      </c>
      <c r="C54" t="s">
        <v>155</v>
      </c>
      <c r="D54" t="s">
        <v>161</v>
      </c>
      <c r="F54" t="s">
        <v>341</v>
      </c>
      <c r="G54" t="s">
        <v>889</v>
      </c>
      <c r="H54" t="s">
        <v>1438</v>
      </c>
      <c r="I54" t="s">
        <v>1967</v>
      </c>
      <c r="J54" t="s">
        <v>2196</v>
      </c>
      <c r="K54">
        <v>10040</v>
      </c>
      <c r="L54" t="s">
        <v>2224</v>
      </c>
      <c r="M54" t="s">
        <v>2226</v>
      </c>
      <c r="O54" t="s">
        <v>2541</v>
      </c>
      <c r="P54" t="s">
        <v>2561</v>
      </c>
      <c r="R54" t="s">
        <v>2569</v>
      </c>
      <c r="S54" t="s">
        <v>2225</v>
      </c>
      <c r="U54" t="s">
        <v>2578</v>
      </c>
      <c r="W54" t="s">
        <v>161</v>
      </c>
      <c r="X54">
        <v>843.6</v>
      </c>
      <c r="Y54" t="s">
        <v>2607</v>
      </c>
      <c r="Z54" t="s">
        <v>2613</v>
      </c>
      <c r="AB54" t="s">
        <v>2680</v>
      </c>
      <c r="AD54" t="s">
        <v>3485</v>
      </c>
      <c r="AE54">
        <v>42</v>
      </c>
      <c r="AF54" t="s">
        <v>4099</v>
      </c>
      <c r="AG54" t="s">
        <v>4116</v>
      </c>
      <c r="AH54">
        <v>24</v>
      </c>
      <c r="AI54">
        <v>1</v>
      </c>
      <c r="AJ54">
        <v>0</v>
      </c>
      <c r="AK54">
        <v>0</v>
      </c>
      <c r="AN54" t="s">
        <v>4127</v>
      </c>
      <c r="AO54">
        <v>0</v>
      </c>
      <c r="AU54">
        <v>1.4</v>
      </c>
      <c r="AV54" t="s">
        <v>218</v>
      </c>
      <c r="AW54" t="s">
        <v>80</v>
      </c>
      <c r="AX54" t="s">
        <v>4266</v>
      </c>
      <c r="AY54" t="s">
        <v>2224</v>
      </c>
      <c r="AZ54" t="s">
        <v>2224</v>
      </c>
    </row>
    <row r="55" spans="1:52">
      <c r="A55" s="1">
        <f>HYPERLINK("https://lsnyc.legalserver.org/matter/dynamic-profile/view/1907584","19-1907584")</f>
        <v>0</v>
      </c>
      <c r="B55" t="s">
        <v>74</v>
      </c>
      <c r="C55" t="s">
        <v>154</v>
      </c>
      <c r="D55" t="s">
        <v>190</v>
      </c>
      <c r="E55" t="s">
        <v>178</v>
      </c>
      <c r="F55" t="s">
        <v>342</v>
      </c>
      <c r="G55" t="s">
        <v>890</v>
      </c>
      <c r="H55" t="s">
        <v>1439</v>
      </c>
      <c r="I55" t="s">
        <v>1971</v>
      </c>
      <c r="J55" t="s">
        <v>2196</v>
      </c>
      <c r="K55">
        <v>10040</v>
      </c>
      <c r="L55" t="s">
        <v>2224</v>
      </c>
      <c r="M55" t="s">
        <v>2226</v>
      </c>
      <c r="O55" t="s">
        <v>2536</v>
      </c>
      <c r="P55" t="s">
        <v>2556</v>
      </c>
      <c r="Q55" t="s">
        <v>2563</v>
      </c>
      <c r="R55" t="s">
        <v>2569</v>
      </c>
      <c r="S55" t="s">
        <v>2225</v>
      </c>
      <c r="U55" t="s">
        <v>2578</v>
      </c>
      <c r="W55" t="s">
        <v>190</v>
      </c>
      <c r="X55">
        <v>1013.38</v>
      </c>
      <c r="Y55" t="s">
        <v>2607</v>
      </c>
      <c r="Z55" t="s">
        <v>2615</v>
      </c>
      <c r="AA55" t="s">
        <v>2626</v>
      </c>
      <c r="AB55" t="s">
        <v>2681</v>
      </c>
      <c r="AD55" t="s">
        <v>3486</v>
      </c>
      <c r="AE55">
        <v>52</v>
      </c>
      <c r="AF55" t="s">
        <v>4099</v>
      </c>
      <c r="AG55" t="s">
        <v>2255</v>
      </c>
      <c r="AH55">
        <v>5</v>
      </c>
      <c r="AI55">
        <v>1</v>
      </c>
      <c r="AJ55">
        <v>0</v>
      </c>
      <c r="AK55">
        <v>0</v>
      </c>
      <c r="AN55" t="s">
        <v>4127</v>
      </c>
      <c r="AO55">
        <v>0</v>
      </c>
      <c r="AU55">
        <v>2.9</v>
      </c>
      <c r="AV55" t="s">
        <v>178</v>
      </c>
      <c r="AW55" t="s">
        <v>80</v>
      </c>
      <c r="AX55" t="s">
        <v>4266</v>
      </c>
      <c r="AY55" t="s">
        <v>2226</v>
      </c>
      <c r="AZ55" t="s">
        <v>2225</v>
      </c>
    </row>
    <row r="56" spans="1:52">
      <c r="A56" s="1">
        <f>HYPERLINK("https://lsnyc.legalserver.org/matter/dynamic-profile/view/1913119","19-1913119")</f>
        <v>0</v>
      </c>
      <c r="B56" t="s">
        <v>76</v>
      </c>
      <c r="C56" t="s">
        <v>155</v>
      </c>
      <c r="D56" t="s">
        <v>163</v>
      </c>
      <c r="F56" t="s">
        <v>343</v>
      </c>
      <c r="G56" t="s">
        <v>891</v>
      </c>
      <c r="H56" t="s">
        <v>1440</v>
      </c>
      <c r="I56" t="s">
        <v>1972</v>
      </c>
      <c r="J56" t="s">
        <v>2196</v>
      </c>
      <c r="K56">
        <v>10040</v>
      </c>
      <c r="L56" t="s">
        <v>2224</v>
      </c>
      <c r="M56" t="s">
        <v>2226</v>
      </c>
      <c r="P56" t="s">
        <v>2559</v>
      </c>
      <c r="R56" t="s">
        <v>2569</v>
      </c>
      <c r="S56" t="s">
        <v>2225</v>
      </c>
      <c r="U56" t="s">
        <v>2578</v>
      </c>
      <c r="W56" t="s">
        <v>163</v>
      </c>
      <c r="X56">
        <v>1075</v>
      </c>
      <c r="Y56" t="s">
        <v>2607</v>
      </c>
      <c r="Z56" t="s">
        <v>2617</v>
      </c>
      <c r="AB56" t="s">
        <v>2682</v>
      </c>
      <c r="AD56" t="s">
        <v>3487</v>
      </c>
      <c r="AE56">
        <v>150</v>
      </c>
      <c r="AF56" t="s">
        <v>4099</v>
      </c>
      <c r="AG56" t="s">
        <v>2255</v>
      </c>
      <c r="AH56">
        <v>3</v>
      </c>
      <c r="AI56">
        <v>1</v>
      </c>
      <c r="AJ56">
        <v>0</v>
      </c>
      <c r="AK56">
        <v>0</v>
      </c>
      <c r="AN56" t="s">
        <v>4126</v>
      </c>
      <c r="AO56">
        <v>0</v>
      </c>
      <c r="AU56">
        <v>0</v>
      </c>
      <c r="AW56" t="s">
        <v>80</v>
      </c>
      <c r="AX56" t="s">
        <v>4266</v>
      </c>
      <c r="AY56" t="s">
        <v>2226</v>
      </c>
      <c r="AZ56" t="s">
        <v>2226</v>
      </c>
    </row>
    <row r="57" spans="1:52">
      <c r="A57" s="1">
        <f>HYPERLINK("https://lsnyc.legalserver.org/matter/dynamic-profile/view/1906412","19-1906412")</f>
        <v>0</v>
      </c>
      <c r="B57" t="s">
        <v>74</v>
      </c>
      <c r="C57" t="s">
        <v>154</v>
      </c>
      <c r="D57" t="s">
        <v>191</v>
      </c>
      <c r="E57" t="s">
        <v>178</v>
      </c>
      <c r="F57" t="s">
        <v>344</v>
      </c>
      <c r="G57" t="s">
        <v>892</v>
      </c>
      <c r="H57" t="s">
        <v>1441</v>
      </c>
      <c r="I57" t="s">
        <v>1973</v>
      </c>
      <c r="J57" t="s">
        <v>2196</v>
      </c>
      <c r="K57">
        <v>10038</v>
      </c>
      <c r="L57" t="s">
        <v>2224</v>
      </c>
      <c r="M57" t="s">
        <v>2226</v>
      </c>
      <c r="O57" t="s">
        <v>2238</v>
      </c>
      <c r="P57" t="s">
        <v>2556</v>
      </c>
      <c r="Q57" t="s">
        <v>2563</v>
      </c>
      <c r="R57" t="s">
        <v>2569</v>
      </c>
      <c r="S57" t="s">
        <v>2225</v>
      </c>
      <c r="U57" t="s">
        <v>2578</v>
      </c>
      <c r="W57" t="s">
        <v>191</v>
      </c>
      <c r="X57">
        <v>3200</v>
      </c>
      <c r="Y57" t="s">
        <v>2607</v>
      </c>
      <c r="Z57" t="s">
        <v>2610</v>
      </c>
      <c r="AA57" t="s">
        <v>2626</v>
      </c>
      <c r="AB57" t="s">
        <v>2683</v>
      </c>
      <c r="AD57" t="s">
        <v>3488</v>
      </c>
      <c r="AE57">
        <v>168</v>
      </c>
      <c r="AF57" t="s">
        <v>4099</v>
      </c>
      <c r="AG57" t="s">
        <v>2255</v>
      </c>
      <c r="AH57">
        <v>1</v>
      </c>
      <c r="AI57">
        <v>1</v>
      </c>
      <c r="AJ57">
        <v>0</v>
      </c>
      <c r="AK57">
        <v>0</v>
      </c>
      <c r="AN57" t="s">
        <v>4126</v>
      </c>
      <c r="AO57">
        <v>0</v>
      </c>
      <c r="AU57">
        <v>4.8</v>
      </c>
      <c r="AV57" t="s">
        <v>178</v>
      </c>
      <c r="AW57" t="s">
        <v>80</v>
      </c>
      <c r="AX57" t="s">
        <v>4266</v>
      </c>
      <c r="AY57" t="s">
        <v>2226</v>
      </c>
      <c r="AZ57" t="s">
        <v>2225</v>
      </c>
    </row>
    <row r="58" spans="1:52">
      <c r="A58" s="1">
        <f>HYPERLINK("https://lsnyc.legalserver.org/matter/dynamic-profile/view/1911887","19-1911887")</f>
        <v>0</v>
      </c>
      <c r="B58" t="s">
        <v>77</v>
      </c>
      <c r="C58" t="s">
        <v>155</v>
      </c>
      <c r="D58" t="s">
        <v>165</v>
      </c>
      <c r="F58" t="s">
        <v>345</v>
      </c>
      <c r="G58" t="s">
        <v>893</v>
      </c>
      <c r="H58" t="s">
        <v>1442</v>
      </c>
      <c r="I58" t="s">
        <v>1974</v>
      </c>
      <c r="J58" t="s">
        <v>2196</v>
      </c>
      <c r="K58">
        <v>10037</v>
      </c>
      <c r="L58" t="s">
        <v>2224</v>
      </c>
      <c r="M58" t="s">
        <v>2226</v>
      </c>
      <c r="P58" t="s">
        <v>2556</v>
      </c>
      <c r="R58" t="s">
        <v>2569</v>
      </c>
      <c r="S58" t="s">
        <v>2225</v>
      </c>
      <c r="U58" t="s">
        <v>2578</v>
      </c>
      <c r="V58" t="s">
        <v>2588</v>
      </c>
      <c r="W58" t="s">
        <v>168</v>
      </c>
      <c r="X58">
        <v>2052</v>
      </c>
      <c r="Y58" t="s">
        <v>2607</v>
      </c>
      <c r="Z58" t="s">
        <v>2614</v>
      </c>
      <c r="AB58" t="s">
        <v>2684</v>
      </c>
      <c r="AD58" t="s">
        <v>3489</v>
      </c>
      <c r="AE58">
        <v>150</v>
      </c>
      <c r="AF58" t="s">
        <v>4099</v>
      </c>
      <c r="AG58" t="s">
        <v>2255</v>
      </c>
      <c r="AH58">
        <v>2</v>
      </c>
      <c r="AI58">
        <v>1</v>
      </c>
      <c r="AJ58">
        <v>0</v>
      </c>
      <c r="AK58">
        <v>0</v>
      </c>
      <c r="AN58" t="s">
        <v>4126</v>
      </c>
      <c r="AO58">
        <v>0</v>
      </c>
      <c r="AU58">
        <v>0</v>
      </c>
      <c r="AW58" t="s">
        <v>4231</v>
      </c>
      <c r="AY58" t="s">
        <v>2226</v>
      </c>
      <c r="AZ58" t="s">
        <v>2226</v>
      </c>
    </row>
    <row r="59" spans="1:52">
      <c r="A59" s="1">
        <f>HYPERLINK("https://lsnyc.legalserver.org/matter/dynamic-profile/view/1904691","19-1904691")</f>
        <v>0</v>
      </c>
      <c r="B59" t="s">
        <v>78</v>
      </c>
      <c r="C59" t="s">
        <v>155</v>
      </c>
      <c r="D59" t="s">
        <v>192</v>
      </c>
      <c r="F59" t="s">
        <v>346</v>
      </c>
      <c r="G59" t="s">
        <v>894</v>
      </c>
      <c r="H59" t="s">
        <v>1443</v>
      </c>
      <c r="I59">
        <v>5</v>
      </c>
      <c r="J59" t="s">
        <v>2196</v>
      </c>
      <c r="K59">
        <v>10034</v>
      </c>
      <c r="L59" t="s">
        <v>2224</v>
      </c>
      <c r="M59" t="s">
        <v>2226</v>
      </c>
      <c r="P59" t="s">
        <v>2559</v>
      </c>
      <c r="R59" t="s">
        <v>2569</v>
      </c>
      <c r="S59" t="s">
        <v>2224</v>
      </c>
      <c r="U59" t="s">
        <v>2578</v>
      </c>
      <c r="W59" t="s">
        <v>192</v>
      </c>
      <c r="X59">
        <v>961.8200000000001</v>
      </c>
      <c r="Y59" t="s">
        <v>2607</v>
      </c>
      <c r="Z59" t="s">
        <v>2617</v>
      </c>
      <c r="AB59" t="s">
        <v>2685</v>
      </c>
      <c r="AE59">
        <v>25</v>
      </c>
      <c r="AF59" t="s">
        <v>4099</v>
      </c>
      <c r="AG59" t="s">
        <v>2255</v>
      </c>
      <c r="AH59">
        <v>30</v>
      </c>
      <c r="AI59">
        <v>1</v>
      </c>
      <c r="AJ59">
        <v>0</v>
      </c>
      <c r="AK59">
        <v>0</v>
      </c>
      <c r="AN59" t="s">
        <v>4126</v>
      </c>
      <c r="AO59">
        <v>0</v>
      </c>
      <c r="AU59">
        <v>0</v>
      </c>
      <c r="AW59" t="s">
        <v>80</v>
      </c>
      <c r="AX59" t="s">
        <v>4266</v>
      </c>
      <c r="AY59" t="s">
        <v>2226</v>
      </c>
      <c r="AZ59" t="s">
        <v>2226</v>
      </c>
    </row>
    <row r="60" spans="1:52">
      <c r="A60" s="1">
        <f>HYPERLINK("https://lsnyc.legalserver.org/matter/dynamic-profile/view/1904716","19-1904716")</f>
        <v>0</v>
      </c>
      <c r="B60" t="s">
        <v>78</v>
      </c>
      <c r="C60" t="s">
        <v>155</v>
      </c>
      <c r="D60" t="s">
        <v>192</v>
      </c>
      <c r="F60" t="s">
        <v>334</v>
      </c>
      <c r="G60" t="s">
        <v>895</v>
      </c>
      <c r="H60" t="s">
        <v>1443</v>
      </c>
      <c r="I60">
        <v>41</v>
      </c>
      <c r="J60" t="s">
        <v>2196</v>
      </c>
      <c r="K60">
        <v>10034</v>
      </c>
      <c r="L60" t="s">
        <v>2224</v>
      </c>
      <c r="M60" t="s">
        <v>2226</v>
      </c>
      <c r="P60" t="s">
        <v>2559</v>
      </c>
      <c r="R60" t="s">
        <v>2569</v>
      </c>
      <c r="S60" t="s">
        <v>2224</v>
      </c>
      <c r="U60" t="s">
        <v>2578</v>
      </c>
      <c r="W60" t="s">
        <v>192</v>
      </c>
      <c r="X60">
        <v>910</v>
      </c>
      <c r="Y60" t="s">
        <v>2607</v>
      </c>
      <c r="Z60" t="s">
        <v>2617</v>
      </c>
      <c r="AB60" t="s">
        <v>2686</v>
      </c>
      <c r="AE60">
        <v>25</v>
      </c>
      <c r="AF60" t="s">
        <v>4099</v>
      </c>
      <c r="AG60" t="s">
        <v>4113</v>
      </c>
      <c r="AH60">
        <v>40</v>
      </c>
      <c r="AI60">
        <v>6</v>
      </c>
      <c r="AJ60">
        <v>0</v>
      </c>
      <c r="AK60">
        <v>0</v>
      </c>
      <c r="AN60" t="s">
        <v>4126</v>
      </c>
      <c r="AO60">
        <v>0</v>
      </c>
      <c r="AU60">
        <v>0</v>
      </c>
      <c r="AW60" t="s">
        <v>80</v>
      </c>
      <c r="AX60" t="s">
        <v>4266</v>
      </c>
      <c r="AY60" t="s">
        <v>2226</v>
      </c>
      <c r="AZ60" t="s">
        <v>2226</v>
      </c>
    </row>
    <row r="61" spans="1:52">
      <c r="A61" s="1">
        <f>HYPERLINK("https://lsnyc.legalserver.org/matter/dynamic-profile/view/1906999","19-1906999")</f>
        <v>0</v>
      </c>
      <c r="B61" t="s">
        <v>78</v>
      </c>
      <c r="C61" t="s">
        <v>155</v>
      </c>
      <c r="D61" t="s">
        <v>193</v>
      </c>
      <c r="F61" t="s">
        <v>347</v>
      </c>
      <c r="G61" t="s">
        <v>896</v>
      </c>
      <c r="H61" t="s">
        <v>1444</v>
      </c>
      <c r="I61">
        <v>25</v>
      </c>
      <c r="J61" t="s">
        <v>2196</v>
      </c>
      <c r="K61">
        <v>10034</v>
      </c>
      <c r="L61" t="s">
        <v>2224</v>
      </c>
      <c r="M61" t="s">
        <v>2226</v>
      </c>
      <c r="P61" t="s">
        <v>2559</v>
      </c>
      <c r="R61" t="s">
        <v>2569</v>
      </c>
      <c r="S61" t="s">
        <v>2225</v>
      </c>
      <c r="U61" t="s">
        <v>2578</v>
      </c>
      <c r="W61" t="s">
        <v>193</v>
      </c>
      <c r="X61">
        <v>1138</v>
      </c>
      <c r="Y61" t="s">
        <v>2607</v>
      </c>
      <c r="Z61" t="s">
        <v>2617</v>
      </c>
      <c r="AB61" t="s">
        <v>2687</v>
      </c>
      <c r="AD61" t="s">
        <v>3490</v>
      </c>
      <c r="AE61">
        <v>26</v>
      </c>
      <c r="AF61" t="s">
        <v>4099</v>
      </c>
      <c r="AG61" t="s">
        <v>2255</v>
      </c>
      <c r="AH61">
        <v>45</v>
      </c>
      <c r="AI61">
        <v>1</v>
      </c>
      <c r="AJ61">
        <v>0</v>
      </c>
      <c r="AK61">
        <v>0</v>
      </c>
      <c r="AN61" t="s">
        <v>4126</v>
      </c>
      <c r="AO61">
        <v>0</v>
      </c>
      <c r="AU61">
        <v>2.9</v>
      </c>
      <c r="AV61" t="s">
        <v>196</v>
      </c>
      <c r="AW61" t="s">
        <v>80</v>
      </c>
      <c r="AX61" t="s">
        <v>4266</v>
      </c>
      <c r="AY61" t="s">
        <v>2226</v>
      </c>
      <c r="AZ61" t="s">
        <v>2226</v>
      </c>
    </row>
    <row r="62" spans="1:52">
      <c r="A62" s="1">
        <f>HYPERLINK("https://lsnyc.legalserver.org/matter/dynamic-profile/view/1907052","19-1907052")</f>
        <v>0</v>
      </c>
      <c r="B62" t="s">
        <v>78</v>
      </c>
      <c r="C62" t="s">
        <v>155</v>
      </c>
      <c r="D62" t="s">
        <v>193</v>
      </c>
      <c r="F62" t="s">
        <v>348</v>
      </c>
      <c r="G62" t="s">
        <v>897</v>
      </c>
      <c r="H62" t="s">
        <v>1445</v>
      </c>
      <c r="I62" t="s">
        <v>1975</v>
      </c>
      <c r="J62" t="s">
        <v>2196</v>
      </c>
      <c r="K62">
        <v>10032</v>
      </c>
      <c r="L62" t="s">
        <v>2224</v>
      </c>
      <c r="M62" t="s">
        <v>2226</v>
      </c>
      <c r="N62" t="s">
        <v>2254</v>
      </c>
      <c r="O62" t="s">
        <v>2535</v>
      </c>
      <c r="P62" t="s">
        <v>2559</v>
      </c>
      <c r="R62" t="s">
        <v>2569</v>
      </c>
      <c r="S62" t="s">
        <v>2225</v>
      </c>
      <c r="U62" t="s">
        <v>2578</v>
      </c>
      <c r="W62" t="s">
        <v>193</v>
      </c>
      <c r="X62">
        <v>918.5599999999999</v>
      </c>
      <c r="Y62" t="s">
        <v>2607</v>
      </c>
      <c r="Z62" t="s">
        <v>2617</v>
      </c>
      <c r="AB62" t="s">
        <v>2688</v>
      </c>
      <c r="AD62" t="s">
        <v>3491</v>
      </c>
      <c r="AE62">
        <v>46</v>
      </c>
      <c r="AF62" t="s">
        <v>4099</v>
      </c>
      <c r="AG62" t="s">
        <v>2255</v>
      </c>
      <c r="AH62">
        <v>30</v>
      </c>
      <c r="AI62">
        <v>1</v>
      </c>
      <c r="AJ62">
        <v>0</v>
      </c>
      <c r="AK62">
        <v>0</v>
      </c>
      <c r="AN62" t="s">
        <v>4126</v>
      </c>
      <c r="AO62">
        <v>0</v>
      </c>
      <c r="AU62">
        <v>2</v>
      </c>
      <c r="AV62" t="s">
        <v>289</v>
      </c>
      <c r="AW62" t="s">
        <v>80</v>
      </c>
      <c r="AX62" t="s">
        <v>4266</v>
      </c>
      <c r="AY62" t="s">
        <v>2226</v>
      </c>
      <c r="AZ62" t="s">
        <v>2226</v>
      </c>
    </row>
    <row r="63" spans="1:52">
      <c r="A63" s="1">
        <f>HYPERLINK("https://lsnyc.legalserver.org/matter/dynamic-profile/view/1909408","19-1909408")</f>
        <v>0</v>
      </c>
      <c r="B63" t="s">
        <v>75</v>
      </c>
      <c r="C63" t="s">
        <v>155</v>
      </c>
      <c r="D63" t="s">
        <v>194</v>
      </c>
      <c r="F63" t="s">
        <v>349</v>
      </c>
      <c r="G63" t="s">
        <v>898</v>
      </c>
      <c r="H63" t="s">
        <v>1446</v>
      </c>
      <c r="I63" t="s">
        <v>1976</v>
      </c>
      <c r="J63" t="s">
        <v>2196</v>
      </c>
      <c r="K63">
        <v>10032</v>
      </c>
      <c r="L63" t="s">
        <v>2224</v>
      </c>
      <c r="M63" t="s">
        <v>2226</v>
      </c>
      <c r="O63" t="s">
        <v>2542</v>
      </c>
      <c r="P63" t="s">
        <v>2561</v>
      </c>
      <c r="R63" t="s">
        <v>2569</v>
      </c>
      <c r="S63" t="s">
        <v>2225</v>
      </c>
      <c r="U63" t="s">
        <v>2578</v>
      </c>
      <c r="W63" t="s">
        <v>194</v>
      </c>
      <c r="X63">
        <v>858.16</v>
      </c>
      <c r="Y63" t="s">
        <v>2607</v>
      </c>
      <c r="Z63" t="s">
        <v>2613</v>
      </c>
      <c r="AB63" t="s">
        <v>2689</v>
      </c>
      <c r="AD63" t="s">
        <v>3492</v>
      </c>
      <c r="AE63">
        <v>42</v>
      </c>
      <c r="AF63" t="s">
        <v>4099</v>
      </c>
      <c r="AG63" t="s">
        <v>4113</v>
      </c>
      <c r="AH63">
        <v>35</v>
      </c>
      <c r="AI63">
        <v>1</v>
      </c>
      <c r="AJ63">
        <v>1</v>
      </c>
      <c r="AK63">
        <v>0</v>
      </c>
      <c r="AN63" t="s">
        <v>4127</v>
      </c>
      <c r="AO63">
        <v>0</v>
      </c>
      <c r="AU63">
        <v>0.1</v>
      </c>
      <c r="AV63" t="s">
        <v>161</v>
      </c>
      <c r="AW63" t="s">
        <v>80</v>
      </c>
      <c r="AX63" t="s">
        <v>4266</v>
      </c>
      <c r="AY63" t="s">
        <v>2224</v>
      </c>
      <c r="AZ63" t="s">
        <v>2224</v>
      </c>
    </row>
    <row r="64" spans="1:52">
      <c r="A64" s="1">
        <f>HYPERLINK("https://lsnyc.legalserver.org/matter/dynamic-profile/view/1911459","19-1911459")</f>
        <v>0</v>
      </c>
      <c r="B64" t="s">
        <v>79</v>
      </c>
      <c r="C64" t="s">
        <v>155</v>
      </c>
      <c r="D64" t="s">
        <v>179</v>
      </c>
      <c r="F64" t="s">
        <v>350</v>
      </c>
      <c r="G64" t="s">
        <v>899</v>
      </c>
      <c r="H64" t="s">
        <v>1447</v>
      </c>
      <c r="I64" t="s">
        <v>1977</v>
      </c>
      <c r="J64" t="s">
        <v>2196</v>
      </c>
      <c r="K64">
        <v>10029</v>
      </c>
      <c r="L64" t="s">
        <v>2224</v>
      </c>
      <c r="M64" t="s">
        <v>2226</v>
      </c>
      <c r="O64" t="s">
        <v>2238</v>
      </c>
      <c r="P64" t="s">
        <v>2559</v>
      </c>
      <c r="R64" t="s">
        <v>2569</v>
      </c>
      <c r="S64" t="s">
        <v>2225</v>
      </c>
      <c r="T64" t="s">
        <v>2569</v>
      </c>
      <c r="U64" t="s">
        <v>2578</v>
      </c>
      <c r="V64" t="s">
        <v>2588</v>
      </c>
      <c r="W64" t="s">
        <v>174</v>
      </c>
      <c r="X64">
        <v>2000</v>
      </c>
      <c r="Y64" t="s">
        <v>2607</v>
      </c>
      <c r="Z64" t="s">
        <v>2619</v>
      </c>
      <c r="AB64" t="s">
        <v>2690</v>
      </c>
      <c r="AD64" t="s">
        <v>3493</v>
      </c>
      <c r="AE64">
        <v>16</v>
      </c>
      <c r="AF64" t="s">
        <v>4099</v>
      </c>
      <c r="AH64">
        <v>5</v>
      </c>
      <c r="AI64">
        <v>1</v>
      </c>
      <c r="AJ64">
        <v>0</v>
      </c>
      <c r="AK64">
        <v>0</v>
      </c>
      <c r="AN64" t="s">
        <v>4126</v>
      </c>
      <c r="AO64">
        <v>0</v>
      </c>
      <c r="AU64">
        <v>3.6</v>
      </c>
      <c r="AV64" t="s">
        <v>199</v>
      </c>
      <c r="AW64" t="s">
        <v>4232</v>
      </c>
      <c r="AX64" t="s">
        <v>4266</v>
      </c>
      <c r="AY64" t="s">
        <v>2226</v>
      </c>
      <c r="AZ64" t="s">
        <v>2226</v>
      </c>
    </row>
    <row r="65" spans="1:52">
      <c r="A65" s="1">
        <f>HYPERLINK("https://lsnyc.legalserver.org/matter/dynamic-profile/view/1910521","19-1910521")</f>
        <v>0</v>
      </c>
      <c r="B65" t="s">
        <v>80</v>
      </c>
      <c r="C65" t="s">
        <v>154</v>
      </c>
      <c r="D65" t="s">
        <v>170</v>
      </c>
      <c r="E65" t="s">
        <v>275</v>
      </c>
      <c r="F65" t="s">
        <v>317</v>
      </c>
      <c r="G65" t="s">
        <v>900</v>
      </c>
      <c r="H65" t="s">
        <v>1448</v>
      </c>
      <c r="I65">
        <v>11</v>
      </c>
      <c r="J65" t="s">
        <v>2196</v>
      </c>
      <c r="K65">
        <v>10028</v>
      </c>
      <c r="L65" t="s">
        <v>2224</v>
      </c>
      <c r="M65" t="s">
        <v>2226</v>
      </c>
      <c r="P65" t="s">
        <v>2559</v>
      </c>
      <c r="Q65" t="s">
        <v>2563</v>
      </c>
      <c r="R65" t="s">
        <v>2570</v>
      </c>
      <c r="S65" t="s">
        <v>2225</v>
      </c>
      <c r="U65" t="s">
        <v>2578</v>
      </c>
      <c r="W65" t="s">
        <v>245</v>
      </c>
      <c r="X65">
        <v>1438.6</v>
      </c>
      <c r="Y65" t="s">
        <v>2607</v>
      </c>
      <c r="Z65" t="s">
        <v>2610</v>
      </c>
      <c r="AA65" t="s">
        <v>2626</v>
      </c>
      <c r="AB65" t="s">
        <v>2691</v>
      </c>
      <c r="AD65" t="s">
        <v>3494</v>
      </c>
      <c r="AE65">
        <v>33</v>
      </c>
      <c r="AF65" t="s">
        <v>4099</v>
      </c>
      <c r="AG65" t="s">
        <v>2255</v>
      </c>
      <c r="AH65">
        <v>24</v>
      </c>
      <c r="AI65">
        <v>1</v>
      </c>
      <c r="AJ65">
        <v>1</v>
      </c>
      <c r="AK65">
        <v>0</v>
      </c>
      <c r="AL65" t="s">
        <v>4121</v>
      </c>
      <c r="AM65" t="s">
        <v>4123</v>
      </c>
      <c r="AN65" t="s">
        <v>4126</v>
      </c>
      <c r="AO65">
        <v>0</v>
      </c>
      <c r="AU65">
        <v>0.5</v>
      </c>
      <c r="AV65" t="s">
        <v>174</v>
      </c>
      <c r="AW65" t="s">
        <v>80</v>
      </c>
      <c r="AX65" t="s">
        <v>4266</v>
      </c>
      <c r="AY65" t="s">
        <v>2226</v>
      </c>
      <c r="AZ65" t="s">
        <v>2225</v>
      </c>
    </row>
    <row r="66" spans="1:52">
      <c r="A66" s="1">
        <f>HYPERLINK("https://lsnyc.legalserver.org/matter/dynamic-profile/view/1912596","19-1912596")</f>
        <v>0</v>
      </c>
      <c r="B66" t="s">
        <v>80</v>
      </c>
      <c r="C66" t="s">
        <v>155</v>
      </c>
      <c r="D66" t="s">
        <v>157</v>
      </c>
      <c r="F66" t="s">
        <v>351</v>
      </c>
      <c r="G66" t="s">
        <v>901</v>
      </c>
      <c r="H66" t="s">
        <v>1449</v>
      </c>
      <c r="I66">
        <v>1004</v>
      </c>
      <c r="J66" t="s">
        <v>2196</v>
      </c>
      <c r="K66">
        <v>10016</v>
      </c>
      <c r="L66" t="s">
        <v>2225</v>
      </c>
      <c r="M66" t="s">
        <v>2226</v>
      </c>
      <c r="P66" t="s">
        <v>2559</v>
      </c>
      <c r="R66" t="s">
        <v>2570</v>
      </c>
      <c r="S66" t="s">
        <v>2225</v>
      </c>
      <c r="U66" t="s">
        <v>2578</v>
      </c>
      <c r="W66" t="s">
        <v>157</v>
      </c>
      <c r="X66">
        <v>0</v>
      </c>
      <c r="Y66" t="s">
        <v>2607</v>
      </c>
      <c r="Z66" t="s">
        <v>2610</v>
      </c>
      <c r="AB66" t="s">
        <v>2692</v>
      </c>
      <c r="AD66" t="s">
        <v>3495</v>
      </c>
      <c r="AE66">
        <v>0</v>
      </c>
      <c r="AF66" t="s">
        <v>4102</v>
      </c>
      <c r="AG66" t="s">
        <v>2255</v>
      </c>
      <c r="AH66">
        <v>1</v>
      </c>
      <c r="AI66">
        <v>1</v>
      </c>
      <c r="AJ66">
        <v>2</v>
      </c>
      <c r="AK66">
        <v>0</v>
      </c>
      <c r="AL66" t="s">
        <v>4121</v>
      </c>
      <c r="AM66" t="s">
        <v>4123</v>
      </c>
      <c r="AN66" t="s">
        <v>4126</v>
      </c>
      <c r="AO66">
        <v>0</v>
      </c>
      <c r="AU66">
        <v>0</v>
      </c>
      <c r="AW66" t="s">
        <v>80</v>
      </c>
      <c r="AX66" t="s">
        <v>2255</v>
      </c>
      <c r="AY66" t="s">
        <v>2226</v>
      </c>
      <c r="AZ66" t="s">
        <v>2226</v>
      </c>
    </row>
    <row r="67" spans="1:52">
      <c r="A67" s="1">
        <f>HYPERLINK("https://lsnyc.legalserver.org/matter/dynamic-profile/view/1907774","19-1907774")</f>
        <v>0</v>
      </c>
      <c r="B67" t="s">
        <v>81</v>
      </c>
      <c r="C67" t="s">
        <v>155</v>
      </c>
      <c r="D67" t="s">
        <v>183</v>
      </c>
      <c r="F67" t="s">
        <v>352</v>
      </c>
      <c r="G67" t="s">
        <v>517</v>
      </c>
      <c r="H67" t="s">
        <v>1450</v>
      </c>
      <c r="I67" t="s">
        <v>1978</v>
      </c>
      <c r="J67" t="s">
        <v>2192</v>
      </c>
      <c r="K67">
        <v>11212</v>
      </c>
      <c r="L67" t="s">
        <v>2224</v>
      </c>
      <c r="M67" t="s">
        <v>2226</v>
      </c>
      <c r="N67" t="s">
        <v>2255</v>
      </c>
      <c r="O67" t="s">
        <v>2539</v>
      </c>
      <c r="P67" t="s">
        <v>2561</v>
      </c>
      <c r="R67" t="s">
        <v>2569</v>
      </c>
      <c r="S67" t="s">
        <v>2224</v>
      </c>
      <c r="U67" t="s">
        <v>2578</v>
      </c>
      <c r="V67" t="s">
        <v>2588</v>
      </c>
      <c r="W67" t="s">
        <v>2595</v>
      </c>
      <c r="X67">
        <v>1047.01</v>
      </c>
      <c r="Y67" t="s">
        <v>2604</v>
      </c>
      <c r="Z67" t="s">
        <v>2614</v>
      </c>
      <c r="AB67" t="s">
        <v>2693</v>
      </c>
      <c r="AD67" t="s">
        <v>3496</v>
      </c>
      <c r="AE67">
        <v>96</v>
      </c>
      <c r="AF67" t="s">
        <v>4099</v>
      </c>
      <c r="AG67" t="s">
        <v>2255</v>
      </c>
      <c r="AH67">
        <v>30</v>
      </c>
      <c r="AI67">
        <v>2</v>
      </c>
      <c r="AJ67">
        <v>0</v>
      </c>
      <c r="AK67">
        <v>4.99</v>
      </c>
      <c r="AN67" t="s">
        <v>4126</v>
      </c>
      <c r="AO67">
        <v>843</v>
      </c>
      <c r="AU67">
        <v>0.08</v>
      </c>
      <c r="AV67" t="s">
        <v>272</v>
      </c>
      <c r="AW67" t="s">
        <v>127</v>
      </c>
      <c r="AX67" t="s">
        <v>4266</v>
      </c>
      <c r="AY67" t="s">
        <v>2224</v>
      </c>
      <c r="AZ67" t="s">
        <v>2224</v>
      </c>
    </row>
    <row r="68" spans="1:52">
      <c r="A68" s="1">
        <f>HYPERLINK("https://lsnyc.legalserver.org/matter/dynamic-profile/view/1908325","19-1908325")</f>
        <v>0</v>
      </c>
      <c r="B68" t="s">
        <v>82</v>
      </c>
      <c r="C68" t="s">
        <v>155</v>
      </c>
      <c r="D68" t="s">
        <v>177</v>
      </c>
      <c r="F68" t="s">
        <v>353</v>
      </c>
      <c r="G68" t="s">
        <v>902</v>
      </c>
      <c r="H68" t="s">
        <v>1451</v>
      </c>
      <c r="I68" t="s">
        <v>1979</v>
      </c>
      <c r="J68" t="s">
        <v>2192</v>
      </c>
      <c r="K68">
        <v>11213</v>
      </c>
      <c r="L68" t="s">
        <v>2224</v>
      </c>
      <c r="M68" t="s">
        <v>2226</v>
      </c>
      <c r="N68" t="s">
        <v>2255</v>
      </c>
      <c r="O68" t="s">
        <v>2238</v>
      </c>
      <c r="P68" t="s">
        <v>2561</v>
      </c>
      <c r="R68" t="s">
        <v>2569</v>
      </c>
      <c r="S68" t="s">
        <v>2224</v>
      </c>
      <c r="U68" t="s">
        <v>2578</v>
      </c>
      <c r="V68" t="s">
        <v>2588</v>
      </c>
      <c r="W68" t="s">
        <v>183</v>
      </c>
      <c r="X68">
        <v>0</v>
      </c>
      <c r="Y68" t="s">
        <v>2604</v>
      </c>
      <c r="Z68" t="s">
        <v>2614</v>
      </c>
      <c r="AB68" t="s">
        <v>2694</v>
      </c>
      <c r="AC68" t="s">
        <v>3368</v>
      </c>
      <c r="AD68" t="s">
        <v>3497</v>
      </c>
      <c r="AE68">
        <v>107</v>
      </c>
      <c r="AF68" t="s">
        <v>4099</v>
      </c>
      <c r="AH68">
        <v>4</v>
      </c>
      <c r="AI68">
        <v>1</v>
      </c>
      <c r="AJ68">
        <v>0</v>
      </c>
      <c r="AK68">
        <v>8.789999999999999</v>
      </c>
      <c r="AN68" t="s">
        <v>4126</v>
      </c>
      <c r="AO68">
        <v>1098</v>
      </c>
      <c r="AU68">
        <v>0</v>
      </c>
      <c r="AW68" t="s">
        <v>4226</v>
      </c>
      <c r="AX68" t="s">
        <v>4266</v>
      </c>
      <c r="AY68" t="s">
        <v>2224</v>
      </c>
      <c r="AZ68" t="s">
        <v>2224</v>
      </c>
    </row>
    <row r="69" spans="1:52">
      <c r="A69" s="1">
        <f>HYPERLINK("https://lsnyc.legalserver.org/matter/dynamic-profile/view/1906607","19-1906607")</f>
        <v>0</v>
      </c>
      <c r="B69" t="s">
        <v>62</v>
      </c>
      <c r="C69" t="s">
        <v>154</v>
      </c>
      <c r="D69" t="s">
        <v>195</v>
      </c>
      <c r="E69" t="s">
        <v>171</v>
      </c>
      <c r="F69" t="s">
        <v>354</v>
      </c>
      <c r="G69" t="s">
        <v>903</v>
      </c>
      <c r="H69" t="s">
        <v>1452</v>
      </c>
      <c r="I69" t="s">
        <v>1980</v>
      </c>
      <c r="J69" t="s">
        <v>2192</v>
      </c>
      <c r="K69">
        <v>11208</v>
      </c>
      <c r="L69" t="s">
        <v>2224</v>
      </c>
      <c r="M69" t="s">
        <v>2226</v>
      </c>
      <c r="N69" t="s">
        <v>2256</v>
      </c>
      <c r="O69" t="s">
        <v>2543</v>
      </c>
      <c r="P69" t="s">
        <v>2560</v>
      </c>
      <c r="Q69" t="s">
        <v>2565</v>
      </c>
      <c r="R69" t="s">
        <v>2569</v>
      </c>
      <c r="S69" t="s">
        <v>2225</v>
      </c>
      <c r="U69" t="s">
        <v>2579</v>
      </c>
      <c r="V69" t="s">
        <v>2590</v>
      </c>
      <c r="W69" t="s">
        <v>244</v>
      </c>
      <c r="X69">
        <v>1488</v>
      </c>
      <c r="Y69" t="s">
        <v>2604</v>
      </c>
      <c r="Z69" t="s">
        <v>2608</v>
      </c>
      <c r="AA69" t="s">
        <v>2631</v>
      </c>
      <c r="AB69" t="s">
        <v>2695</v>
      </c>
      <c r="AC69" t="s">
        <v>3369</v>
      </c>
      <c r="AD69" t="s">
        <v>3498</v>
      </c>
      <c r="AE69">
        <v>319</v>
      </c>
      <c r="AF69" t="s">
        <v>2518</v>
      </c>
      <c r="AH69">
        <v>2</v>
      </c>
      <c r="AI69">
        <v>2</v>
      </c>
      <c r="AJ69">
        <v>2</v>
      </c>
      <c r="AK69">
        <v>8.890000000000001</v>
      </c>
      <c r="AN69" t="s">
        <v>4126</v>
      </c>
      <c r="AO69">
        <v>2288</v>
      </c>
      <c r="AU69">
        <v>4</v>
      </c>
      <c r="AV69" t="s">
        <v>171</v>
      </c>
      <c r="AW69" t="s">
        <v>127</v>
      </c>
      <c r="AX69" t="s">
        <v>4266</v>
      </c>
      <c r="AY69" t="s">
        <v>2226</v>
      </c>
      <c r="AZ69" t="s">
        <v>2225</v>
      </c>
    </row>
    <row r="70" spans="1:52">
      <c r="A70" s="1">
        <f>HYPERLINK("https://lsnyc.legalserver.org/matter/dynamic-profile/view/1895299","19-1895299")</f>
        <v>0</v>
      </c>
      <c r="B70" t="s">
        <v>83</v>
      </c>
      <c r="C70" t="s">
        <v>154</v>
      </c>
      <c r="D70" t="s">
        <v>182</v>
      </c>
      <c r="E70" t="s">
        <v>200</v>
      </c>
      <c r="F70" t="s">
        <v>355</v>
      </c>
      <c r="G70" t="s">
        <v>904</v>
      </c>
      <c r="H70" t="s">
        <v>1453</v>
      </c>
      <c r="I70" t="s">
        <v>1957</v>
      </c>
      <c r="J70" t="s">
        <v>2192</v>
      </c>
      <c r="K70">
        <v>11233</v>
      </c>
      <c r="L70" t="s">
        <v>2224</v>
      </c>
      <c r="M70" t="s">
        <v>2225</v>
      </c>
      <c r="N70" t="s">
        <v>2257</v>
      </c>
      <c r="O70" t="s">
        <v>2544</v>
      </c>
      <c r="P70" t="s">
        <v>2556</v>
      </c>
      <c r="Q70" t="s">
        <v>2563</v>
      </c>
      <c r="R70" t="s">
        <v>2569</v>
      </c>
      <c r="S70" t="s">
        <v>2224</v>
      </c>
      <c r="U70" t="s">
        <v>2581</v>
      </c>
      <c r="V70" t="s">
        <v>2588</v>
      </c>
      <c r="W70" t="s">
        <v>254</v>
      </c>
      <c r="X70">
        <v>0</v>
      </c>
      <c r="Y70" t="s">
        <v>2604</v>
      </c>
      <c r="Z70" t="s">
        <v>2609</v>
      </c>
      <c r="AA70" t="s">
        <v>2632</v>
      </c>
      <c r="AB70" t="s">
        <v>2696</v>
      </c>
      <c r="AD70" t="s">
        <v>3499</v>
      </c>
      <c r="AE70">
        <v>6</v>
      </c>
      <c r="AF70" t="s">
        <v>4099</v>
      </c>
      <c r="AH70">
        <v>1</v>
      </c>
      <c r="AI70">
        <v>1</v>
      </c>
      <c r="AJ70">
        <v>0</v>
      </c>
      <c r="AK70">
        <v>9.550000000000001</v>
      </c>
      <c r="AN70" t="s">
        <v>4126</v>
      </c>
      <c r="AO70">
        <v>1192.8</v>
      </c>
      <c r="AU70">
        <v>15</v>
      </c>
      <c r="AV70" t="s">
        <v>210</v>
      </c>
      <c r="AW70" t="s">
        <v>4226</v>
      </c>
      <c r="AX70" t="s">
        <v>4266</v>
      </c>
      <c r="AY70" t="s">
        <v>2224</v>
      </c>
      <c r="AZ70" t="s">
        <v>2224</v>
      </c>
    </row>
    <row r="71" spans="1:52">
      <c r="A71" s="1">
        <f>HYPERLINK("https://lsnyc.legalserver.org/matter/dynamic-profile/view/1911742","19-1911742")</f>
        <v>0</v>
      </c>
      <c r="B71" t="s">
        <v>67</v>
      </c>
      <c r="C71" t="s">
        <v>155</v>
      </c>
      <c r="D71" t="s">
        <v>174</v>
      </c>
      <c r="F71" t="s">
        <v>356</v>
      </c>
      <c r="G71" t="s">
        <v>905</v>
      </c>
      <c r="H71" t="s">
        <v>1454</v>
      </c>
      <c r="I71" t="s">
        <v>1981</v>
      </c>
      <c r="J71" t="s">
        <v>2192</v>
      </c>
      <c r="K71">
        <v>11232</v>
      </c>
      <c r="L71" t="s">
        <v>2224</v>
      </c>
      <c r="M71" t="s">
        <v>2226</v>
      </c>
      <c r="O71" t="s">
        <v>2539</v>
      </c>
      <c r="P71" t="s">
        <v>2557</v>
      </c>
      <c r="R71" t="s">
        <v>2569</v>
      </c>
      <c r="U71" t="s">
        <v>2580</v>
      </c>
      <c r="W71" t="s">
        <v>174</v>
      </c>
      <c r="X71">
        <v>0</v>
      </c>
      <c r="Y71" t="s">
        <v>2604</v>
      </c>
      <c r="AB71" t="s">
        <v>2697</v>
      </c>
      <c r="AE71">
        <v>8</v>
      </c>
      <c r="AH71">
        <v>0</v>
      </c>
      <c r="AI71">
        <v>1</v>
      </c>
      <c r="AJ71">
        <v>3</v>
      </c>
      <c r="AK71">
        <v>11.65</v>
      </c>
      <c r="AN71" t="s">
        <v>4127</v>
      </c>
      <c r="AO71">
        <v>3000</v>
      </c>
      <c r="AU71">
        <v>6.9</v>
      </c>
      <c r="AV71" t="s">
        <v>204</v>
      </c>
      <c r="AW71" t="s">
        <v>4233</v>
      </c>
      <c r="AX71" t="s">
        <v>4266</v>
      </c>
      <c r="AY71" t="s">
        <v>2224</v>
      </c>
      <c r="AZ71" t="s">
        <v>2224</v>
      </c>
    </row>
    <row r="72" spans="1:52">
      <c r="A72" s="1">
        <f>HYPERLINK("https://lsnyc.legalserver.org/matter/dynamic-profile/view/1904334","19-1904334")</f>
        <v>0</v>
      </c>
      <c r="B72" t="s">
        <v>84</v>
      </c>
      <c r="C72" t="s">
        <v>155</v>
      </c>
      <c r="D72" t="s">
        <v>158</v>
      </c>
      <c r="F72" t="s">
        <v>357</v>
      </c>
      <c r="G72" t="s">
        <v>906</v>
      </c>
      <c r="H72" t="s">
        <v>1455</v>
      </c>
      <c r="I72" t="s">
        <v>1982</v>
      </c>
      <c r="J72" t="s">
        <v>2194</v>
      </c>
      <c r="K72">
        <v>10455</v>
      </c>
      <c r="L72" t="s">
        <v>2224</v>
      </c>
      <c r="M72" t="s">
        <v>2226</v>
      </c>
      <c r="N72" t="s">
        <v>2258</v>
      </c>
      <c r="O72" t="s">
        <v>2537</v>
      </c>
      <c r="P72" t="s">
        <v>2560</v>
      </c>
      <c r="R72" t="s">
        <v>2569</v>
      </c>
      <c r="S72" t="s">
        <v>2225</v>
      </c>
      <c r="U72" t="s">
        <v>2578</v>
      </c>
      <c r="W72" t="s">
        <v>232</v>
      </c>
      <c r="X72">
        <v>600</v>
      </c>
      <c r="Y72" t="s">
        <v>2605</v>
      </c>
      <c r="Z72" t="s">
        <v>2613</v>
      </c>
      <c r="AB72" t="s">
        <v>2698</v>
      </c>
      <c r="AD72" t="s">
        <v>3500</v>
      </c>
      <c r="AE72">
        <v>49</v>
      </c>
      <c r="AF72" t="s">
        <v>4099</v>
      </c>
      <c r="AG72" t="s">
        <v>4113</v>
      </c>
      <c r="AH72">
        <v>4</v>
      </c>
      <c r="AI72">
        <v>2</v>
      </c>
      <c r="AJ72">
        <v>1</v>
      </c>
      <c r="AK72">
        <v>11.7</v>
      </c>
      <c r="AN72" t="s">
        <v>4126</v>
      </c>
      <c r="AO72">
        <v>2496</v>
      </c>
      <c r="AU72">
        <v>7</v>
      </c>
      <c r="AV72" t="s">
        <v>198</v>
      </c>
      <c r="AW72" t="s">
        <v>4234</v>
      </c>
      <c r="AX72" t="s">
        <v>4266</v>
      </c>
      <c r="AY72" t="s">
        <v>2224</v>
      </c>
      <c r="AZ72" t="s">
        <v>2224</v>
      </c>
    </row>
    <row r="73" spans="1:52">
      <c r="A73" s="1">
        <f>HYPERLINK("https://lsnyc.legalserver.org/matter/dynamic-profile/view/1909811","19-1909811")</f>
        <v>0</v>
      </c>
      <c r="B73" t="s">
        <v>64</v>
      </c>
      <c r="C73" t="s">
        <v>155</v>
      </c>
      <c r="D73" t="s">
        <v>196</v>
      </c>
      <c r="F73" t="s">
        <v>358</v>
      </c>
      <c r="G73" t="s">
        <v>907</v>
      </c>
      <c r="H73" t="s">
        <v>1456</v>
      </c>
      <c r="I73" t="s">
        <v>1958</v>
      </c>
      <c r="J73" t="s">
        <v>2192</v>
      </c>
      <c r="K73">
        <v>11233</v>
      </c>
      <c r="L73" t="s">
        <v>2224</v>
      </c>
      <c r="M73" t="s">
        <v>2226</v>
      </c>
      <c r="N73" t="s">
        <v>2259</v>
      </c>
      <c r="O73" t="s">
        <v>2535</v>
      </c>
      <c r="P73" t="s">
        <v>2558</v>
      </c>
      <c r="R73" t="s">
        <v>2569</v>
      </c>
      <c r="S73" t="s">
        <v>2225</v>
      </c>
      <c r="U73" t="s">
        <v>2578</v>
      </c>
      <c r="V73" t="s">
        <v>2588</v>
      </c>
      <c r="W73" t="s">
        <v>196</v>
      </c>
      <c r="X73">
        <v>1515</v>
      </c>
      <c r="Y73" t="s">
        <v>2604</v>
      </c>
      <c r="Z73" t="s">
        <v>2620</v>
      </c>
      <c r="AB73" t="s">
        <v>2699</v>
      </c>
      <c r="AC73" t="s">
        <v>3370</v>
      </c>
      <c r="AD73" t="s">
        <v>3501</v>
      </c>
      <c r="AE73">
        <v>6</v>
      </c>
      <c r="AF73" t="s">
        <v>4099</v>
      </c>
      <c r="AG73" t="s">
        <v>2255</v>
      </c>
      <c r="AH73">
        <v>3</v>
      </c>
      <c r="AI73">
        <v>1</v>
      </c>
      <c r="AJ73">
        <v>0</v>
      </c>
      <c r="AK73">
        <v>13.63</v>
      </c>
      <c r="AN73" t="s">
        <v>4126</v>
      </c>
      <c r="AO73">
        <v>1703</v>
      </c>
      <c r="AU73">
        <v>0.1</v>
      </c>
      <c r="AV73" t="s">
        <v>188</v>
      </c>
      <c r="AW73" t="s">
        <v>4226</v>
      </c>
      <c r="AX73" t="s">
        <v>4266</v>
      </c>
      <c r="AY73" t="s">
        <v>2224</v>
      </c>
      <c r="AZ73" t="s">
        <v>2224</v>
      </c>
    </row>
    <row r="74" spans="1:52">
      <c r="A74" s="1">
        <f>HYPERLINK("https://lsnyc.legalserver.org/matter/dynamic-profile/view/1908841","19-1908841")</f>
        <v>0</v>
      </c>
      <c r="B74" t="s">
        <v>85</v>
      </c>
      <c r="C74" t="s">
        <v>155</v>
      </c>
      <c r="D74" t="s">
        <v>189</v>
      </c>
      <c r="F74" t="s">
        <v>359</v>
      </c>
      <c r="G74" t="s">
        <v>908</v>
      </c>
      <c r="H74" t="s">
        <v>1457</v>
      </c>
      <c r="I74" t="s">
        <v>1983</v>
      </c>
      <c r="J74" t="s">
        <v>2192</v>
      </c>
      <c r="K74">
        <v>11239</v>
      </c>
      <c r="L74" t="s">
        <v>2224</v>
      </c>
      <c r="M74" t="s">
        <v>2226</v>
      </c>
      <c r="N74" t="s">
        <v>2260</v>
      </c>
      <c r="O74" t="s">
        <v>2535</v>
      </c>
      <c r="P74" t="s">
        <v>2558</v>
      </c>
      <c r="R74" t="s">
        <v>2569</v>
      </c>
      <c r="S74" t="s">
        <v>2225</v>
      </c>
      <c r="U74" t="s">
        <v>2578</v>
      </c>
      <c r="V74" t="s">
        <v>2588</v>
      </c>
      <c r="W74" t="s">
        <v>189</v>
      </c>
      <c r="X74">
        <v>1896</v>
      </c>
      <c r="Y74" t="s">
        <v>2604</v>
      </c>
      <c r="Z74" t="s">
        <v>2608</v>
      </c>
      <c r="AB74" t="s">
        <v>2700</v>
      </c>
      <c r="AC74" t="s">
        <v>3371</v>
      </c>
      <c r="AD74" t="s">
        <v>3502</v>
      </c>
      <c r="AE74">
        <v>1463</v>
      </c>
      <c r="AF74" t="s">
        <v>4103</v>
      </c>
      <c r="AG74" t="s">
        <v>4114</v>
      </c>
      <c r="AH74">
        <v>0</v>
      </c>
      <c r="AI74">
        <v>1</v>
      </c>
      <c r="AJ74">
        <v>1</v>
      </c>
      <c r="AK74">
        <v>13.7</v>
      </c>
      <c r="AN74" t="s">
        <v>4126</v>
      </c>
      <c r="AO74">
        <v>2316</v>
      </c>
      <c r="AU74">
        <v>8</v>
      </c>
      <c r="AV74" t="s">
        <v>188</v>
      </c>
      <c r="AW74" t="s">
        <v>4235</v>
      </c>
      <c r="AX74" t="s">
        <v>4267</v>
      </c>
      <c r="AY74" t="s">
        <v>2224</v>
      </c>
      <c r="AZ74" t="s">
        <v>2224</v>
      </c>
    </row>
    <row r="75" spans="1:52">
      <c r="A75" s="1">
        <f>HYPERLINK("https://lsnyc.legalserver.org/matter/dynamic-profile/view/1911932","19-1911932")</f>
        <v>0</v>
      </c>
      <c r="B75" t="s">
        <v>86</v>
      </c>
      <c r="C75" t="s">
        <v>155</v>
      </c>
      <c r="D75" t="s">
        <v>197</v>
      </c>
      <c r="F75" t="s">
        <v>360</v>
      </c>
      <c r="G75" t="s">
        <v>909</v>
      </c>
      <c r="H75" t="s">
        <v>1458</v>
      </c>
      <c r="I75" t="s">
        <v>1984</v>
      </c>
      <c r="J75" t="s">
        <v>2196</v>
      </c>
      <c r="K75">
        <v>10034</v>
      </c>
      <c r="L75" t="s">
        <v>2224</v>
      </c>
      <c r="M75" t="s">
        <v>2226</v>
      </c>
      <c r="P75" t="s">
        <v>2556</v>
      </c>
      <c r="R75" t="s">
        <v>2569</v>
      </c>
      <c r="S75" t="s">
        <v>2225</v>
      </c>
      <c r="U75" t="s">
        <v>2578</v>
      </c>
      <c r="W75" t="s">
        <v>197</v>
      </c>
      <c r="X75">
        <v>1409</v>
      </c>
      <c r="Y75" t="s">
        <v>2607</v>
      </c>
      <c r="Z75" t="s">
        <v>2613</v>
      </c>
      <c r="AB75" t="s">
        <v>2701</v>
      </c>
      <c r="AD75" t="s">
        <v>3503</v>
      </c>
      <c r="AE75">
        <v>228</v>
      </c>
      <c r="AF75" t="s">
        <v>4099</v>
      </c>
      <c r="AG75" t="s">
        <v>2255</v>
      </c>
      <c r="AH75">
        <v>19</v>
      </c>
      <c r="AI75">
        <v>1</v>
      </c>
      <c r="AJ75">
        <v>0</v>
      </c>
      <c r="AK75">
        <v>14.36</v>
      </c>
      <c r="AN75" t="s">
        <v>4126</v>
      </c>
      <c r="AO75">
        <v>1794</v>
      </c>
      <c r="AU75">
        <v>2.75</v>
      </c>
      <c r="AV75" t="s">
        <v>188</v>
      </c>
      <c r="AW75" t="s">
        <v>80</v>
      </c>
      <c r="AX75" t="s">
        <v>4266</v>
      </c>
      <c r="AY75" t="s">
        <v>2226</v>
      </c>
      <c r="AZ75" t="s">
        <v>2225</v>
      </c>
    </row>
    <row r="76" spans="1:52">
      <c r="A76" s="1">
        <f>HYPERLINK("https://lsnyc.legalserver.org/matter/dynamic-profile/view/1909296","19-1909296")</f>
        <v>0</v>
      </c>
      <c r="B76" t="s">
        <v>62</v>
      </c>
      <c r="C76" t="s">
        <v>155</v>
      </c>
      <c r="D76" t="s">
        <v>167</v>
      </c>
      <c r="F76" t="s">
        <v>361</v>
      </c>
      <c r="G76" t="s">
        <v>910</v>
      </c>
      <c r="H76" t="s">
        <v>1459</v>
      </c>
      <c r="I76">
        <v>143</v>
      </c>
      <c r="J76" t="s">
        <v>2192</v>
      </c>
      <c r="K76">
        <v>11208</v>
      </c>
      <c r="L76" t="s">
        <v>2224</v>
      </c>
      <c r="M76" t="s">
        <v>2226</v>
      </c>
      <c r="N76" t="s">
        <v>2228</v>
      </c>
      <c r="O76" t="s">
        <v>2238</v>
      </c>
      <c r="P76" t="s">
        <v>2560</v>
      </c>
      <c r="R76" t="s">
        <v>2569</v>
      </c>
      <c r="S76" t="s">
        <v>2225</v>
      </c>
      <c r="U76" t="s">
        <v>2578</v>
      </c>
      <c r="V76" t="s">
        <v>2588</v>
      </c>
      <c r="W76" t="s">
        <v>196</v>
      </c>
      <c r="X76">
        <v>1000</v>
      </c>
      <c r="Y76" t="s">
        <v>2604</v>
      </c>
      <c r="Z76" t="s">
        <v>2609</v>
      </c>
      <c r="AB76" t="s">
        <v>2702</v>
      </c>
      <c r="AC76" t="s">
        <v>3372</v>
      </c>
      <c r="AD76" t="s">
        <v>3504</v>
      </c>
      <c r="AE76">
        <v>266</v>
      </c>
      <c r="AF76" t="s">
        <v>4104</v>
      </c>
      <c r="AG76" t="s">
        <v>4112</v>
      </c>
      <c r="AH76">
        <v>28</v>
      </c>
      <c r="AI76">
        <v>1</v>
      </c>
      <c r="AJ76">
        <v>0</v>
      </c>
      <c r="AK76">
        <v>14.58</v>
      </c>
      <c r="AN76" t="s">
        <v>4126</v>
      </c>
      <c r="AO76">
        <v>1821.6</v>
      </c>
      <c r="AU76">
        <v>18.25</v>
      </c>
      <c r="AV76" t="s">
        <v>204</v>
      </c>
      <c r="AW76" t="s">
        <v>4236</v>
      </c>
      <c r="AX76" t="s">
        <v>4266</v>
      </c>
      <c r="AY76" t="s">
        <v>2224</v>
      </c>
      <c r="AZ76" t="s">
        <v>2224</v>
      </c>
    </row>
    <row r="77" spans="1:52">
      <c r="A77" s="1">
        <f>HYPERLINK("https://lsnyc.legalserver.org/matter/dynamic-profile/view/1906910","19-1906910")</f>
        <v>0</v>
      </c>
      <c r="B77" t="s">
        <v>87</v>
      </c>
      <c r="C77" t="s">
        <v>155</v>
      </c>
      <c r="D77" t="s">
        <v>181</v>
      </c>
      <c r="F77" t="s">
        <v>362</v>
      </c>
      <c r="G77" t="s">
        <v>911</v>
      </c>
      <c r="H77" t="s">
        <v>1460</v>
      </c>
      <c r="I77" t="s">
        <v>1958</v>
      </c>
      <c r="J77" t="s">
        <v>2196</v>
      </c>
      <c r="K77">
        <v>10035</v>
      </c>
      <c r="L77" t="s">
        <v>2224</v>
      </c>
      <c r="M77" t="s">
        <v>2226</v>
      </c>
      <c r="O77" t="s">
        <v>2545</v>
      </c>
      <c r="P77" t="s">
        <v>2560</v>
      </c>
      <c r="R77" t="s">
        <v>2569</v>
      </c>
      <c r="S77" t="s">
        <v>2225</v>
      </c>
      <c r="U77" t="s">
        <v>2578</v>
      </c>
      <c r="V77" t="s">
        <v>2591</v>
      </c>
      <c r="W77" t="s">
        <v>181</v>
      </c>
      <c r="X77">
        <v>645</v>
      </c>
      <c r="Y77" t="s">
        <v>2607</v>
      </c>
      <c r="Z77" t="s">
        <v>2613</v>
      </c>
      <c r="AB77" t="s">
        <v>2703</v>
      </c>
      <c r="AC77" t="s">
        <v>3373</v>
      </c>
      <c r="AE77">
        <v>8</v>
      </c>
      <c r="AF77" t="s">
        <v>4099</v>
      </c>
      <c r="AG77" t="s">
        <v>4112</v>
      </c>
      <c r="AH77">
        <v>20</v>
      </c>
      <c r="AI77">
        <v>1</v>
      </c>
      <c r="AJ77">
        <v>2</v>
      </c>
      <c r="AK77">
        <v>14.91</v>
      </c>
      <c r="AN77" t="s">
        <v>4127</v>
      </c>
      <c r="AO77">
        <v>3180</v>
      </c>
      <c r="AU77">
        <v>16.1</v>
      </c>
      <c r="AV77" t="s">
        <v>170</v>
      </c>
      <c r="AW77" t="s">
        <v>4237</v>
      </c>
      <c r="AX77" t="s">
        <v>4266</v>
      </c>
      <c r="AY77" t="s">
        <v>2226</v>
      </c>
      <c r="AZ77" t="s">
        <v>2226</v>
      </c>
    </row>
    <row r="78" spans="1:52">
      <c r="A78" s="1">
        <f>HYPERLINK("https://lsnyc.legalserver.org/matter/dynamic-profile/view/1905196","19-1905196")</f>
        <v>0</v>
      </c>
      <c r="B78" t="s">
        <v>88</v>
      </c>
      <c r="C78" t="s">
        <v>155</v>
      </c>
      <c r="D78" t="s">
        <v>198</v>
      </c>
      <c r="F78" t="s">
        <v>363</v>
      </c>
      <c r="G78" t="s">
        <v>845</v>
      </c>
      <c r="H78" t="s">
        <v>1461</v>
      </c>
      <c r="I78" t="s">
        <v>1972</v>
      </c>
      <c r="J78" t="s">
        <v>2196</v>
      </c>
      <c r="K78">
        <v>10024</v>
      </c>
      <c r="L78" t="s">
        <v>2224</v>
      </c>
      <c r="M78" t="s">
        <v>2226</v>
      </c>
      <c r="O78" t="s">
        <v>2537</v>
      </c>
      <c r="P78" t="s">
        <v>2560</v>
      </c>
      <c r="R78" t="s">
        <v>2569</v>
      </c>
      <c r="S78" t="s">
        <v>2224</v>
      </c>
      <c r="U78" t="s">
        <v>2578</v>
      </c>
      <c r="V78" t="s">
        <v>2588</v>
      </c>
      <c r="W78" t="s">
        <v>180</v>
      </c>
      <c r="X78">
        <v>875</v>
      </c>
      <c r="Y78" t="s">
        <v>2607</v>
      </c>
      <c r="Z78" t="s">
        <v>2615</v>
      </c>
      <c r="AB78" t="s">
        <v>2704</v>
      </c>
      <c r="AD78" t="s">
        <v>3505</v>
      </c>
      <c r="AE78">
        <v>10</v>
      </c>
      <c r="AF78" t="s">
        <v>4099</v>
      </c>
      <c r="AG78" t="s">
        <v>4116</v>
      </c>
      <c r="AH78">
        <v>48</v>
      </c>
      <c r="AI78">
        <v>2</v>
      </c>
      <c r="AJ78">
        <v>0</v>
      </c>
      <c r="AK78">
        <v>15.97</v>
      </c>
      <c r="AN78" t="s">
        <v>4126</v>
      </c>
      <c r="AO78">
        <v>2700</v>
      </c>
      <c r="AU78">
        <v>0</v>
      </c>
      <c r="AW78" t="s">
        <v>4237</v>
      </c>
      <c r="AX78" t="s">
        <v>4266</v>
      </c>
      <c r="AY78" t="s">
        <v>2224</v>
      </c>
      <c r="AZ78" t="s">
        <v>2224</v>
      </c>
    </row>
    <row r="79" spans="1:52">
      <c r="A79" s="1">
        <f>HYPERLINK("https://lsnyc.legalserver.org/matter/dynamic-profile/view/1912231","19-1912231")</f>
        <v>0</v>
      </c>
      <c r="B79" t="s">
        <v>52</v>
      </c>
      <c r="C79" t="s">
        <v>155</v>
      </c>
      <c r="D79" t="s">
        <v>199</v>
      </c>
      <c r="F79" t="s">
        <v>364</v>
      </c>
      <c r="G79" t="s">
        <v>912</v>
      </c>
      <c r="H79" t="s">
        <v>1462</v>
      </c>
      <c r="I79" t="s">
        <v>1967</v>
      </c>
      <c r="J79" t="s">
        <v>2197</v>
      </c>
      <c r="K79">
        <v>11415</v>
      </c>
      <c r="L79" t="s">
        <v>2224</v>
      </c>
      <c r="M79" t="s">
        <v>2226</v>
      </c>
      <c r="N79" t="s">
        <v>2261</v>
      </c>
      <c r="O79" t="s">
        <v>2535</v>
      </c>
      <c r="P79" t="s">
        <v>2556</v>
      </c>
      <c r="R79" t="s">
        <v>2569</v>
      </c>
      <c r="S79" t="s">
        <v>2225</v>
      </c>
      <c r="U79" t="s">
        <v>2578</v>
      </c>
      <c r="V79" t="s">
        <v>2587</v>
      </c>
      <c r="W79" t="s">
        <v>199</v>
      </c>
      <c r="X79">
        <v>1467.75</v>
      </c>
      <c r="Y79" t="s">
        <v>2603</v>
      </c>
      <c r="Z79" t="s">
        <v>2608</v>
      </c>
      <c r="AB79" t="s">
        <v>2705</v>
      </c>
      <c r="AC79" t="s">
        <v>3374</v>
      </c>
      <c r="AD79" t="s">
        <v>3506</v>
      </c>
      <c r="AE79">
        <v>60</v>
      </c>
      <c r="AF79" t="s">
        <v>4099</v>
      </c>
      <c r="AG79" t="s">
        <v>4115</v>
      </c>
      <c r="AH79">
        <v>2</v>
      </c>
      <c r="AI79">
        <v>1</v>
      </c>
      <c r="AJ79">
        <v>0</v>
      </c>
      <c r="AK79">
        <v>16.33</v>
      </c>
      <c r="AN79" t="s">
        <v>4126</v>
      </c>
      <c r="AO79">
        <v>2040</v>
      </c>
      <c r="AU79">
        <v>1.78</v>
      </c>
      <c r="AV79" t="s">
        <v>241</v>
      </c>
      <c r="AW79" t="s">
        <v>4223</v>
      </c>
      <c r="AX79" t="s">
        <v>4266</v>
      </c>
      <c r="AY79" t="s">
        <v>2224</v>
      </c>
      <c r="AZ79" t="s">
        <v>2224</v>
      </c>
    </row>
    <row r="80" spans="1:52">
      <c r="A80" s="1">
        <f>HYPERLINK("https://lsnyc.legalserver.org/matter/dynamic-profile/view/1907304","19-1907304")</f>
        <v>0</v>
      </c>
      <c r="B80" t="s">
        <v>68</v>
      </c>
      <c r="C80" t="s">
        <v>155</v>
      </c>
      <c r="D80" t="s">
        <v>162</v>
      </c>
      <c r="F80" t="s">
        <v>362</v>
      </c>
      <c r="G80" t="s">
        <v>913</v>
      </c>
      <c r="H80" t="s">
        <v>1422</v>
      </c>
      <c r="I80" t="s">
        <v>1985</v>
      </c>
      <c r="J80" t="s">
        <v>2192</v>
      </c>
      <c r="K80">
        <v>11225</v>
      </c>
      <c r="L80" t="s">
        <v>2224</v>
      </c>
      <c r="M80" t="s">
        <v>2226</v>
      </c>
      <c r="O80" t="s">
        <v>2539</v>
      </c>
      <c r="P80" t="s">
        <v>2557</v>
      </c>
      <c r="R80" t="s">
        <v>2569</v>
      </c>
      <c r="S80" t="s">
        <v>2224</v>
      </c>
      <c r="T80" t="s">
        <v>2571</v>
      </c>
      <c r="U80" t="s">
        <v>2578</v>
      </c>
      <c r="W80" t="s">
        <v>162</v>
      </c>
      <c r="X80">
        <v>0</v>
      </c>
      <c r="Y80" t="s">
        <v>2604</v>
      </c>
      <c r="AB80" t="s">
        <v>2706</v>
      </c>
      <c r="AD80" t="s">
        <v>3507</v>
      </c>
      <c r="AE80">
        <v>46</v>
      </c>
      <c r="AH80">
        <v>0</v>
      </c>
      <c r="AI80">
        <v>3</v>
      </c>
      <c r="AJ80">
        <v>0</v>
      </c>
      <c r="AK80">
        <v>16.37</v>
      </c>
      <c r="AN80" t="s">
        <v>4127</v>
      </c>
      <c r="AO80">
        <v>3492</v>
      </c>
      <c r="AU80">
        <v>0</v>
      </c>
      <c r="AW80" t="s">
        <v>153</v>
      </c>
      <c r="AY80" t="s">
        <v>2226</v>
      </c>
      <c r="AZ80" t="s">
        <v>2226</v>
      </c>
    </row>
    <row r="81" spans="1:52">
      <c r="A81" s="1">
        <f>HYPERLINK("https://lsnyc.legalserver.org/matter/dynamic-profile/view/1910742","19-1910742")</f>
        <v>0</v>
      </c>
      <c r="B81" t="s">
        <v>89</v>
      </c>
      <c r="C81" t="s">
        <v>155</v>
      </c>
      <c r="D81" t="s">
        <v>200</v>
      </c>
      <c r="F81" t="s">
        <v>365</v>
      </c>
      <c r="G81" t="s">
        <v>914</v>
      </c>
      <c r="H81" t="s">
        <v>1463</v>
      </c>
      <c r="I81" t="s">
        <v>1949</v>
      </c>
      <c r="J81" t="s">
        <v>2198</v>
      </c>
      <c r="K81">
        <v>11428</v>
      </c>
      <c r="L81" t="s">
        <v>2224</v>
      </c>
      <c r="M81" t="s">
        <v>2226</v>
      </c>
      <c r="N81" t="s">
        <v>2262</v>
      </c>
      <c r="O81" t="s">
        <v>2533</v>
      </c>
      <c r="P81" t="s">
        <v>2558</v>
      </c>
      <c r="R81" t="s">
        <v>2569</v>
      </c>
      <c r="S81" t="s">
        <v>2225</v>
      </c>
      <c r="U81" t="s">
        <v>2578</v>
      </c>
      <c r="V81" t="s">
        <v>2588</v>
      </c>
      <c r="W81" t="s">
        <v>200</v>
      </c>
      <c r="X81">
        <v>600</v>
      </c>
      <c r="Y81" t="s">
        <v>2603</v>
      </c>
      <c r="Z81" t="s">
        <v>2608</v>
      </c>
      <c r="AB81" t="s">
        <v>2707</v>
      </c>
      <c r="AD81" t="s">
        <v>3508</v>
      </c>
      <c r="AE81">
        <v>3</v>
      </c>
      <c r="AF81" t="s">
        <v>2518</v>
      </c>
      <c r="AG81" t="s">
        <v>2255</v>
      </c>
      <c r="AH81">
        <v>6</v>
      </c>
      <c r="AI81">
        <v>1</v>
      </c>
      <c r="AJ81">
        <v>0</v>
      </c>
      <c r="AK81">
        <v>16.65</v>
      </c>
      <c r="AN81" t="s">
        <v>4126</v>
      </c>
      <c r="AO81">
        <v>2080</v>
      </c>
      <c r="AU81">
        <v>1.5</v>
      </c>
      <c r="AV81" t="s">
        <v>200</v>
      </c>
      <c r="AW81" t="s">
        <v>4224</v>
      </c>
      <c r="AX81" t="s">
        <v>4266</v>
      </c>
      <c r="AY81" t="s">
        <v>2226</v>
      </c>
      <c r="AZ81" t="s">
        <v>2226</v>
      </c>
    </row>
    <row r="82" spans="1:52">
      <c r="A82" s="1">
        <f>HYPERLINK("https://lsnyc.legalserver.org/matter/dynamic-profile/view/1907762","19-1907762")</f>
        <v>0</v>
      </c>
      <c r="B82" t="s">
        <v>90</v>
      </c>
      <c r="C82" t="s">
        <v>154</v>
      </c>
      <c r="D82" t="s">
        <v>183</v>
      </c>
      <c r="E82" t="s">
        <v>189</v>
      </c>
      <c r="F82" t="s">
        <v>366</v>
      </c>
      <c r="G82" t="s">
        <v>915</v>
      </c>
      <c r="H82" t="s">
        <v>1464</v>
      </c>
      <c r="I82" t="s">
        <v>1986</v>
      </c>
      <c r="J82" t="s">
        <v>2196</v>
      </c>
      <c r="K82">
        <v>10034</v>
      </c>
      <c r="L82" t="s">
        <v>2224</v>
      </c>
      <c r="M82" t="s">
        <v>2226</v>
      </c>
      <c r="O82" t="s">
        <v>2238</v>
      </c>
      <c r="P82" t="s">
        <v>2556</v>
      </c>
      <c r="Q82" t="s">
        <v>2563</v>
      </c>
      <c r="R82" t="s">
        <v>2569</v>
      </c>
      <c r="S82" t="s">
        <v>2225</v>
      </c>
      <c r="U82" t="s">
        <v>2578</v>
      </c>
      <c r="W82" t="s">
        <v>183</v>
      </c>
      <c r="X82">
        <v>1403</v>
      </c>
      <c r="Y82" t="s">
        <v>2607</v>
      </c>
      <c r="Z82" t="s">
        <v>2615</v>
      </c>
      <c r="AA82" t="s">
        <v>2626</v>
      </c>
      <c r="AB82" t="s">
        <v>2708</v>
      </c>
      <c r="AC82" t="s">
        <v>3375</v>
      </c>
      <c r="AD82" t="s">
        <v>3509</v>
      </c>
      <c r="AE82">
        <v>31</v>
      </c>
      <c r="AF82" t="s">
        <v>4099</v>
      </c>
      <c r="AG82" t="s">
        <v>2255</v>
      </c>
      <c r="AH82">
        <v>1</v>
      </c>
      <c r="AI82">
        <v>1</v>
      </c>
      <c r="AJ82">
        <v>0</v>
      </c>
      <c r="AK82">
        <v>17.29</v>
      </c>
      <c r="AN82" t="s">
        <v>4126</v>
      </c>
      <c r="AO82">
        <v>2160</v>
      </c>
      <c r="AU82">
        <v>2</v>
      </c>
      <c r="AV82" t="s">
        <v>234</v>
      </c>
      <c r="AW82" t="s">
        <v>4238</v>
      </c>
      <c r="AX82" t="s">
        <v>4267</v>
      </c>
      <c r="AY82" t="s">
        <v>2226</v>
      </c>
      <c r="AZ82" t="s">
        <v>2225</v>
      </c>
    </row>
    <row r="83" spans="1:52">
      <c r="A83" s="1">
        <f>HYPERLINK("https://lsnyc.legalserver.org/matter/dynamic-profile/view/1909543","19-1909543")</f>
        <v>0</v>
      </c>
      <c r="B83" t="s">
        <v>56</v>
      </c>
      <c r="C83" t="s">
        <v>155</v>
      </c>
      <c r="D83" t="s">
        <v>161</v>
      </c>
      <c r="F83" t="s">
        <v>367</v>
      </c>
      <c r="G83" t="s">
        <v>916</v>
      </c>
      <c r="H83" t="s">
        <v>1465</v>
      </c>
      <c r="I83" t="s">
        <v>1987</v>
      </c>
      <c r="J83" t="s">
        <v>2199</v>
      </c>
      <c r="K83">
        <v>11355</v>
      </c>
      <c r="L83" t="s">
        <v>2224</v>
      </c>
      <c r="M83" t="s">
        <v>2226</v>
      </c>
      <c r="N83" t="s">
        <v>2263</v>
      </c>
      <c r="O83" t="s">
        <v>2535</v>
      </c>
      <c r="P83" t="s">
        <v>2558</v>
      </c>
      <c r="R83" t="s">
        <v>2569</v>
      </c>
      <c r="S83" t="s">
        <v>2225</v>
      </c>
      <c r="U83" t="s">
        <v>2578</v>
      </c>
      <c r="W83" t="s">
        <v>161</v>
      </c>
      <c r="X83">
        <v>1257.22</v>
      </c>
      <c r="Y83" t="s">
        <v>2603</v>
      </c>
      <c r="Z83" t="s">
        <v>2614</v>
      </c>
      <c r="AB83" t="s">
        <v>2709</v>
      </c>
      <c r="AD83" t="s">
        <v>3510</v>
      </c>
      <c r="AE83">
        <v>289</v>
      </c>
      <c r="AF83" t="s">
        <v>4099</v>
      </c>
      <c r="AG83" t="s">
        <v>2255</v>
      </c>
      <c r="AH83">
        <v>11</v>
      </c>
      <c r="AI83">
        <v>1</v>
      </c>
      <c r="AJ83">
        <v>0</v>
      </c>
      <c r="AK83">
        <v>17.58</v>
      </c>
      <c r="AN83" t="s">
        <v>4129</v>
      </c>
      <c r="AO83">
        <v>2196</v>
      </c>
      <c r="AU83">
        <v>25.6</v>
      </c>
      <c r="AV83" t="s">
        <v>280</v>
      </c>
      <c r="AW83" t="s">
        <v>4224</v>
      </c>
      <c r="AX83" t="s">
        <v>4266</v>
      </c>
      <c r="AY83" t="s">
        <v>2226</v>
      </c>
      <c r="AZ83" t="s">
        <v>2226</v>
      </c>
    </row>
    <row r="84" spans="1:52">
      <c r="A84" s="1">
        <f>HYPERLINK("https://lsnyc.legalserver.org/matter/dynamic-profile/view/1908818","19-1908818")</f>
        <v>0</v>
      </c>
      <c r="B84" t="s">
        <v>91</v>
      </c>
      <c r="C84" t="s">
        <v>155</v>
      </c>
      <c r="D84" t="s">
        <v>189</v>
      </c>
      <c r="F84" t="s">
        <v>368</v>
      </c>
      <c r="G84" t="s">
        <v>917</v>
      </c>
      <c r="H84" t="s">
        <v>1466</v>
      </c>
      <c r="I84" t="s">
        <v>1988</v>
      </c>
      <c r="J84" t="s">
        <v>2192</v>
      </c>
      <c r="K84">
        <v>11207</v>
      </c>
      <c r="L84" t="s">
        <v>2224</v>
      </c>
      <c r="M84" t="s">
        <v>2226</v>
      </c>
      <c r="N84" t="s">
        <v>2264</v>
      </c>
      <c r="O84" t="s">
        <v>2533</v>
      </c>
      <c r="P84" t="s">
        <v>2556</v>
      </c>
      <c r="R84" t="s">
        <v>2569</v>
      </c>
      <c r="U84" t="s">
        <v>2578</v>
      </c>
      <c r="W84" t="s">
        <v>240</v>
      </c>
      <c r="X84">
        <v>800</v>
      </c>
      <c r="Y84" t="s">
        <v>2604</v>
      </c>
      <c r="Z84" t="s">
        <v>2608</v>
      </c>
      <c r="AB84" t="s">
        <v>2710</v>
      </c>
      <c r="AD84" t="s">
        <v>3511</v>
      </c>
      <c r="AE84">
        <v>0</v>
      </c>
      <c r="AH84">
        <v>0</v>
      </c>
      <c r="AI84">
        <v>1</v>
      </c>
      <c r="AJ84">
        <v>0</v>
      </c>
      <c r="AK84">
        <v>17.58</v>
      </c>
      <c r="AN84" t="s">
        <v>4126</v>
      </c>
      <c r="AO84">
        <v>2196</v>
      </c>
      <c r="AU84">
        <v>0</v>
      </c>
      <c r="AW84" t="s">
        <v>4239</v>
      </c>
      <c r="AX84" t="s">
        <v>4266</v>
      </c>
      <c r="AY84" t="s">
        <v>2226</v>
      </c>
      <c r="AZ84" t="s">
        <v>2226</v>
      </c>
    </row>
    <row r="85" spans="1:52">
      <c r="A85" s="1">
        <f>HYPERLINK("https://lsnyc.legalserver.org/matter/dynamic-profile/view/1903865","19-1903865")</f>
        <v>0</v>
      </c>
      <c r="B85" t="s">
        <v>85</v>
      </c>
      <c r="C85" t="s">
        <v>155</v>
      </c>
      <c r="D85" t="s">
        <v>201</v>
      </c>
      <c r="F85" t="s">
        <v>369</v>
      </c>
      <c r="G85" t="s">
        <v>918</v>
      </c>
      <c r="H85" t="s">
        <v>1467</v>
      </c>
      <c r="I85" t="s">
        <v>1957</v>
      </c>
      <c r="J85" t="s">
        <v>2192</v>
      </c>
      <c r="K85">
        <v>11233</v>
      </c>
      <c r="L85" t="s">
        <v>2224</v>
      </c>
      <c r="M85" t="s">
        <v>2226</v>
      </c>
      <c r="N85" t="s">
        <v>2265</v>
      </c>
      <c r="O85" t="s">
        <v>2535</v>
      </c>
      <c r="P85" t="s">
        <v>2558</v>
      </c>
      <c r="R85" t="s">
        <v>2569</v>
      </c>
      <c r="S85" t="s">
        <v>2225</v>
      </c>
      <c r="U85" t="s">
        <v>2578</v>
      </c>
      <c r="V85" t="s">
        <v>2591</v>
      </c>
      <c r="W85" t="s">
        <v>201</v>
      </c>
      <c r="X85">
        <v>1050</v>
      </c>
      <c r="Y85" t="s">
        <v>2604</v>
      </c>
      <c r="Z85" t="s">
        <v>2617</v>
      </c>
      <c r="AB85" t="s">
        <v>2711</v>
      </c>
      <c r="AC85" t="s">
        <v>3376</v>
      </c>
      <c r="AD85" t="s">
        <v>3512</v>
      </c>
      <c r="AE85">
        <v>8</v>
      </c>
      <c r="AF85" t="s">
        <v>4099</v>
      </c>
      <c r="AG85" t="s">
        <v>2255</v>
      </c>
      <c r="AH85">
        <v>17</v>
      </c>
      <c r="AI85">
        <v>2</v>
      </c>
      <c r="AJ85">
        <v>2</v>
      </c>
      <c r="AK85">
        <v>19.69</v>
      </c>
      <c r="AN85" t="s">
        <v>4126</v>
      </c>
      <c r="AO85">
        <v>5070</v>
      </c>
      <c r="AU85">
        <v>34.75</v>
      </c>
      <c r="AV85" t="s">
        <v>280</v>
      </c>
      <c r="AW85" t="s">
        <v>4226</v>
      </c>
      <c r="AX85" t="s">
        <v>4267</v>
      </c>
      <c r="AY85" t="s">
        <v>2224</v>
      </c>
      <c r="AZ85" t="s">
        <v>2224</v>
      </c>
    </row>
    <row r="86" spans="1:52">
      <c r="A86" s="1">
        <f>HYPERLINK("https://lsnyc.legalserver.org/matter/dynamic-profile/view/1907074","19-1907074")</f>
        <v>0</v>
      </c>
      <c r="B86" t="s">
        <v>90</v>
      </c>
      <c r="C86" t="s">
        <v>155</v>
      </c>
      <c r="D86" t="s">
        <v>193</v>
      </c>
      <c r="F86" t="s">
        <v>370</v>
      </c>
      <c r="G86" t="s">
        <v>919</v>
      </c>
      <c r="H86" t="s">
        <v>1468</v>
      </c>
      <c r="I86" t="s">
        <v>1989</v>
      </c>
      <c r="J86" t="s">
        <v>2196</v>
      </c>
      <c r="K86">
        <v>10034</v>
      </c>
      <c r="L86" t="s">
        <v>2224</v>
      </c>
      <c r="M86" t="s">
        <v>2226</v>
      </c>
      <c r="O86" t="s">
        <v>2537</v>
      </c>
      <c r="P86" t="s">
        <v>2560</v>
      </c>
      <c r="R86" t="s">
        <v>2569</v>
      </c>
      <c r="S86" t="s">
        <v>2225</v>
      </c>
      <c r="U86" t="s">
        <v>2578</v>
      </c>
      <c r="W86" t="s">
        <v>193</v>
      </c>
      <c r="X86">
        <v>972.72</v>
      </c>
      <c r="Y86" t="s">
        <v>2607</v>
      </c>
      <c r="Z86" t="s">
        <v>2613</v>
      </c>
      <c r="AB86" t="s">
        <v>2712</v>
      </c>
      <c r="AD86" t="s">
        <v>3513</v>
      </c>
      <c r="AE86">
        <v>121</v>
      </c>
      <c r="AF86" t="s">
        <v>4099</v>
      </c>
      <c r="AG86" t="s">
        <v>2255</v>
      </c>
      <c r="AH86">
        <v>32</v>
      </c>
      <c r="AI86">
        <v>1</v>
      </c>
      <c r="AJ86">
        <v>0</v>
      </c>
      <c r="AK86">
        <v>20.66</v>
      </c>
      <c r="AN86" t="s">
        <v>4127</v>
      </c>
      <c r="AO86">
        <v>2580</v>
      </c>
      <c r="AU86">
        <v>0.1</v>
      </c>
      <c r="AV86" t="s">
        <v>193</v>
      </c>
      <c r="AW86" t="s">
        <v>80</v>
      </c>
      <c r="AX86" t="s">
        <v>4266</v>
      </c>
      <c r="AY86" t="s">
        <v>2226</v>
      </c>
      <c r="AZ86" t="s">
        <v>2226</v>
      </c>
    </row>
    <row r="87" spans="1:52">
      <c r="A87" s="1">
        <f>HYPERLINK("https://lsnyc.legalserver.org/matter/dynamic-profile/view/1907072","19-1907072")</f>
        <v>0</v>
      </c>
      <c r="B87" t="s">
        <v>90</v>
      </c>
      <c r="C87" t="s">
        <v>155</v>
      </c>
      <c r="D87" t="s">
        <v>193</v>
      </c>
      <c r="F87" t="s">
        <v>370</v>
      </c>
      <c r="G87" t="s">
        <v>919</v>
      </c>
      <c r="H87" t="s">
        <v>1468</v>
      </c>
      <c r="I87" t="s">
        <v>1989</v>
      </c>
      <c r="J87" t="s">
        <v>2196</v>
      </c>
      <c r="K87">
        <v>10034</v>
      </c>
      <c r="L87" t="s">
        <v>2224</v>
      </c>
      <c r="M87" t="s">
        <v>2226</v>
      </c>
      <c r="O87" t="s">
        <v>2536</v>
      </c>
      <c r="P87" t="s">
        <v>2560</v>
      </c>
      <c r="R87" t="s">
        <v>2569</v>
      </c>
      <c r="S87" t="s">
        <v>2225</v>
      </c>
      <c r="U87" t="s">
        <v>2578</v>
      </c>
      <c r="W87" t="s">
        <v>193</v>
      </c>
      <c r="X87">
        <v>972.72</v>
      </c>
      <c r="Y87" t="s">
        <v>2607</v>
      </c>
      <c r="Z87" t="s">
        <v>2613</v>
      </c>
      <c r="AB87" t="s">
        <v>2712</v>
      </c>
      <c r="AD87" t="s">
        <v>3513</v>
      </c>
      <c r="AE87">
        <v>121</v>
      </c>
      <c r="AF87" t="s">
        <v>4099</v>
      </c>
      <c r="AG87" t="s">
        <v>2255</v>
      </c>
      <c r="AH87">
        <v>32</v>
      </c>
      <c r="AI87">
        <v>1</v>
      </c>
      <c r="AJ87">
        <v>0</v>
      </c>
      <c r="AK87">
        <v>20.66</v>
      </c>
      <c r="AN87" t="s">
        <v>4127</v>
      </c>
      <c r="AO87">
        <v>2580</v>
      </c>
      <c r="AU87">
        <v>0.1</v>
      </c>
      <c r="AV87" t="s">
        <v>193</v>
      </c>
      <c r="AW87" t="s">
        <v>80</v>
      </c>
      <c r="AX87" t="s">
        <v>4266</v>
      </c>
      <c r="AY87" t="s">
        <v>2226</v>
      </c>
      <c r="AZ87" t="s">
        <v>2226</v>
      </c>
    </row>
    <row r="88" spans="1:52">
      <c r="A88" s="1">
        <f>HYPERLINK("https://lsnyc.legalserver.org/matter/dynamic-profile/view/1911974","19-1911974")</f>
        <v>0</v>
      </c>
      <c r="B88" t="s">
        <v>86</v>
      </c>
      <c r="C88" t="s">
        <v>155</v>
      </c>
      <c r="D88" t="s">
        <v>197</v>
      </c>
      <c r="F88" t="s">
        <v>371</v>
      </c>
      <c r="G88" t="s">
        <v>849</v>
      </c>
      <c r="H88" t="s">
        <v>1469</v>
      </c>
      <c r="I88" t="s">
        <v>1990</v>
      </c>
      <c r="J88" t="s">
        <v>2196</v>
      </c>
      <c r="K88">
        <v>10033</v>
      </c>
      <c r="L88" t="s">
        <v>2224</v>
      </c>
      <c r="M88" t="s">
        <v>2226</v>
      </c>
      <c r="P88" t="s">
        <v>2559</v>
      </c>
      <c r="R88" t="s">
        <v>2569</v>
      </c>
      <c r="S88" t="s">
        <v>2225</v>
      </c>
      <c r="U88" t="s">
        <v>2578</v>
      </c>
      <c r="W88" t="s">
        <v>197</v>
      </c>
      <c r="X88">
        <v>215</v>
      </c>
      <c r="Y88" t="s">
        <v>2607</v>
      </c>
      <c r="Z88" t="s">
        <v>2617</v>
      </c>
      <c r="AB88" t="s">
        <v>2713</v>
      </c>
      <c r="AD88" t="s">
        <v>3514</v>
      </c>
      <c r="AE88">
        <v>57</v>
      </c>
      <c r="AF88" t="s">
        <v>4099</v>
      </c>
      <c r="AG88" t="s">
        <v>4112</v>
      </c>
      <c r="AH88">
        <v>8</v>
      </c>
      <c r="AI88">
        <v>1</v>
      </c>
      <c r="AJ88">
        <v>0</v>
      </c>
      <c r="AK88">
        <v>20.66</v>
      </c>
      <c r="AN88" t="s">
        <v>4126</v>
      </c>
      <c r="AO88">
        <v>2580</v>
      </c>
      <c r="AU88">
        <v>1</v>
      </c>
      <c r="AV88" t="s">
        <v>197</v>
      </c>
      <c r="AW88" t="s">
        <v>80</v>
      </c>
      <c r="AX88" t="s">
        <v>4266</v>
      </c>
      <c r="AY88" t="s">
        <v>2226</v>
      </c>
      <c r="AZ88" t="s">
        <v>2226</v>
      </c>
    </row>
    <row r="89" spans="1:52">
      <c r="A89" s="1">
        <f>HYPERLINK("https://lsnyc.legalserver.org/matter/dynamic-profile/view/1912722","19-1912722")</f>
        <v>0</v>
      </c>
      <c r="B89" t="s">
        <v>59</v>
      </c>
      <c r="C89" t="s">
        <v>155</v>
      </c>
      <c r="D89" t="s">
        <v>202</v>
      </c>
      <c r="F89" t="s">
        <v>369</v>
      </c>
      <c r="G89" t="s">
        <v>920</v>
      </c>
      <c r="H89" t="s">
        <v>1470</v>
      </c>
      <c r="I89" t="s">
        <v>1970</v>
      </c>
      <c r="J89" t="s">
        <v>2192</v>
      </c>
      <c r="K89">
        <v>11207</v>
      </c>
      <c r="L89" t="s">
        <v>2226</v>
      </c>
      <c r="M89" t="s">
        <v>2226</v>
      </c>
      <c r="O89" t="s">
        <v>2539</v>
      </c>
      <c r="P89" t="s">
        <v>2561</v>
      </c>
      <c r="R89" t="s">
        <v>2569</v>
      </c>
      <c r="U89" t="s">
        <v>2578</v>
      </c>
      <c r="W89" t="s">
        <v>202</v>
      </c>
      <c r="X89">
        <v>640</v>
      </c>
      <c r="Y89" t="s">
        <v>2604</v>
      </c>
      <c r="Z89" t="s">
        <v>2613</v>
      </c>
      <c r="AB89" t="s">
        <v>2714</v>
      </c>
      <c r="AD89" t="s">
        <v>3515</v>
      </c>
      <c r="AE89">
        <v>6</v>
      </c>
      <c r="AF89" t="s">
        <v>4099</v>
      </c>
      <c r="AH89">
        <v>5</v>
      </c>
      <c r="AI89">
        <v>1</v>
      </c>
      <c r="AJ89">
        <v>3</v>
      </c>
      <c r="AK89">
        <v>21</v>
      </c>
      <c r="AN89" t="s">
        <v>4126</v>
      </c>
      <c r="AO89">
        <v>5408</v>
      </c>
      <c r="AU89">
        <v>0.1</v>
      </c>
      <c r="AV89" t="s">
        <v>168</v>
      </c>
      <c r="AW89" t="s">
        <v>59</v>
      </c>
      <c r="AY89" t="s">
        <v>2226</v>
      </c>
      <c r="AZ89" t="s">
        <v>2226</v>
      </c>
    </row>
    <row r="90" spans="1:52">
      <c r="A90" s="1">
        <f>HYPERLINK("https://lsnyc.legalserver.org/matter/dynamic-profile/view/1905654","19-1905654")</f>
        <v>0</v>
      </c>
      <c r="B90" t="s">
        <v>92</v>
      </c>
      <c r="C90" t="s">
        <v>155</v>
      </c>
      <c r="D90" t="s">
        <v>166</v>
      </c>
      <c r="F90" t="s">
        <v>372</v>
      </c>
      <c r="G90" t="s">
        <v>921</v>
      </c>
      <c r="H90" t="s">
        <v>1471</v>
      </c>
      <c r="I90" t="s">
        <v>1962</v>
      </c>
      <c r="J90" t="s">
        <v>2195</v>
      </c>
      <c r="K90">
        <v>10301</v>
      </c>
      <c r="L90" t="s">
        <v>2224</v>
      </c>
      <c r="M90" t="s">
        <v>2226</v>
      </c>
      <c r="N90" t="s">
        <v>2266</v>
      </c>
      <c r="O90" t="s">
        <v>2533</v>
      </c>
      <c r="P90" t="s">
        <v>2558</v>
      </c>
      <c r="R90" t="s">
        <v>2569</v>
      </c>
      <c r="S90" t="s">
        <v>2225</v>
      </c>
      <c r="U90" t="s">
        <v>2578</v>
      </c>
      <c r="V90" t="s">
        <v>2588</v>
      </c>
      <c r="W90" t="s">
        <v>166</v>
      </c>
      <c r="X90">
        <v>1258</v>
      </c>
      <c r="Y90" t="s">
        <v>2606</v>
      </c>
      <c r="Z90" t="s">
        <v>2618</v>
      </c>
      <c r="AB90" t="s">
        <v>2715</v>
      </c>
      <c r="AD90" t="s">
        <v>3516</v>
      </c>
      <c r="AE90">
        <v>6</v>
      </c>
      <c r="AF90" t="s">
        <v>4098</v>
      </c>
      <c r="AG90" t="s">
        <v>4117</v>
      </c>
      <c r="AH90">
        <v>2</v>
      </c>
      <c r="AI90">
        <v>1</v>
      </c>
      <c r="AJ90">
        <v>2</v>
      </c>
      <c r="AK90">
        <v>21.88</v>
      </c>
      <c r="AN90" t="s">
        <v>4126</v>
      </c>
      <c r="AO90">
        <v>4668</v>
      </c>
      <c r="AU90">
        <v>8.25</v>
      </c>
      <c r="AV90" t="s">
        <v>197</v>
      </c>
      <c r="AW90" t="s">
        <v>4230</v>
      </c>
      <c r="AX90" t="s">
        <v>4266</v>
      </c>
      <c r="AY90" t="s">
        <v>2226</v>
      </c>
      <c r="AZ90" t="s">
        <v>2226</v>
      </c>
    </row>
    <row r="91" spans="1:52">
      <c r="A91" s="1">
        <f>HYPERLINK("https://lsnyc.legalserver.org/matter/dynamic-profile/view/1911683","19-1911683")</f>
        <v>0</v>
      </c>
      <c r="B91" t="s">
        <v>60</v>
      </c>
      <c r="C91" t="s">
        <v>155</v>
      </c>
      <c r="D91" t="s">
        <v>174</v>
      </c>
      <c r="F91" t="s">
        <v>373</v>
      </c>
      <c r="G91" t="s">
        <v>922</v>
      </c>
      <c r="H91" t="s">
        <v>1472</v>
      </c>
      <c r="I91" t="s">
        <v>1958</v>
      </c>
      <c r="J91" t="s">
        <v>2192</v>
      </c>
      <c r="K91">
        <v>11236</v>
      </c>
      <c r="L91" t="s">
        <v>2224</v>
      </c>
      <c r="M91" t="s">
        <v>2226</v>
      </c>
      <c r="N91" t="s">
        <v>2267</v>
      </c>
      <c r="O91" t="s">
        <v>2533</v>
      </c>
      <c r="P91" t="s">
        <v>2559</v>
      </c>
      <c r="R91" t="s">
        <v>2569</v>
      </c>
      <c r="S91" t="s">
        <v>2225</v>
      </c>
      <c r="U91" t="s">
        <v>2578</v>
      </c>
      <c r="V91" t="s">
        <v>2587</v>
      </c>
      <c r="W91" t="s">
        <v>174</v>
      </c>
      <c r="X91">
        <v>1600</v>
      </c>
      <c r="Y91" t="s">
        <v>2604</v>
      </c>
      <c r="Z91" t="s">
        <v>2621</v>
      </c>
      <c r="AB91" t="s">
        <v>2716</v>
      </c>
      <c r="AD91" t="s">
        <v>3517</v>
      </c>
      <c r="AE91">
        <v>3</v>
      </c>
      <c r="AF91" t="s">
        <v>4098</v>
      </c>
      <c r="AG91" t="s">
        <v>4115</v>
      </c>
      <c r="AH91">
        <v>1</v>
      </c>
      <c r="AI91">
        <v>1</v>
      </c>
      <c r="AJ91">
        <v>0</v>
      </c>
      <c r="AK91">
        <v>22.1</v>
      </c>
      <c r="AN91" t="s">
        <v>4126</v>
      </c>
      <c r="AO91">
        <v>2760</v>
      </c>
      <c r="AU91">
        <v>1</v>
      </c>
      <c r="AV91" t="s">
        <v>174</v>
      </c>
      <c r="AW91" t="s">
        <v>127</v>
      </c>
      <c r="AX91" t="s">
        <v>4266</v>
      </c>
      <c r="AY91" t="s">
        <v>2226</v>
      </c>
      <c r="AZ91" t="s">
        <v>2226</v>
      </c>
    </row>
    <row r="92" spans="1:52">
      <c r="A92" s="1">
        <f>HYPERLINK("https://lsnyc.legalserver.org/matter/dynamic-profile/view/1904512","19-1904512")</f>
        <v>0</v>
      </c>
      <c r="B92" t="s">
        <v>85</v>
      </c>
      <c r="C92" t="s">
        <v>155</v>
      </c>
      <c r="D92" t="s">
        <v>203</v>
      </c>
      <c r="F92" t="s">
        <v>374</v>
      </c>
      <c r="G92" t="s">
        <v>923</v>
      </c>
      <c r="H92" t="s">
        <v>1473</v>
      </c>
      <c r="I92">
        <v>9</v>
      </c>
      <c r="J92" t="s">
        <v>2192</v>
      </c>
      <c r="K92">
        <v>11212</v>
      </c>
      <c r="L92" t="s">
        <v>2224</v>
      </c>
      <c r="M92" t="s">
        <v>2226</v>
      </c>
      <c r="N92" t="s">
        <v>2268</v>
      </c>
      <c r="O92" t="s">
        <v>2535</v>
      </c>
      <c r="P92" t="s">
        <v>2558</v>
      </c>
      <c r="R92" t="s">
        <v>2569</v>
      </c>
      <c r="S92" t="s">
        <v>2225</v>
      </c>
      <c r="U92" t="s">
        <v>2578</v>
      </c>
      <c r="V92" t="s">
        <v>2588</v>
      </c>
      <c r="W92" t="s">
        <v>191</v>
      </c>
      <c r="X92">
        <v>1300</v>
      </c>
      <c r="Y92" t="s">
        <v>2604</v>
      </c>
      <c r="Z92" t="s">
        <v>2621</v>
      </c>
      <c r="AB92" t="s">
        <v>2717</v>
      </c>
      <c r="AC92" t="s">
        <v>3377</v>
      </c>
      <c r="AD92" t="s">
        <v>3518</v>
      </c>
      <c r="AE92">
        <v>23</v>
      </c>
      <c r="AF92" t="s">
        <v>4099</v>
      </c>
      <c r="AG92" t="s">
        <v>2255</v>
      </c>
      <c r="AH92">
        <v>1</v>
      </c>
      <c r="AI92">
        <v>1</v>
      </c>
      <c r="AJ92">
        <v>2</v>
      </c>
      <c r="AK92">
        <v>22.5</v>
      </c>
      <c r="AN92" t="s">
        <v>4126</v>
      </c>
      <c r="AO92">
        <v>4800</v>
      </c>
      <c r="AU92">
        <v>8.75</v>
      </c>
      <c r="AV92" t="s">
        <v>199</v>
      </c>
      <c r="AW92" t="s">
        <v>4226</v>
      </c>
      <c r="AX92" t="s">
        <v>4266</v>
      </c>
      <c r="AY92" t="s">
        <v>2224</v>
      </c>
      <c r="AZ92" t="s">
        <v>2224</v>
      </c>
    </row>
    <row r="93" spans="1:52">
      <c r="A93" s="1">
        <f>HYPERLINK("https://lsnyc.legalserver.org/matter/dynamic-profile/view/1909361","19-1909361")</f>
        <v>0</v>
      </c>
      <c r="B93" t="s">
        <v>54</v>
      </c>
      <c r="C93" t="s">
        <v>154</v>
      </c>
      <c r="D93" t="s">
        <v>167</v>
      </c>
      <c r="E93" t="s">
        <v>281</v>
      </c>
      <c r="F93" t="s">
        <v>375</v>
      </c>
      <c r="G93" t="s">
        <v>924</v>
      </c>
      <c r="H93" t="s">
        <v>1474</v>
      </c>
      <c r="I93" t="s">
        <v>1991</v>
      </c>
      <c r="J93" t="s">
        <v>2200</v>
      </c>
      <c r="K93">
        <v>11412</v>
      </c>
      <c r="L93" t="s">
        <v>2224</v>
      </c>
      <c r="M93" t="s">
        <v>2226</v>
      </c>
      <c r="N93" t="s">
        <v>2269</v>
      </c>
      <c r="O93" t="s">
        <v>2533</v>
      </c>
      <c r="P93" t="s">
        <v>2556</v>
      </c>
      <c r="Q93" t="s">
        <v>2563</v>
      </c>
      <c r="R93" t="s">
        <v>2569</v>
      </c>
      <c r="S93" t="s">
        <v>2225</v>
      </c>
      <c r="U93" t="s">
        <v>2578</v>
      </c>
      <c r="V93" t="s">
        <v>2587</v>
      </c>
      <c r="W93" t="s">
        <v>281</v>
      </c>
      <c r="X93">
        <v>1515</v>
      </c>
      <c r="Y93" t="s">
        <v>2603</v>
      </c>
      <c r="Z93" t="s">
        <v>2608</v>
      </c>
      <c r="AA93" t="s">
        <v>2626</v>
      </c>
      <c r="AB93" t="s">
        <v>2718</v>
      </c>
      <c r="AC93" t="s">
        <v>3378</v>
      </c>
      <c r="AD93" t="s">
        <v>3519</v>
      </c>
      <c r="AE93">
        <v>2</v>
      </c>
      <c r="AG93" t="s">
        <v>4117</v>
      </c>
      <c r="AH93">
        <v>1</v>
      </c>
      <c r="AI93">
        <v>1</v>
      </c>
      <c r="AJ93">
        <v>3</v>
      </c>
      <c r="AK93">
        <v>23.3</v>
      </c>
      <c r="AO93">
        <v>6000</v>
      </c>
      <c r="AU93">
        <v>1.1</v>
      </c>
      <c r="AV93" t="s">
        <v>242</v>
      </c>
      <c r="AW93" t="s">
        <v>4240</v>
      </c>
      <c r="AX93" t="s">
        <v>4266</v>
      </c>
      <c r="AY93" t="s">
        <v>2224</v>
      </c>
      <c r="AZ93" t="s">
        <v>2224</v>
      </c>
    </row>
    <row r="94" spans="1:52">
      <c r="A94" s="1">
        <f>HYPERLINK("https://lsnyc.legalserver.org/matter/dynamic-profile/view/1912767","19-1912767")</f>
        <v>0</v>
      </c>
      <c r="B94" t="s">
        <v>87</v>
      </c>
      <c r="C94" t="s">
        <v>155</v>
      </c>
      <c r="D94" t="s">
        <v>204</v>
      </c>
      <c r="F94" t="s">
        <v>376</v>
      </c>
      <c r="G94" t="s">
        <v>925</v>
      </c>
      <c r="H94" t="s">
        <v>1475</v>
      </c>
      <c r="I94" t="s">
        <v>1992</v>
      </c>
      <c r="J94" t="s">
        <v>2196</v>
      </c>
      <c r="K94">
        <v>10035</v>
      </c>
      <c r="L94" t="s">
        <v>2224</v>
      </c>
      <c r="M94" t="s">
        <v>2226</v>
      </c>
      <c r="O94" t="s">
        <v>2534</v>
      </c>
      <c r="P94" t="s">
        <v>2559</v>
      </c>
      <c r="R94" t="s">
        <v>2569</v>
      </c>
      <c r="S94" t="s">
        <v>2225</v>
      </c>
      <c r="U94" t="s">
        <v>2578</v>
      </c>
      <c r="V94" t="s">
        <v>2588</v>
      </c>
      <c r="W94" t="s">
        <v>235</v>
      </c>
      <c r="X94">
        <v>310</v>
      </c>
      <c r="Y94" t="s">
        <v>2607</v>
      </c>
      <c r="Z94" t="s">
        <v>2609</v>
      </c>
      <c r="AB94" t="s">
        <v>2719</v>
      </c>
      <c r="AD94" t="s">
        <v>3520</v>
      </c>
      <c r="AE94">
        <v>0</v>
      </c>
      <c r="AF94" t="s">
        <v>2518</v>
      </c>
      <c r="AG94" t="s">
        <v>2255</v>
      </c>
      <c r="AH94">
        <v>1</v>
      </c>
      <c r="AI94">
        <v>1</v>
      </c>
      <c r="AJ94">
        <v>3</v>
      </c>
      <c r="AK94">
        <v>23.3</v>
      </c>
      <c r="AN94" t="s">
        <v>4126</v>
      </c>
      <c r="AO94">
        <v>6000</v>
      </c>
      <c r="AU94">
        <v>0</v>
      </c>
      <c r="AW94" t="s">
        <v>4237</v>
      </c>
      <c r="AX94" t="s">
        <v>4266</v>
      </c>
      <c r="AY94" t="s">
        <v>2224</v>
      </c>
      <c r="AZ94" t="s">
        <v>2224</v>
      </c>
    </row>
    <row r="95" spans="1:52">
      <c r="A95" s="1">
        <f>HYPERLINK("https://lsnyc.legalserver.org/matter/dynamic-profile/view/1905377","19-1905377")</f>
        <v>0</v>
      </c>
      <c r="B95" t="s">
        <v>93</v>
      </c>
      <c r="C95" t="s">
        <v>154</v>
      </c>
      <c r="D95" t="s">
        <v>205</v>
      </c>
      <c r="E95" t="s">
        <v>293</v>
      </c>
      <c r="F95" t="s">
        <v>377</v>
      </c>
      <c r="G95" t="s">
        <v>925</v>
      </c>
      <c r="H95" t="s">
        <v>1476</v>
      </c>
      <c r="I95" t="s">
        <v>1966</v>
      </c>
      <c r="J95" t="s">
        <v>2189</v>
      </c>
      <c r="K95">
        <v>11420</v>
      </c>
      <c r="L95" t="s">
        <v>2224</v>
      </c>
      <c r="M95" t="s">
        <v>2226</v>
      </c>
      <c r="N95" t="s">
        <v>2270</v>
      </c>
      <c r="O95" t="s">
        <v>2533</v>
      </c>
      <c r="P95" t="s">
        <v>2556</v>
      </c>
      <c r="Q95" t="s">
        <v>2563</v>
      </c>
      <c r="R95" t="s">
        <v>2569</v>
      </c>
      <c r="S95" t="s">
        <v>2225</v>
      </c>
      <c r="U95" t="s">
        <v>2578</v>
      </c>
      <c r="V95" t="s">
        <v>2590</v>
      </c>
      <c r="W95" t="s">
        <v>205</v>
      </c>
      <c r="X95">
        <v>2000</v>
      </c>
      <c r="Y95" t="s">
        <v>2603</v>
      </c>
      <c r="Z95" t="s">
        <v>2608</v>
      </c>
      <c r="AA95" t="s">
        <v>2626</v>
      </c>
      <c r="AB95" t="s">
        <v>2720</v>
      </c>
      <c r="AC95" t="s">
        <v>3379</v>
      </c>
      <c r="AD95" t="s">
        <v>3521</v>
      </c>
      <c r="AE95">
        <v>1</v>
      </c>
      <c r="AF95" t="s">
        <v>4098</v>
      </c>
      <c r="AG95" t="s">
        <v>2611</v>
      </c>
      <c r="AH95">
        <v>1</v>
      </c>
      <c r="AI95">
        <v>2</v>
      </c>
      <c r="AJ95">
        <v>3</v>
      </c>
      <c r="AK95">
        <v>23.86</v>
      </c>
      <c r="AN95" t="s">
        <v>4126</v>
      </c>
      <c r="AO95">
        <v>7200</v>
      </c>
      <c r="AU95">
        <v>2.5</v>
      </c>
      <c r="AV95" t="s">
        <v>197</v>
      </c>
      <c r="AW95" t="s">
        <v>55</v>
      </c>
      <c r="AX95" t="s">
        <v>4266</v>
      </c>
      <c r="AY95" t="s">
        <v>2224</v>
      </c>
      <c r="AZ95" t="s">
        <v>2224</v>
      </c>
    </row>
    <row r="96" spans="1:52">
      <c r="A96" s="1">
        <f>HYPERLINK("https://lsnyc.legalserver.org/matter/dynamic-profile/view/1905313","19-1905313")</f>
        <v>0</v>
      </c>
      <c r="B96" t="s">
        <v>94</v>
      </c>
      <c r="C96" t="s">
        <v>154</v>
      </c>
      <c r="D96" t="s">
        <v>198</v>
      </c>
      <c r="E96" t="s">
        <v>190</v>
      </c>
      <c r="F96" t="s">
        <v>378</v>
      </c>
      <c r="G96" t="s">
        <v>868</v>
      </c>
      <c r="H96" t="s">
        <v>1477</v>
      </c>
      <c r="I96">
        <v>404</v>
      </c>
      <c r="J96" t="s">
        <v>2194</v>
      </c>
      <c r="K96">
        <v>10460</v>
      </c>
      <c r="L96" t="s">
        <v>2224</v>
      </c>
      <c r="M96" t="s">
        <v>2226</v>
      </c>
      <c r="N96" t="s">
        <v>2271</v>
      </c>
      <c r="O96" t="s">
        <v>2535</v>
      </c>
      <c r="P96" t="s">
        <v>2558</v>
      </c>
      <c r="Q96" t="s">
        <v>2564</v>
      </c>
      <c r="R96" t="s">
        <v>2569</v>
      </c>
      <c r="S96" t="s">
        <v>2225</v>
      </c>
      <c r="U96" t="s">
        <v>2578</v>
      </c>
      <c r="V96" t="s">
        <v>2589</v>
      </c>
      <c r="W96" t="s">
        <v>180</v>
      </c>
      <c r="X96">
        <v>1269</v>
      </c>
      <c r="Y96" t="s">
        <v>2605</v>
      </c>
      <c r="Z96" t="s">
        <v>2618</v>
      </c>
      <c r="AA96" t="s">
        <v>2633</v>
      </c>
      <c r="AB96" t="s">
        <v>2721</v>
      </c>
      <c r="AD96" t="s">
        <v>3522</v>
      </c>
      <c r="AE96">
        <v>27</v>
      </c>
      <c r="AF96" t="s">
        <v>4099</v>
      </c>
      <c r="AG96" t="s">
        <v>4112</v>
      </c>
      <c r="AH96">
        <v>13</v>
      </c>
      <c r="AI96">
        <v>3</v>
      </c>
      <c r="AJ96">
        <v>0</v>
      </c>
      <c r="AK96">
        <v>24.19</v>
      </c>
      <c r="AN96" t="s">
        <v>4126</v>
      </c>
      <c r="AO96">
        <v>5160</v>
      </c>
      <c r="AQ96" t="s">
        <v>4174</v>
      </c>
      <c r="AR96" t="s">
        <v>4181</v>
      </c>
      <c r="AS96" t="s">
        <v>4188</v>
      </c>
      <c r="AT96" t="s">
        <v>4194</v>
      </c>
      <c r="AU96">
        <v>10.8</v>
      </c>
      <c r="AV96" t="s">
        <v>190</v>
      </c>
      <c r="AW96" t="s">
        <v>4241</v>
      </c>
      <c r="AX96" t="s">
        <v>2255</v>
      </c>
      <c r="AY96" t="s">
        <v>2226</v>
      </c>
      <c r="AZ96" t="s">
        <v>2226</v>
      </c>
    </row>
    <row r="97" spans="1:52">
      <c r="A97" s="1">
        <f>HYPERLINK("https://lsnyc.legalserver.org/matter/dynamic-profile/view/1908106","19-1908106")</f>
        <v>0</v>
      </c>
      <c r="B97" t="s">
        <v>95</v>
      </c>
      <c r="C97" t="s">
        <v>155</v>
      </c>
      <c r="D97" t="s">
        <v>206</v>
      </c>
      <c r="F97" t="s">
        <v>379</v>
      </c>
      <c r="G97" t="s">
        <v>926</v>
      </c>
      <c r="H97" t="s">
        <v>1478</v>
      </c>
      <c r="I97" t="s">
        <v>1967</v>
      </c>
      <c r="J97" t="s">
        <v>2192</v>
      </c>
      <c r="K97">
        <v>11213</v>
      </c>
      <c r="L97" t="s">
        <v>2224</v>
      </c>
      <c r="M97" t="s">
        <v>2226</v>
      </c>
      <c r="N97" t="s">
        <v>2272</v>
      </c>
      <c r="O97" t="s">
        <v>2537</v>
      </c>
      <c r="P97" t="s">
        <v>2560</v>
      </c>
      <c r="R97" t="s">
        <v>2569</v>
      </c>
      <c r="S97" t="s">
        <v>2225</v>
      </c>
      <c r="U97" t="s">
        <v>2578</v>
      </c>
      <c r="V97" t="s">
        <v>2588</v>
      </c>
      <c r="W97" t="s">
        <v>206</v>
      </c>
      <c r="X97">
        <v>0</v>
      </c>
      <c r="Y97" t="s">
        <v>2604</v>
      </c>
      <c r="Z97" t="s">
        <v>2617</v>
      </c>
      <c r="AB97" t="s">
        <v>2722</v>
      </c>
      <c r="AE97">
        <v>35</v>
      </c>
      <c r="AF97" t="s">
        <v>4099</v>
      </c>
      <c r="AH97">
        <v>0</v>
      </c>
      <c r="AI97">
        <v>3</v>
      </c>
      <c r="AJ97">
        <v>1</v>
      </c>
      <c r="AK97">
        <v>24.23</v>
      </c>
      <c r="AN97" t="s">
        <v>4126</v>
      </c>
      <c r="AO97">
        <v>6240</v>
      </c>
      <c r="AU97">
        <v>12.5</v>
      </c>
      <c r="AV97" t="s">
        <v>166</v>
      </c>
      <c r="AW97" t="s">
        <v>137</v>
      </c>
      <c r="AX97" t="s">
        <v>4266</v>
      </c>
      <c r="AY97" t="s">
        <v>2226</v>
      </c>
      <c r="AZ97" t="s">
        <v>2226</v>
      </c>
    </row>
    <row r="98" spans="1:52">
      <c r="A98" s="1">
        <f>HYPERLINK("https://lsnyc.legalserver.org/matter/dynamic-profile/view/1907249","19-1907249")</f>
        <v>0</v>
      </c>
      <c r="B98" t="s">
        <v>62</v>
      </c>
      <c r="C98" t="s">
        <v>154</v>
      </c>
      <c r="D98" t="s">
        <v>185</v>
      </c>
      <c r="E98" t="s">
        <v>183</v>
      </c>
      <c r="F98" t="s">
        <v>380</v>
      </c>
      <c r="G98" t="s">
        <v>927</v>
      </c>
      <c r="H98" t="s">
        <v>1479</v>
      </c>
      <c r="I98" t="s">
        <v>1966</v>
      </c>
      <c r="J98" t="s">
        <v>2192</v>
      </c>
      <c r="K98">
        <v>11233</v>
      </c>
      <c r="L98" t="s">
        <v>2225</v>
      </c>
      <c r="M98" t="s">
        <v>2226</v>
      </c>
      <c r="N98" t="s">
        <v>2255</v>
      </c>
      <c r="O98" t="s">
        <v>2238</v>
      </c>
      <c r="P98" t="s">
        <v>2556</v>
      </c>
      <c r="Q98" t="s">
        <v>2563</v>
      </c>
      <c r="R98" t="s">
        <v>2569</v>
      </c>
      <c r="S98" t="s">
        <v>2225</v>
      </c>
      <c r="U98" t="s">
        <v>2578</v>
      </c>
      <c r="W98" t="s">
        <v>185</v>
      </c>
      <c r="X98">
        <v>2400</v>
      </c>
      <c r="Y98" t="s">
        <v>2604</v>
      </c>
      <c r="Z98" t="s">
        <v>2611</v>
      </c>
      <c r="AA98" t="s">
        <v>2626</v>
      </c>
      <c r="AB98" t="s">
        <v>2723</v>
      </c>
      <c r="AD98" t="s">
        <v>3523</v>
      </c>
      <c r="AE98">
        <v>2</v>
      </c>
      <c r="AF98" t="s">
        <v>2518</v>
      </c>
      <c r="AG98" t="s">
        <v>2255</v>
      </c>
      <c r="AH98">
        <v>1</v>
      </c>
      <c r="AI98">
        <v>2</v>
      </c>
      <c r="AJ98">
        <v>2</v>
      </c>
      <c r="AK98">
        <v>25.17</v>
      </c>
      <c r="AN98" t="s">
        <v>4126</v>
      </c>
      <c r="AO98">
        <v>6480</v>
      </c>
      <c r="AU98">
        <v>1.41</v>
      </c>
      <c r="AV98" t="s">
        <v>183</v>
      </c>
      <c r="AW98" t="s">
        <v>4242</v>
      </c>
      <c r="AY98" t="s">
        <v>2226</v>
      </c>
      <c r="AZ98" t="s">
        <v>2225</v>
      </c>
    </row>
    <row r="99" spans="1:52">
      <c r="A99" s="1">
        <f>HYPERLINK("https://lsnyc.legalserver.org/matter/dynamic-profile/view/1907258","19-1907258")</f>
        <v>0</v>
      </c>
      <c r="B99" t="s">
        <v>65</v>
      </c>
      <c r="C99" t="s">
        <v>155</v>
      </c>
      <c r="D99" t="s">
        <v>185</v>
      </c>
      <c r="F99" t="s">
        <v>381</v>
      </c>
      <c r="G99" t="s">
        <v>928</v>
      </c>
      <c r="H99" t="s">
        <v>1480</v>
      </c>
      <c r="I99" t="s">
        <v>1972</v>
      </c>
      <c r="J99" t="s">
        <v>2192</v>
      </c>
      <c r="K99">
        <v>11233</v>
      </c>
      <c r="L99" t="s">
        <v>2224</v>
      </c>
      <c r="M99" t="s">
        <v>2226</v>
      </c>
      <c r="N99" t="s">
        <v>2273</v>
      </c>
      <c r="O99" t="s">
        <v>2535</v>
      </c>
      <c r="P99" t="s">
        <v>2558</v>
      </c>
      <c r="R99" t="s">
        <v>2569</v>
      </c>
      <c r="S99" t="s">
        <v>2225</v>
      </c>
      <c r="U99" t="s">
        <v>2578</v>
      </c>
      <c r="V99" t="s">
        <v>2591</v>
      </c>
      <c r="W99" t="s">
        <v>247</v>
      </c>
      <c r="X99">
        <v>627</v>
      </c>
      <c r="Y99" t="s">
        <v>2604</v>
      </c>
      <c r="Z99" t="s">
        <v>2613</v>
      </c>
      <c r="AB99" t="s">
        <v>2724</v>
      </c>
      <c r="AC99" t="s">
        <v>3380</v>
      </c>
      <c r="AD99" t="s">
        <v>3524</v>
      </c>
      <c r="AE99">
        <v>112</v>
      </c>
      <c r="AF99" t="s">
        <v>4099</v>
      </c>
      <c r="AG99" t="s">
        <v>4112</v>
      </c>
      <c r="AH99">
        <v>8</v>
      </c>
      <c r="AI99">
        <v>1</v>
      </c>
      <c r="AJ99">
        <v>0</v>
      </c>
      <c r="AK99">
        <v>26.55</v>
      </c>
      <c r="AN99" t="s">
        <v>4126</v>
      </c>
      <c r="AO99">
        <v>3315.6</v>
      </c>
      <c r="AU99">
        <v>10.8</v>
      </c>
      <c r="AV99" t="s">
        <v>188</v>
      </c>
      <c r="AW99" t="s">
        <v>4243</v>
      </c>
      <c r="AX99" t="s">
        <v>4266</v>
      </c>
      <c r="AY99" t="s">
        <v>2224</v>
      </c>
      <c r="AZ99" t="s">
        <v>2224</v>
      </c>
    </row>
    <row r="100" spans="1:52">
      <c r="A100" s="1">
        <f>HYPERLINK("https://lsnyc.legalserver.org/matter/dynamic-profile/view/1905514","19-1905514")</f>
        <v>0</v>
      </c>
      <c r="B100" t="s">
        <v>52</v>
      </c>
      <c r="C100" t="s">
        <v>155</v>
      </c>
      <c r="D100" t="s">
        <v>207</v>
      </c>
      <c r="F100" t="s">
        <v>382</v>
      </c>
      <c r="G100" t="s">
        <v>929</v>
      </c>
      <c r="H100" t="s">
        <v>1481</v>
      </c>
      <c r="I100" t="s">
        <v>1993</v>
      </c>
      <c r="J100" t="s">
        <v>2201</v>
      </c>
      <c r="K100">
        <v>11423</v>
      </c>
      <c r="L100" t="s">
        <v>2224</v>
      </c>
      <c r="M100" t="s">
        <v>2226</v>
      </c>
      <c r="N100" t="s">
        <v>2274</v>
      </c>
      <c r="O100" t="s">
        <v>2533</v>
      </c>
      <c r="P100" t="s">
        <v>2558</v>
      </c>
      <c r="R100" t="s">
        <v>2569</v>
      </c>
      <c r="S100" t="s">
        <v>2225</v>
      </c>
      <c r="U100" t="s">
        <v>2578</v>
      </c>
      <c r="V100" t="s">
        <v>2588</v>
      </c>
      <c r="W100" t="s">
        <v>164</v>
      </c>
      <c r="X100">
        <v>1900</v>
      </c>
      <c r="Y100" t="s">
        <v>2603</v>
      </c>
      <c r="Z100" t="s">
        <v>2613</v>
      </c>
      <c r="AB100" t="s">
        <v>2725</v>
      </c>
      <c r="AD100" t="s">
        <v>3525</v>
      </c>
      <c r="AE100">
        <v>2</v>
      </c>
      <c r="AF100" t="s">
        <v>4098</v>
      </c>
      <c r="AG100" t="s">
        <v>2255</v>
      </c>
      <c r="AH100">
        <v>1</v>
      </c>
      <c r="AI100">
        <v>1</v>
      </c>
      <c r="AJ100">
        <v>1</v>
      </c>
      <c r="AK100">
        <v>28.39</v>
      </c>
      <c r="AN100" t="s">
        <v>4128</v>
      </c>
      <c r="AO100">
        <v>4800</v>
      </c>
      <c r="AQ100" t="s">
        <v>4175</v>
      </c>
      <c r="AR100" t="s">
        <v>2611</v>
      </c>
      <c r="AS100" t="s">
        <v>4189</v>
      </c>
      <c r="AT100" t="s">
        <v>4195</v>
      </c>
      <c r="AU100">
        <v>27.16</v>
      </c>
      <c r="AV100" t="s">
        <v>218</v>
      </c>
      <c r="AW100" t="s">
        <v>52</v>
      </c>
      <c r="AX100" t="s">
        <v>4266</v>
      </c>
      <c r="AY100" t="s">
        <v>2224</v>
      </c>
      <c r="AZ100" t="s">
        <v>2224</v>
      </c>
    </row>
    <row r="101" spans="1:52">
      <c r="A101" s="1">
        <f>HYPERLINK("https://lsnyc.legalserver.org/matter/dynamic-profile/view/1907161","19-1907161")</f>
        <v>0</v>
      </c>
      <c r="B101" t="s">
        <v>93</v>
      </c>
      <c r="C101" t="s">
        <v>154</v>
      </c>
      <c r="D101" t="s">
        <v>208</v>
      </c>
      <c r="E101" t="s">
        <v>281</v>
      </c>
      <c r="F101" t="s">
        <v>383</v>
      </c>
      <c r="G101" t="s">
        <v>930</v>
      </c>
      <c r="H101" t="s">
        <v>1482</v>
      </c>
      <c r="I101" t="s">
        <v>1967</v>
      </c>
      <c r="J101" t="s">
        <v>2202</v>
      </c>
      <c r="K101">
        <v>11101</v>
      </c>
      <c r="L101" t="s">
        <v>2224</v>
      </c>
      <c r="M101" t="s">
        <v>2226</v>
      </c>
      <c r="O101" t="s">
        <v>2536</v>
      </c>
      <c r="P101" t="s">
        <v>2556</v>
      </c>
      <c r="Q101" t="s">
        <v>2563</v>
      </c>
      <c r="R101" t="s">
        <v>2569</v>
      </c>
      <c r="S101" t="s">
        <v>2225</v>
      </c>
      <c r="U101" t="s">
        <v>2578</v>
      </c>
      <c r="V101" t="s">
        <v>2588</v>
      </c>
      <c r="W101" t="s">
        <v>281</v>
      </c>
      <c r="X101">
        <v>1046</v>
      </c>
      <c r="Y101" t="s">
        <v>2603</v>
      </c>
      <c r="Z101" t="s">
        <v>2612</v>
      </c>
      <c r="AA101" t="s">
        <v>2626</v>
      </c>
      <c r="AB101" t="s">
        <v>2726</v>
      </c>
      <c r="AE101">
        <v>6</v>
      </c>
      <c r="AF101" t="s">
        <v>4099</v>
      </c>
      <c r="AG101" t="s">
        <v>2255</v>
      </c>
      <c r="AH101">
        <v>20</v>
      </c>
      <c r="AI101">
        <v>1</v>
      </c>
      <c r="AJ101">
        <v>0</v>
      </c>
      <c r="AK101">
        <v>28.82</v>
      </c>
      <c r="AN101" t="s">
        <v>4126</v>
      </c>
      <c r="AO101">
        <v>3600</v>
      </c>
      <c r="AU101">
        <v>1.95</v>
      </c>
      <c r="AV101" t="s">
        <v>281</v>
      </c>
      <c r="AW101" t="s">
        <v>4243</v>
      </c>
      <c r="AX101" t="s">
        <v>4266</v>
      </c>
      <c r="AY101" t="s">
        <v>2224</v>
      </c>
      <c r="AZ101" t="s">
        <v>2224</v>
      </c>
    </row>
    <row r="102" spans="1:52">
      <c r="A102" s="1">
        <f>HYPERLINK("https://lsnyc.legalserver.org/matter/dynamic-profile/view/1907511","19-1907511")</f>
        <v>0</v>
      </c>
      <c r="B102" t="s">
        <v>52</v>
      </c>
      <c r="C102" t="s">
        <v>154</v>
      </c>
      <c r="D102" t="s">
        <v>162</v>
      </c>
      <c r="E102" t="s">
        <v>281</v>
      </c>
      <c r="F102" t="s">
        <v>384</v>
      </c>
      <c r="G102" t="s">
        <v>931</v>
      </c>
      <c r="H102" t="s">
        <v>1483</v>
      </c>
      <c r="I102">
        <v>1</v>
      </c>
      <c r="J102" t="s">
        <v>2203</v>
      </c>
      <c r="K102">
        <v>11413</v>
      </c>
      <c r="L102" t="s">
        <v>2224</v>
      </c>
      <c r="M102" t="s">
        <v>2226</v>
      </c>
      <c r="N102" t="s">
        <v>2275</v>
      </c>
      <c r="O102" t="s">
        <v>2533</v>
      </c>
      <c r="P102" t="s">
        <v>2556</v>
      </c>
      <c r="Q102" t="s">
        <v>2563</v>
      </c>
      <c r="R102" t="s">
        <v>2569</v>
      </c>
      <c r="S102" t="s">
        <v>2225</v>
      </c>
      <c r="U102" t="s">
        <v>2578</v>
      </c>
      <c r="V102" t="s">
        <v>2587</v>
      </c>
      <c r="W102" t="s">
        <v>162</v>
      </c>
      <c r="X102">
        <v>1000</v>
      </c>
      <c r="Y102" t="s">
        <v>2603</v>
      </c>
      <c r="Z102" t="s">
        <v>2608</v>
      </c>
      <c r="AA102" t="s">
        <v>2626</v>
      </c>
      <c r="AB102" t="s">
        <v>2727</v>
      </c>
      <c r="AC102" t="s">
        <v>2255</v>
      </c>
      <c r="AD102" t="s">
        <v>3526</v>
      </c>
      <c r="AE102">
        <v>2</v>
      </c>
      <c r="AF102" t="s">
        <v>4098</v>
      </c>
      <c r="AG102" t="s">
        <v>2255</v>
      </c>
      <c r="AH102">
        <v>1</v>
      </c>
      <c r="AI102">
        <v>1</v>
      </c>
      <c r="AJ102">
        <v>1</v>
      </c>
      <c r="AK102">
        <v>29.57</v>
      </c>
      <c r="AN102" t="s">
        <v>4126</v>
      </c>
      <c r="AO102">
        <v>5000</v>
      </c>
      <c r="AU102">
        <v>2.01</v>
      </c>
      <c r="AV102" t="s">
        <v>281</v>
      </c>
      <c r="AW102" t="s">
        <v>4240</v>
      </c>
      <c r="AX102" t="s">
        <v>4266</v>
      </c>
      <c r="AY102" t="s">
        <v>2224</v>
      </c>
      <c r="AZ102" t="s">
        <v>2224</v>
      </c>
    </row>
    <row r="103" spans="1:52">
      <c r="A103" s="1">
        <f>HYPERLINK("https://lsnyc.legalserver.org/matter/dynamic-profile/view/1909404","19-1909404")</f>
        <v>0</v>
      </c>
      <c r="B103" t="s">
        <v>64</v>
      </c>
      <c r="C103" t="s">
        <v>155</v>
      </c>
      <c r="D103" t="s">
        <v>194</v>
      </c>
      <c r="F103" t="s">
        <v>385</v>
      </c>
      <c r="G103" t="s">
        <v>932</v>
      </c>
      <c r="H103" t="s">
        <v>1484</v>
      </c>
      <c r="I103">
        <v>1</v>
      </c>
      <c r="J103" t="s">
        <v>2192</v>
      </c>
      <c r="K103">
        <v>11207</v>
      </c>
      <c r="L103" t="s">
        <v>2224</v>
      </c>
      <c r="M103" t="s">
        <v>2226</v>
      </c>
      <c r="N103" t="s">
        <v>2276</v>
      </c>
      <c r="O103" t="s">
        <v>2535</v>
      </c>
      <c r="P103" t="s">
        <v>2558</v>
      </c>
      <c r="R103" t="s">
        <v>2569</v>
      </c>
      <c r="S103" t="s">
        <v>2225</v>
      </c>
      <c r="U103" t="s">
        <v>2578</v>
      </c>
      <c r="V103" t="s">
        <v>2588</v>
      </c>
      <c r="W103" t="s">
        <v>194</v>
      </c>
      <c r="X103">
        <v>2000</v>
      </c>
      <c r="Y103" t="s">
        <v>2604</v>
      </c>
      <c r="Z103" t="s">
        <v>2622</v>
      </c>
      <c r="AB103" t="s">
        <v>2728</v>
      </c>
      <c r="AC103" t="s">
        <v>3381</v>
      </c>
      <c r="AD103" t="s">
        <v>3527</v>
      </c>
      <c r="AE103">
        <v>3</v>
      </c>
      <c r="AH103">
        <v>0</v>
      </c>
      <c r="AI103">
        <v>3</v>
      </c>
      <c r="AJ103">
        <v>2</v>
      </c>
      <c r="AK103">
        <v>30.16</v>
      </c>
      <c r="AN103" t="s">
        <v>4126</v>
      </c>
      <c r="AO103">
        <v>9100</v>
      </c>
      <c r="AU103">
        <v>2.5</v>
      </c>
      <c r="AV103" t="s">
        <v>245</v>
      </c>
      <c r="AW103" t="s">
        <v>4235</v>
      </c>
      <c r="AX103" t="s">
        <v>4267</v>
      </c>
      <c r="AY103" t="s">
        <v>2226</v>
      </c>
      <c r="AZ103" t="s">
        <v>2226</v>
      </c>
    </row>
    <row r="104" spans="1:52">
      <c r="A104" s="1">
        <f>HYPERLINK("https://lsnyc.legalserver.org/matter/dynamic-profile/view/1908713","19-1908713")</f>
        <v>0</v>
      </c>
      <c r="B104" t="s">
        <v>55</v>
      </c>
      <c r="C104" t="s">
        <v>155</v>
      </c>
      <c r="D104" t="s">
        <v>171</v>
      </c>
      <c r="F104" t="s">
        <v>386</v>
      </c>
      <c r="G104" t="s">
        <v>853</v>
      </c>
      <c r="H104" t="s">
        <v>1485</v>
      </c>
      <c r="I104" t="s">
        <v>1960</v>
      </c>
      <c r="J104" t="s">
        <v>2204</v>
      </c>
      <c r="K104">
        <v>11377</v>
      </c>
      <c r="L104" t="s">
        <v>2224</v>
      </c>
      <c r="M104" t="s">
        <v>2226</v>
      </c>
      <c r="O104" t="s">
        <v>2533</v>
      </c>
      <c r="P104" t="s">
        <v>2559</v>
      </c>
      <c r="R104" t="s">
        <v>2570</v>
      </c>
      <c r="S104" t="s">
        <v>2225</v>
      </c>
      <c r="U104" t="s">
        <v>2578</v>
      </c>
      <c r="W104" t="s">
        <v>2596</v>
      </c>
      <c r="X104">
        <v>720</v>
      </c>
      <c r="Y104" t="s">
        <v>2603</v>
      </c>
      <c r="Z104" t="s">
        <v>2610</v>
      </c>
      <c r="AB104" t="s">
        <v>2729</v>
      </c>
      <c r="AC104" t="s">
        <v>3382</v>
      </c>
      <c r="AE104">
        <v>6</v>
      </c>
      <c r="AF104" t="s">
        <v>4099</v>
      </c>
      <c r="AH104">
        <v>9</v>
      </c>
      <c r="AI104">
        <v>1</v>
      </c>
      <c r="AJ104">
        <v>3</v>
      </c>
      <c r="AK104">
        <v>30.29</v>
      </c>
      <c r="AL104" t="s">
        <v>4121</v>
      </c>
      <c r="AM104" t="s">
        <v>4123</v>
      </c>
      <c r="AN104" t="s">
        <v>4127</v>
      </c>
      <c r="AO104">
        <v>7800</v>
      </c>
      <c r="AU104">
        <v>1</v>
      </c>
      <c r="AV104" t="s">
        <v>171</v>
      </c>
      <c r="AW104" t="s">
        <v>55</v>
      </c>
      <c r="AX104" t="s">
        <v>4267</v>
      </c>
      <c r="AY104" t="s">
        <v>2226</v>
      </c>
      <c r="AZ104" t="s">
        <v>2226</v>
      </c>
    </row>
    <row r="105" spans="1:52">
      <c r="A105" s="1">
        <f>HYPERLINK("https://lsnyc.legalserver.org/matter/dynamic-profile/view/1908272","19-1908272")</f>
        <v>0</v>
      </c>
      <c r="B105" t="s">
        <v>96</v>
      </c>
      <c r="C105" t="s">
        <v>155</v>
      </c>
      <c r="D105" t="s">
        <v>177</v>
      </c>
      <c r="F105" t="s">
        <v>387</v>
      </c>
      <c r="G105" t="s">
        <v>933</v>
      </c>
      <c r="H105" t="s">
        <v>1486</v>
      </c>
      <c r="I105">
        <v>5</v>
      </c>
      <c r="J105" t="s">
        <v>2192</v>
      </c>
      <c r="K105">
        <v>11233</v>
      </c>
      <c r="L105" t="s">
        <v>2224</v>
      </c>
      <c r="M105" t="s">
        <v>2226</v>
      </c>
      <c r="O105" t="s">
        <v>2534</v>
      </c>
      <c r="P105" t="s">
        <v>2558</v>
      </c>
      <c r="R105" t="s">
        <v>2569</v>
      </c>
      <c r="S105" t="s">
        <v>2225</v>
      </c>
      <c r="U105" t="s">
        <v>2578</v>
      </c>
      <c r="V105" t="s">
        <v>2588</v>
      </c>
      <c r="W105" t="s">
        <v>166</v>
      </c>
      <c r="X105">
        <v>1550</v>
      </c>
      <c r="Y105" t="s">
        <v>2604</v>
      </c>
      <c r="AB105" t="s">
        <v>2730</v>
      </c>
      <c r="AC105" t="s">
        <v>3372</v>
      </c>
      <c r="AD105" t="s">
        <v>3528</v>
      </c>
      <c r="AE105">
        <v>12</v>
      </c>
      <c r="AF105" t="s">
        <v>4099</v>
      </c>
      <c r="AG105" t="s">
        <v>4115</v>
      </c>
      <c r="AH105">
        <v>4</v>
      </c>
      <c r="AI105">
        <v>1</v>
      </c>
      <c r="AJ105">
        <v>0</v>
      </c>
      <c r="AK105">
        <v>31.22</v>
      </c>
      <c r="AN105" t="s">
        <v>4126</v>
      </c>
      <c r="AO105">
        <v>3900</v>
      </c>
      <c r="AU105">
        <v>10.4</v>
      </c>
      <c r="AV105" t="s">
        <v>222</v>
      </c>
      <c r="AW105" t="s">
        <v>4226</v>
      </c>
      <c r="AX105" t="s">
        <v>4266</v>
      </c>
      <c r="AY105" t="s">
        <v>2224</v>
      </c>
      <c r="AZ105" t="s">
        <v>2224</v>
      </c>
    </row>
    <row r="106" spans="1:52">
      <c r="A106" s="1">
        <f>HYPERLINK("https://lsnyc.legalserver.org/matter/dynamic-profile/view/1908269","19-1908269")</f>
        <v>0</v>
      </c>
      <c r="B106" t="s">
        <v>96</v>
      </c>
      <c r="C106" t="s">
        <v>155</v>
      </c>
      <c r="D106" t="s">
        <v>177</v>
      </c>
      <c r="F106" t="s">
        <v>387</v>
      </c>
      <c r="G106" t="s">
        <v>933</v>
      </c>
      <c r="H106" t="s">
        <v>1486</v>
      </c>
      <c r="I106">
        <v>5</v>
      </c>
      <c r="J106" t="s">
        <v>2192</v>
      </c>
      <c r="K106">
        <v>11233</v>
      </c>
      <c r="L106" t="s">
        <v>2224</v>
      </c>
      <c r="M106" t="s">
        <v>2226</v>
      </c>
      <c r="N106" t="s">
        <v>2244</v>
      </c>
      <c r="O106" t="s">
        <v>2539</v>
      </c>
      <c r="P106" t="s">
        <v>2561</v>
      </c>
      <c r="R106" t="s">
        <v>2569</v>
      </c>
      <c r="S106" t="s">
        <v>2225</v>
      </c>
      <c r="U106" t="s">
        <v>2578</v>
      </c>
      <c r="V106" t="s">
        <v>2588</v>
      </c>
      <c r="W106" t="s">
        <v>289</v>
      </c>
      <c r="X106">
        <v>1550</v>
      </c>
      <c r="Y106" t="s">
        <v>2604</v>
      </c>
      <c r="AB106" t="s">
        <v>2730</v>
      </c>
      <c r="AC106" t="s">
        <v>3368</v>
      </c>
      <c r="AD106" t="s">
        <v>3528</v>
      </c>
      <c r="AE106">
        <v>12</v>
      </c>
      <c r="AF106" t="s">
        <v>4099</v>
      </c>
      <c r="AG106" t="s">
        <v>4115</v>
      </c>
      <c r="AH106">
        <v>4</v>
      </c>
      <c r="AI106">
        <v>1</v>
      </c>
      <c r="AJ106">
        <v>0</v>
      </c>
      <c r="AK106">
        <v>31.22</v>
      </c>
      <c r="AN106" t="s">
        <v>4126</v>
      </c>
      <c r="AO106">
        <v>3900</v>
      </c>
      <c r="AU106">
        <v>0</v>
      </c>
      <c r="AW106" t="s">
        <v>4226</v>
      </c>
      <c r="AX106" t="s">
        <v>4266</v>
      </c>
      <c r="AY106" t="s">
        <v>2224</v>
      </c>
      <c r="AZ106" t="s">
        <v>2224</v>
      </c>
    </row>
    <row r="107" spans="1:52">
      <c r="A107" s="1">
        <f>HYPERLINK("https://lsnyc.legalserver.org/matter/dynamic-profile/view/0831293","17-0831293")</f>
        <v>0</v>
      </c>
      <c r="B107" t="s">
        <v>97</v>
      </c>
      <c r="C107" t="s">
        <v>154</v>
      </c>
      <c r="D107" t="s">
        <v>209</v>
      </c>
      <c r="E107" t="s">
        <v>181</v>
      </c>
      <c r="F107" t="s">
        <v>388</v>
      </c>
      <c r="G107" t="s">
        <v>934</v>
      </c>
      <c r="H107" t="s">
        <v>1487</v>
      </c>
      <c r="I107">
        <v>14</v>
      </c>
      <c r="J107" t="s">
        <v>2192</v>
      </c>
      <c r="K107">
        <v>11219</v>
      </c>
      <c r="L107" t="s">
        <v>2224</v>
      </c>
      <c r="M107" t="s">
        <v>2226</v>
      </c>
      <c r="N107" t="s">
        <v>2277</v>
      </c>
      <c r="O107" t="s">
        <v>2535</v>
      </c>
      <c r="P107" t="s">
        <v>2561</v>
      </c>
      <c r="Q107" t="s">
        <v>2563</v>
      </c>
      <c r="R107" t="s">
        <v>2569</v>
      </c>
      <c r="S107" t="s">
        <v>2225</v>
      </c>
      <c r="T107" t="s">
        <v>2572</v>
      </c>
      <c r="U107" t="s">
        <v>2578</v>
      </c>
      <c r="V107" t="s">
        <v>2590</v>
      </c>
      <c r="W107" t="s">
        <v>254</v>
      </c>
      <c r="X107">
        <v>1065</v>
      </c>
      <c r="Y107" t="s">
        <v>2604</v>
      </c>
      <c r="Z107" t="s">
        <v>2612</v>
      </c>
      <c r="AA107" t="s">
        <v>2628</v>
      </c>
      <c r="AB107" t="s">
        <v>2731</v>
      </c>
      <c r="AD107" t="s">
        <v>3529</v>
      </c>
      <c r="AE107">
        <v>14</v>
      </c>
      <c r="AF107" t="s">
        <v>4099</v>
      </c>
      <c r="AG107" t="s">
        <v>2255</v>
      </c>
      <c r="AH107">
        <v>12</v>
      </c>
      <c r="AI107">
        <v>3</v>
      </c>
      <c r="AJ107">
        <v>0</v>
      </c>
      <c r="AK107">
        <v>32.32</v>
      </c>
      <c r="AN107" t="s">
        <v>4130</v>
      </c>
      <c r="AO107">
        <v>6600</v>
      </c>
      <c r="AS107" t="s">
        <v>4188</v>
      </c>
      <c r="AT107" t="s">
        <v>4196</v>
      </c>
      <c r="AU107">
        <v>95.65000000000001</v>
      </c>
      <c r="AV107" t="s">
        <v>181</v>
      </c>
      <c r="AW107" t="s">
        <v>4244</v>
      </c>
      <c r="AX107" t="s">
        <v>4266</v>
      </c>
      <c r="AY107" t="s">
        <v>2224</v>
      </c>
      <c r="AZ107" t="s">
        <v>2224</v>
      </c>
    </row>
    <row r="108" spans="1:52">
      <c r="A108" s="1">
        <f>HYPERLINK("https://lsnyc.legalserver.org/matter/dynamic-profile/view/1912574","19-1912574")</f>
        <v>0</v>
      </c>
      <c r="B108" t="s">
        <v>62</v>
      </c>
      <c r="C108" t="s">
        <v>154</v>
      </c>
      <c r="D108" t="s">
        <v>157</v>
      </c>
      <c r="E108" t="s">
        <v>275</v>
      </c>
      <c r="F108" t="s">
        <v>389</v>
      </c>
      <c r="G108" t="s">
        <v>935</v>
      </c>
      <c r="H108" t="s">
        <v>1488</v>
      </c>
      <c r="I108">
        <v>2</v>
      </c>
      <c r="J108" t="s">
        <v>2192</v>
      </c>
      <c r="K108">
        <v>11212</v>
      </c>
      <c r="L108" t="s">
        <v>2224</v>
      </c>
      <c r="M108" t="s">
        <v>2226</v>
      </c>
      <c r="N108" t="s">
        <v>2238</v>
      </c>
      <c r="O108" t="s">
        <v>2238</v>
      </c>
      <c r="P108" t="s">
        <v>2556</v>
      </c>
      <c r="Q108" t="s">
        <v>2563</v>
      </c>
      <c r="R108" t="s">
        <v>2569</v>
      </c>
      <c r="S108" t="s">
        <v>2225</v>
      </c>
      <c r="T108" t="s">
        <v>2569</v>
      </c>
      <c r="U108" t="s">
        <v>2579</v>
      </c>
      <c r="W108" t="s">
        <v>163</v>
      </c>
      <c r="X108">
        <v>579</v>
      </c>
      <c r="Y108" t="s">
        <v>2604</v>
      </c>
      <c r="Z108" t="s">
        <v>2619</v>
      </c>
      <c r="AA108" t="s">
        <v>2634</v>
      </c>
      <c r="AB108" t="s">
        <v>2732</v>
      </c>
      <c r="AD108" t="s">
        <v>3530</v>
      </c>
      <c r="AE108">
        <v>4</v>
      </c>
      <c r="AF108" t="s">
        <v>4104</v>
      </c>
      <c r="AH108">
        <v>4</v>
      </c>
      <c r="AI108">
        <v>2</v>
      </c>
      <c r="AJ108">
        <v>3</v>
      </c>
      <c r="AK108">
        <v>33.15</v>
      </c>
      <c r="AN108" t="s">
        <v>4126</v>
      </c>
      <c r="AO108">
        <v>10000</v>
      </c>
      <c r="AU108">
        <v>4</v>
      </c>
      <c r="AV108" t="s">
        <v>275</v>
      </c>
      <c r="AW108" t="s">
        <v>4232</v>
      </c>
      <c r="AX108" t="s">
        <v>4266</v>
      </c>
      <c r="AY108" t="s">
        <v>2224</v>
      </c>
      <c r="AZ108" t="s">
        <v>2224</v>
      </c>
    </row>
    <row r="109" spans="1:52">
      <c r="A109" s="1">
        <f>HYPERLINK("https://lsnyc.legalserver.org/matter/dynamic-profile/view/1904889","19-1904889")</f>
        <v>0</v>
      </c>
      <c r="B109" t="s">
        <v>93</v>
      </c>
      <c r="C109" t="s">
        <v>155</v>
      </c>
      <c r="D109" t="s">
        <v>210</v>
      </c>
      <c r="F109" t="s">
        <v>390</v>
      </c>
      <c r="G109" t="s">
        <v>936</v>
      </c>
      <c r="H109" t="s">
        <v>1489</v>
      </c>
      <c r="I109" t="s">
        <v>1946</v>
      </c>
      <c r="J109" t="s">
        <v>2187</v>
      </c>
      <c r="K109">
        <v>11691</v>
      </c>
      <c r="L109" t="s">
        <v>2224</v>
      </c>
      <c r="M109" t="s">
        <v>2226</v>
      </c>
      <c r="N109" t="s">
        <v>2278</v>
      </c>
      <c r="O109" t="s">
        <v>2533</v>
      </c>
      <c r="P109" t="s">
        <v>2558</v>
      </c>
      <c r="R109" t="s">
        <v>2569</v>
      </c>
      <c r="S109" t="s">
        <v>2225</v>
      </c>
      <c r="U109" t="s">
        <v>2578</v>
      </c>
      <c r="V109" t="s">
        <v>2591</v>
      </c>
      <c r="W109" t="s">
        <v>210</v>
      </c>
      <c r="X109">
        <v>592</v>
      </c>
      <c r="Y109" t="s">
        <v>2603</v>
      </c>
      <c r="Z109" t="s">
        <v>2613</v>
      </c>
      <c r="AB109" t="s">
        <v>2733</v>
      </c>
      <c r="AD109" t="s">
        <v>3531</v>
      </c>
      <c r="AE109">
        <v>462</v>
      </c>
      <c r="AF109" t="s">
        <v>4101</v>
      </c>
      <c r="AG109" t="s">
        <v>2255</v>
      </c>
      <c r="AH109">
        <v>10</v>
      </c>
      <c r="AI109">
        <v>1</v>
      </c>
      <c r="AJ109">
        <v>0</v>
      </c>
      <c r="AK109">
        <v>33.63</v>
      </c>
      <c r="AN109" t="s">
        <v>4126</v>
      </c>
      <c r="AO109">
        <v>4200</v>
      </c>
      <c r="AU109">
        <v>0.61</v>
      </c>
      <c r="AV109" t="s">
        <v>184</v>
      </c>
      <c r="AW109" t="s">
        <v>93</v>
      </c>
      <c r="AX109" t="s">
        <v>4266</v>
      </c>
      <c r="AY109" t="s">
        <v>2224</v>
      </c>
      <c r="AZ109" t="s">
        <v>2224</v>
      </c>
    </row>
    <row r="110" spans="1:52">
      <c r="A110" s="1">
        <f>HYPERLINK("https://lsnyc.legalserver.org/matter/dynamic-profile/view/1904963","19-1904963")</f>
        <v>0</v>
      </c>
      <c r="B110" t="s">
        <v>52</v>
      </c>
      <c r="C110" t="s">
        <v>155</v>
      </c>
      <c r="D110" t="s">
        <v>210</v>
      </c>
      <c r="F110" t="s">
        <v>391</v>
      </c>
      <c r="G110" t="s">
        <v>848</v>
      </c>
      <c r="H110" t="s">
        <v>1490</v>
      </c>
      <c r="I110" t="s">
        <v>1994</v>
      </c>
      <c r="J110" t="s">
        <v>2205</v>
      </c>
      <c r="K110">
        <v>11411</v>
      </c>
      <c r="L110" t="s">
        <v>2224</v>
      </c>
      <c r="M110" t="s">
        <v>2226</v>
      </c>
      <c r="N110" t="s">
        <v>2279</v>
      </c>
      <c r="O110" t="s">
        <v>2533</v>
      </c>
      <c r="P110" t="s">
        <v>2558</v>
      </c>
      <c r="R110" t="s">
        <v>2569</v>
      </c>
      <c r="S110" t="s">
        <v>2225</v>
      </c>
      <c r="U110" t="s">
        <v>2578</v>
      </c>
      <c r="V110" t="s">
        <v>2588</v>
      </c>
      <c r="W110" t="s">
        <v>223</v>
      </c>
      <c r="X110">
        <v>1122</v>
      </c>
      <c r="Y110" t="s">
        <v>2603</v>
      </c>
      <c r="Z110" t="s">
        <v>2608</v>
      </c>
      <c r="AB110" t="s">
        <v>2734</v>
      </c>
      <c r="AC110" t="s">
        <v>2255</v>
      </c>
      <c r="AD110" t="s">
        <v>3532</v>
      </c>
      <c r="AE110">
        <v>2</v>
      </c>
      <c r="AF110" t="s">
        <v>4098</v>
      </c>
      <c r="AG110" t="s">
        <v>4112</v>
      </c>
      <c r="AH110">
        <v>10</v>
      </c>
      <c r="AI110">
        <v>2</v>
      </c>
      <c r="AJ110">
        <v>1</v>
      </c>
      <c r="AK110">
        <v>33.76</v>
      </c>
      <c r="AN110" t="s">
        <v>4126</v>
      </c>
      <c r="AO110">
        <v>7200</v>
      </c>
      <c r="AQ110" t="s">
        <v>4176</v>
      </c>
      <c r="AR110" t="s">
        <v>4181</v>
      </c>
      <c r="AS110" t="s">
        <v>4188</v>
      </c>
      <c r="AT110" t="s">
        <v>4197</v>
      </c>
      <c r="AU110">
        <v>20.11</v>
      </c>
      <c r="AV110" t="s">
        <v>229</v>
      </c>
      <c r="AW110" t="s">
        <v>4224</v>
      </c>
      <c r="AX110" t="s">
        <v>4266</v>
      </c>
      <c r="AY110" t="s">
        <v>2224</v>
      </c>
      <c r="AZ110" t="s">
        <v>2224</v>
      </c>
    </row>
    <row r="111" spans="1:52">
      <c r="A111" s="1">
        <f>HYPERLINK("https://lsnyc.legalserver.org/matter/dynamic-profile/view/1912847","19-1912847")</f>
        <v>0</v>
      </c>
      <c r="B111" t="s">
        <v>70</v>
      </c>
      <c r="C111" t="s">
        <v>155</v>
      </c>
      <c r="D111" t="s">
        <v>204</v>
      </c>
      <c r="F111" t="s">
        <v>392</v>
      </c>
      <c r="G111" t="s">
        <v>937</v>
      </c>
      <c r="H111" t="s">
        <v>1491</v>
      </c>
      <c r="I111" t="s">
        <v>1995</v>
      </c>
      <c r="J111" t="s">
        <v>2194</v>
      </c>
      <c r="K111">
        <v>10452</v>
      </c>
      <c r="L111" t="s">
        <v>2224</v>
      </c>
      <c r="M111" t="s">
        <v>2226</v>
      </c>
      <c r="O111" t="s">
        <v>2238</v>
      </c>
      <c r="P111" t="s">
        <v>2559</v>
      </c>
      <c r="R111" t="s">
        <v>2569</v>
      </c>
      <c r="S111" t="s">
        <v>2225</v>
      </c>
      <c r="U111" t="s">
        <v>2578</v>
      </c>
      <c r="W111" t="s">
        <v>218</v>
      </c>
      <c r="X111">
        <v>52</v>
      </c>
      <c r="Y111" t="s">
        <v>2605</v>
      </c>
      <c r="Z111" t="s">
        <v>2614</v>
      </c>
      <c r="AB111" t="s">
        <v>2735</v>
      </c>
      <c r="AD111" t="s">
        <v>3533</v>
      </c>
      <c r="AE111">
        <v>147</v>
      </c>
      <c r="AF111" t="s">
        <v>4104</v>
      </c>
      <c r="AG111" t="s">
        <v>4112</v>
      </c>
      <c r="AH111">
        <v>25</v>
      </c>
      <c r="AI111">
        <v>1</v>
      </c>
      <c r="AJ111">
        <v>0</v>
      </c>
      <c r="AK111">
        <v>34.11</v>
      </c>
      <c r="AN111" t="s">
        <v>4126</v>
      </c>
      <c r="AO111">
        <v>4260</v>
      </c>
      <c r="AU111">
        <v>1.2</v>
      </c>
      <c r="AV111" t="s">
        <v>241</v>
      </c>
      <c r="AW111" t="s">
        <v>70</v>
      </c>
      <c r="AX111" t="s">
        <v>4266</v>
      </c>
      <c r="AY111" t="s">
        <v>2226</v>
      </c>
      <c r="AZ111" t="s">
        <v>2226</v>
      </c>
    </row>
    <row r="112" spans="1:52">
      <c r="A112" s="1">
        <f>HYPERLINK("https://lsnyc.legalserver.org/matter/dynamic-profile/view/1910119","19-1910119")</f>
        <v>0</v>
      </c>
      <c r="B112" t="s">
        <v>98</v>
      </c>
      <c r="C112" t="s">
        <v>155</v>
      </c>
      <c r="D112" t="s">
        <v>211</v>
      </c>
      <c r="F112" t="s">
        <v>393</v>
      </c>
      <c r="G112" t="s">
        <v>938</v>
      </c>
      <c r="H112" t="s">
        <v>1492</v>
      </c>
      <c r="J112" t="s">
        <v>2196</v>
      </c>
      <c r="K112">
        <v>10033</v>
      </c>
      <c r="L112" t="s">
        <v>2224</v>
      </c>
      <c r="M112" t="s">
        <v>2226</v>
      </c>
      <c r="O112" t="s">
        <v>2534</v>
      </c>
      <c r="P112" t="s">
        <v>2561</v>
      </c>
      <c r="R112" t="s">
        <v>2569</v>
      </c>
      <c r="S112" t="s">
        <v>2224</v>
      </c>
      <c r="U112" t="s">
        <v>2578</v>
      </c>
      <c r="W112" t="s">
        <v>254</v>
      </c>
      <c r="X112">
        <v>811.77</v>
      </c>
      <c r="Y112" t="s">
        <v>2607</v>
      </c>
      <c r="Z112" t="s">
        <v>2617</v>
      </c>
      <c r="AB112" t="s">
        <v>2736</v>
      </c>
      <c r="AD112" t="s">
        <v>3534</v>
      </c>
      <c r="AE112">
        <v>24</v>
      </c>
      <c r="AF112" t="s">
        <v>4099</v>
      </c>
      <c r="AG112" t="s">
        <v>4116</v>
      </c>
      <c r="AH112">
        <v>45</v>
      </c>
      <c r="AI112">
        <v>2</v>
      </c>
      <c r="AJ112">
        <v>0</v>
      </c>
      <c r="AK112">
        <v>34.35</v>
      </c>
      <c r="AN112" t="s">
        <v>4127</v>
      </c>
      <c r="AO112">
        <v>5808</v>
      </c>
      <c r="AU112">
        <v>0</v>
      </c>
      <c r="AV112" t="s">
        <v>170</v>
      </c>
      <c r="AW112" t="s">
        <v>80</v>
      </c>
      <c r="AX112" t="s">
        <v>4266</v>
      </c>
      <c r="AY112" t="s">
        <v>2224</v>
      </c>
      <c r="AZ112" t="s">
        <v>2224</v>
      </c>
    </row>
    <row r="113" spans="1:52">
      <c r="A113" s="1">
        <f>HYPERLINK("https://lsnyc.legalserver.org/matter/dynamic-profile/view/1905345","19-1905345")</f>
        <v>0</v>
      </c>
      <c r="B113" t="s">
        <v>55</v>
      </c>
      <c r="C113" t="s">
        <v>155</v>
      </c>
      <c r="D113" t="s">
        <v>205</v>
      </c>
      <c r="F113" t="s">
        <v>394</v>
      </c>
      <c r="G113" t="s">
        <v>939</v>
      </c>
      <c r="H113" t="s">
        <v>1493</v>
      </c>
      <c r="I113" t="s">
        <v>1968</v>
      </c>
      <c r="J113" t="s">
        <v>2206</v>
      </c>
      <c r="K113">
        <v>11374</v>
      </c>
      <c r="L113" t="s">
        <v>2224</v>
      </c>
      <c r="M113" t="s">
        <v>2226</v>
      </c>
      <c r="N113" t="s">
        <v>2280</v>
      </c>
      <c r="O113" t="s">
        <v>2535</v>
      </c>
      <c r="P113" t="s">
        <v>2556</v>
      </c>
      <c r="R113" t="s">
        <v>2569</v>
      </c>
      <c r="S113" t="s">
        <v>2224</v>
      </c>
      <c r="U113" t="s">
        <v>2578</v>
      </c>
      <c r="V113" t="s">
        <v>2588</v>
      </c>
      <c r="W113" t="s">
        <v>205</v>
      </c>
      <c r="X113">
        <v>0</v>
      </c>
      <c r="Y113" t="s">
        <v>2603</v>
      </c>
      <c r="Z113" t="s">
        <v>2608</v>
      </c>
      <c r="AB113" t="s">
        <v>2737</v>
      </c>
      <c r="AD113" t="s">
        <v>3535</v>
      </c>
      <c r="AE113">
        <v>47</v>
      </c>
      <c r="AF113" t="s">
        <v>4105</v>
      </c>
      <c r="AG113" t="s">
        <v>2255</v>
      </c>
      <c r="AH113">
        <v>16</v>
      </c>
      <c r="AI113">
        <v>4</v>
      </c>
      <c r="AJ113">
        <v>1</v>
      </c>
      <c r="AK113">
        <v>34.47</v>
      </c>
      <c r="AN113" t="s">
        <v>4126</v>
      </c>
      <c r="AO113">
        <v>10400</v>
      </c>
      <c r="AU113">
        <v>2.05</v>
      </c>
      <c r="AV113" t="s">
        <v>190</v>
      </c>
      <c r="AW113" t="s">
        <v>4223</v>
      </c>
      <c r="AX113" t="s">
        <v>4266</v>
      </c>
      <c r="AY113" t="s">
        <v>2226</v>
      </c>
      <c r="AZ113" t="s">
        <v>2226</v>
      </c>
    </row>
    <row r="114" spans="1:52">
      <c r="A114" s="1">
        <f>HYPERLINK("https://lsnyc.legalserver.org/matter/dynamic-profile/view/1912808","19-1912808")</f>
        <v>0</v>
      </c>
      <c r="B114" t="s">
        <v>62</v>
      </c>
      <c r="C114" t="s">
        <v>155</v>
      </c>
      <c r="D114" t="s">
        <v>204</v>
      </c>
      <c r="F114" t="s">
        <v>395</v>
      </c>
      <c r="G114" t="s">
        <v>940</v>
      </c>
      <c r="H114" t="s">
        <v>1494</v>
      </c>
      <c r="J114" t="s">
        <v>2192</v>
      </c>
      <c r="K114">
        <v>11233</v>
      </c>
      <c r="L114" t="s">
        <v>2224</v>
      </c>
      <c r="M114" t="s">
        <v>2226</v>
      </c>
      <c r="N114" t="s">
        <v>2238</v>
      </c>
      <c r="O114" t="s">
        <v>2543</v>
      </c>
      <c r="R114" t="s">
        <v>2569</v>
      </c>
      <c r="S114" t="s">
        <v>2225</v>
      </c>
      <c r="U114" t="s">
        <v>2578</v>
      </c>
      <c r="V114" t="s">
        <v>2588</v>
      </c>
      <c r="W114" t="s">
        <v>204</v>
      </c>
      <c r="X114">
        <v>1588</v>
      </c>
      <c r="Y114" t="s">
        <v>2604</v>
      </c>
      <c r="Z114" t="s">
        <v>2617</v>
      </c>
      <c r="AB114" t="s">
        <v>2738</v>
      </c>
      <c r="AC114" t="s">
        <v>3383</v>
      </c>
      <c r="AD114" t="s">
        <v>3536</v>
      </c>
      <c r="AE114">
        <v>19</v>
      </c>
      <c r="AG114" t="s">
        <v>4112</v>
      </c>
      <c r="AH114">
        <v>6</v>
      </c>
      <c r="AI114">
        <v>1</v>
      </c>
      <c r="AJ114">
        <v>3</v>
      </c>
      <c r="AK114">
        <v>35.4</v>
      </c>
      <c r="AN114" t="s">
        <v>4126</v>
      </c>
      <c r="AO114">
        <v>9116</v>
      </c>
      <c r="AU114">
        <v>0</v>
      </c>
      <c r="AW114" t="s">
        <v>4226</v>
      </c>
      <c r="AX114" t="s">
        <v>4266</v>
      </c>
      <c r="AY114" t="s">
        <v>2226</v>
      </c>
      <c r="AZ114" t="s">
        <v>2226</v>
      </c>
    </row>
    <row r="115" spans="1:52">
      <c r="A115" s="1">
        <f>HYPERLINK("https://lsnyc.legalserver.org/matter/dynamic-profile/view/1904250","19-1904250")</f>
        <v>0</v>
      </c>
      <c r="B115" t="s">
        <v>93</v>
      </c>
      <c r="C115" t="s">
        <v>154</v>
      </c>
      <c r="D115" t="s">
        <v>175</v>
      </c>
      <c r="E115" t="s">
        <v>274</v>
      </c>
      <c r="F115" t="s">
        <v>396</v>
      </c>
      <c r="G115" t="s">
        <v>941</v>
      </c>
      <c r="H115" t="s">
        <v>1495</v>
      </c>
      <c r="I115" t="s">
        <v>1960</v>
      </c>
      <c r="J115" t="s">
        <v>2187</v>
      </c>
      <c r="K115">
        <v>11691</v>
      </c>
      <c r="L115" t="s">
        <v>2224</v>
      </c>
      <c r="M115" t="s">
        <v>2226</v>
      </c>
      <c r="N115" t="s">
        <v>2281</v>
      </c>
      <c r="O115" t="s">
        <v>2535</v>
      </c>
      <c r="P115" t="s">
        <v>2558</v>
      </c>
      <c r="Q115" t="s">
        <v>2564</v>
      </c>
      <c r="R115" t="s">
        <v>2569</v>
      </c>
      <c r="S115" t="s">
        <v>2225</v>
      </c>
      <c r="U115" t="s">
        <v>2578</v>
      </c>
      <c r="V115" t="s">
        <v>2589</v>
      </c>
      <c r="W115" t="s">
        <v>175</v>
      </c>
      <c r="X115">
        <v>208</v>
      </c>
      <c r="Y115" t="s">
        <v>2603</v>
      </c>
      <c r="Z115" t="s">
        <v>2612</v>
      </c>
      <c r="AA115" t="s">
        <v>2628</v>
      </c>
      <c r="AB115" t="s">
        <v>2739</v>
      </c>
      <c r="AD115" t="s">
        <v>3537</v>
      </c>
      <c r="AE115">
        <v>53</v>
      </c>
      <c r="AF115" t="s">
        <v>2518</v>
      </c>
      <c r="AG115" t="s">
        <v>4112</v>
      </c>
      <c r="AH115">
        <v>30</v>
      </c>
      <c r="AI115">
        <v>2</v>
      </c>
      <c r="AJ115">
        <v>2</v>
      </c>
      <c r="AK115">
        <v>35.42</v>
      </c>
      <c r="AN115" t="s">
        <v>4126</v>
      </c>
      <c r="AO115">
        <v>9120</v>
      </c>
      <c r="AQ115" t="s">
        <v>4173</v>
      </c>
      <c r="AR115" t="s">
        <v>4182</v>
      </c>
      <c r="AS115" t="s">
        <v>4188</v>
      </c>
      <c r="AT115" t="s">
        <v>4198</v>
      </c>
      <c r="AU115">
        <v>5.5</v>
      </c>
      <c r="AV115" t="s">
        <v>223</v>
      </c>
      <c r="AW115" t="s">
        <v>93</v>
      </c>
      <c r="AX115" t="s">
        <v>4266</v>
      </c>
      <c r="AY115" t="s">
        <v>2224</v>
      </c>
      <c r="AZ115" t="s">
        <v>2224</v>
      </c>
    </row>
    <row r="116" spans="1:52">
      <c r="A116" s="1">
        <f>HYPERLINK("https://lsnyc.legalserver.org/matter/dynamic-profile/view/1909085","19-1909085")</f>
        <v>0</v>
      </c>
      <c r="B116" t="s">
        <v>59</v>
      </c>
      <c r="C116" t="s">
        <v>155</v>
      </c>
      <c r="D116" t="s">
        <v>212</v>
      </c>
      <c r="F116" t="s">
        <v>397</v>
      </c>
      <c r="G116" t="s">
        <v>942</v>
      </c>
      <c r="H116" t="s">
        <v>1414</v>
      </c>
      <c r="I116" t="s">
        <v>1996</v>
      </c>
      <c r="J116" t="s">
        <v>2192</v>
      </c>
      <c r="K116">
        <v>11233</v>
      </c>
      <c r="L116" t="s">
        <v>2224</v>
      </c>
      <c r="M116" t="s">
        <v>2226</v>
      </c>
      <c r="N116" t="s">
        <v>2235</v>
      </c>
      <c r="O116" t="s">
        <v>2537</v>
      </c>
      <c r="P116" t="s">
        <v>2560</v>
      </c>
      <c r="R116" t="s">
        <v>2569</v>
      </c>
      <c r="S116" t="s">
        <v>2224</v>
      </c>
      <c r="U116" t="s">
        <v>2578</v>
      </c>
      <c r="V116" t="s">
        <v>2588</v>
      </c>
      <c r="W116" t="s">
        <v>2594</v>
      </c>
      <c r="X116">
        <v>840</v>
      </c>
      <c r="Y116" t="s">
        <v>2604</v>
      </c>
      <c r="Z116" t="s">
        <v>2611</v>
      </c>
      <c r="AB116" t="s">
        <v>2740</v>
      </c>
      <c r="AE116">
        <v>359</v>
      </c>
      <c r="AF116" t="s">
        <v>4099</v>
      </c>
      <c r="AH116">
        <v>20</v>
      </c>
      <c r="AI116">
        <v>2</v>
      </c>
      <c r="AJ116">
        <v>0</v>
      </c>
      <c r="AK116">
        <v>35.48</v>
      </c>
      <c r="AN116" t="s">
        <v>4126</v>
      </c>
      <c r="AO116">
        <v>6000</v>
      </c>
      <c r="AP116" t="s">
        <v>4143</v>
      </c>
      <c r="AU116">
        <v>0</v>
      </c>
      <c r="AW116" t="s">
        <v>127</v>
      </c>
      <c r="AX116" t="s">
        <v>2255</v>
      </c>
      <c r="AY116" t="s">
        <v>2224</v>
      </c>
      <c r="AZ116" t="s">
        <v>2224</v>
      </c>
    </row>
    <row r="117" spans="1:52">
      <c r="A117" s="1">
        <f>HYPERLINK("https://lsnyc.legalserver.org/matter/dynamic-profile/view/1898448","19-1898448")</f>
        <v>0</v>
      </c>
      <c r="B117" t="s">
        <v>99</v>
      </c>
      <c r="C117" t="s">
        <v>154</v>
      </c>
      <c r="D117" t="s">
        <v>213</v>
      </c>
      <c r="E117" t="s">
        <v>232</v>
      </c>
      <c r="F117" t="s">
        <v>353</v>
      </c>
      <c r="G117" t="s">
        <v>943</v>
      </c>
      <c r="H117" t="s">
        <v>1496</v>
      </c>
      <c r="I117" t="s">
        <v>1997</v>
      </c>
      <c r="J117" t="s">
        <v>2192</v>
      </c>
      <c r="K117">
        <v>11213</v>
      </c>
      <c r="L117" t="s">
        <v>2224</v>
      </c>
      <c r="M117" t="s">
        <v>2226</v>
      </c>
      <c r="N117" t="s">
        <v>2282</v>
      </c>
      <c r="O117" t="s">
        <v>2535</v>
      </c>
      <c r="P117" t="s">
        <v>2558</v>
      </c>
      <c r="Q117" t="s">
        <v>2564</v>
      </c>
      <c r="R117" t="s">
        <v>2569</v>
      </c>
      <c r="S117" t="s">
        <v>2225</v>
      </c>
      <c r="U117" t="s">
        <v>2578</v>
      </c>
      <c r="W117" t="s">
        <v>254</v>
      </c>
      <c r="X117">
        <v>659.4299999999999</v>
      </c>
      <c r="Y117" t="s">
        <v>2604</v>
      </c>
      <c r="Z117" t="s">
        <v>2613</v>
      </c>
      <c r="AA117" t="s">
        <v>2628</v>
      </c>
      <c r="AB117" t="s">
        <v>2741</v>
      </c>
      <c r="AC117" t="s">
        <v>3384</v>
      </c>
      <c r="AD117" t="s">
        <v>3538</v>
      </c>
      <c r="AE117">
        <v>8</v>
      </c>
      <c r="AF117" t="s">
        <v>4100</v>
      </c>
      <c r="AH117">
        <v>18</v>
      </c>
      <c r="AI117">
        <v>2</v>
      </c>
      <c r="AJ117">
        <v>2</v>
      </c>
      <c r="AK117">
        <v>36.12</v>
      </c>
      <c r="AN117" t="s">
        <v>4126</v>
      </c>
      <c r="AO117">
        <v>9300</v>
      </c>
      <c r="AQ117" t="s">
        <v>4177</v>
      </c>
      <c r="AR117" t="s">
        <v>4183</v>
      </c>
      <c r="AS117" t="s">
        <v>4188</v>
      </c>
      <c r="AT117" t="s">
        <v>4197</v>
      </c>
      <c r="AU117">
        <v>13.15</v>
      </c>
      <c r="AV117" t="s">
        <v>232</v>
      </c>
      <c r="AW117" t="s">
        <v>4245</v>
      </c>
      <c r="AX117" t="s">
        <v>4267</v>
      </c>
      <c r="AY117" t="s">
        <v>2224</v>
      </c>
      <c r="AZ117" t="s">
        <v>2224</v>
      </c>
    </row>
    <row r="118" spans="1:52">
      <c r="A118" s="1">
        <f>HYPERLINK("https://lsnyc.legalserver.org/matter/dynamic-profile/view/1905013","19-1905013")</f>
        <v>0</v>
      </c>
      <c r="B118" t="s">
        <v>85</v>
      </c>
      <c r="C118" t="s">
        <v>155</v>
      </c>
      <c r="D118" t="s">
        <v>210</v>
      </c>
      <c r="F118" t="s">
        <v>398</v>
      </c>
      <c r="G118" t="s">
        <v>944</v>
      </c>
      <c r="H118" t="s">
        <v>1497</v>
      </c>
      <c r="I118" t="s">
        <v>1998</v>
      </c>
      <c r="J118" t="s">
        <v>2192</v>
      </c>
      <c r="K118">
        <v>11212</v>
      </c>
      <c r="L118" t="s">
        <v>2224</v>
      </c>
      <c r="M118" t="s">
        <v>2226</v>
      </c>
      <c r="N118" t="s">
        <v>2283</v>
      </c>
      <c r="O118" t="s">
        <v>2533</v>
      </c>
      <c r="P118" t="s">
        <v>2556</v>
      </c>
      <c r="R118" t="s">
        <v>2569</v>
      </c>
      <c r="S118" t="s">
        <v>2225</v>
      </c>
      <c r="U118" t="s">
        <v>2578</v>
      </c>
      <c r="W118" t="s">
        <v>191</v>
      </c>
      <c r="X118">
        <v>790</v>
      </c>
      <c r="Y118" t="s">
        <v>2604</v>
      </c>
      <c r="Z118" t="s">
        <v>2616</v>
      </c>
      <c r="AB118" t="s">
        <v>2742</v>
      </c>
      <c r="AD118" t="s">
        <v>3539</v>
      </c>
      <c r="AE118">
        <v>2</v>
      </c>
      <c r="AF118" t="s">
        <v>4098</v>
      </c>
      <c r="AG118" t="s">
        <v>2255</v>
      </c>
      <c r="AH118">
        <v>5</v>
      </c>
      <c r="AI118">
        <v>1</v>
      </c>
      <c r="AJ118">
        <v>0</v>
      </c>
      <c r="AK118">
        <v>36.12</v>
      </c>
      <c r="AN118" t="s">
        <v>4126</v>
      </c>
      <c r="AO118">
        <v>4512</v>
      </c>
      <c r="AU118">
        <v>8.25</v>
      </c>
      <c r="AV118" t="s">
        <v>206</v>
      </c>
      <c r="AW118" t="s">
        <v>4243</v>
      </c>
      <c r="AX118" t="s">
        <v>4266</v>
      </c>
      <c r="AY118" t="s">
        <v>2226</v>
      </c>
      <c r="AZ118" t="s">
        <v>2225</v>
      </c>
    </row>
    <row r="119" spans="1:52">
      <c r="A119" s="1">
        <f>HYPERLINK("https://lsnyc.legalserver.org/matter/dynamic-profile/view/1910849","19-1910849")</f>
        <v>0</v>
      </c>
      <c r="B119" t="s">
        <v>67</v>
      </c>
      <c r="C119" t="s">
        <v>155</v>
      </c>
      <c r="D119" t="s">
        <v>214</v>
      </c>
      <c r="F119" t="s">
        <v>391</v>
      </c>
      <c r="G119" t="s">
        <v>945</v>
      </c>
      <c r="H119" t="s">
        <v>1498</v>
      </c>
      <c r="I119" t="s">
        <v>1999</v>
      </c>
      <c r="J119" t="s">
        <v>2192</v>
      </c>
      <c r="K119">
        <v>11225</v>
      </c>
      <c r="L119" t="s">
        <v>2224</v>
      </c>
      <c r="M119" t="s">
        <v>2226</v>
      </c>
      <c r="P119" t="s">
        <v>2560</v>
      </c>
      <c r="R119" t="s">
        <v>2569</v>
      </c>
      <c r="S119" t="s">
        <v>2224</v>
      </c>
      <c r="U119" t="s">
        <v>2578</v>
      </c>
      <c r="W119" t="s">
        <v>211</v>
      </c>
      <c r="X119">
        <v>0</v>
      </c>
      <c r="Y119" t="s">
        <v>2604</v>
      </c>
      <c r="AB119" t="s">
        <v>2743</v>
      </c>
      <c r="AD119" t="s">
        <v>3540</v>
      </c>
      <c r="AE119">
        <v>11</v>
      </c>
      <c r="AH119">
        <v>0</v>
      </c>
      <c r="AI119">
        <v>4</v>
      </c>
      <c r="AJ119">
        <v>0</v>
      </c>
      <c r="AK119">
        <v>36.25</v>
      </c>
      <c r="AN119" t="s">
        <v>4126</v>
      </c>
      <c r="AO119">
        <v>9335.16</v>
      </c>
      <c r="AU119">
        <v>0</v>
      </c>
      <c r="AW119" t="s">
        <v>153</v>
      </c>
      <c r="AX119" t="s">
        <v>4266</v>
      </c>
      <c r="AY119" t="s">
        <v>2224</v>
      </c>
      <c r="AZ119" t="s">
        <v>2224</v>
      </c>
    </row>
    <row r="120" spans="1:52">
      <c r="A120" s="1">
        <f>HYPERLINK("https://lsnyc.legalserver.org/matter/dynamic-profile/view/1904151","19-1904151")</f>
        <v>0</v>
      </c>
      <c r="B120" t="s">
        <v>55</v>
      </c>
      <c r="C120" t="s">
        <v>155</v>
      </c>
      <c r="D120" t="s">
        <v>175</v>
      </c>
      <c r="F120" t="s">
        <v>399</v>
      </c>
      <c r="G120" t="s">
        <v>946</v>
      </c>
      <c r="H120" t="s">
        <v>1499</v>
      </c>
      <c r="I120" t="s">
        <v>2000</v>
      </c>
      <c r="J120" t="s">
        <v>2207</v>
      </c>
      <c r="K120">
        <v>11365</v>
      </c>
      <c r="L120" t="s">
        <v>2224</v>
      </c>
      <c r="M120" t="s">
        <v>2226</v>
      </c>
      <c r="N120" t="s">
        <v>2284</v>
      </c>
      <c r="O120" t="s">
        <v>2533</v>
      </c>
      <c r="P120" t="s">
        <v>2558</v>
      </c>
      <c r="R120" t="s">
        <v>2570</v>
      </c>
      <c r="S120" t="s">
        <v>2225</v>
      </c>
      <c r="U120" t="s">
        <v>2582</v>
      </c>
      <c r="V120" t="s">
        <v>2588</v>
      </c>
      <c r="W120" t="s">
        <v>175</v>
      </c>
      <c r="X120">
        <v>532</v>
      </c>
      <c r="Y120" t="s">
        <v>2603</v>
      </c>
      <c r="Z120" t="s">
        <v>2610</v>
      </c>
      <c r="AB120" t="s">
        <v>2744</v>
      </c>
      <c r="AC120" t="s">
        <v>3385</v>
      </c>
      <c r="AD120" t="s">
        <v>3541</v>
      </c>
      <c r="AE120">
        <v>701</v>
      </c>
      <c r="AF120" t="s">
        <v>4106</v>
      </c>
      <c r="AG120" t="s">
        <v>2255</v>
      </c>
      <c r="AH120">
        <v>13</v>
      </c>
      <c r="AI120">
        <v>1</v>
      </c>
      <c r="AJ120">
        <v>2</v>
      </c>
      <c r="AK120">
        <v>36.4</v>
      </c>
      <c r="AL120" t="s">
        <v>4121</v>
      </c>
      <c r="AM120" t="s">
        <v>4123</v>
      </c>
      <c r="AN120" t="s">
        <v>4126</v>
      </c>
      <c r="AO120">
        <v>7764</v>
      </c>
      <c r="AU120">
        <v>42.62</v>
      </c>
      <c r="AV120" t="s">
        <v>218</v>
      </c>
      <c r="AW120" t="s">
        <v>55</v>
      </c>
      <c r="AX120" t="s">
        <v>4267</v>
      </c>
      <c r="AY120" t="s">
        <v>2226</v>
      </c>
      <c r="AZ120" t="s">
        <v>2226</v>
      </c>
    </row>
    <row r="121" spans="1:52">
      <c r="A121" s="1">
        <f>HYPERLINK("https://lsnyc.legalserver.org/matter/dynamic-profile/view/1896627","19-1896627")</f>
        <v>0</v>
      </c>
      <c r="B121" t="s">
        <v>59</v>
      </c>
      <c r="C121" t="s">
        <v>155</v>
      </c>
      <c r="D121" t="s">
        <v>215</v>
      </c>
      <c r="F121" t="s">
        <v>400</v>
      </c>
      <c r="G121" t="s">
        <v>947</v>
      </c>
      <c r="H121" t="s">
        <v>1410</v>
      </c>
      <c r="I121" t="s">
        <v>2001</v>
      </c>
      <c r="J121" t="s">
        <v>2192</v>
      </c>
      <c r="K121">
        <v>11233</v>
      </c>
      <c r="L121" t="s">
        <v>2224</v>
      </c>
      <c r="M121" t="s">
        <v>2225</v>
      </c>
      <c r="O121" t="s">
        <v>2539</v>
      </c>
      <c r="P121" t="s">
        <v>2561</v>
      </c>
      <c r="R121" t="s">
        <v>2569</v>
      </c>
      <c r="S121" t="s">
        <v>2224</v>
      </c>
      <c r="U121" t="s">
        <v>2578</v>
      </c>
      <c r="V121" t="s">
        <v>2588</v>
      </c>
      <c r="W121" t="s">
        <v>254</v>
      </c>
      <c r="X121">
        <v>1056</v>
      </c>
      <c r="Y121" t="s">
        <v>2604</v>
      </c>
      <c r="AB121" t="s">
        <v>2745</v>
      </c>
      <c r="AE121">
        <v>359</v>
      </c>
      <c r="AF121" t="s">
        <v>4099</v>
      </c>
      <c r="AG121" t="s">
        <v>2255</v>
      </c>
      <c r="AH121">
        <v>9</v>
      </c>
      <c r="AI121">
        <v>2</v>
      </c>
      <c r="AJ121">
        <v>0</v>
      </c>
      <c r="AK121">
        <v>37.21</v>
      </c>
      <c r="AN121" t="s">
        <v>4126</v>
      </c>
      <c r="AO121">
        <v>6292</v>
      </c>
      <c r="AP121" t="s">
        <v>4144</v>
      </c>
      <c r="AU121">
        <v>0</v>
      </c>
      <c r="AW121" t="s">
        <v>127</v>
      </c>
      <c r="AX121" t="s">
        <v>4266</v>
      </c>
      <c r="AY121" t="s">
        <v>2224</v>
      </c>
      <c r="AZ121" t="s">
        <v>2224</v>
      </c>
    </row>
    <row r="122" spans="1:52">
      <c r="A122" s="1">
        <f>HYPERLINK("https://lsnyc.legalserver.org/matter/dynamic-profile/view/1907242","19-1907242")</f>
        <v>0</v>
      </c>
      <c r="B122" t="s">
        <v>53</v>
      </c>
      <c r="C122" t="s">
        <v>155</v>
      </c>
      <c r="D122" t="s">
        <v>185</v>
      </c>
      <c r="F122" t="s">
        <v>401</v>
      </c>
      <c r="G122" t="s">
        <v>948</v>
      </c>
      <c r="H122" t="s">
        <v>1500</v>
      </c>
      <c r="J122" t="s">
        <v>2188</v>
      </c>
      <c r="K122">
        <v>11436</v>
      </c>
      <c r="L122" t="s">
        <v>2224</v>
      </c>
      <c r="M122" t="s">
        <v>2226</v>
      </c>
      <c r="N122" t="s">
        <v>2285</v>
      </c>
      <c r="O122" t="s">
        <v>2535</v>
      </c>
      <c r="P122" t="s">
        <v>2558</v>
      </c>
      <c r="R122" t="s">
        <v>2569</v>
      </c>
      <c r="S122" t="s">
        <v>2225</v>
      </c>
      <c r="U122" t="s">
        <v>2578</v>
      </c>
      <c r="V122" t="s">
        <v>2588</v>
      </c>
      <c r="W122" t="s">
        <v>185</v>
      </c>
      <c r="X122">
        <v>1554</v>
      </c>
      <c r="Y122" t="s">
        <v>2603</v>
      </c>
      <c r="Z122" t="s">
        <v>2608</v>
      </c>
      <c r="AB122" t="s">
        <v>2746</v>
      </c>
      <c r="AC122" t="s">
        <v>3386</v>
      </c>
      <c r="AD122" t="s">
        <v>3542</v>
      </c>
      <c r="AE122">
        <v>3</v>
      </c>
      <c r="AF122" t="s">
        <v>2518</v>
      </c>
      <c r="AG122" t="s">
        <v>4113</v>
      </c>
      <c r="AH122">
        <v>-1</v>
      </c>
      <c r="AI122">
        <v>1</v>
      </c>
      <c r="AJ122">
        <v>0</v>
      </c>
      <c r="AK122">
        <v>37.28</v>
      </c>
      <c r="AN122" t="s">
        <v>4126</v>
      </c>
      <c r="AO122">
        <v>4656</v>
      </c>
      <c r="AU122">
        <v>6.05</v>
      </c>
      <c r="AV122" t="s">
        <v>257</v>
      </c>
      <c r="AW122" t="s">
        <v>4224</v>
      </c>
      <c r="AX122" t="s">
        <v>4266</v>
      </c>
      <c r="AY122" t="s">
        <v>2226</v>
      </c>
      <c r="AZ122" t="s">
        <v>2226</v>
      </c>
    </row>
    <row r="123" spans="1:52">
      <c r="A123" s="1">
        <f>HYPERLINK("https://lsnyc.legalserver.org/matter/dynamic-profile/view/1904688","19-1904688")</f>
        <v>0</v>
      </c>
      <c r="B123" t="s">
        <v>100</v>
      </c>
      <c r="C123" t="s">
        <v>155</v>
      </c>
      <c r="D123" t="s">
        <v>192</v>
      </c>
      <c r="F123" t="s">
        <v>402</v>
      </c>
      <c r="G123" t="s">
        <v>949</v>
      </c>
      <c r="H123" t="s">
        <v>1501</v>
      </c>
      <c r="I123" t="s">
        <v>2002</v>
      </c>
      <c r="J123" t="s">
        <v>2196</v>
      </c>
      <c r="K123">
        <v>10128</v>
      </c>
      <c r="L123" t="s">
        <v>2224</v>
      </c>
      <c r="M123" t="s">
        <v>2226</v>
      </c>
      <c r="N123" t="s">
        <v>2286</v>
      </c>
      <c r="O123" t="s">
        <v>2533</v>
      </c>
      <c r="P123" t="s">
        <v>2558</v>
      </c>
      <c r="R123" t="s">
        <v>2569</v>
      </c>
      <c r="S123" t="s">
        <v>2225</v>
      </c>
      <c r="U123" t="s">
        <v>2578</v>
      </c>
      <c r="W123" t="s">
        <v>192</v>
      </c>
      <c r="X123">
        <v>918</v>
      </c>
      <c r="Y123" t="s">
        <v>2607</v>
      </c>
      <c r="Z123" t="s">
        <v>2614</v>
      </c>
      <c r="AB123" t="s">
        <v>2747</v>
      </c>
      <c r="AC123" t="s">
        <v>3387</v>
      </c>
      <c r="AD123" t="s">
        <v>3543</v>
      </c>
      <c r="AE123">
        <v>37</v>
      </c>
      <c r="AF123" t="s">
        <v>4099</v>
      </c>
      <c r="AG123" t="s">
        <v>4115</v>
      </c>
      <c r="AH123">
        <v>21</v>
      </c>
      <c r="AI123">
        <v>1</v>
      </c>
      <c r="AJ123">
        <v>0</v>
      </c>
      <c r="AK123">
        <v>37.89</v>
      </c>
      <c r="AN123" t="s">
        <v>4126</v>
      </c>
      <c r="AO123">
        <v>4732</v>
      </c>
      <c r="AU123">
        <v>10.3</v>
      </c>
      <c r="AV123" t="s">
        <v>202</v>
      </c>
      <c r="AW123" t="s">
        <v>4238</v>
      </c>
      <c r="AX123" t="s">
        <v>4267</v>
      </c>
      <c r="AY123" t="s">
        <v>2226</v>
      </c>
      <c r="AZ123" t="s">
        <v>2226</v>
      </c>
    </row>
    <row r="124" spans="1:52">
      <c r="A124" s="1">
        <f>HYPERLINK("https://lsnyc.legalserver.org/matter/dynamic-profile/view/1908630","19-1908630")</f>
        <v>0</v>
      </c>
      <c r="B124" t="s">
        <v>101</v>
      </c>
      <c r="C124" t="s">
        <v>155</v>
      </c>
      <c r="D124" t="s">
        <v>216</v>
      </c>
      <c r="F124" t="s">
        <v>403</v>
      </c>
      <c r="G124" t="s">
        <v>950</v>
      </c>
      <c r="H124" t="s">
        <v>1502</v>
      </c>
      <c r="I124">
        <v>219</v>
      </c>
      <c r="J124" t="s">
        <v>2192</v>
      </c>
      <c r="K124">
        <v>11212</v>
      </c>
      <c r="L124" t="s">
        <v>2224</v>
      </c>
      <c r="M124" t="s">
        <v>2226</v>
      </c>
      <c r="N124" t="s">
        <v>2287</v>
      </c>
      <c r="O124" t="s">
        <v>2535</v>
      </c>
      <c r="P124" t="s">
        <v>2559</v>
      </c>
      <c r="R124" t="s">
        <v>2569</v>
      </c>
      <c r="S124" t="s">
        <v>2225</v>
      </c>
      <c r="U124" t="s">
        <v>2578</v>
      </c>
      <c r="V124" t="s">
        <v>2588</v>
      </c>
      <c r="W124" t="s">
        <v>178</v>
      </c>
      <c r="X124">
        <v>895.23</v>
      </c>
      <c r="Y124" t="s">
        <v>2604</v>
      </c>
      <c r="Z124" t="s">
        <v>2612</v>
      </c>
      <c r="AB124" t="s">
        <v>2748</v>
      </c>
      <c r="AC124" t="s">
        <v>2513</v>
      </c>
      <c r="AD124" t="s">
        <v>3544</v>
      </c>
      <c r="AE124">
        <v>132</v>
      </c>
      <c r="AF124" t="s">
        <v>4099</v>
      </c>
      <c r="AH124">
        <v>1</v>
      </c>
      <c r="AI124">
        <v>1</v>
      </c>
      <c r="AJ124">
        <v>0</v>
      </c>
      <c r="AK124">
        <v>38.24</v>
      </c>
      <c r="AN124" t="s">
        <v>4126</v>
      </c>
      <c r="AO124">
        <v>4776</v>
      </c>
      <c r="AU124">
        <v>2.6</v>
      </c>
      <c r="AV124" t="s">
        <v>222</v>
      </c>
      <c r="AW124" t="s">
        <v>4246</v>
      </c>
      <c r="AX124" t="s">
        <v>4266</v>
      </c>
      <c r="AY124" t="s">
        <v>2224</v>
      </c>
      <c r="AZ124" t="s">
        <v>2224</v>
      </c>
    </row>
    <row r="125" spans="1:52">
      <c r="A125" s="1">
        <f>HYPERLINK("https://lsnyc.legalserver.org/matter/dynamic-profile/view/1897622","19-1897622")</f>
        <v>0</v>
      </c>
      <c r="B125" t="s">
        <v>98</v>
      </c>
      <c r="C125" t="s">
        <v>155</v>
      </c>
      <c r="D125" t="s">
        <v>217</v>
      </c>
      <c r="F125" t="s">
        <v>404</v>
      </c>
      <c r="G125" t="s">
        <v>495</v>
      </c>
      <c r="H125" t="s">
        <v>1503</v>
      </c>
      <c r="I125">
        <v>24</v>
      </c>
      <c r="J125" t="s">
        <v>2196</v>
      </c>
      <c r="K125">
        <v>10033</v>
      </c>
      <c r="L125" t="s">
        <v>2224</v>
      </c>
      <c r="M125" t="s">
        <v>2224</v>
      </c>
      <c r="N125" t="s">
        <v>2288</v>
      </c>
      <c r="O125" t="s">
        <v>2535</v>
      </c>
      <c r="P125" t="s">
        <v>2558</v>
      </c>
      <c r="R125" t="s">
        <v>2569</v>
      </c>
      <c r="S125" t="s">
        <v>2225</v>
      </c>
      <c r="U125" t="s">
        <v>2578</v>
      </c>
      <c r="W125" t="s">
        <v>184</v>
      </c>
      <c r="X125">
        <v>816.66</v>
      </c>
      <c r="Y125" t="s">
        <v>2607</v>
      </c>
      <c r="Z125" t="s">
        <v>2617</v>
      </c>
      <c r="AB125" t="s">
        <v>2749</v>
      </c>
      <c r="AD125" t="s">
        <v>3545</v>
      </c>
      <c r="AE125">
        <v>20</v>
      </c>
      <c r="AF125" t="s">
        <v>4099</v>
      </c>
      <c r="AG125" t="s">
        <v>2255</v>
      </c>
      <c r="AH125">
        <v>23</v>
      </c>
      <c r="AI125">
        <v>1</v>
      </c>
      <c r="AJ125">
        <v>0</v>
      </c>
      <c r="AK125">
        <v>38.24</v>
      </c>
      <c r="AN125" t="s">
        <v>4127</v>
      </c>
      <c r="AO125">
        <v>4776</v>
      </c>
      <c r="AU125">
        <v>10.7</v>
      </c>
      <c r="AV125" t="s">
        <v>4219</v>
      </c>
      <c r="AW125" t="s">
        <v>80</v>
      </c>
      <c r="AX125" t="s">
        <v>4266</v>
      </c>
      <c r="AY125" t="s">
        <v>2224</v>
      </c>
      <c r="AZ125" t="s">
        <v>2224</v>
      </c>
    </row>
    <row r="126" spans="1:52">
      <c r="A126" s="1">
        <f>HYPERLINK("https://lsnyc.legalserver.org/matter/dynamic-profile/view/1913308","19-1913308")</f>
        <v>0</v>
      </c>
      <c r="B126" t="s">
        <v>88</v>
      </c>
      <c r="C126" t="s">
        <v>155</v>
      </c>
      <c r="D126" t="s">
        <v>218</v>
      </c>
      <c r="F126" t="s">
        <v>348</v>
      </c>
      <c r="G126" t="s">
        <v>951</v>
      </c>
      <c r="H126" t="s">
        <v>1504</v>
      </c>
      <c r="I126">
        <v>201</v>
      </c>
      <c r="J126" t="s">
        <v>2196</v>
      </c>
      <c r="K126">
        <v>10029</v>
      </c>
      <c r="L126" t="s">
        <v>2224</v>
      </c>
      <c r="M126" t="s">
        <v>2226</v>
      </c>
      <c r="O126" t="s">
        <v>2534</v>
      </c>
      <c r="P126" t="s">
        <v>2559</v>
      </c>
      <c r="R126" t="s">
        <v>2569</v>
      </c>
      <c r="S126" t="s">
        <v>2224</v>
      </c>
      <c r="U126" t="s">
        <v>2578</v>
      </c>
      <c r="V126" t="s">
        <v>2588</v>
      </c>
      <c r="W126" t="s">
        <v>280</v>
      </c>
      <c r="X126">
        <v>48</v>
      </c>
      <c r="Y126" t="s">
        <v>2607</v>
      </c>
      <c r="Z126" t="s">
        <v>2613</v>
      </c>
      <c r="AB126" t="s">
        <v>2750</v>
      </c>
      <c r="AE126">
        <v>108</v>
      </c>
      <c r="AF126" t="s">
        <v>4104</v>
      </c>
      <c r="AG126" t="s">
        <v>4112</v>
      </c>
      <c r="AH126">
        <v>10</v>
      </c>
      <c r="AI126">
        <v>1</v>
      </c>
      <c r="AJ126">
        <v>1</v>
      </c>
      <c r="AK126">
        <v>38.44</v>
      </c>
      <c r="AN126" t="s">
        <v>4126</v>
      </c>
      <c r="AO126">
        <v>6500</v>
      </c>
      <c r="AP126" t="s">
        <v>4145</v>
      </c>
      <c r="AU126">
        <v>0</v>
      </c>
      <c r="AW126" t="s">
        <v>4237</v>
      </c>
      <c r="AX126" t="s">
        <v>4266</v>
      </c>
      <c r="AY126" t="s">
        <v>2226</v>
      </c>
      <c r="AZ126" t="s">
        <v>2226</v>
      </c>
    </row>
    <row r="127" spans="1:52">
      <c r="A127" s="1">
        <f>HYPERLINK("https://lsnyc.legalserver.org/matter/dynamic-profile/view/1910736","19-1910736")</f>
        <v>0</v>
      </c>
      <c r="B127" t="s">
        <v>55</v>
      </c>
      <c r="C127" t="s">
        <v>155</v>
      </c>
      <c r="D127" t="s">
        <v>200</v>
      </c>
      <c r="F127" t="s">
        <v>405</v>
      </c>
      <c r="G127" t="s">
        <v>952</v>
      </c>
      <c r="H127" t="s">
        <v>1505</v>
      </c>
      <c r="I127" t="s">
        <v>1947</v>
      </c>
      <c r="J127" t="s">
        <v>2200</v>
      </c>
      <c r="K127">
        <v>11412</v>
      </c>
      <c r="L127" t="s">
        <v>2224</v>
      </c>
      <c r="M127" t="s">
        <v>2226</v>
      </c>
      <c r="N127" t="s">
        <v>2289</v>
      </c>
      <c r="O127" t="s">
        <v>2533</v>
      </c>
      <c r="P127" t="s">
        <v>2556</v>
      </c>
      <c r="R127" t="s">
        <v>2569</v>
      </c>
      <c r="S127" t="s">
        <v>2225</v>
      </c>
      <c r="U127" t="s">
        <v>2578</v>
      </c>
      <c r="V127" t="s">
        <v>2588</v>
      </c>
      <c r="W127" t="s">
        <v>200</v>
      </c>
      <c r="X127">
        <v>1250</v>
      </c>
      <c r="Y127" t="s">
        <v>2603</v>
      </c>
      <c r="Z127" t="s">
        <v>2608</v>
      </c>
      <c r="AB127" t="s">
        <v>2751</v>
      </c>
      <c r="AC127" t="s">
        <v>3388</v>
      </c>
      <c r="AD127" t="s">
        <v>3546</v>
      </c>
      <c r="AE127">
        <v>2</v>
      </c>
      <c r="AF127" t="s">
        <v>2518</v>
      </c>
      <c r="AG127" t="s">
        <v>2255</v>
      </c>
      <c r="AH127">
        <v>12</v>
      </c>
      <c r="AI127">
        <v>1</v>
      </c>
      <c r="AJ127">
        <v>0</v>
      </c>
      <c r="AK127">
        <v>39.14</v>
      </c>
      <c r="AN127" t="s">
        <v>4126</v>
      </c>
      <c r="AO127">
        <v>4888</v>
      </c>
      <c r="AU127">
        <v>1.15</v>
      </c>
      <c r="AV127" t="s">
        <v>169</v>
      </c>
      <c r="AW127" t="s">
        <v>4224</v>
      </c>
      <c r="AX127" t="s">
        <v>4266</v>
      </c>
      <c r="AY127" t="s">
        <v>2226</v>
      </c>
      <c r="AZ127" t="s">
        <v>2226</v>
      </c>
    </row>
    <row r="128" spans="1:52">
      <c r="A128" s="1">
        <f>HYPERLINK("https://lsnyc.legalserver.org/matter/dynamic-profile/view/1912915","19-1912915")</f>
        <v>0</v>
      </c>
      <c r="B128" t="s">
        <v>102</v>
      </c>
      <c r="C128" t="s">
        <v>155</v>
      </c>
      <c r="D128" t="s">
        <v>168</v>
      </c>
      <c r="F128" t="s">
        <v>406</v>
      </c>
      <c r="G128" t="s">
        <v>953</v>
      </c>
      <c r="H128" t="s">
        <v>1442</v>
      </c>
      <c r="I128" t="s">
        <v>2003</v>
      </c>
      <c r="J128" t="s">
        <v>2196</v>
      </c>
      <c r="K128">
        <v>10037</v>
      </c>
      <c r="L128" t="s">
        <v>2224</v>
      </c>
      <c r="M128" t="s">
        <v>2226</v>
      </c>
      <c r="O128" t="s">
        <v>2238</v>
      </c>
      <c r="P128" t="s">
        <v>2559</v>
      </c>
      <c r="R128" t="s">
        <v>2569</v>
      </c>
      <c r="S128" t="s">
        <v>2225</v>
      </c>
      <c r="U128" t="s">
        <v>2578</v>
      </c>
      <c r="V128" t="s">
        <v>2588</v>
      </c>
      <c r="W128" t="s">
        <v>168</v>
      </c>
      <c r="X128">
        <v>2235</v>
      </c>
      <c r="Y128" t="s">
        <v>2607</v>
      </c>
      <c r="Z128" t="s">
        <v>2609</v>
      </c>
      <c r="AB128" t="s">
        <v>2752</v>
      </c>
      <c r="AD128" t="s">
        <v>3547</v>
      </c>
      <c r="AE128">
        <v>259</v>
      </c>
      <c r="AF128" t="s">
        <v>4099</v>
      </c>
      <c r="AH128">
        <v>4</v>
      </c>
      <c r="AI128">
        <v>1</v>
      </c>
      <c r="AJ128">
        <v>0</v>
      </c>
      <c r="AK128">
        <v>39.14</v>
      </c>
      <c r="AN128" t="s">
        <v>4126</v>
      </c>
      <c r="AO128">
        <v>4888</v>
      </c>
      <c r="AU128">
        <v>0</v>
      </c>
      <c r="AW128" t="s">
        <v>4247</v>
      </c>
      <c r="AX128" t="s">
        <v>4267</v>
      </c>
      <c r="AY128" t="s">
        <v>2226</v>
      </c>
      <c r="AZ128" t="s">
        <v>2226</v>
      </c>
    </row>
    <row r="129" spans="1:52">
      <c r="A129" s="1">
        <f>HYPERLINK("https://lsnyc.legalserver.org/matter/dynamic-profile/view/1904893","19-1904893")</f>
        <v>0</v>
      </c>
      <c r="B129" t="s">
        <v>53</v>
      </c>
      <c r="C129" t="s">
        <v>155</v>
      </c>
      <c r="D129" t="s">
        <v>210</v>
      </c>
      <c r="F129" t="s">
        <v>306</v>
      </c>
      <c r="G129" t="s">
        <v>954</v>
      </c>
      <c r="H129" t="s">
        <v>1506</v>
      </c>
      <c r="I129" t="s">
        <v>2004</v>
      </c>
      <c r="J129" t="s">
        <v>2190</v>
      </c>
      <c r="K129">
        <v>11417</v>
      </c>
      <c r="L129" t="s">
        <v>2224</v>
      </c>
      <c r="M129" t="s">
        <v>2226</v>
      </c>
      <c r="N129" t="s">
        <v>2290</v>
      </c>
      <c r="O129" t="s">
        <v>2533</v>
      </c>
      <c r="P129" t="s">
        <v>2558</v>
      </c>
      <c r="R129" t="s">
        <v>2569</v>
      </c>
      <c r="S129" t="s">
        <v>2225</v>
      </c>
      <c r="U129" t="s">
        <v>2578</v>
      </c>
      <c r="V129" t="s">
        <v>2588</v>
      </c>
      <c r="W129" t="s">
        <v>247</v>
      </c>
      <c r="X129">
        <v>800</v>
      </c>
      <c r="Y129" t="s">
        <v>2603</v>
      </c>
      <c r="Z129" t="s">
        <v>2608</v>
      </c>
      <c r="AB129" t="s">
        <v>2753</v>
      </c>
      <c r="AD129" t="s">
        <v>3548</v>
      </c>
      <c r="AE129">
        <v>2</v>
      </c>
      <c r="AF129" t="s">
        <v>4098</v>
      </c>
      <c r="AG129" t="s">
        <v>2255</v>
      </c>
      <c r="AH129">
        <v>6</v>
      </c>
      <c r="AI129">
        <v>1</v>
      </c>
      <c r="AJ129">
        <v>2</v>
      </c>
      <c r="AK129">
        <v>39.38</v>
      </c>
      <c r="AN129" t="s">
        <v>4126</v>
      </c>
      <c r="AO129">
        <v>8400</v>
      </c>
      <c r="AU129">
        <v>24.21</v>
      </c>
      <c r="AV129" t="s">
        <v>188</v>
      </c>
      <c r="AW129" t="s">
        <v>4236</v>
      </c>
      <c r="AX129" t="s">
        <v>4266</v>
      </c>
      <c r="AY129" t="s">
        <v>2224</v>
      </c>
      <c r="AZ129" t="s">
        <v>2224</v>
      </c>
    </row>
    <row r="130" spans="1:52">
      <c r="A130" s="1">
        <f>HYPERLINK("https://lsnyc.legalserver.org/matter/dynamic-profile/view/1904493","19-1904493")</f>
        <v>0</v>
      </c>
      <c r="B130" t="s">
        <v>76</v>
      </c>
      <c r="C130" t="s">
        <v>155</v>
      </c>
      <c r="D130" t="s">
        <v>203</v>
      </c>
      <c r="F130" t="s">
        <v>407</v>
      </c>
      <c r="G130" t="s">
        <v>955</v>
      </c>
      <c r="H130" t="s">
        <v>1507</v>
      </c>
      <c r="I130" t="s">
        <v>2005</v>
      </c>
      <c r="J130" t="s">
        <v>2196</v>
      </c>
      <c r="K130">
        <v>10033</v>
      </c>
      <c r="L130" t="s">
        <v>2224</v>
      </c>
      <c r="M130" t="s">
        <v>2226</v>
      </c>
      <c r="P130" t="s">
        <v>2558</v>
      </c>
      <c r="R130" t="s">
        <v>2569</v>
      </c>
      <c r="S130" t="s">
        <v>2225</v>
      </c>
      <c r="U130" t="s">
        <v>2578</v>
      </c>
      <c r="W130" t="s">
        <v>203</v>
      </c>
      <c r="X130">
        <v>1213</v>
      </c>
      <c r="Y130" t="s">
        <v>2607</v>
      </c>
      <c r="Z130" t="s">
        <v>2613</v>
      </c>
      <c r="AB130" t="s">
        <v>2754</v>
      </c>
      <c r="AD130" t="s">
        <v>3549</v>
      </c>
      <c r="AE130">
        <v>24</v>
      </c>
      <c r="AG130" t="s">
        <v>4118</v>
      </c>
      <c r="AH130">
        <v>4</v>
      </c>
      <c r="AI130">
        <v>1</v>
      </c>
      <c r="AJ130">
        <v>0</v>
      </c>
      <c r="AK130">
        <v>39.41</v>
      </c>
      <c r="AN130" t="s">
        <v>4126</v>
      </c>
      <c r="AO130">
        <v>4922</v>
      </c>
      <c r="AU130">
        <v>14.4</v>
      </c>
      <c r="AV130" t="s">
        <v>211</v>
      </c>
      <c r="AW130" t="s">
        <v>80</v>
      </c>
      <c r="AX130" t="s">
        <v>4266</v>
      </c>
      <c r="AY130" t="s">
        <v>2226</v>
      </c>
      <c r="AZ130" t="s">
        <v>2226</v>
      </c>
    </row>
    <row r="131" spans="1:52">
      <c r="A131" s="1">
        <f>HYPERLINK("https://lsnyc.legalserver.org/matter/dynamic-profile/view/1900699","19-1900699")</f>
        <v>0</v>
      </c>
      <c r="B131" t="s">
        <v>103</v>
      </c>
      <c r="C131" t="s">
        <v>155</v>
      </c>
      <c r="D131" t="s">
        <v>219</v>
      </c>
      <c r="F131" t="s">
        <v>408</v>
      </c>
      <c r="G131" t="s">
        <v>956</v>
      </c>
      <c r="H131" t="s">
        <v>1508</v>
      </c>
      <c r="J131" t="s">
        <v>2197</v>
      </c>
      <c r="K131">
        <v>11415</v>
      </c>
      <c r="L131" t="s">
        <v>2224</v>
      </c>
      <c r="M131" t="s">
        <v>2226</v>
      </c>
      <c r="O131" t="s">
        <v>2238</v>
      </c>
      <c r="P131" t="s">
        <v>2557</v>
      </c>
      <c r="R131" t="s">
        <v>2569</v>
      </c>
      <c r="S131" t="s">
        <v>2225</v>
      </c>
      <c r="U131" t="s">
        <v>2578</v>
      </c>
      <c r="V131" t="s">
        <v>2588</v>
      </c>
      <c r="W131" t="s">
        <v>183</v>
      </c>
      <c r="X131">
        <v>1800</v>
      </c>
      <c r="Y131" t="s">
        <v>2603</v>
      </c>
      <c r="Z131" t="s">
        <v>2613</v>
      </c>
      <c r="AB131" t="s">
        <v>2755</v>
      </c>
      <c r="AD131" t="s">
        <v>3550</v>
      </c>
      <c r="AE131">
        <v>50</v>
      </c>
      <c r="AF131" t="s">
        <v>4099</v>
      </c>
      <c r="AG131" t="s">
        <v>4113</v>
      </c>
      <c r="AH131">
        <v>4</v>
      </c>
      <c r="AI131">
        <v>2</v>
      </c>
      <c r="AJ131">
        <v>3</v>
      </c>
      <c r="AK131">
        <v>39.77</v>
      </c>
      <c r="AN131" t="s">
        <v>4131</v>
      </c>
      <c r="AO131">
        <v>12000</v>
      </c>
      <c r="AU131">
        <v>2.4</v>
      </c>
      <c r="AV131" t="s">
        <v>156</v>
      </c>
      <c r="AW131" t="s">
        <v>103</v>
      </c>
      <c r="AY131" t="s">
        <v>2224</v>
      </c>
      <c r="AZ131" t="s">
        <v>2224</v>
      </c>
    </row>
    <row r="132" spans="1:52">
      <c r="A132" s="1">
        <f>HYPERLINK("https://lsnyc.legalserver.org/matter/dynamic-profile/view/1910445","19-1910445")</f>
        <v>0</v>
      </c>
      <c r="B132" t="s">
        <v>104</v>
      </c>
      <c r="C132" t="s">
        <v>155</v>
      </c>
      <c r="D132" t="s">
        <v>178</v>
      </c>
      <c r="F132" t="s">
        <v>409</v>
      </c>
      <c r="G132" t="s">
        <v>957</v>
      </c>
      <c r="H132" t="s">
        <v>1509</v>
      </c>
      <c r="I132" t="s">
        <v>1972</v>
      </c>
      <c r="J132" t="s">
        <v>2196</v>
      </c>
      <c r="K132">
        <v>10032</v>
      </c>
      <c r="L132" t="s">
        <v>2224</v>
      </c>
      <c r="M132" t="s">
        <v>2226</v>
      </c>
      <c r="P132" t="s">
        <v>2559</v>
      </c>
      <c r="R132" t="s">
        <v>2569</v>
      </c>
      <c r="S132" t="s">
        <v>2225</v>
      </c>
      <c r="U132" t="s">
        <v>2578</v>
      </c>
      <c r="W132" t="s">
        <v>178</v>
      </c>
      <c r="X132">
        <v>2195</v>
      </c>
      <c r="Y132" t="s">
        <v>2607</v>
      </c>
      <c r="Z132" t="s">
        <v>2617</v>
      </c>
      <c r="AB132" t="s">
        <v>2756</v>
      </c>
      <c r="AC132" t="s">
        <v>3389</v>
      </c>
      <c r="AD132" t="s">
        <v>3551</v>
      </c>
      <c r="AE132">
        <v>108</v>
      </c>
      <c r="AF132" t="s">
        <v>4099</v>
      </c>
      <c r="AG132" t="s">
        <v>2255</v>
      </c>
      <c r="AH132">
        <v>1</v>
      </c>
      <c r="AI132">
        <v>1</v>
      </c>
      <c r="AJ132">
        <v>0</v>
      </c>
      <c r="AK132">
        <v>39.97</v>
      </c>
      <c r="AN132" t="s">
        <v>4126</v>
      </c>
      <c r="AO132">
        <v>4992</v>
      </c>
      <c r="AU132">
        <v>0.6</v>
      </c>
      <c r="AV132" t="s">
        <v>263</v>
      </c>
      <c r="AW132" t="s">
        <v>80</v>
      </c>
      <c r="AX132" t="s">
        <v>4266</v>
      </c>
      <c r="AY132" t="s">
        <v>2226</v>
      </c>
      <c r="AZ132" t="s">
        <v>2226</v>
      </c>
    </row>
    <row r="133" spans="1:52">
      <c r="A133" s="1">
        <f>HYPERLINK("https://lsnyc.legalserver.org/matter/dynamic-profile/view/1906263","19-1906263")</f>
        <v>0</v>
      </c>
      <c r="B133" t="s">
        <v>105</v>
      </c>
      <c r="C133" t="s">
        <v>154</v>
      </c>
      <c r="D133" t="s">
        <v>220</v>
      </c>
      <c r="E133" t="s">
        <v>176</v>
      </c>
      <c r="F133" t="s">
        <v>410</v>
      </c>
      <c r="G133" t="s">
        <v>958</v>
      </c>
      <c r="H133" t="s">
        <v>1510</v>
      </c>
      <c r="I133" t="s">
        <v>2006</v>
      </c>
      <c r="J133" t="s">
        <v>2195</v>
      </c>
      <c r="K133">
        <v>10301</v>
      </c>
      <c r="L133" t="s">
        <v>2224</v>
      </c>
      <c r="M133" t="s">
        <v>2226</v>
      </c>
      <c r="N133" t="s">
        <v>2228</v>
      </c>
      <c r="O133" t="s">
        <v>2538</v>
      </c>
      <c r="P133" t="s">
        <v>2561</v>
      </c>
      <c r="Q133" t="s">
        <v>2566</v>
      </c>
      <c r="R133" t="s">
        <v>2570</v>
      </c>
      <c r="S133" t="s">
        <v>2225</v>
      </c>
      <c r="U133" t="s">
        <v>2583</v>
      </c>
      <c r="V133" t="s">
        <v>2588</v>
      </c>
      <c r="W133" t="s">
        <v>220</v>
      </c>
      <c r="X133">
        <v>98</v>
      </c>
      <c r="Y133" t="s">
        <v>2606</v>
      </c>
      <c r="Z133" t="s">
        <v>2610</v>
      </c>
      <c r="AA133" t="s">
        <v>2626</v>
      </c>
      <c r="AB133" t="s">
        <v>2757</v>
      </c>
      <c r="AD133" t="s">
        <v>3552</v>
      </c>
      <c r="AE133">
        <v>2</v>
      </c>
      <c r="AF133" t="s">
        <v>4098</v>
      </c>
      <c r="AG133" t="s">
        <v>4112</v>
      </c>
      <c r="AH133">
        <v>3</v>
      </c>
      <c r="AI133">
        <v>4</v>
      </c>
      <c r="AJ133">
        <v>0</v>
      </c>
      <c r="AK133">
        <v>40.12</v>
      </c>
      <c r="AL133" t="s">
        <v>4121</v>
      </c>
      <c r="AM133" t="s">
        <v>4123</v>
      </c>
      <c r="AN133" t="s">
        <v>4126</v>
      </c>
      <c r="AO133">
        <v>10332</v>
      </c>
      <c r="AU133">
        <v>1.6</v>
      </c>
      <c r="AV133" t="s">
        <v>176</v>
      </c>
      <c r="AW133" t="s">
        <v>105</v>
      </c>
      <c r="AX133" t="s">
        <v>4266</v>
      </c>
      <c r="AY133" t="s">
        <v>2224</v>
      </c>
      <c r="AZ133" t="s">
        <v>2224</v>
      </c>
    </row>
    <row r="134" spans="1:52">
      <c r="A134" s="1">
        <f>HYPERLINK("https://lsnyc.legalserver.org/matter/dynamic-profile/view/1910511","19-1910511")</f>
        <v>0</v>
      </c>
      <c r="B134" t="s">
        <v>52</v>
      </c>
      <c r="C134" t="s">
        <v>154</v>
      </c>
      <c r="D134" t="s">
        <v>178</v>
      </c>
      <c r="E134" t="s">
        <v>199</v>
      </c>
      <c r="F134" t="s">
        <v>411</v>
      </c>
      <c r="G134" t="s">
        <v>959</v>
      </c>
      <c r="H134" t="s">
        <v>1511</v>
      </c>
      <c r="I134" t="s">
        <v>1967</v>
      </c>
      <c r="J134" t="s">
        <v>2193</v>
      </c>
      <c r="K134">
        <v>11102</v>
      </c>
      <c r="L134" t="s">
        <v>2224</v>
      </c>
      <c r="M134" t="s">
        <v>2226</v>
      </c>
      <c r="N134" t="s">
        <v>2291</v>
      </c>
      <c r="O134" t="s">
        <v>2533</v>
      </c>
      <c r="P134" t="s">
        <v>2561</v>
      </c>
      <c r="Q134" t="s">
        <v>2563</v>
      </c>
      <c r="R134" t="s">
        <v>2569</v>
      </c>
      <c r="S134" t="s">
        <v>2225</v>
      </c>
      <c r="U134" t="s">
        <v>2578</v>
      </c>
      <c r="V134" t="s">
        <v>2588</v>
      </c>
      <c r="W134" t="s">
        <v>214</v>
      </c>
      <c r="X134">
        <v>1560</v>
      </c>
      <c r="Y134" t="s">
        <v>2603</v>
      </c>
      <c r="Z134" t="s">
        <v>2608</v>
      </c>
      <c r="AA134" t="s">
        <v>2626</v>
      </c>
      <c r="AB134" t="s">
        <v>2758</v>
      </c>
      <c r="AC134" t="s">
        <v>3390</v>
      </c>
      <c r="AD134" t="s">
        <v>3419</v>
      </c>
      <c r="AE134">
        <v>6</v>
      </c>
      <c r="AF134" t="s">
        <v>4098</v>
      </c>
      <c r="AG134" t="s">
        <v>2255</v>
      </c>
      <c r="AH134">
        <v>9</v>
      </c>
      <c r="AI134">
        <v>2</v>
      </c>
      <c r="AJ134">
        <v>2</v>
      </c>
      <c r="AK134">
        <v>40.39</v>
      </c>
      <c r="AN134" t="s">
        <v>4127</v>
      </c>
      <c r="AO134">
        <v>10400</v>
      </c>
      <c r="AR134" t="s">
        <v>2611</v>
      </c>
      <c r="AT134" t="s">
        <v>4199</v>
      </c>
      <c r="AU134">
        <v>4.2</v>
      </c>
      <c r="AV134" t="s">
        <v>165</v>
      </c>
      <c r="AW134" t="s">
        <v>4223</v>
      </c>
      <c r="AX134" t="s">
        <v>4266</v>
      </c>
      <c r="AY134" t="s">
        <v>2224</v>
      </c>
      <c r="AZ134" t="s">
        <v>2224</v>
      </c>
    </row>
    <row r="135" spans="1:52">
      <c r="A135" s="1">
        <f>HYPERLINK("https://lsnyc.legalserver.org/matter/dynamic-profile/view/1907709","19-1907709")</f>
        <v>0</v>
      </c>
      <c r="B135" t="s">
        <v>82</v>
      </c>
      <c r="C135" t="s">
        <v>155</v>
      </c>
      <c r="D135" t="s">
        <v>221</v>
      </c>
      <c r="F135" t="s">
        <v>412</v>
      </c>
      <c r="G135" t="s">
        <v>960</v>
      </c>
      <c r="H135" t="s">
        <v>1512</v>
      </c>
      <c r="I135" t="s">
        <v>2000</v>
      </c>
      <c r="J135" t="s">
        <v>2192</v>
      </c>
      <c r="K135">
        <v>11238</v>
      </c>
      <c r="L135" t="s">
        <v>2224</v>
      </c>
      <c r="M135" t="s">
        <v>2226</v>
      </c>
      <c r="N135" t="s">
        <v>2255</v>
      </c>
      <c r="O135" t="s">
        <v>2539</v>
      </c>
      <c r="P135" t="s">
        <v>2561</v>
      </c>
      <c r="R135" t="s">
        <v>2569</v>
      </c>
      <c r="S135" t="s">
        <v>2225</v>
      </c>
      <c r="U135" t="s">
        <v>2578</v>
      </c>
      <c r="V135" t="s">
        <v>2588</v>
      </c>
      <c r="W135" t="s">
        <v>221</v>
      </c>
      <c r="X135">
        <v>1266.98</v>
      </c>
      <c r="Y135" t="s">
        <v>2604</v>
      </c>
      <c r="Z135" t="s">
        <v>2613</v>
      </c>
      <c r="AB135" t="s">
        <v>2759</v>
      </c>
      <c r="AC135" t="s">
        <v>3391</v>
      </c>
      <c r="AD135" t="s">
        <v>3553</v>
      </c>
      <c r="AE135">
        <v>16</v>
      </c>
      <c r="AF135" t="s">
        <v>4099</v>
      </c>
      <c r="AG135" t="s">
        <v>4117</v>
      </c>
      <c r="AH135">
        <v>0</v>
      </c>
      <c r="AI135">
        <v>1</v>
      </c>
      <c r="AJ135">
        <v>1</v>
      </c>
      <c r="AK135">
        <v>40.73</v>
      </c>
      <c r="AN135" t="s">
        <v>4126</v>
      </c>
      <c r="AO135">
        <v>6888</v>
      </c>
      <c r="AU135">
        <v>2.5</v>
      </c>
      <c r="AV135" t="s">
        <v>166</v>
      </c>
      <c r="AW135" t="s">
        <v>4226</v>
      </c>
      <c r="AX135" t="s">
        <v>4267</v>
      </c>
      <c r="AY135" t="s">
        <v>2224</v>
      </c>
      <c r="AZ135" t="s">
        <v>2224</v>
      </c>
    </row>
    <row r="136" spans="1:52">
      <c r="A136" s="1">
        <f>HYPERLINK("https://lsnyc.legalserver.org/matter/dynamic-profile/view/1911193","19-1911193")</f>
        <v>0</v>
      </c>
      <c r="B136" t="s">
        <v>82</v>
      </c>
      <c r="C136" t="s">
        <v>155</v>
      </c>
      <c r="D136" t="s">
        <v>222</v>
      </c>
      <c r="F136" t="s">
        <v>412</v>
      </c>
      <c r="G136" t="s">
        <v>960</v>
      </c>
      <c r="H136" t="s">
        <v>1512</v>
      </c>
      <c r="I136" t="s">
        <v>2000</v>
      </c>
      <c r="J136" t="s">
        <v>2192</v>
      </c>
      <c r="K136">
        <v>11238</v>
      </c>
      <c r="L136" t="s">
        <v>2224</v>
      </c>
      <c r="M136" t="s">
        <v>2226</v>
      </c>
      <c r="O136" t="s">
        <v>2539</v>
      </c>
      <c r="P136" t="s">
        <v>2561</v>
      </c>
      <c r="R136" t="s">
        <v>2569</v>
      </c>
      <c r="S136" t="s">
        <v>2224</v>
      </c>
      <c r="U136" t="s">
        <v>2578</v>
      </c>
      <c r="V136" t="s">
        <v>2588</v>
      </c>
      <c r="W136" t="s">
        <v>225</v>
      </c>
      <c r="X136">
        <v>0</v>
      </c>
      <c r="Y136" t="s">
        <v>2604</v>
      </c>
      <c r="Z136" t="s">
        <v>2613</v>
      </c>
      <c r="AB136" t="s">
        <v>2759</v>
      </c>
      <c r="AC136" t="s">
        <v>3391</v>
      </c>
      <c r="AD136" t="s">
        <v>3553</v>
      </c>
      <c r="AE136">
        <v>16</v>
      </c>
      <c r="AF136" t="s">
        <v>4099</v>
      </c>
      <c r="AG136" t="s">
        <v>4117</v>
      </c>
      <c r="AH136">
        <v>0</v>
      </c>
      <c r="AI136">
        <v>1</v>
      </c>
      <c r="AJ136">
        <v>1</v>
      </c>
      <c r="AK136">
        <v>40.73</v>
      </c>
      <c r="AN136" t="s">
        <v>4126</v>
      </c>
      <c r="AO136">
        <v>6888</v>
      </c>
      <c r="AU136">
        <v>16</v>
      </c>
      <c r="AV136" t="s">
        <v>218</v>
      </c>
      <c r="AW136" t="s">
        <v>4226</v>
      </c>
      <c r="AX136" t="s">
        <v>4266</v>
      </c>
      <c r="AY136" t="s">
        <v>2224</v>
      </c>
      <c r="AZ136" t="s">
        <v>2224</v>
      </c>
    </row>
    <row r="137" spans="1:52">
      <c r="A137" s="1">
        <f>HYPERLINK("https://lsnyc.legalserver.org/matter/dynamic-profile/view/1907085","19-1907085")</f>
        <v>0</v>
      </c>
      <c r="B137" t="s">
        <v>71</v>
      </c>
      <c r="C137" t="s">
        <v>154</v>
      </c>
      <c r="D137" t="s">
        <v>193</v>
      </c>
      <c r="E137" t="s">
        <v>216</v>
      </c>
      <c r="F137" t="s">
        <v>413</v>
      </c>
      <c r="G137" t="s">
        <v>961</v>
      </c>
      <c r="H137" t="s">
        <v>1513</v>
      </c>
      <c r="J137" t="s">
        <v>2194</v>
      </c>
      <c r="K137">
        <v>10453</v>
      </c>
      <c r="L137" t="s">
        <v>2224</v>
      </c>
      <c r="M137" t="s">
        <v>2226</v>
      </c>
      <c r="N137" t="s">
        <v>2244</v>
      </c>
      <c r="O137" t="s">
        <v>2238</v>
      </c>
      <c r="P137" t="s">
        <v>2556</v>
      </c>
      <c r="Q137" t="s">
        <v>2563</v>
      </c>
      <c r="R137" t="s">
        <v>2569</v>
      </c>
      <c r="S137" t="s">
        <v>2225</v>
      </c>
      <c r="U137" t="s">
        <v>2578</v>
      </c>
      <c r="W137" t="s">
        <v>2594</v>
      </c>
      <c r="X137">
        <v>1129</v>
      </c>
      <c r="Y137" t="s">
        <v>2605</v>
      </c>
      <c r="Z137" t="s">
        <v>2614</v>
      </c>
      <c r="AA137" t="s">
        <v>2626</v>
      </c>
      <c r="AB137" t="s">
        <v>2760</v>
      </c>
      <c r="AE137">
        <v>69</v>
      </c>
      <c r="AF137" t="s">
        <v>2518</v>
      </c>
      <c r="AG137" t="s">
        <v>2255</v>
      </c>
      <c r="AH137">
        <v>37</v>
      </c>
      <c r="AI137">
        <v>2</v>
      </c>
      <c r="AJ137">
        <v>2</v>
      </c>
      <c r="AK137">
        <v>40.92</v>
      </c>
      <c r="AN137" t="s">
        <v>4126</v>
      </c>
      <c r="AO137">
        <v>10536</v>
      </c>
      <c r="AU137">
        <v>1</v>
      </c>
      <c r="AV137" t="s">
        <v>216</v>
      </c>
      <c r="AW137" t="s">
        <v>4248</v>
      </c>
      <c r="AX137" t="s">
        <v>4266</v>
      </c>
      <c r="AY137" t="s">
        <v>2224</v>
      </c>
      <c r="AZ137" t="s">
        <v>2224</v>
      </c>
    </row>
    <row r="138" spans="1:52">
      <c r="A138" s="1">
        <f>HYPERLINK("https://lsnyc.legalserver.org/matter/dynamic-profile/view/1906018","19-1906018")</f>
        <v>0</v>
      </c>
      <c r="B138" t="s">
        <v>65</v>
      </c>
      <c r="C138" t="s">
        <v>154</v>
      </c>
      <c r="D138" t="s">
        <v>223</v>
      </c>
      <c r="E138" t="s">
        <v>242</v>
      </c>
      <c r="F138" t="s">
        <v>414</v>
      </c>
      <c r="G138" t="s">
        <v>962</v>
      </c>
      <c r="H138" t="s">
        <v>1514</v>
      </c>
      <c r="I138" t="s">
        <v>2007</v>
      </c>
      <c r="J138" t="s">
        <v>2192</v>
      </c>
      <c r="K138">
        <v>11233</v>
      </c>
      <c r="L138" t="s">
        <v>2224</v>
      </c>
      <c r="M138" t="s">
        <v>2226</v>
      </c>
      <c r="N138" t="s">
        <v>2238</v>
      </c>
      <c r="O138" t="s">
        <v>2238</v>
      </c>
      <c r="P138" t="s">
        <v>2561</v>
      </c>
      <c r="Q138" t="s">
        <v>2566</v>
      </c>
      <c r="R138" t="s">
        <v>2569</v>
      </c>
      <c r="S138" t="s">
        <v>2225</v>
      </c>
      <c r="U138" t="s">
        <v>2578</v>
      </c>
      <c r="W138" t="s">
        <v>195</v>
      </c>
      <c r="X138">
        <v>1781</v>
      </c>
      <c r="Y138" t="s">
        <v>2604</v>
      </c>
      <c r="Z138" t="s">
        <v>2614</v>
      </c>
      <c r="AA138" t="s">
        <v>2629</v>
      </c>
      <c r="AB138" t="s">
        <v>2761</v>
      </c>
      <c r="AD138" t="s">
        <v>3554</v>
      </c>
      <c r="AE138">
        <v>8</v>
      </c>
      <c r="AF138" t="s">
        <v>4099</v>
      </c>
      <c r="AG138" t="s">
        <v>4115</v>
      </c>
      <c r="AH138">
        <v>14</v>
      </c>
      <c r="AI138">
        <v>3</v>
      </c>
      <c r="AJ138">
        <v>1</v>
      </c>
      <c r="AK138">
        <v>41.15</v>
      </c>
      <c r="AN138" t="s">
        <v>4126</v>
      </c>
      <c r="AO138">
        <v>10596</v>
      </c>
      <c r="AU138">
        <v>1.4</v>
      </c>
      <c r="AV138" t="s">
        <v>163</v>
      </c>
      <c r="AW138" t="s">
        <v>4239</v>
      </c>
      <c r="AX138" t="s">
        <v>4266</v>
      </c>
      <c r="AY138" t="s">
        <v>2224</v>
      </c>
      <c r="AZ138" t="s">
        <v>2224</v>
      </c>
    </row>
    <row r="139" spans="1:52">
      <c r="A139" s="1">
        <f>HYPERLINK("https://lsnyc.legalserver.org/matter/dynamic-profile/view/1906982","19-1906982")</f>
        <v>0</v>
      </c>
      <c r="B139" t="s">
        <v>70</v>
      </c>
      <c r="C139" t="s">
        <v>154</v>
      </c>
      <c r="D139" t="s">
        <v>181</v>
      </c>
      <c r="E139" t="s">
        <v>247</v>
      </c>
      <c r="F139" t="s">
        <v>391</v>
      </c>
      <c r="G139" t="s">
        <v>918</v>
      </c>
      <c r="H139" t="s">
        <v>1515</v>
      </c>
      <c r="I139" t="s">
        <v>2008</v>
      </c>
      <c r="J139" t="s">
        <v>2194</v>
      </c>
      <c r="K139">
        <v>10452</v>
      </c>
      <c r="L139" t="s">
        <v>2224</v>
      </c>
      <c r="M139" t="s">
        <v>2226</v>
      </c>
      <c r="O139" t="s">
        <v>2238</v>
      </c>
      <c r="P139" t="s">
        <v>2556</v>
      </c>
      <c r="Q139" t="s">
        <v>2563</v>
      </c>
      <c r="R139" t="s">
        <v>2569</v>
      </c>
      <c r="S139" t="s">
        <v>2225</v>
      </c>
      <c r="U139" t="s">
        <v>2578</v>
      </c>
      <c r="W139" t="s">
        <v>183</v>
      </c>
      <c r="X139">
        <v>811.24</v>
      </c>
      <c r="Y139" t="s">
        <v>2605</v>
      </c>
      <c r="Z139" t="s">
        <v>2614</v>
      </c>
      <c r="AA139" t="s">
        <v>2626</v>
      </c>
      <c r="AB139" t="s">
        <v>2762</v>
      </c>
      <c r="AD139" t="s">
        <v>3555</v>
      </c>
      <c r="AE139">
        <v>53</v>
      </c>
      <c r="AF139" t="s">
        <v>4099</v>
      </c>
      <c r="AG139" t="s">
        <v>4113</v>
      </c>
      <c r="AH139">
        <v>34</v>
      </c>
      <c r="AI139">
        <v>1</v>
      </c>
      <c r="AJ139">
        <v>2</v>
      </c>
      <c r="AK139">
        <v>41.24</v>
      </c>
      <c r="AN139" t="s">
        <v>4127</v>
      </c>
      <c r="AO139">
        <v>8796</v>
      </c>
      <c r="AU139">
        <v>1.4</v>
      </c>
      <c r="AV139" t="s">
        <v>247</v>
      </c>
      <c r="AW139" t="s">
        <v>70</v>
      </c>
      <c r="AX139" t="s">
        <v>4266</v>
      </c>
      <c r="AY139" t="s">
        <v>2226</v>
      </c>
      <c r="AZ139" t="s">
        <v>2225</v>
      </c>
    </row>
    <row r="140" spans="1:52">
      <c r="A140" s="1">
        <f>HYPERLINK("https://lsnyc.legalserver.org/matter/dynamic-profile/view/1905034","19-1905034")</f>
        <v>0</v>
      </c>
      <c r="B140" t="s">
        <v>84</v>
      </c>
      <c r="C140" t="s">
        <v>155</v>
      </c>
      <c r="D140" t="s">
        <v>180</v>
      </c>
      <c r="F140" t="s">
        <v>415</v>
      </c>
      <c r="G140" t="s">
        <v>963</v>
      </c>
      <c r="H140" t="s">
        <v>1516</v>
      </c>
      <c r="I140" t="s">
        <v>2009</v>
      </c>
      <c r="J140" t="s">
        <v>2194</v>
      </c>
      <c r="K140">
        <v>10453</v>
      </c>
      <c r="L140" t="s">
        <v>2224</v>
      </c>
      <c r="M140" t="s">
        <v>2226</v>
      </c>
      <c r="N140" t="s">
        <v>2292</v>
      </c>
      <c r="O140" t="s">
        <v>2537</v>
      </c>
      <c r="P140" t="s">
        <v>2560</v>
      </c>
      <c r="R140" t="s">
        <v>2569</v>
      </c>
      <c r="S140" t="s">
        <v>2224</v>
      </c>
      <c r="U140" t="s">
        <v>2578</v>
      </c>
      <c r="W140" t="s">
        <v>2597</v>
      </c>
      <c r="X140">
        <v>1091</v>
      </c>
      <c r="Y140" t="s">
        <v>2605</v>
      </c>
      <c r="Z140" t="s">
        <v>2614</v>
      </c>
      <c r="AB140" t="s">
        <v>2763</v>
      </c>
      <c r="AD140" t="s">
        <v>3556</v>
      </c>
      <c r="AE140">
        <v>170</v>
      </c>
      <c r="AF140" t="s">
        <v>4099</v>
      </c>
      <c r="AG140" t="s">
        <v>4113</v>
      </c>
      <c r="AH140">
        <v>12</v>
      </c>
      <c r="AI140">
        <v>1</v>
      </c>
      <c r="AJ140">
        <v>2</v>
      </c>
      <c r="AK140">
        <v>41.63</v>
      </c>
      <c r="AN140" t="s">
        <v>4127</v>
      </c>
      <c r="AO140">
        <v>8880</v>
      </c>
      <c r="AU140">
        <v>0</v>
      </c>
      <c r="AW140" t="s">
        <v>4241</v>
      </c>
      <c r="AX140" t="s">
        <v>4266</v>
      </c>
      <c r="AY140" t="s">
        <v>2224</v>
      </c>
      <c r="AZ140" t="s">
        <v>2224</v>
      </c>
    </row>
    <row r="141" spans="1:52">
      <c r="A141" s="1">
        <f>HYPERLINK("https://lsnyc.legalserver.org/matter/dynamic-profile/view/1907283","19-1907283")</f>
        <v>0</v>
      </c>
      <c r="B141" t="s">
        <v>76</v>
      </c>
      <c r="C141" t="s">
        <v>155</v>
      </c>
      <c r="D141" t="s">
        <v>185</v>
      </c>
      <c r="F141" t="s">
        <v>416</v>
      </c>
      <c r="G141" t="s">
        <v>957</v>
      </c>
      <c r="H141" t="s">
        <v>1517</v>
      </c>
      <c r="I141">
        <v>51</v>
      </c>
      <c r="J141" t="s">
        <v>2196</v>
      </c>
      <c r="K141">
        <v>10034</v>
      </c>
      <c r="L141" t="s">
        <v>2224</v>
      </c>
      <c r="M141" t="s">
        <v>2226</v>
      </c>
      <c r="O141" t="s">
        <v>2536</v>
      </c>
      <c r="P141" t="s">
        <v>2559</v>
      </c>
      <c r="R141" t="s">
        <v>2569</v>
      </c>
      <c r="S141" t="s">
        <v>2225</v>
      </c>
      <c r="U141" t="s">
        <v>2578</v>
      </c>
      <c r="W141" t="s">
        <v>185</v>
      </c>
      <c r="X141">
        <v>1664.13</v>
      </c>
      <c r="Y141" t="s">
        <v>2607</v>
      </c>
      <c r="Z141" t="s">
        <v>2613</v>
      </c>
      <c r="AB141" t="s">
        <v>2764</v>
      </c>
      <c r="AD141" t="s">
        <v>3557</v>
      </c>
      <c r="AE141">
        <v>26</v>
      </c>
      <c r="AF141" t="s">
        <v>4099</v>
      </c>
      <c r="AG141" t="s">
        <v>4112</v>
      </c>
      <c r="AH141">
        <v>26</v>
      </c>
      <c r="AI141">
        <v>3</v>
      </c>
      <c r="AJ141">
        <v>0</v>
      </c>
      <c r="AK141">
        <v>41.69</v>
      </c>
      <c r="AN141" t="s">
        <v>4127</v>
      </c>
      <c r="AO141">
        <v>8892</v>
      </c>
      <c r="AU141">
        <v>1.5</v>
      </c>
      <c r="AV141" t="s">
        <v>216</v>
      </c>
      <c r="AW141" t="s">
        <v>80</v>
      </c>
      <c r="AX141" t="s">
        <v>4266</v>
      </c>
      <c r="AY141" t="s">
        <v>2226</v>
      </c>
      <c r="AZ141" t="s">
        <v>2226</v>
      </c>
    </row>
    <row r="142" spans="1:52">
      <c r="A142" s="1">
        <f>HYPERLINK("https://lsnyc.legalserver.org/matter/dynamic-profile/view/1881736","18-1881736")</f>
        <v>0</v>
      </c>
      <c r="B142" t="s">
        <v>64</v>
      </c>
      <c r="C142" t="s">
        <v>155</v>
      </c>
      <c r="D142" t="s">
        <v>224</v>
      </c>
      <c r="F142" t="s">
        <v>417</v>
      </c>
      <c r="G142" t="s">
        <v>867</v>
      </c>
      <c r="H142" t="s">
        <v>1473</v>
      </c>
      <c r="I142">
        <v>21</v>
      </c>
      <c r="J142" t="s">
        <v>2192</v>
      </c>
      <c r="K142">
        <v>11212</v>
      </c>
      <c r="L142" t="s">
        <v>2225</v>
      </c>
      <c r="M142" t="s">
        <v>2225</v>
      </c>
      <c r="N142" t="s">
        <v>2293</v>
      </c>
      <c r="O142" t="s">
        <v>2535</v>
      </c>
      <c r="P142" t="s">
        <v>2558</v>
      </c>
      <c r="R142" t="s">
        <v>2569</v>
      </c>
      <c r="S142" t="s">
        <v>2225</v>
      </c>
      <c r="U142" t="s">
        <v>2578</v>
      </c>
      <c r="V142" t="s">
        <v>2591</v>
      </c>
      <c r="W142" t="s">
        <v>191</v>
      </c>
      <c r="X142">
        <v>1200</v>
      </c>
      <c r="Y142" t="s">
        <v>2604</v>
      </c>
      <c r="Z142" t="s">
        <v>2621</v>
      </c>
      <c r="AB142" t="s">
        <v>2765</v>
      </c>
      <c r="AC142" t="s">
        <v>3392</v>
      </c>
      <c r="AD142" t="s">
        <v>3558</v>
      </c>
      <c r="AE142">
        <v>23</v>
      </c>
      <c r="AF142" t="s">
        <v>4099</v>
      </c>
      <c r="AG142" t="s">
        <v>4118</v>
      </c>
      <c r="AH142">
        <v>3</v>
      </c>
      <c r="AI142">
        <v>1</v>
      </c>
      <c r="AJ142">
        <v>0</v>
      </c>
      <c r="AK142">
        <v>42.83</v>
      </c>
      <c r="AN142" t="s">
        <v>4126</v>
      </c>
      <c r="AO142">
        <v>5200</v>
      </c>
      <c r="AU142">
        <v>37.4</v>
      </c>
      <c r="AV142" t="s">
        <v>217</v>
      </c>
      <c r="AW142" t="s">
        <v>4226</v>
      </c>
      <c r="AX142" t="s">
        <v>4267</v>
      </c>
      <c r="AY142" t="s">
        <v>2226</v>
      </c>
      <c r="AZ142" t="s">
        <v>2226</v>
      </c>
    </row>
    <row r="143" spans="1:52">
      <c r="A143" s="1">
        <f>HYPERLINK("https://lsnyc.legalserver.org/matter/dynamic-profile/view/1908250","19-1908250")</f>
        <v>0</v>
      </c>
      <c r="B143" t="s">
        <v>52</v>
      </c>
      <c r="C143" t="s">
        <v>155</v>
      </c>
      <c r="D143" t="s">
        <v>177</v>
      </c>
      <c r="F143" t="s">
        <v>418</v>
      </c>
      <c r="G143" t="s">
        <v>964</v>
      </c>
      <c r="H143" t="s">
        <v>1518</v>
      </c>
      <c r="I143" t="s">
        <v>2010</v>
      </c>
      <c r="J143" t="s">
        <v>2204</v>
      </c>
      <c r="K143">
        <v>11377</v>
      </c>
      <c r="L143" t="s">
        <v>2224</v>
      </c>
      <c r="M143" t="s">
        <v>2226</v>
      </c>
      <c r="N143" t="s">
        <v>2294</v>
      </c>
      <c r="O143" t="s">
        <v>2533</v>
      </c>
      <c r="P143" t="s">
        <v>2558</v>
      </c>
      <c r="R143" t="s">
        <v>2569</v>
      </c>
      <c r="S143" t="s">
        <v>2225</v>
      </c>
      <c r="U143" t="s">
        <v>2578</v>
      </c>
      <c r="V143" t="s">
        <v>2588</v>
      </c>
      <c r="W143" t="s">
        <v>177</v>
      </c>
      <c r="X143">
        <v>1850</v>
      </c>
      <c r="Y143" t="s">
        <v>2603</v>
      </c>
      <c r="Z143" t="s">
        <v>2608</v>
      </c>
      <c r="AB143" t="s">
        <v>2766</v>
      </c>
      <c r="AD143" t="s">
        <v>3559</v>
      </c>
      <c r="AE143">
        <v>2</v>
      </c>
      <c r="AF143" t="s">
        <v>4098</v>
      </c>
      <c r="AG143" t="s">
        <v>2255</v>
      </c>
      <c r="AH143">
        <v>-1</v>
      </c>
      <c r="AI143">
        <v>1</v>
      </c>
      <c r="AJ143">
        <v>0</v>
      </c>
      <c r="AK143">
        <v>43.23</v>
      </c>
      <c r="AN143" t="s">
        <v>4126</v>
      </c>
      <c r="AO143">
        <v>5400</v>
      </c>
      <c r="AU143">
        <v>15.55</v>
      </c>
      <c r="AV143" t="s">
        <v>204</v>
      </c>
      <c r="AW143" t="s">
        <v>4224</v>
      </c>
      <c r="AX143" t="s">
        <v>4266</v>
      </c>
      <c r="AY143" t="s">
        <v>2224</v>
      </c>
      <c r="AZ143" t="s">
        <v>2224</v>
      </c>
    </row>
    <row r="144" spans="1:52">
      <c r="A144" s="1">
        <f>HYPERLINK("https://lsnyc.legalserver.org/matter/dynamic-profile/view/1904898","19-1904898")</f>
        <v>0</v>
      </c>
      <c r="B144" t="s">
        <v>55</v>
      </c>
      <c r="C144" t="s">
        <v>155</v>
      </c>
      <c r="D144" t="s">
        <v>210</v>
      </c>
      <c r="F144" t="s">
        <v>419</v>
      </c>
      <c r="G144" t="s">
        <v>869</v>
      </c>
      <c r="H144" t="s">
        <v>1519</v>
      </c>
      <c r="I144" t="s">
        <v>1993</v>
      </c>
      <c r="J144" t="s">
        <v>2200</v>
      </c>
      <c r="K144">
        <v>11412</v>
      </c>
      <c r="L144" t="s">
        <v>2224</v>
      </c>
      <c r="M144" t="s">
        <v>2226</v>
      </c>
      <c r="N144" t="s">
        <v>2295</v>
      </c>
      <c r="O144" t="s">
        <v>2533</v>
      </c>
      <c r="P144" t="s">
        <v>2558</v>
      </c>
      <c r="R144" t="s">
        <v>2570</v>
      </c>
      <c r="S144" t="s">
        <v>2225</v>
      </c>
      <c r="U144" t="s">
        <v>2578</v>
      </c>
      <c r="V144" t="s">
        <v>2591</v>
      </c>
      <c r="W144" t="s">
        <v>210</v>
      </c>
      <c r="X144">
        <v>1488.5</v>
      </c>
      <c r="Y144" t="s">
        <v>2603</v>
      </c>
      <c r="Z144" t="s">
        <v>2610</v>
      </c>
      <c r="AB144" t="s">
        <v>2767</v>
      </c>
      <c r="AC144" t="s">
        <v>3393</v>
      </c>
      <c r="AE144">
        <v>3</v>
      </c>
      <c r="AF144" t="s">
        <v>4107</v>
      </c>
      <c r="AG144" t="s">
        <v>4113</v>
      </c>
      <c r="AH144">
        <v>2</v>
      </c>
      <c r="AI144">
        <v>1</v>
      </c>
      <c r="AJ144">
        <v>2</v>
      </c>
      <c r="AK144">
        <v>43.38</v>
      </c>
      <c r="AL144" t="s">
        <v>4121</v>
      </c>
      <c r="AM144" t="s">
        <v>4123</v>
      </c>
      <c r="AN144" t="s">
        <v>4126</v>
      </c>
      <c r="AO144">
        <v>9252</v>
      </c>
      <c r="AU144">
        <v>14.16</v>
      </c>
      <c r="AV144" t="s">
        <v>166</v>
      </c>
      <c r="AW144" t="s">
        <v>55</v>
      </c>
      <c r="AX144" t="s">
        <v>4266</v>
      </c>
      <c r="AY144" t="s">
        <v>2224</v>
      </c>
      <c r="AZ144" t="s">
        <v>2224</v>
      </c>
    </row>
    <row r="145" spans="1:52">
      <c r="A145" s="1">
        <f>HYPERLINK("https://lsnyc.legalserver.org/matter/dynamic-profile/view/1912717","19-1912717")</f>
        <v>0</v>
      </c>
      <c r="B145" t="s">
        <v>87</v>
      </c>
      <c r="C145" t="s">
        <v>155</v>
      </c>
      <c r="D145" t="s">
        <v>202</v>
      </c>
      <c r="F145" t="s">
        <v>420</v>
      </c>
      <c r="G145" t="s">
        <v>864</v>
      </c>
      <c r="H145" t="s">
        <v>1520</v>
      </c>
      <c r="I145" t="s">
        <v>2011</v>
      </c>
      <c r="J145" t="s">
        <v>2196</v>
      </c>
      <c r="K145">
        <v>10035</v>
      </c>
      <c r="L145" t="s">
        <v>2224</v>
      </c>
      <c r="M145" t="s">
        <v>2226</v>
      </c>
      <c r="O145" t="s">
        <v>2534</v>
      </c>
      <c r="P145" t="s">
        <v>2559</v>
      </c>
      <c r="R145" t="s">
        <v>2569</v>
      </c>
      <c r="S145" t="s">
        <v>2224</v>
      </c>
      <c r="U145" t="s">
        <v>2578</v>
      </c>
      <c r="V145" t="s">
        <v>2588</v>
      </c>
      <c r="W145" t="s">
        <v>202</v>
      </c>
      <c r="X145">
        <v>1962.89</v>
      </c>
      <c r="Y145" t="s">
        <v>2607</v>
      </c>
      <c r="Z145" t="s">
        <v>2611</v>
      </c>
      <c r="AB145" t="s">
        <v>2768</v>
      </c>
      <c r="AC145" t="s">
        <v>3394</v>
      </c>
      <c r="AD145" t="s">
        <v>3560</v>
      </c>
      <c r="AE145">
        <v>72</v>
      </c>
      <c r="AF145" t="s">
        <v>4099</v>
      </c>
      <c r="AG145" t="s">
        <v>4112</v>
      </c>
      <c r="AH145">
        <v>39</v>
      </c>
      <c r="AI145">
        <v>3</v>
      </c>
      <c r="AJ145">
        <v>0</v>
      </c>
      <c r="AK145">
        <v>43.38</v>
      </c>
      <c r="AN145" t="s">
        <v>4126</v>
      </c>
      <c r="AO145">
        <v>9252</v>
      </c>
      <c r="AU145">
        <v>0</v>
      </c>
      <c r="AW145" t="s">
        <v>87</v>
      </c>
      <c r="AX145" t="s">
        <v>4266</v>
      </c>
      <c r="AY145" t="s">
        <v>2224</v>
      </c>
      <c r="AZ145" t="s">
        <v>2224</v>
      </c>
    </row>
    <row r="146" spans="1:52">
      <c r="A146" s="1">
        <f>HYPERLINK("https://lsnyc.legalserver.org/matter/dynamic-profile/view/1912711","19-1912711")</f>
        <v>0</v>
      </c>
      <c r="B146" t="s">
        <v>87</v>
      </c>
      <c r="C146" t="s">
        <v>155</v>
      </c>
      <c r="D146" t="s">
        <v>202</v>
      </c>
      <c r="F146" t="s">
        <v>420</v>
      </c>
      <c r="G146" t="s">
        <v>864</v>
      </c>
      <c r="H146" t="s">
        <v>1520</v>
      </c>
      <c r="I146" t="s">
        <v>2011</v>
      </c>
      <c r="J146" t="s">
        <v>2196</v>
      </c>
      <c r="K146">
        <v>10035</v>
      </c>
      <c r="L146" t="s">
        <v>2224</v>
      </c>
      <c r="M146" t="s">
        <v>2226</v>
      </c>
      <c r="O146" t="s">
        <v>2238</v>
      </c>
      <c r="P146" t="s">
        <v>2561</v>
      </c>
      <c r="R146" t="s">
        <v>2569</v>
      </c>
      <c r="S146" t="s">
        <v>2225</v>
      </c>
      <c r="U146" t="s">
        <v>2578</v>
      </c>
      <c r="V146" t="s">
        <v>2588</v>
      </c>
      <c r="W146" t="s">
        <v>202</v>
      </c>
      <c r="X146">
        <v>1962.89</v>
      </c>
      <c r="Y146" t="s">
        <v>2607</v>
      </c>
      <c r="Z146" t="s">
        <v>2611</v>
      </c>
      <c r="AB146" t="s">
        <v>2768</v>
      </c>
      <c r="AC146" t="s">
        <v>3395</v>
      </c>
      <c r="AD146" t="s">
        <v>3560</v>
      </c>
      <c r="AE146">
        <v>72</v>
      </c>
      <c r="AF146" t="s">
        <v>4099</v>
      </c>
      <c r="AG146" t="s">
        <v>4112</v>
      </c>
      <c r="AH146">
        <v>39</v>
      </c>
      <c r="AI146">
        <v>3</v>
      </c>
      <c r="AJ146">
        <v>0</v>
      </c>
      <c r="AK146">
        <v>43.38</v>
      </c>
      <c r="AN146" t="s">
        <v>4126</v>
      </c>
      <c r="AO146">
        <v>9252</v>
      </c>
      <c r="AU146">
        <v>0</v>
      </c>
      <c r="AW146" t="s">
        <v>87</v>
      </c>
      <c r="AX146" t="s">
        <v>4266</v>
      </c>
      <c r="AY146" t="s">
        <v>2226</v>
      </c>
      <c r="AZ146" t="s">
        <v>2226</v>
      </c>
    </row>
    <row r="147" spans="1:52">
      <c r="A147" s="1">
        <f>HYPERLINK("https://lsnyc.legalserver.org/matter/dynamic-profile/view/1908588","19-1908588")</f>
        <v>0</v>
      </c>
      <c r="B147" t="s">
        <v>87</v>
      </c>
      <c r="C147" t="s">
        <v>155</v>
      </c>
      <c r="D147" t="s">
        <v>216</v>
      </c>
      <c r="F147" t="s">
        <v>420</v>
      </c>
      <c r="G147" t="s">
        <v>864</v>
      </c>
      <c r="H147" t="s">
        <v>1520</v>
      </c>
      <c r="I147" t="s">
        <v>2011</v>
      </c>
      <c r="J147" t="s">
        <v>2196</v>
      </c>
      <c r="K147">
        <v>10035</v>
      </c>
      <c r="L147" t="s">
        <v>2224</v>
      </c>
      <c r="M147" t="s">
        <v>2226</v>
      </c>
      <c r="O147" t="s">
        <v>2539</v>
      </c>
      <c r="P147" t="s">
        <v>2561</v>
      </c>
      <c r="R147" t="s">
        <v>2569</v>
      </c>
      <c r="S147" t="s">
        <v>2224</v>
      </c>
      <c r="U147" t="s">
        <v>2578</v>
      </c>
      <c r="V147" t="s">
        <v>2588</v>
      </c>
      <c r="W147" t="s">
        <v>247</v>
      </c>
      <c r="X147">
        <v>1967.89</v>
      </c>
      <c r="Y147" t="s">
        <v>2607</v>
      </c>
      <c r="Z147" t="s">
        <v>2609</v>
      </c>
      <c r="AB147" t="s">
        <v>2768</v>
      </c>
      <c r="AC147" t="s">
        <v>3394</v>
      </c>
      <c r="AD147" t="s">
        <v>3560</v>
      </c>
      <c r="AE147">
        <v>72</v>
      </c>
      <c r="AF147" t="s">
        <v>4099</v>
      </c>
      <c r="AG147" t="s">
        <v>4112</v>
      </c>
      <c r="AH147">
        <v>39</v>
      </c>
      <c r="AI147">
        <v>3</v>
      </c>
      <c r="AJ147">
        <v>0</v>
      </c>
      <c r="AK147">
        <v>43.38</v>
      </c>
      <c r="AN147" t="s">
        <v>4126</v>
      </c>
      <c r="AO147">
        <v>9252</v>
      </c>
      <c r="AU147">
        <v>0</v>
      </c>
      <c r="AW147" t="s">
        <v>4237</v>
      </c>
      <c r="AX147" t="s">
        <v>4266</v>
      </c>
      <c r="AY147" t="s">
        <v>2224</v>
      </c>
      <c r="AZ147" t="s">
        <v>2224</v>
      </c>
    </row>
    <row r="148" spans="1:52">
      <c r="A148" s="1">
        <f>HYPERLINK("https://lsnyc.legalserver.org/matter/dynamic-profile/view/1911035","19-1911035")</f>
        <v>0</v>
      </c>
      <c r="B148" t="s">
        <v>64</v>
      </c>
      <c r="C148" t="s">
        <v>155</v>
      </c>
      <c r="D148" t="s">
        <v>225</v>
      </c>
      <c r="F148" t="s">
        <v>421</v>
      </c>
      <c r="G148" t="s">
        <v>965</v>
      </c>
      <c r="H148" t="s">
        <v>1521</v>
      </c>
      <c r="I148" t="s">
        <v>1965</v>
      </c>
      <c r="J148" t="s">
        <v>2192</v>
      </c>
      <c r="K148">
        <v>11207</v>
      </c>
      <c r="L148" t="s">
        <v>2225</v>
      </c>
      <c r="M148" t="s">
        <v>2226</v>
      </c>
      <c r="N148" t="s">
        <v>2296</v>
      </c>
      <c r="O148" t="s">
        <v>2533</v>
      </c>
      <c r="P148" t="s">
        <v>2558</v>
      </c>
      <c r="R148" t="s">
        <v>2569</v>
      </c>
      <c r="S148" t="s">
        <v>2225</v>
      </c>
      <c r="T148" t="s">
        <v>2573</v>
      </c>
      <c r="U148" t="s">
        <v>2578</v>
      </c>
      <c r="V148" t="s">
        <v>2588</v>
      </c>
      <c r="W148" t="s">
        <v>171</v>
      </c>
      <c r="X148">
        <v>600</v>
      </c>
      <c r="Y148" t="s">
        <v>2604</v>
      </c>
      <c r="AB148" t="s">
        <v>2769</v>
      </c>
      <c r="AE148">
        <v>2</v>
      </c>
      <c r="AF148" t="s">
        <v>4100</v>
      </c>
      <c r="AH148">
        <v>0</v>
      </c>
      <c r="AI148">
        <v>1</v>
      </c>
      <c r="AJ148">
        <v>0</v>
      </c>
      <c r="AK148">
        <v>43.71</v>
      </c>
      <c r="AN148" t="s">
        <v>4127</v>
      </c>
      <c r="AO148">
        <v>5460</v>
      </c>
      <c r="AU148">
        <v>3.1</v>
      </c>
      <c r="AV148" t="s">
        <v>168</v>
      </c>
      <c r="AW148" t="s">
        <v>141</v>
      </c>
      <c r="AX148" t="s">
        <v>2255</v>
      </c>
      <c r="AY148" t="s">
        <v>2226</v>
      </c>
      <c r="AZ148" t="s">
        <v>2225</v>
      </c>
    </row>
    <row r="149" spans="1:52">
      <c r="A149" s="1">
        <f>HYPERLINK("https://lsnyc.legalserver.org/matter/dynamic-profile/view/1894362","19-1894362")</f>
        <v>0</v>
      </c>
      <c r="B149" t="s">
        <v>106</v>
      </c>
      <c r="C149" t="s">
        <v>154</v>
      </c>
      <c r="D149" t="s">
        <v>226</v>
      </c>
      <c r="E149" t="s">
        <v>229</v>
      </c>
      <c r="F149" t="s">
        <v>422</v>
      </c>
      <c r="G149" t="s">
        <v>966</v>
      </c>
      <c r="H149" t="s">
        <v>1522</v>
      </c>
      <c r="I149" t="s">
        <v>2012</v>
      </c>
      <c r="J149" t="s">
        <v>2195</v>
      </c>
      <c r="K149">
        <v>10301</v>
      </c>
      <c r="L149" t="s">
        <v>2224</v>
      </c>
      <c r="M149" t="s">
        <v>2226</v>
      </c>
      <c r="N149" t="s">
        <v>2297</v>
      </c>
      <c r="O149" t="s">
        <v>2535</v>
      </c>
      <c r="P149" t="s">
        <v>2558</v>
      </c>
      <c r="Q149" t="s">
        <v>2564</v>
      </c>
      <c r="R149" t="s">
        <v>2569</v>
      </c>
      <c r="S149" t="s">
        <v>2225</v>
      </c>
      <c r="U149" t="s">
        <v>2578</v>
      </c>
      <c r="V149" t="s">
        <v>2588</v>
      </c>
      <c r="W149" t="s">
        <v>2594</v>
      </c>
      <c r="X149">
        <v>1515</v>
      </c>
      <c r="Y149" t="s">
        <v>2606</v>
      </c>
      <c r="Z149" t="s">
        <v>2618</v>
      </c>
      <c r="AA149" t="s">
        <v>2628</v>
      </c>
      <c r="AB149" t="s">
        <v>2770</v>
      </c>
      <c r="AD149" t="s">
        <v>3561</v>
      </c>
      <c r="AE149">
        <v>2</v>
      </c>
      <c r="AF149" t="s">
        <v>4098</v>
      </c>
      <c r="AG149" t="s">
        <v>4117</v>
      </c>
      <c r="AH149">
        <v>-1</v>
      </c>
      <c r="AI149">
        <v>1</v>
      </c>
      <c r="AJ149">
        <v>2</v>
      </c>
      <c r="AK149">
        <v>44.44</v>
      </c>
      <c r="AN149" t="s">
        <v>4126</v>
      </c>
      <c r="AO149">
        <v>9480</v>
      </c>
      <c r="AQ149" t="s">
        <v>4177</v>
      </c>
      <c r="AR149" t="s">
        <v>4181</v>
      </c>
      <c r="AS149" t="s">
        <v>4188</v>
      </c>
      <c r="AT149" t="s">
        <v>4200</v>
      </c>
      <c r="AU149">
        <v>13.1</v>
      </c>
      <c r="AV149" t="s">
        <v>229</v>
      </c>
      <c r="AW149" t="s">
        <v>4230</v>
      </c>
      <c r="AX149" t="s">
        <v>4266</v>
      </c>
      <c r="AY149" t="s">
        <v>2224</v>
      </c>
      <c r="AZ149" t="s">
        <v>2224</v>
      </c>
    </row>
    <row r="150" spans="1:52">
      <c r="A150" s="1">
        <f>HYPERLINK("https://lsnyc.legalserver.org/matter/dynamic-profile/view/1904987","19-1904987")</f>
        <v>0</v>
      </c>
      <c r="B150" t="s">
        <v>76</v>
      </c>
      <c r="C150" t="s">
        <v>154</v>
      </c>
      <c r="D150" t="s">
        <v>210</v>
      </c>
      <c r="E150" t="s">
        <v>257</v>
      </c>
      <c r="F150" t="s">
        <v>423</v>
      </c>
      <c r="G150" t="s">
        <v>848</v>
      </c>
      <c r="H150" t="s">
        <v>1523</v>
      </c>
      <c r="I150" t="s">
        <v>1949</v>
      </c>
      <c r="J150" t="s">
        <v>2196</v>
      </c>
      <c r="K150">
        <v>10034</v>
      </c>
      <c r="L150" t="s">
        <v>2224</v>
      </c>
      <c r="M150" t="s">
        <v>2226</v>
      </c>
      <c r="O150" t="s">
        <v>2536</v>
      </c>
      <c r="P150" t="s">
        <v>2556</v>
      </c>
      <c r="Q150" t="s">
        <v>2563</v>
      </c>
      <c r="R150" t="s">
        <v>2569</v>
      </c>
      <c r="S150" t="s">
        <v>2225</v>
      </c>
      <c r="U150" t="s">
        <v>2578</v>
      </c>
      <c r="W150" t="s">
        <v>210</v>
      </c>
      <c r="X150">
        <v>980.67</v>
      </c>
      <c r="Y150" t="s">
        <v>2607</v>
      </c>
      <c r="Z150" t="s">
        <v>2613</v>
      </c>
      <c r="AA150" t="s">
        <v>2626</v>
      </c>
      <c r="AB150" t="s">
        <v>2771</v>
      </c>
      <c r="AD150" t="s">
        <v>3562</v>
      </c>
      <c r="AE150">
        <v>26</v>
      </c>
      <c r="AF150" t="s">
        <v>4099</v>
      </c>
      <c r="AG150" t="s">
        <v>4116</v>
      </c>
      <c r="AH150">
        <v>9</v>
      </c>
      <c r="AI150">
        <v>2</v>
      </c>
      <c r="AJ150">
        <v>1</v>
      </c>
      <c r="AK150">
        <v>45.34</v>
      </c>
      <c r="AN150" t="s">
        <v>4127</v>
      </c>
      <c r="AO150">
        <v>9672</v>
      </c>
      <c r="AU150">
        <v>1</v>
      </c>
      <c r="AV150" t="s">
        <v>198</v>
      </c>
      <c r="AW150" t="s">
        <v>80</v>
      </c>
      <c r="AX150" t="s">
        <v>4266</v>
      </c>
      <c r="AY150" t="s">
        <v>2226</v>
      </c>
      <c r="AZ150" t="s">
        <v>2225</v>
      </c>
    </row>
    <row r="151" spans="1:52">
      <c r="A151" s="1">
        <f>HYPERLINK("https://lsnyc.legalserver.org/matter/dynamic-profile/view/1891183","19-1891183")</f>
        <v>0</v>
      </c>
      <c r="B151" t="s">
        <v>103</v>
      </c>
      <c r="C151" t="s">
        <v>155</v>
      </c>
      <c r="D151" t="s">
        <v>227</v>
      </c>
      <c r="F151" t="s">
        <v>424</v>
      </c>
      <c r="G151" t="s">
        <v>967</v>
      </c>
      <c r="H151" t="s">
        <v>1524</v>
      </c>
      <c r="J151" t="s">
        <v>2191</v>
      </c>
      <c r="K151">
        <v>11368</v>
      </c>
      <c r="L151" t="s">
        <v>2224</v>
      </c>
      <c r="M151" t="s">
        <v>2224</v>
      </c>
      <c r="N151" t="s">
        <v>2298</v>
      </c>
      <c r="O151" t="s">
        <v>2533</v>
      </c>
      <c r="P151" t="s">
        <v>2561</v>
      </c>
      <c r="R151" t="s">
        <v>2569</v>
      </c>
      <c r="S151" t="s">
        <v>2225</v>
      </c>
      <c r="U151" t="s">
        <v>2578</v>
      </c>
      <c r="V151" t="s">
        <v>2588</v>
      </c>
      <c r="W151" t="s">
        <v>296</v>
      </c>
      <c r="X151">
        <v>1400</v>
      </c>
      <c r="Y151" t="s">
        <v>2603</v>
      </c>
      <c r="Z151" t="s">
        <v>2608</v>
      </c>
      <c r="AB151" t="s">
        <v>2772</v>
      </c>
      <c r="AC151" t="s">
        <v>3396</v>
      </c>
      <c r="AD151" t="s">
        <v>3563</v>
      </c>
      <c r="AE151">
        <v>25</v>
      </c>
      <c r="AF151" t="s">
        <v>4098</v>
      </c>
      <c r="AG151" t="s">
        <v>4113</v>
      </c>
      <c r="AH151">
        <v>6</v>
      </c>
      <c r="AI151">
        <v>1</v>
      </c>
      <c r="AJ151">
        <v>3</v>
      </c>
      <c r="AK151">
        <v>46.6</v>
      </c>
      <c r="AN151" t="s">
        <v>4127</v>
      </c>
      <c r="AO151">
        <v>12000</v>
      </c>
      <c r="AU151">
        <v>1.55</v>
      </c>
      <c r="AV151" t="s">
        <v>172</v>
      </c>
      <c r="AW151" t="s">
        <v>103</v>
      </c>
      <c r="AX151" t="s">
        <v>4267</v>
      </c>
      <c r="AY151" t="s">
        <v>2224</v>
      </c>
      <c r="AZ151" t="s">
        <v>2224</v>
      </c>
    </row>
    <row r="152" spans="1:52">
      <c r="A152" s="1">
        <f>HYPERLINK("https://lsnyc.legalserver.org/matter/dynamic-profile/view/1907666","19-1907666")</f>
        <v>0</v>
      </c>
      <c r="B152" t="s">
        <v>66</v>
      </c>
      <c r="C152" t="s">
        <v>155</v>
      </c>
      <c r="D152" t="s">
        <v>221</v>
      </c>
      <c r="F152" t="s">
        <v>425</v>
      </c>
      <c r="G152" t="s">
        <v>968</v>
      </c>
      <c r="H152" t="s">
        <v>1525</v>
      </c>
      <c r="I152" t="s">
        <v>2013</v>
      </c>
      <c r="J152" t="s">
        <v>2192</v>
      </c>
      <c r="K152">
        <v>11226</v>
      </c>
      <c r="L152" t="s">
        <v>2224</v>
      </c>
      <c r="M152" t="s">
        <v>2226</v>
      </c>
      <c r="O152" t="s">
        <v>2537</v>
      </c>
      <c r="P152" t="s">
        <v>2560</v>
      </c>
      <c r="R152" t="s">
        <v>2569</v>
      </c>
      <c r="S152" t="s">
        <v>2224</v>
      </c>
      <c r="U152" t="s">
        <v>2578</v>
      </c>
      <c r="W152" t="s">
        <v>221</v>
      </c>
      <c r="X152">
        <v>0</v>
      </c>
      <c r="Y152" t="s">
        <v>2604</v>
      </c>
      <c r="AB152" t="s">
        <v>2773</v>
      </c>
      <c r="AE152">
        <v>36</v>
      </c>
      <c r="AF152" t="s">
        <v>4099</v>
      </c>
      <c r="AH152">
        <v>0</v>
      </c>
      <c r="AI152">
        <v>2</v>
      </c>
      <c r="AJ152">
        <v>1</v>
      </c>
      <c r="AK152">
        <v>48.76</v>
      </c>
      <c r="AN152" t="s">
        <v>4127</v>
      </c>
      <c r="AO152">
        <v>10400</v>
      </c>
      <c r="AP152" t="s">
        <v>4146</v>
      </c>
      <c r="AU152">
        <v>0.2</v>
      </c>
      <c r="AV152" t="s">
        <v>221</v>
      </c>
      <c r="AW152" t="s">
        <v>124</v>
      </c>
      <c r="AX152" t="s">
        <v>4266</v>
      </c>
      <c r="AY152" t="s">
        <v>2226</v>
      </c>
      <c r="AZ152" t="s">
        <v>2226</v>
      </c>
    </row>
    <row r="153" spans="1:52">
      <c r="A153" s="1">
        <f>HYPERLINK("https://lsnyc.legalserver.org/matter/dynamic-profile/view/1909560","19-1909560")</f>
        <v>0</v>
      </c>
      <c r="B153" t="s">
        <v>64</v>
      </c>
      <c r="C153" t="s">
        <v>155</v>
      </c>
      <c r="D153" t="s">
        <v>161</v>
      </c>
      <c r="F153" t="s">
        <v>426</v>
      </c>
      <c r="G153" t="s">
        <v>969</v>
      </c>
      <c r="H153" t="s">
        <v>1526</v>
      </c>
      <c r="I153" t="s">
        <v>2014</v>
      </c>
      <c r="J153" t="s">
        <v>2192</v>
      </c>
      <c r="K153">
        <v>11212</v>
      </c>
      <c r="L153" t="s">
        <v>2224</v>
      </c>
      <c r="M153" t="s">
        <v>2226</v>
      </c>
      <c r="N153" t="s">
        <v>2299</v>
      </c>
      <c r="O153" t="s">
        <v>2533</v>
      </c>
      <c r="P153" t="s">
        <v>2558</v>
      </c>
      <c r="R153" t="s">
        <v>2569</v>
      </c>
      <c r="S153" t="s">
        <v>2225</v>
      </c>
      <c r="U153" t="s">
        <v>2578</v>
      </c>
      <c r="V153" t="s">
        <v>2588</v>
      </c>
      <c r="W153" t="s">
        <v>166</v>
      </c>
      <c r="X153">
        <v>693</v>
      </c>
      <c r="Y153" t="s">
        <v>2604</v>
      </c>
      <c r="Z153" t="s">
        <v>2617</v>
      </c>
      <c r="AB153" t="s">
        <v>2718</v>
      </c>
      <c r="AC153" t="s">
        <v>3397</v>
      </c>
      <c r="AD153" t="s">
        <v>3564</v>
      </c>
      <c r="AE153">
        <v>80</v>
      </c>
      <c r="AF153" t="s">
        <v>2518</v>
      </c>
      <c r="AG153" t="s">
        <v>4117</v>
      </c>
      <c r="AH153">
        <v>10</v>
      </c>
      <c r="AI153">
        <v>1</v>
      </c>
      <c r="AJ153">
        <v>4</v>
      </c>
      <c r="AK153">
        <v>49.11</v>
      </c>
      <c r="AN153" t="s">
        <v>4126</v>
      </c>
      <c r="AO153">
        <v>14816</v>
      </c>
      <c r="AU153">
        <v>8.199999999999999</v>
      </c>
      <c r="AV153" t="s">
        <v>202</v>
      </c>
      <c r="AW153" t="s">
        <v>4226</v>
      </c>
      <c r="AX153" t="s">
        <v>4266</v>
      </c>
      <c r="AY153" t="s">
        <v>2226</v>
      </c>
      <c r="AZ153" t="s">
        <v>2226</v>
      </c>
    </row>
    <row r="154" spans="1:52">
      <c r="A154" s="1">
        <f>HYPERLINK("https://lsnyc.legalserver.org/matter/dynamic-profile/view/1904449","19-1904449")</f>
        <v>0</v>
      </c>
      <c r="B154" t="s">
        <v>107</v>
      </c>
      <c r="C154" t="s">
        <v>154</v>
      </c>
      <c r="D154" t="s">
        <v>228</v>
      </c>
      <c r="E154" t="s">
        <v>272</v>
      </c>
      <c r="F154" t="s">
        <v>427</v>
      </c>
      <c r="G154" t="s">
        <v>970</v>
      </c>
      <c r="H154" t="s">
        <v>1527</v>
      </c>
      <c r="I154" t="s">
        <v>2015</v>
      </c>
      <c r="J154" t="s">
        <v>2194</v>
      </c>
      <c r="K154">
        <v>10452</v>
      </c>
      <c r="L154" t="s">
        <v>2224</v>
      </c>
      <c r="M154" t="s">
        <v>2226</v>
      </c>
      <c r="N154" t="s">
        <v>2244</v>
      </c>
      <c r="O154" t="s">
        <v>2238</v>
      </c>
      <c r="P154" t="s">
        <v>2556</v>
      </c>
      <c r="Q154" t="s">
        <v>2563</v>
      </c>
      <c r="R154" t="s">
        <v>2569</v>
      </c>
      <c r="S154" t="s">
        <v>2225</v>
      </c>
      <c r="U154" t="s">
        <v>2578</v>
      </c>
      <c r="W154" t="s">
        <v>220</v>
      </c>
      <c r="X154">
        <v>702.21</v>
      </c>
      <c r="Y154" t="s">
        <v>2605</v>
      </c>
      <c r="AA154" t="s">
        <v>2626</v>
      </c>
      <c r="AB154" t="s">
        <v>2774</v>
      </c>
      <c r="AD154" t="s">
        <v>3565</v>
      </c>
      <c r="AE154">
        <v>42</v>
      </c>
      <c r="AF154" t="s">
        <v>4098</v>
      </c>
      <c r="AG154" t="s">
        <v>2255</v>
      </c>
      <c r="AH154">
        <v>4</v>
      </c>
      <c r="AI154">
        <v>1</v>
      </c>
      <c r="AJ154">
        <v>2</v>
      </c>
      <c r="AK154">
        <v>49.4</v>
      </c>
      <c r="AN154" t="s">
        <v>4127</v>
      </c>
      <c r="AO154">
        <v>10536</v>
      </c>
      <c r="AU154">
        <v>1.5</v>
      </c>
      <c r="AV154" t="s">
        <v>220</v>
      </c>
      <c r="AW154" t="s">
        <v>4249</v>
      </c>
      <c r="AX154" t="s">
        <v>4266</v>
      </c>
      <c r="AY154" t="s">
        <v>2224</v>
      </c>
      <c r="AZ154" t="s">
        <v>2224</v>
      </c>
    </row>
    <row r="155" spans="1:52">
      <c r="A155" s="1">
        <f>HYPERLINK("https://lsnyc.legalserver.org/matter/dynamic-profile/view/1910363","19-1910363")</f>
        <v>0</v>
      </c>
      <c r="B155" t="s">
        <v>83</v>
      </c>
      <c r="C155" t="s">
        <v>155</v>
      </c>
      <c r="D155" t="s">
        <v>229</v>
      </c>
      <c r="F155" t="s">
        <v>428</v>
      </c>
      <c r="G155" t="s">
        <v>971</v>
      </c>
      <c r="H155" t="s">
        <v>1528</v>
      </c>
      <c r="I155" t="s">
        <v>1967</v>
      </c>
      <c r="J155" t="s">
        <v>2192</v>
      </c>
      <c r="K155">
        <v>11212</v>
      </c>
      <c r="L155" t="s">
        <v>2224</v>
      </c>
      <c r="M155" t="s">
        <v>2226</v>
      </c>
      <c r="N155" t="s">
        <v>2228</v>
      </c>
      <c r="O155" t="s">
        <v>2539</v>
      </c>
      <c r="P155" t="s">
        <v>2561</v>
      </c>
      <c r="R155" t="s">
        <v>2569</v>
      </c>
      <c r="S155" t="s">
        <v>2224</v>
      </c>
      <c r="U155" t="s">
        <v>2578</v>
      </c>
      <c r="V155" t="s">
        <v>2588</v>
      </c>
      <c r="W155" t="s">
        <v>176</v>
      </c>
      <c r="X155">
        <v>1253</v>
      </c>
      <c r="Y155" t="s">
        <v>2604</v>
      </c>
      <c r="Z155" t="s">
        <v>2613</v>
      </c>
      <c r="AB155" t="s">
        <v>2775</v>
      </c>
      <c r="AC155" t="s">
        <v>2513</v>
      </c>
      <c r="AD155" t="s">
        <v>3566</v>
      </c>
      <c r="AE155">
        <v>6</v>
      </c>
      <c r="AF155" t="s">
        <v>2518</v>
      </c>
      <c r="AG155" t="s">
        <v>4112</v>
      </c>
      <c r="AH155">
        <v>3</v>
      </c>
      <c r="AI155">
        <v>2</v>
      </c>
      <c r="AJ155">
        <v>0</v>
      </c>
      <c r="AK155">
        <v>49.67</v>
      </c>
      <c r="AN155" t="s">
        <v>4126</v>
      </c>
      <c r="AO155">
        <v>8400</v>
      </c>
      <c r="AU155">
        <v>0.1</v>
      </c>
      <c r="AV155" t="s">
        <v>179</v>
      </c>
      <c r="AW155" t="s">
        <v>4226</v>
      </c>
      <c r="AX155" t="s">
        <v>4266</v>
      </c>
      <c r="AY155" t="s">
        <v>2224</v>
      </c>
      <c r="AZ155" t="s">
        <v>2224</v>
      </c>
    </row>
    <row r="156" spans="1:52">
      <c r="A156" s="1">
        <f>HYPERLINK("https://lsnyc.legalserver.org/matter/dynamic-profile/view/1911513","19-1911513")</f>
        <v>0</v>
      </c>
      <c r="B156" t="s">
        <v>104</v>
      </c>
      <c r="C156" t="s">
        <v>155</v>
      </c>
      <c r="D156" t="s">
        <v>179</v>
      </c>
      <c r="F156" t="s">
        <v>429</v>
      </c>
      <c r="G156" t="s">
        <v>972</v>
      </c>
      <c r="H156" t="s">
        <v>1529</v>
      </c>
      <c r="I156" t="s">
        <v>2016</v>
      </c>
      <c r="J156" t="s">
        <v>2196</v>
      </c>
      <c r="K156">
        <v>10040</v>
      </c>
      <c r="L156" t="s">
        <v>2224</v>
      </c>
      <c r="M156" t="s">
        <v>2226</v>
      </c>
      <c r="O156" t="s">
        <v>2546</v>
      </c>
      <c r="P156" t="s">
        <v>2558</v>
      </c>
      <c r="R156" t="s">
        <v>2569</v>
      </c>
      <c r="S156" t="s">
        <v>2224</v>
      </c>
      <c r="U156" t="s">
        <v>2578</v>
      </c>
      <c r="W156" t="s">
        <v>179</v>
      </c>
      <c r="X156">
        <v>995.92</v>
      </c>
      <c r="Y156" t="s">
        <v>2607</v>
      </c>
      <c r="Z156" t="s">
        <v>2613</v>
      </c>
      <c r="AB156" t="s">
        <v>2776</v>
      </c>
      <c r="AC156" t="s">
        <v>3398</v>
      </c>
      <c r="AD156" t="s">
        <v>3567</v>
      </c>
      <c r="AE156">
        <v>44</v>
      </c>
      <c r="AF156" t="s">
        <v>4099</v>
      </c>
      <c r="AG156" t="s">
        <v>2255</v>
      </c>
      <c r="AH156">
        <v>15</v>
      </c>
      <c r="AI156">
        <v>2</v>
      </c>
      <c r="AJ156">
        <v>2</v>
      </c>
      <c r="AK156">
        <v>50.49</v>
      </c>
      <c r="AN156" t="s">
        <v>4127</v>
      </c>
      <c r="AO156">
        <v>13000</v>
      </c>
      <c r="AU156">
        <v>0.1</v>
      </c>
      <c r="AV156" t="s">
        <v>197</v>
      </c>
      <c r="AW156" t="s">
        <v>80</v>
      </c>
      <c r="AX156" t="s">
        <v>4266</v>
      </c>
      <c r="AY156" t="s">
        <v>2226</v>
      </c>
      <c r="AZ156" t="s">
        <v>2226</v>
      </c>
    </row>
    <row r="157" spans="1:52">
      <c r="A157" s="1">
        <f>HYPERLINK("https://lsnyc.legalserver.org/matter/dynamic-profile/view/1912409","19-1912409")</f>
        <v>0</v>
      </c>
      <c r="B157" t="s">
        <v>104</v>
      </c>
      <c r="C157" t="s">
        <v>155</v>
      </c>
      <c r="D157" t="s">
        <v>230</v>
      </c>
      <c r="F157" t="s">
        <v>429</v>
      </c>
      <c r="G157" t="s">
        <v>972</v>
      </c>
      <c r="H157" t="s">
        <v>1530</v>
      </c>
      <c r="I157" t="s">
        <v>2016</v>
      </c>
      <c r="J157" t="s">
        <v>2196</v>
      </c>
      <c r="K157">
        <v>10040</v>
      </c>
      <c r="L157" t="s">
        <v>2224</v>
      </c>
      <c r="M157" t="s">
        <v>2226</v>
      </c>
      <c r="O157" t="s">
        <v>2537</v>
      </c>
      <c r="P157" t="s">
        <v>2558</v>
      </c>
      <c r="R157" t="s">
        <v>2569</v>
      </c>
      <c r="S157" t="s">
        <v>2224</v>
      </c>
      <c r="U157" t="s">
        <v>2578</v>
      </c>
      <c r="W157" t="s">
        <v>230</v>
      </c>
      <c r="X157">
        <v>995.92</v>
      </c>
      <c r="Y157" t="s">
        <v>2607</v>
      </c>
      <c r="Z157" t="s">
        <v>2613</v>
      </c>
      <c r="AB157" t="s">
        <v>2776</v>
      </c>
      <c r="AD157" t="s">
        <v>3567</v>
      </c>
      <c r="AE157">
        <v>44</v>
      </c>
      <c r="AF157" t="s">
        <v>4099</v>
      </c>
      <c r="AG157" t="s">
        <v>2255</v>
      </c>
      <c r="AH157">
        <v>15</v>
      </c>
      <c r="AI157">
        <v>2</v>
      </c>
      <c r="AJ157">
        <v>2</v>
      </c>
      <c r="AK157">
        <v>50.49</v>
      </c>
      <c r="AN157" t="s">
        <v>4127</v>
      </c>
      <c r="AO157">
        <v>13000</v>
      </c>
      <c r="AU157">
        <v>0</v>
      </c>
      <c r="AW157" t="s">
        <v>80</v>
      </c>
      <c r="AX157" t="s">
        <v>4266</v>
      </c>
      <c r="AY157" t="s">
        <v>2226</v>
      </c>
      <c r="AZ157" t="s">
        <v>2226</v>
      </c>
    </row>
    <row r="158" spans="1:52">
      <c r="A158" s="1">
        <f>HYPERLINK("https://lsnyc.legalserver.org/matter/dynamic-profile/view/1912418","19-1912418")</f>
        <v>0</v>
      </c>
      <c r="B158" t="s">
        <v>104</v>
      </c>
      <c r="C158" t="s">
        <v>155</v>
      </c>
      <c r="D158" t="s">
        <v>230</v>
      </c>
      <c r="F158" t="s">
        <v>429</v>
      </c>
      <c r="G158" t="s">
        <v>972</v>
      </c>
      <c r="H158" t="s">
        <v>1530</v>
      </c>
      <c r="I158" t="s">
        <v>2016</v>
      </c>
      <c r="J158" t="s">
        <v>2196</v>
      </c>
      <c r="K158">
        <v>10040</v>
      </c>
      <c r="L158" t="s">
        <v>2224</v>
      </c>
      <c r="M158" t="s">
        <v>2226</v>
      </c>
      <c r="O158" t="s">
        <v>2537</v>
      </c>
      <c r="P158" t="s">
        <v>2558</v>
      </c>
      <c r="R158" t="s">
        <v>2569</v>
      </c>
      <c r="S158" t="s">
        <v>2224</v>
      </c>
      <c r="U158" t="s">
        <v>2578</v>
      </c>
      <c r="W158" t="s">
        <v>230</v>
      </c>
      <c r="X158">
        <v>995.92</v>
      </c>
      <c r="Y158" t="s">
        <v>2607</v>
      </c>
      <c r="Z158" t="s">
        <v>2613</v>
      </c>
      <c r="AB158" t="s">
        <v>2776</v>
      </c>
      <c r="AD158" t="s">
        <v>3567</v>
      </c>
      <c r="AE158">
        <v>44</v>
      </c>
      <c r="AF158" t="s">
        <v>4099</v>
      </c>
      <c r="AG158" t="s">
        <v>2255</v>
      </c>
      <c r="AH158">
        <v>15</v>
      </c>
      <c r="AI158">
        <v>2</v>
      </c>
      <c r="AJ158">
        <v>2</v>
      </c>
      <c r="AK158">
        <v>50.49</v>
      </c>
      <c r="AN158" t="s">
        <v>4127</v>
      </c>
      <c r="AO158">
        <v>13000</v>
      </c>
      <c r="AU158">
        <v>0</v>
      </c>
      <c r="AW158" t="s">
        <v>80</v>
      </c>
      <c r="AX158" t="s">
        <v>4266</v>
      </c>
      <c r="AY158" t="s">
        <v>2226</v>
      </c>
      <c r="AZ158" t="s">
        <v>2226</v>
      </c>
    </row>
    <row r="159" spans="1:52">
      <c r="A159" s="1">
        <f>HYPERLINK("https://lsnyc.legalserver.org/matter/dynamic-profile/view/1907955","19-1907955")</f>
        <v>0</v>
      </c>
      <c r="B159" t="s">
        <v>104</v>
      </c>
      <c r="C159" t="s">
        <v>155</v>
      </c>
      <c r="D159" t="s">
        <v>167</v>
      </c>
      <c r="F159" t="s">
        <v>429</v>
      </c>
      <c r="G159" t="s">
        <v>972</v>
      </c>
      <c r="H159" t="s">
        <v>1529</v>
      </c>
      <c r="I159" t="s">
        <v>2016</v>
      </c>
      <c r="J159" t="s">
        <v>2196</v>
      </c>
      <c r="K159">
        <v>10040</v>
      </c>
      <c r="L159" t="s">
        <v>2224</v>
      </c>
      <c r="M159" t="s">
        <v>2226</v>
      </c>
      <c r="N159" t="s">
        <v>2300</v>
      </c>
      <c r="O159" t="s">
        <v>2535</v>
      </c>
      <c r="P159" t="s">
        <v>2558</v>
      </c>
      <c r="R159" t="s">
        <v>2569</v>
      </c>
      <c r="S159" t="s">
        <v>2225</v>
      </c>
      <c r="U159" t="s">
        <v>2578</v>
      </c>
      <c r="V159" t="s">
        <v>2588</v>
      </c>
      <c r="W159" t="s">
        <v>167</v>
      </c>
      <c r="X159">
        <v>995.92</v>
      </c>
      <c r="Y159" t="s">
        <v>2607</v>
      </c>
      <c r="Z159" t="s">
        <v>2623</v>
      </c>
      <c r="AB159" t="s">
        <v>2776</v>
      </c>
      <c r="AC159" t="s">
        <v>3398</v>
      </c>
      <c r="AD159" t="s">
        <v>3567</v>
      </c>
      <c r="AE159">
        <v>44</v>
      </c>
      <c r="AF159" t="s">
        <v>4099</v>
      </c>
      <c r="AG159" t="s">
        <v>2255</v>
      </c>
      <c r="AH159">
        <v>15</v>
      </c>
      <c r="AI159">
        <v>2</v>
      </c>
      <c r="AJ159">
        <v>2</v>
      </c>
      <c r="AK159">
        <v>50.49</v>
      </c>
      <c r="AN159" t="s">
        <v>4127</v>
      </c>
      <c r="AO159">
        <v>13000</v>
      </c>
      <c r="AU159">
        <v>11.5</v>
      </c>
      <c r="AV159" t="s">
        <v>196</v>
      </c>
      <c r="AW159" t="s">
        <v>4250</v>
      </c>
      <c r="AX159" t="s">
        <v>4266</v>
      </c>
      <c r="AY159" t="s">
        <v>2226</v>
      </c>
      <c r="AZ159" t="s">
        <v>2226</v>
      </c>
    </row>
    <row r="160" spans="1:52">
      <c r="A160" s="1">
        <f>HYPERLINK("https://lsnyc.legalserver.org/matter/dynamic-profile/view/1904906","19-1904906")</f>
        <v>0</v>
      </c>
      <c r="B160" t="s">
        <v>84</v>
      </c>
      <c r="C160" t="s">
        <v>155</v>
      </c>
      <c r="D160" t="s">
        <v>210</v>
      </c>
      <c r="F160" t="s">
        <v>430</v>
      </c>
      <c r="G160" t="s">
        <v>973</v>
      </c>
      <c r="H160" t="s">
        <v>1516</v>
      </c>
      <c r="I160" t="s">
        <v>2017</v>
      </c>
      <c r="J160" t="s">
        <v>2194</v>
      </c>
      <c r="K160">
        <v>10453</v>
      </c>
      <c r="L160" t="s">
        <v>2224</v>
      </c>
      <c r="M160" t="s">
        <v>2226</v>
      </c>
      <c r="N160" t="s">
        <v>2292</v>
      </c>
      <c r="O160" t="s">
        <v>2537</v>
      </c>
      <c r="P160" t="s">
        <v>2560</v>
      </c>
      <c r="R160" t="s">
        <v>2569</v>
      </c>
      <c r="S160" t="s">
        <v>2224</v>
      </c>
      <c r="U160" t="s">
        <v>2578</v>
      </c>
      <c r="W160" t="s">
        <v>2597</v>
      </c>
      <c r="X160">
        <v>1172</v>
      </c>
      <c r="Y160" t="s">
        <v>2605</v>
      </c>
      <c r="Z160" t="s">
        <v>2614</v>
      </c>
      <c r="AB160" t="s">
        <v>2777</v>
      </c>
      <c r="AD160" t="s">
        <v>3568</v>
      </c>
      <c r="AE160">
        <v>170</v>
      </c>
      <c r="AF160" t="s">
        <v>4099</v>
      </c>
      <c r="AG160" t="s">
        <v>4113</v>
      </c>
      <c r="AH160">
        <v>16</v>
      </c>
      <c r="AI160">
        <v>2</v>
      </c>
      <c r="AJ160">
        <v>3</v>
      </c>
      <c r="AK160">
        <v>51.26</v>
      </c>
      <c r="AN160" t="s">
        <v>4127</v>
      </c>
      <c r="AO160">
        <v>15080</v>
      </c>
      <c r="AU160">
        <v>0</v>
      </c>
      <c r="AW160" t="s">
        <v>4248</v>
      </c>
      <c r="AX160" t="s">
        <v>4266</v>
      </c>
      <c r="AY160" t="s">
        <v>2224</v>
      </c>
      <c r="AZ160" t="s">
        <v>2224</v>
      </c>
    </row>
    <row r="161" spans="1:52">
      <c r="A161" s="1">
        <f>HYPERLINK("https://lsnyc.legalserver.org/matter/dynamic-profile/view/1912639","19-1912639")</f>
        <v>0</v>
      </c>
      <c r="B161" t="s">
        <v>53</v>
      </c>
      <c r="C161" t="s">
        <v>155</v>
      </c>
      <c r="D161" t="s">
        <v>157</v>
      </c>
      <c r="F161" t="s">
        <v>431</v>
      </c>
      <c r="G161" t="s">
        <v>974</v>
      </c>
      <c r="H161" t="s">
        <v>1397</v>
      </c>
      <c r="I161" t="s">
        <v>2018</v>
      </c>
      <c r="J161" t="s">
        <v>2187</v>
      </c>
      <c r="K161">
        <v>11691</v>
      </c>
      <c r="L161" t="s">
        <v>2224</v>
      </c>
      <c r="M161" t="s">
        <v>2226</v>
      </c>
      <c r="O161" t="s">
        <v>2534</v>
      </c>
      <c r="P161" t="s">
        <v>2557</v>
      </c>
      <c r="R161" t="s">
        <v>2569</v>
      </c>
      <c r="S161" t="s">
        <v>2225</v>
      </c>
      <c r="U161" t="s">
        <v>2578</v>
      </c>
      <c r="W161" t="s">
        <v>157</v>
      </c>
      <c r="X161">
        <v>819</v>
      </c>
      <c r="Y161" t="s">
        <v>2603</v>
      </c>
      <c r="Z161" t="s">
        <v>2609</v>
      </c>
      <c r="AB161" t="s">
        <v>2778</v>
      </c>
      <c r="AD161" t="s">
        <v>3569</v>
      </c>
      <c r="AE161">
        <v>43</v>
      </c>
      <c r="AF161" t="s">
        <v>4099</v>
      </c>
      <c r="AG161" t="s">
        <v>2255</v>
      </c>
      <c r="AH161">
        <v>15</v>
      </c>
      <c r="AI161">
        <v>2</v>
      </c>
      <c r="AJ161">
        <v>3</v>
      </c>
      <c r="AK161">
        <v>51.71</v>
      </c>
      <c r="AN161" t="s">
        <v>4127</v>
      </c>
      <c r="AO161">
        <v>15600</v>
      </c>
      <c r="AU161">
        <v>0.3</v>
      </c>
      <c r="AV161" t="s">
        <v>157</v>
      </c>
      <c r="AW161" t="s">
        <v>4224</v>
      </c>
      <c r="AX161" t="s">
        <v>4266</v>
      </c>
      <c r="AY161" t="s">
        <v>2226</v>
      </c>
      <c r="AZ161" t="s">
        <v>2226</v>
      </c>
    </row>
    <row r="162" spans="1:52">
      <c r="A162" s="1">
        <f>HYPERLINK("https://lsnyc.legalserver.org/matter/dynamic-profile/view/1912797","19-1912797")</f>
        <v>0</v>
      </c>
      <c r="B162" t="s">
        <v>108</v>
      </c>
      <c r="C162" t="s">
        <v>155</v>
      </c>
      <c r="D162" t="s">
        <v>204</v>
      </c>
      <c r="F162" t="s">
        <v>432</v>
      </c>
      <c r="G162" t="s">
        <v>975</v>
      </c>
      <c r="H162" t="s">
        <v>1531</v>
      </c>
      <c r="I162" t="s">
        <v>2019</v>
      </c>
      <c r="J162" t="s">
        <v>2192</v>
      </c>
      <c r="K162">
        <v>11217</v>
      </c>
      <c r="L162" t="s">
        <v>2224</v>
      </c>
      <c r="M162" t="s">
        <v>2226</v>
      </c>
      <c r="N162" t="s">
        <v>2301</v>
      </c>
      <c r="O162" t="s">
        <v>2535</v>
      </c>
      <c r="P162" t="s">
        <v>2559</v>
      </c>
      <c r="R162" t="s">
        <v>2569</v>
      </c>
      <c r="S162" t="s">
        <v>2225</v>
      </c>
      <c r="U162" t="s">
        <v>2578</v>
      </c>
      <c r="W162" t="s">
        <v>199</v>
      </c>
      <c r="X162">
        <v>580</v>
      </c>
      <c r="Y162" t="s">
        <v>2604</v>
      </c>
      <c r="Z162" t="s">
        <v>2618</v>
      </c>
      <c r="AB162" t="s">
        <v>2779</v>
      </c>
      <c r="AD162" t="s">
        <v>3570</v>
      </c>
      <c r="AE162">
        <v>9</v>
      </c>
      <c r="AF162" t="s">
        <v>4105</v>
      </c>
      <c r="AH162">
        <v>15</v>
      </c>
      <c r="AI162">
        <v>2</v>
      </c>
      <c r="AJ162">
        <v>0</v>
      </c>
      <c r="AK162">
        <v>51.8</v>
      </c>
      <c r="AN162" t="s">
        <v>4126</v>
      </c>
      <c r="AO162">
        <v>8760</v>
      </c>
      <c r="AU162">
        <v>0</v>
      </c>
      <c r="AW162" t="s">
        <v>127</v>
      </c>
      <c r="AX162" t="s">
        <v>4266</v>
      </c>
      <c r="AY162" t="s">
        <v>2226</v>
      </c>
      <c r="AZ162" t="s">
        <v>2226</v>
      </c>
    </row>
    <row r="163" spans="1:52">
      <c r="A163" s="1">
        <f>HYPERLINK("https://lsnyc.legalserver.org/matter/dynamic-profile/view/1908348","19-1908348")</f>
        <v>0</v>
      </c>
      <c r="B163" t="s">
        <v>92</v>
      </c>
      <c r="C163" t="s">
        <v>155</v>
      </c>
      <c r="D163" t="s">
        <v>171</v>
      </c>
      <c r="F163" t="s">
        <v>433</v>
      </c>
      <c r="G163" t="s">
        <v>976</v>
      </c>
      <c r="H163" t="s">
        <v>1532</v>
      </c>
      <c r="I163" t="s">
        <v>2020</v>
      </c>
      <c r="J163" t="s">
        <v>2195</v>
      </c>
      <c r="K163">
        <v>10301</v>
      </c>
      <c r="L163" t="s">
        <v>2224</v>
      </c>
      <c r="M163" t="s">
        <v>2226</v>
      </c>
      <c r="O163" t="s">
        <v>2533</v>
      </c>
      <c r="P163" t="s">
        <v>2559</v>
      </c>
      <c r="R163" t="s">
        <v>2570</v>
      </c>
      <c r="S163" t="s">
        <v>2225</v>
      </c>
      <c r="U163" t="s">
        <v>2578</v>
      </c>
      <c r="V163" t="s">
        <v>2588</v>
      </c>
      <c r="W163" t="s">
        <v>234</v>
      </c>
      <c r="X163">
        <v>1348</v>
      </c>
      <c r="Y163" t="s">
        <v>2606</v>
      </c>
      <c r="Z163" t="s">
        <v>2610</v>
      </c>
      <c r="AB163" t="s">
        <v>2780</v>
      </c>
      <c r="AD163" t="s">
        <v>3571</v>
      </c>
      <c r="AE163">
        <v>4</v>
      </c>
      <c r="AG163" t="s">
        <v>4117</v>
      </c>
      <c r="AH163">
        <v>4</v>
      </c>
      <c r="AI163">
        <v>1</v>
      </c>
      <c r="AJ163">
        <v>2</v>
      </c>
      <c r="AK163">
        <v>52.21</v>
      </c>
      <c r="AL163" t="s">
        <v>4121</v>
      </c>
      <c r="AM163" t="s">
        <v>4123</v>
      </c>
      <c r="AN163" t="s">
        <v>4126</v>
      </c>
      <c r="AO163">
        <v>11136</v>
      </c>
      <c r="AP163" t="s">
        <v>4147</v>
      </c>
      <c r="AU163">
        <v>6.45</v>
      </c>
      <c r="AV163" t="s">
        <v>197</v>
      </c>
      <c r="AW163" t="s">
        <v>92</v>
      </c>
      <c r="AX163" t="s">
        <v>4266</v>
      </c>
      <c r="AY163" t="s">
        <v>2224</v>
      </c>
      <c r="AZ163" t="s">
        <v>2224</v>
      </c>
    </row>
    <row r="164" spans="1:52">
      <c r="A164" s="1">
        <f>HYPERLINK("https://lsnyc.legalserver.org/matter/dynamic-profile/view/1913372","19-1913372")</f>
        <v>0</v>
      </c>
      <c r="B164" t="s">
        <v>88</v>
      </c>
      <c r="C164" t="s">
        <v>155</v>
      </c>
      <c r="D164" t="s">
        <v>218</v>
      </c>
      <c r="F164" t="s">
        <v>434</v>
      </c>
      <c r="G164" t="s">
        <v>847</v>
      </c>
      <c r="H164" t="s">
        <v>1504</v>
      </c>
      <c r="I164">
        <v>412</v>
      </c>
      <c r="J164" t="s">
        <v>2196</v>
      </c>
      <c r="K164">
        <v>10029</v>
      </c>
      <c r="L164" t="s">
        <v>2224</v>
      </c>
      <c r="M164" t="s">
        <v>2226</v>
      </c>
      <c r="O164" t="s">
        <v>2534</v>
      </c>
      <c r="P164" t="s">
        <v>2559</v>
      </c>
      <c r="R164" t="s">
        <v>2569</v>
      </c>
      <c r="S164" t="s">
        <v>2224</v>
      </c>
      <c r="U164" t="s">
        <v>2578</v>
      </c>
      <c r="V164" t="s">
        <v>2588</v>
      </c>
      <c r="W164" t="s">
        <v>280</v>
      </c>
      <c r="X164">
        <v>0</v>
      </c>
      <c r="Y164" t="s">
        <v>2607</v>
      </c>
      <c r="Z164" t="s">
        <v>2613</v>
      </c>
      <c r="AB164" t="s">
        <v>2781</v>
      </c>
      <c r="AD164" t="s">
        <v>3572</v>
      </c>
      <c r="AE164">
        <v>108</v>
      </c>
      <c r="AF164" t="s">
        <v>4104</v>
      </c>
      <c r="AG164" t="s">
        <v>4112</v>
      </c>
      <c r="AH164">
        <v>4</v>
      </c>
      <c r="AI164">
        <v>2</v>
      </c>
      <c r="AJ164">
        <v>1</v>
      </c>
      <c r="AK164">
        <v>52.26</v>
      </c>
      <c r="AN164" t="s">
        <v>4126</v>
      </c>
      <c r="AO164">
        <v>11148</v>
      </c>
      <c r="AU164">
        <v>0</v>
      </c>
      <c r="AW164" t="s">
        <v>4237</v>
      </c>
      <c r="AX164" t="s">
        <v>4266</v>
      </c>
      <c r="AY164" t="s">
        <v>2226</v>
      </c>
      <c r="AZ164" t="s">
        <v>2226</v>
      </c>
    </row>
    <row r="165" spans="1:52">
      <c r="A165" s="1">
        <f>HYPERLINK("https://lsnyc.legalserver.org/matter/dynamic-profile/view/1912536","19-1912536")</f>
        <v>0</v>
      </c>
      <c r="B165" t="s">
        <v>53</v>
      </c>
      <c r="C165" t="s">
        <v>155</v>
      </c>
      <c r="D165" t="s">
        <v>157</v>
      </c>
      <c r="F165" t="s">
        <v>435</v>
      </c>
      <c r="G165" t="s">
        <v>940</v>
      </c>
      <c r="H165" t="s">
        <v>1397</v>
      </c>
      <c r="I165" t="s">
        <v>1964</v>
      </c>
      <c r="J165" t="s">
        <v>2187</v>
      </c>
      <c r="K165">
        <v>11691</v>
      </c>
      <c r="L165" t="s">
        <v>2224</v>
      </c>
      <c r="M165" t="s">
        <v>2226</v>
      </c>
      <c r="O165" t="s">
        <v>2534</v>
      </c>
      <c r="P165" t="s">
        <v>2558</v>
      </c>
      <c r="R165" t="s">
        <v>2569</v>
      </c>
      <c r="S165" t="s">
        <v>2224</v>
      </c>
      <c r="U165" t="s">
        <v>2578</v>
      </c>
      <c r="W165" t="s">
        <v>157</v>
      </c>
      <c r="X165">
        <v>819</v>
      </c>
      <c r="Y165" t="s">
        <v>2603</v>
      </c>
      <c r="Z165" t="s">
        <v>2609</v>
      </c>
      <c r="AB165" t="s">
        <v>2782</v>
      </c>
      <c r="AD165" t="s">
        <v>3573</v>
      </c>
      <c r="AE165">
        <v>43</v>
      </c>
      <c r="AF165" t="s">
        <v>4099</v>
      </c>
      <c r="AG165" t="s">
        <v>2255</v>
      </c>
      <c r="AH165">
        <v>11</v>
      </c>
      <c r="AI165">
        <v>2</v>
      </c>
      <c r="AJ165">
        <v>1</v>
      </c>
      <c r="AK165">
        <v>52.41</v>
      </c>
      <c r="AN165" t="s">
        <v>4126</v>
      </c>
      <c r="AO165">
        <v>11180</v>
      </c>
      <c r="AU165">
        <v>0.3</v>
      </c>
      <c r="AV165" t="s">
        <v>157</v>
      </c>
      <c r="AW165" t="s">
        <v>4224</v>
      </c>
      <c r="AX165" t="s">
        <v>4266</v>
      </c>
      <c r="AY165" t="s">
        <v>2224</v>
      </c>
      <c r="AZ165" t="s">
        <v>2224</v>
      </c>
    </row>
    <row r="166" spans="1:52">
      <c r="A166" s="1">
        <f>HYPERLINK("https://lsnyc.legalserver.org/matter/dynamic-profile/view/1912637","19-1912637")</f>
        <v>0</v>
      </c>
      <c r="B166" t="s">
        <v>53</v>
      </c>
      <c r="C166" t="s">
        <v>155</v>
      </c>
      <c r="D166" t="s">
        <v>157</v>
      </c>
      <c r="F166" t="s">
        <v>435</v>
      </c>
      <c r="G166" t="s">
        <v>940</v>
      </c>
      <c r="H166" t="s">
        <v>1397</v>
      </c>
      <c r="I166" t="s">
        <v>1964</v>
      </c>
      <c r="J166" t="s">
        <v>2187</v>
      </c>
      <c r="K166">
        <v>11691</v>
      </c>
      <c r="L166" t="s">
        <v>2224</v>
      </c>
      <c r="M166" t="s">
        <v>2226</v>
      </c>
      <c r="O166" t="s">
        <v>2535</v>
      </c>
      <c r="P166" t="s">
        <v>2558</v>
      </c>
      <c r="R166" t="s">
        <v>2569</v>
      </c>
      <c r="S166" t="s">
        <v>2224</v>
      </c>
      <c r="U166" t="s">
        <v>2578</v>
      </c>
      <c r="W166" t="s">
        <v>157</v>
      </c>
      <c r="X166">
        <v>819</v>
      </c>
      <c r="Y166" t="s">
        <v>2603</v>
      </c>
      <c r="Z166" t="s">
        <v>2609</v>
      </c>
      <c r="AB166" t="s">
        <v>2782</v>
      </c>
      <c r="AD166" t="s">
        <v>3573</v>
      </c>
      <c r="AE166">
        <v>43</v>
      </c>
      <c r="AF166" t="s">
        <v>4099</v>
      </c>
      <c r="AG166" t="s">
        <v>2255</v>
      </c>
      <c r="AH166">
        <v>11</v>
      </c>
      <c r="AI166">
        <v>2</v>
      </c>
      <c r="AJ166">
        <v>1</v>
      </c>
      <c r="AK166">
        <v>52.41</v>
      </c>
      <c r="AN166" t="s">
        <v>4126</v>
      </c>
      <c r="AO166">
        <v>11180</v>
      </c>
      <c r="AU166">
        <v>0.3</v>
      </c>
      <c r="AV166" t="s">
        <v>157</v>
      </c>
      <c r="AW166" t="s">
        <v>4224</v>
      </c>
      <c r="AX166" t="s">
        <v>4266</v>
      </c>
      <c r="AY166" t="s">
        <v>2224</v>
      </c>
      <c r="AZ166" t="s">
        <v>2224</v>
      </c>
    </row>
    <row r="167" spans="1:52">
      <c r="A167" s="1">
        <f>HYPERLINK("https://lsnyc.legalserver.org/matter/dynamic-profile/view/1896798","19-1896798")</f>
        <v>0</v>
      </c>
      <c r="B167" t="s">
        <v>81</v>
      </c>
      <c r="C167" t="s">
        <v>155</v>
      </c>
      <c r="D167" t="s">
        <v>231</v>
      </c>
      <c r="F167" t="s">
        <v>436</v>
      </c>
      <c r="G167" t="s">
        <v>977</v>
      </c>
      <c r="H167" t="s">
        <v>1533</v>
      </c>
      <c r="I167" t="s">
        <v>1970</v>
      </c>
      <c r="J167" t="s">
        <v>2192</v>
      </c>
      <c r="K167">
        <v>11213</v>
      </c>
      <c r="L167" t="s">
        <v>2224</v>
      </c>
      <c r="M167" t="s">
        <v>2224</v>
      </c>
      <c r="O167" t="s">
        <v>2537</v>
      </c>
      <c r="P167" t="s">
        <v>2556</v>
      </c>
      <c r="R167" t="s">
        <v>2569</v>
      </c>
      <c r="S167" t="s">
        <v>2224</v>
      </c>
      <c r="U167" t="s">
        <v>2578</v>
      </c>
      <c r="W167" t="s">
        <v>201</v>
      </c>
      <c r="X167">
        <v>855.86</v>
      </c>
      <c r="Y167" t="s">
        <v>2604</v>
      </c>
      <c r="Z167" t="s">
        <v>2614</v>
      </c>
      <c r="AB167" t="s">
        <v>2783</v>
      </c>
      <c r="AC167" t="s">
        <v>2255</v>
      </c>
      <c r="AE167">
        <v>6</v>
      </c>
      <c r="AF167" t="s">
        <v>4099</v>
      </c>
      <c r="AG167" t="s">
        <v>2255</v>
      </c>
      <c r="AH167">
        <v>26</v>
      </c>
      <c r="AI167">
        <v>1</v>
      </c>
      <c r="AJ167">
        <v>1</v>
      </c>
      <c r="AK167">
        <v>52.58</v>
      </c>
      <c r="AN167" t="s">
        <v>4126</v>
      </c>
      <c r="AO167">
        <v>8892</v>
      </c>
      <c r="AP167" t="s">
        <v>4148</v>
      </c>
      <c r="AU167">
        <v>0.08</v>
      </c>
      <c r="AV167" t="s">
        <v>272</v>
      </c>
      <c r="AW167" t="s">
        <v>127</v>
      </c>
      <c r="AX167" t="s">
        <v>4266</v>
      </c>
      <c r="AY167" t="s">
        <v>2226</v>
      </c>
      <c r="AZ167" t="s">
        <v>2226</v>
      </c>
    </row>
    <row r="168" spans="1:52">
      <c r="A168" s="1">
        <f>HYPERLINK("https://lsnyc.legalserver.org/matter/dynamic-profile/view/1904129","19-1904129")</f>
        <v>0</v>
      </c>
      <c r="B168" t="s">
        <v>109</v>
      </c>
      <c r="C168" t="s">
        <v>154</v>
      </c>
      <c r="D168" t="s">
        <v>175</v>
      </c>
      <c r="E168" t="s">
        <v>175</v>
      </c>
      <c r="F168" t="s">
        <v>437</v>
      </c>
      <c r="G168" t="s">
        <v>978</v>
      </c>
      <c r="H168" t="s">
        <v>1534</v>
      </c>
      <c r="I168">
        <v>614</v>
      </c>
      <c r="J168" t="s">
        <v>2194</v>
      </c>
      <c r="K168">
        <v>10457</v>
      </c>
      <c r="L168" t="s">
        <v>2224</v>
      </c>
      <c r="M168" t="s">
        <v>2226</v>
      </c>
      <c r="N168" t="s">
        <v>2302</v>
      </c>
      <c r="O168" t="s">
        <v>2535</v>
      </c>
      <c r="P168" t="s">
        <v>2561</v>
      </c>
      <c r="Q168" t="s">
        <v>2566</v>
      </c>
      <c r="R168" t="s">
        <v>2569</v>
      </c>
      <c r="S168" t="s">
        <v>2225</v>
      </c>
      <c r="U168" t="s">
        <v>2578</v>
      </c>
      <c r="V168" t="s">
        <v>2588</v>
      </c>
      <c r="W168" t="s">
        <v>254</v>
      </c>
      <c r="X168">
        <v>1268</v>
      </c>
      <c r="Y168" t="s">
        <v>2605</v>
      </c>
      <c r="Z168" t="s">
        <v>2613</v>
      </c>
      <c r="AA168" t="s">
        <v>2635</v>
      </c>
      <c r="AB168" t="s">
        <v>2784</v>
      </c>
      <c r="AC168" t="s">
        <v>3399</v>
      </c>
      <c r="AD168" t="s">
        <v>3574</v>
      </c>
      <c r="AE168">
        <v>99</v>
      </c>
      <c r="AF168" t="s">
        <v>4108</v>
      </c>
      <c r="AG168" t="s">
        <v>4113</v>
      </c>
      <c r="AH168">
        <v>1</v>
      </c>
      <c r="AI168">
        <v>1</v>
      </c>
      <c r="AJ168">
        <v>1</v>
      </c>
      <c r="AK168">
        <v>52.66</v>
      </c>
      <c r="AN168" t="s">
        <v>4126</v>
      </c>
      <c r="AO168">
        <v>8904</v>
      </c>
      <c r="AU168">
        <v>0.5</v>
      </c>
      <c r="AV168" t="s">
        <v>175</v>
      </c>
      <c r="AW168" t="s">
        <v>4248</v>
      </c>
      <c r="AX168" t="s">
        <v>4266</v>
      </c>
      <c r="AY168" t="s">
        <v>2226</v>
      </c>
      <c r="AZ168" t="s">
        <v>2225</v>
      </c>
    </row>
    <row r="169" spans="1:52">
      <c r="A169" s="1">
        <f>HYPERLINK("https://lsnyc.legalserver.org/matter/dynamic-profile/view/1907662","19-1907662")</f>
        <v>0</v>
      </c>
      <c r="B169" t="s">
        <v>58</v>
      </c>
      <c r="C169" t="s">
        <v>155</v>
      </c>
      <c r="D169" t="s">
        <v>221</v>
      </c>
      <c r="F169" t="s">
        <v>438</v>
      </c>
      <c r="G169" t="s">
        <v>979</v>
      </c>
      <c r="H169" t="s">
        <v>1409</v>
      </c>
      <c r="I169" t="s">
        <v>2021</v>
      </c>
      <c r="J169" t="s">
        <v>2192</v>
      </c>
      <c r="K169">
        <v>11238</v>
      </c>
      <c r="L169" t="s">
        <v>2224</v>
      </c>
      <c r="M169" t="s">
        <v>2226</v>
      </c>
      <c r="O169" t="s">
        <v>2539</v>
      </c>
      <c r="P169" t="s">
        <v>2557</v>
      </c>
      <c r="R169" t="s">
        <v>2569</v>
      </c>
      <c r="S169" t="s">
        <v>2225</v>
      </c>
      <c r="U169" t="s">
        <v>2578</v>
      </c>
      <c r="W169" t="s">
        <v>221</v>
      </c>
      <c r="X169">
        <v>0</v>
      </c>
      <c r="Y169" t="s">
        <v>2604</v>
      </c>
      <c r="AB169" t="s">
        <v>2785</v>
      </c>
      <c r="AD169" t="s">
        <v>3575</v>
      </c>
      <c r="AE169">
        <v>29</v>
      </c>
      <c r="AH169">
        <v>0</v>
      </c>
      <c r="AI169">
        <v>2</v>
      </c>
      <c r="AJ169">
        <v>0</v>
      </c>
      <c r="AK169">
        <v>53.22</v>
      </c>
      <c r="AN169" t="s">
        <v>4126</v>
      </c>
      <c r="AO169">
        <v>9000</v>
      </c>
      <c r="AU169">
        <v>5</v>
      </c>
      <c r="AV169" t="s">
        <v>161</v>
      </c>
      <c r="AW169" t="s">
        <v>124</v>
      </c>
      <c r="AX169" t="s">
        <v>4266</v>
      </c>
      <c r="AY169" t="s">
        <v>2224</v>
      </c>
      <c r="AZ169" t="s">
        <v>2224</v>
      </c>
    </row>
    <row r="170" spans="1:52">
      <c r="A170" s="1">
        <f>HYPERLINK("https://lsnyc.legalserver.org/matter/dynamic-profile/view/1912983","19-1912983")</f>
        <v>0</v>
      </c>
      <c r="B170" t="s">
        <v>110</v>
      </c>
      <c r="C170" t="s">
        <v>155</v>
      </c>
      <c r="D170" t="s">
        <v>168</v>
      </c>
      <c r="F170" t="s">
        <v>364</v>
      </c>
      <c r="G170" t="s">
        <v>980</v>
      </c>
      <c r="H170" t="s">
        <v>1535</v>
      </c>
      <c r="I170" t="s">
        <v>2022</v>
      </c>
      <c r="J170" t="s">
        <v>2192</v>
      </c>
      <c r="K170">
        <v>11221</v>
      </c>
      <c r="L170" t="s">
        <v>2224</v>
      </c>
      <c r="M170" t="s">
        <v>2226</v>
      </c>
      <c r="N170" t="s">
        <v>2255</v>
      </c>
      <c r="O170" t="s">
        <v>2238</v>
      </c>
      <c r="R170" t="s">
        <v>2569</v>
      </c>
      <c r="S170" t="s">
        <v>2225</v>
      </c>
      <c r="U170" t="s">
        <v>2578</v>
      </c>
      <c r="V170" t="s">
        <v>2588</v>
      </c>
      <c r="W170" t="s">
        <v>157</v>
      </c>
      <c r="X170">
        <v>0</v>
      </c>
      <c r="Y170" t="s">
        <v>2604</v>
      </c>
      <c r="AB170" t="s">
        <v>2786</v>
      </c>
      <c r="AD170" t="s">
        <v>3576</v>
      </c>
      <c r="AE170">
        <v>0</v>
      </c>
      <c r="AF170" t="s">
        <v>2518</v>
      </c>
      <c r="AH170">
        <v>0</v>
      </c>
      <c r="AI170">
        <v>3</v>
      </c>
      <c r="AJ170">
        <v>2</v>
      </c>
      <c r="AK170">
        <v>53.36</v>
      </c>
      <c r="AN170" t="s">
        <v>4127</v>
      </c>
      <c r="AO170">
        <v>16100</v>
      </c>
      <c r="AU170">
        <v>0</v>
      </c>
      <c r="AW170" t="s">
        <v>4226</v>
      </c>
      <c r="AX170" t="s">
        <v>4266</v>
      </c>
      <c r="AY170" t="s">
        <v>2226</v>
      </c>
      <c r="AZ170" t="s">
        <v>2226</v>
      </c>
    </row>
    <row r="171" spans="1:52">
      <c r="A171" s="1">
        <f>HYPERLINK("https://lsnyc.legalserver.org/matter/dynamic-profile/view/1905343","19-1905343")</f>
        <v>0</v>
      </c>
      <c r="B171" t="s">
        <v>62</v>
      </c>
      <c r="C171" t="s">
        <v>154</v>
      </c>
      <c r="D171" t="s">
        <v>205</v>
      </c>
      <c r="E171" t="s">
        <v>167</v>
      </c>
      <c r="F171" t="s">
        <v>439</v>
      </c>
      <c r="G171" t="s">
        <v>981</v>
      </c>
      <c r="H171" t="s">
        <v>1536</v>
      </c>
      <c r="I171" t="s">
        <v>2023</v>
      </c>
      <c r="J171" t="s">
        <v>2192</v>
      </c>
      <c r="K171">
        <v>11233</v>
      </c>
      <c r="L171" t="s">
        <v>2224</v>
      </c>
      <c r="M171" t="s">
        <v>2226</v>
      </c>
      <c r="N171" t="s">
        <v>2255</v>
      </c>
      <c r="O171" t="s">
        <v>2547</v>
      </c>
      <c r="P171" t="s">
        <v>2560</v>
      </c>
      <c r="Q171" t="s">
        <v>2567</v>
      </c>
      <c r="R171" t="s">
        <v>2569</v>
      </c>
      <c r="S171" t="s">
        <v>2225</v>
      </c>
      <c r="U171" t="s">
        <v>2579</v>
      </c>
      <c r="V171" t="s">
        <v>2588</v>
      </c>
      <c r="W171" t="s">
        <v>205</v>
      </c>
      <c r="X171">
        <v>1322</v>
      </c>
      <c r="Y171" t="s">
        <v>2604</v>
      </c>
      <c r="Z171" t="s">
        <v>2621</v>
      </c>
      <c r="AA171" t="s">
        <v>2631</v>
      </c>
      <c r="AB171" t="s">
        <v>2787</v>
      </c>
      <c r="AC171" t="s">
        <v>3400</v>
      </c>
      <c r="AD171" t="s">
        <v>3577</v>
      </c>
      <c r="AE171">
        <v>48</v>
      </c>
      <c r="AF171" t="s">
        <v>4099</v>
      </c>
      <c r="AG171" t="s">
        <v>4113</v>
      </c>
      <c r="AH171">
        <v>3</v>
      </c>
      <c r="AI171">
        <v>1</v>
      </c>
      <c r="AJ171">
        <v>0</v>
      </c>
      <c r="AK171">
        <v>53.77</v>
      </c>
      <c r="AN171" t="s">
        <v>4126</v>
      </c>
      <c r="AO171">
        <v>6715.8</v>
      </c>
      <c r="AU171">
        <v>20</v>
      </c>
      <c r="AV171" t="s">
        <v>167</v>
      </c>
      <c r="AW171" t="s">
        <v>127</v>
      </c>
      <c r="AX171" t="s">
        <v>4266</v>
      </c>
      <c r="AY171" t="s">
        <v>2224</v>
      </c>
      <c r="AZ171" t="s">
        <v>2224</v>
      </c>
    </row>
    <row r="172" spans="1:52">
      <c r="A172" s="1">
        <f>HYPERLINK("https://lsnyc.legalserver.org/matter/dynamic-profile/view/1909049","19-1909049")</f>
        <v>0</v>
      </c>
      <c r="B172" t="s">
        <v>76</v>
      </c>
      <c r="C172" t="s">
        <v>155</v>
      </c>
      <c r="D172" t="s">
        <v>212</v>
      </c>
      <c r="F172" t="s">
        <v>440</v>
      </c>
      <c r="G172" t="s">
        <v>982</v>
      </c>
      <c r="H172" t="s">
        <v>1537</v>
      </c>
      <c r="I172">
        <v>34</v>
      </c>
      <c r="J172" t="s">
        <v>2196</v>
      </c>
      <c r="K172">
        <v>10033</v>
      </c>
      <c r="L172" t="s">
        <v>2224</v>
      </c>
      <c r="M172" t="s">
        <v>2226</v>
      </c>
      <c r="O172" t="s">
        <v>2534</v>
      </c>
      <c r="P172" t="s">
        <v>2558</v>
      </c>
      <c r="R172" t="s">
        <v>2569</v>
      </c>
      <c r="S172" t="s">
        <v>2224</v>
      </c>
      <c r="U172" t="s">
        <v>2578</v>
      </c>
      <c r="W172" t="s">
        <v>212</v>
      </c>
      <c r="X172">
        <v>1633.95</v>
      </c>
      <c r="Y172" t="s">
        <v>2607</v>
      </c>
      <c r="Z172" t="s">
        <v>2617</v>
      </c>
      <c r="AB172" t="s">
        <v>2788</v>
      </c>
      <c r="AD172" t="s">
        <v>3578</v>
      </c>
      <c r="AE172">
        <v>20</v>
      </c>
      <c r="AF172" t="s">
        <v>4099</v>
      </c>
      <c r="AG172" t="s">
        <v>4116</v>
      </c>
      <c r="AH172">
        <v>17</v>
      </c>
      <c r="AI172">
        <v>4</v>
      </c>
      <c r="AJ172">
        <v>1</v>
      </c>
      <c r="AK172">
        <v>53.85</v>
      </c>
      <c r="AN172" t="s">
        <v>4127</v>
      </c>
      <c r="AO172">
        <v>16248</v>
      </c>
      <c r="AU172">
        <v>0</v>
      </c>
      <c r="AW172" t="s">
        <v>80</v>
      </c>
      <c r="AX172" t="s">
        <v>4266</v>
      </c>
      <c r="AY172" t="s">
        <v>2226</v>
      </c>
      <c r="AZ172" t="s">
        <v>2226</v>
      </c>
    </row>
    <row r="173" spans="1:52">
      <c r="A173" s="1">
        <f>HYPERLINK("https://lsnyc.legalserver.org/matter/dynamic-profile/view/1910165","19-1910165")</f>
        <v>0</v>
      </c>
      <c r="B173" t="s">
        <v>64</v>
      </c>
      <c r="C173" t="s">
        <v>155</v>
      </c>
      <c r="D173" t="s">
        <v>232</v>
      </c>
      <c r="F173" t="s">
        <v>441</v>
      </c>
      <c r="G173" t="s">
        <v>983</v>
      </c>
      <c r="H173" t="s">
        <v>1538</v>
      </c>
      <c r="J173" t="s">
        <v>2192</v>
      </c>
      <c r="K173">
        <v>11212</v>
      </c>
      <c r="L173" t="s">
        <v>2224</v>
      </c>
      <c r="M173" t="s">
        <v>2226</v>
      </c>
      <c r="N173" t="s">
        <v>2303</v>
      </c>
      <c r="O173" t="s">
        <v>2533</v>
      </c>
      <c r="P173" t="s">
        <v>2558</v>
      </c>
      <c r="R173" t="s">
        <v>2569</v>
      </c>
      <c r="S173" t="s">
        <v>2225</v>
      </c>
      <c r="U173" t="s">
        <v>2578</v>
      </c>
      <c r="V173" t="s">
        <v>2588</v>
      </c>
      <c r="W173" t="s">
        <v>261</v>
      </c>
      <c r="X173">
        <v>700</v>
      </c>
      <c r="Y173" t="s">
        <v>2604</v>
      </c>
      <c r="Z173" t="s">
        <v>2617</v>
      </c>
      <c r="AB173" t="s">
        <v>2789</v>
      </c>
      <c r="AC173" t="s">
        <v>3372</v>
      </c>
      <c r="AD173" t="s">
        <v>3579</v>
      </c>
      <c r="AE173">
        <v>39</v>
      </c>
      <c r="AF173" t="s">
        <v>4099</v>
      </c>
      <c r="AG173" t="s">
        <v>4114</v>
      </c>
      <c r="AH173">
        <v>26</v>
      </c>
      <c r="AI173">
        <v>1</v>
      </c>
      <c r="AJ173">
        <v>1</v>
      </c>
      <c r="AK173">
        <v>54.71</v>
      </c>
      <c r="AN173" t="s">
        <v>4126</v>
      </c>
      <c r="AO173">
        <v>9252</v>
      </c>
      <c r="AU173">
        <v>3</v>
      </c>
      <c r="AV173" t="s">
        <v>261</v>
      </c>
      <c r="AW173" t="s">
        <v>4236</v>
      </c>
      <c r="AX173" t="s">
        <v>2255</v>
      </c>
      <c r="AY173" t="s">
        <v>2224</v>
      </c>
      <c r="AZ173" t="s">
        <v>2224</v>
      </c>
    </row>
    <row r="174" spans="1:52">
      <c r="A174" s="1">
        <f>HYPERLINK("https://lsnyc.legalserver.org/matter/dynamic-profile/view/1909290","19-1909290")</f>
        <v>0</v>
      </c>
      <c r="B174" t="s">
        <v>84</v>
      </c>
      <c r="C174" t="s">
        <v>154</v>
      </c>
      <c r="D174" t="s">
        <v>167</v>
      </c>
      <c r="E174" t="s">
        <v>194</v>
      </c>
      <c r="F174" t="s">
        <v>442</v>
      </c>
      <c r="G174" t="s">
        <v>984</v>
      </c>
      <c r="H174" t="s">
        <v>1539</v>
      </c>
      <c r="I174" t="s">
        <v>2024</v>
      </c>
      <c r="J174" t="s">
        <v>2194</v>
      </c>
      <c r="K174">
        <v>10457</v>
      </c>
      <c r="L174" t="s">
        <v>2224</v>
      </c>
      <c r="M174" t="s">
        <v>2226</v>
      </c>
      <c r="N174" t="s">
        <v>2304</v>
      </c>
      <c r="O174" t="s">
        <v>2533</v>
      </c>
      <c r="P174" t="s">
        <v>2556</v>
      </c>
      <c r="Q174" t="s">
        <v>2563</v>
      </c>
      <c r="R174" t="s">
        <v>2569</v>
      </c>
      <c r="S174" t="s">
        <v>2225</v>
      </c>
      <c r="U174" t="s">
        <v>2578</v>
      </c>
      <c r="W174" t="s">
        <v>189</v>
      </c>
      <c r="X174">
        <v>461</v>
      </c>
      <c r="Y174" t="s">
        <v>2605</v>
      </c>
      <c r="Z174" t="s">
        <v>2614</v>
      </c>
      <c r="AA174" t="s">
        <v>2626</v>
      </c>
      <c r="AB174" t="s">
        <v>2790</v>
      </c>
      <c r="AD174" t="s">
        <v>3580</v>
      </c>
      <c r="AE174">
        <v>239</v>
      </c>
      <c r="AG174" t="s">
        <v>2255</v>
      </c>
      <c r="AH174">
        <v>16</v>
      </c>
      <c r="AI174">
        <v>1</v>
      </c>
      <c r="AJ174">
        <v>1</v>
      </c>
      <c r="AK174">
        <v>54.86</v>
      </c>
      <c r="AN174" t="s">
        <v>4126</v>
      </c>
      <c r="AO174">
        <v>9276</v>
      </c>
      <c r="AU174">
        <v>0.1</v>
      </c>
      <c r="AV174" t="s">
        <v>194</v>
      </c>
      <c r="AW174" t="s">
        <v>4248</v>
      </c>
      <c r="AX174" t="s">
        <v>4266</v>
      </c>
      <c r="AY174" t="s">
        <v>2226</v>
      </c>
      <c r="AZ174" t="s">
        <v>2226</v>
      </c>
    </row>
    <row r="175" spans="1:52">
      <c r="A175" s="1">
        <f>HYPERLINK("https://lsnyc.legalserver.org/matter/dynamic-profile/view/1909241","19-1909241")</f>
        <v>0</v>
      </c>
      <c r="B175" t="s">
        <v>82</v>
      </c>
      <c r="C175" t="s">
        <v>155</v>
      </c>
      <c r="D175" t="s">
        <v>186</v>
      </c>
      <c r="F175" t="s">
        <v>443</v>
      </c>
      <c r="G175" t="s">
        <v>985</v>
      </c>
      <c r="H175" t="s">
        <v>1450</v>
      </c>
      <c r="I175" t="s">
        <v>1975</v>
      </c>
      <c r="J175" t="s">
        <v>2192</v>
      </c>
      <c r="K175">
        <v>11212</v>
      </c>
      <c r="L175" t="s">
        <v>2224</v>
      </c>
      <c r="M175" t="s">
        <v>2226</v>
      </c>
      <c r="N175" t="s">
        <v>2244</v>
      </c>
      <c r="O175" t="s">
        <v>2238</v>
      </c>
      <c r="P175" t="s">
        <v>2561</v>
      </c>
      <c r="R175" t="s">
        <v>2569</v>
      </c>
      <c r="S175" t="s">
        <v>2225</v>
      </c>
      <c r="U175" t="s">
        <v>2578</v>
      </c>
      <c r="V175" t="s">
        <v>2588</v>
      </c>
      <c r="W175" t="s">
        <v>2594</v>
      </c>
      <c r="X175">
        <v>200</v>
      </c>
      <c r="Y175" t="s">
        <v>2604</v>
      </c>
      <c r="Z175" t="s">
        <v>2614</v>
      </c>
      <c r="AB175" t="s">
        <v>2791</v>
      </c>
      <c r="AC175" t="s">
        <v>2513</v>
      </c>
      <c r="AD175" t="s">
        <v>3581</v>
      </c>
      <c r="AE175">
        <v>96</v>
      </c>
      <c r="AF175" t="s">
        <v>4099</v>
      </c>
      <c r="AG175" t="s">
        <v>2255</v>
      </c>
      <c r="AH175">
        <v>4</v>
      </c>
      <c r="AI175">
        <v>1</v>
      </c>
      <c r="AJ175">
        <v>0</v>
      </c>
      <c r="AK175">
        <v>56.2</v>
      </c>
      <c r="AN175" t="s">
        <v>4126</v>
      </c>
      <c r="AO175">
        <v>7020</v>
      </c>
      <c r="AU175">
        <v>0</v>
      </c>
      <c r="AW175" t="s">
        <v>4226</v>
      </c>
      <c r="AX175" t="s">
        <v>4266</v>
      </c>
      <c r="AY175" t="s">
        <v>2224</v>
      </c>
      <c r="AZ175" t="s">
        <v>2224</v>
      </c>
    </row>
    <row r="176" spans="1:52">
      <c r="A176" s="1">
        <f>HYPERLINK("https://lsnyc.legalserver.org/matter/dynamic-profile/view/1906057","19-1906057")</f>
        <v>0</v>
      </c>
      <c r="B176" t="s">
        <v>57</v>
      </c>
      <c r="C176" t="s">
        <v>155</v>
      </c>
      <c r="D176" t="s">
        <v>187</v>
      </c>
      <c r="F176" t="s">
        <v>444</v>
      </c>
      <c r="G176" t="s">
        <v>692</v>
      </c>
      <c r="H176" t="s">
        <v>1540</v>
      </c>
      <c r="I176" t="s">
        <v>2025</v>
      </c>
      <c r="J176" t="s">
        <v>2192</v>
      </c>
      <c r="K176">
        <v>11226</v>
      </c>
      <c r="L176" t="s">
        <v>2224</v>
      </c>
      <c r="M176" t="s">
        <v>2226</v>
      </c>
      <c r="O176" t="s">
        <v>2537</v>
      </c>
      <c r="P176" t="s">
        <v>2557</v>
      </c>
      <c r="R176" t="s">
        <v>2569</v>
      </c>
      <c r="S176" t="s">
        <v>2224</v>
      </c>
      <c r="U176" t="s">
        <v>2578</v>
      </c>
      <c r="W176" t="s">
        <v>244</v>
      </c>
      <c r="X176">
        <v>0</v>
      </c>
      <c r="Y176" t="s">
        <v>2604</v>
      </c>
      <c r="AB176" t="s">
        <v>2792</v>
      </c>
      <c r="AD176" t="s">
        <v>3582</v>
      </c>
      <c r="AE176">
        <v>54</v>
      </c>
      <c r="AH176">
        <v>0</v>
      </c>
      <c r="AI176">
        <v>3</v>
      </c>
      <c r="AJ176">
        <v>0</v>
      </c>
      <c r="AK176">
        <v>56.26</v>
      </c>
      <c r="AN176" t="s">
        <v>4132</v>
      </c>
      <c r="AO176">
        <v>12000</v>
      </c>
      <c r="AU176">
        <v>2</v>
      </c>
      <c r="AV176" t="s">
        <v>190</v>
      </c>
      <c r="AW176" t="s">
        <v>4251</v>
      </c>
      <c r="AY176" t="s">
        <v>2226</v>
      </c>
      <c r="AZ176" t="s">
        <v>2226</v>
      </c>
    </row>
    <row r="177" spans="1:52">
      <c r="A177" s="1">
        <f>HYPERLINK("https://lsnyc.legalserver.org/matter/dynamic-profile/view/1906390","19-1906390")</f>
        <v>0</v>
      </c>
      <c r="B177" t="s">
        <v>111</v>
      </c>
      <c r="C177" t="s">
        <v>154</v>
      </c>
      <c r="D177" t="s">
        <v>191</v>
      </c>
      <c r="E177" t="s">
        <v>200</v>
      </c>
      <c r="F177" t="s">
        <v>445</v>
      </c>
      <c r="G177" t="s">
        <v>925</v>
      </c>
      <c r="H177" t="s">
        <v>1541</v>
      </c>
      <c r="I177" t="s">
        <v>2026</v>
      </c>
      <c r="J177" t="s">
        <v>2196</v>
      </c>
      <c r="K177">
        <v>10009</v>
      </c>
      <c r="L177" t="s">
        <v>2224</v>
      </c>
      <c r="M177" t="s">
        <v>2226</v>
      </c>
      <c r="O177" t="s">
        <v>2238</v>
      </c>
      <c r="P177" t="s">
        <v>2556</v>
      </c>
      <c r="Q177" t="s">
        <v>2563</v>
      </c>
      <c r="R177" t="s">
        <v>2569</v>
      </c>
      <c r="S177" t="s">
        <v>2225</v>
      </c>
      <c r="U177" t="s">
        <v>2583</v>
      </c>
      <c r="W177" t="s">
        <v>191</v>
      </c>
      <c r="X177">
        <v>400</v>
      </c>
      <c r="Y177" t="s">
        <v>2607</v>
      </c>
      <c r="Z177" t="s">
        <v>2623</v>
      </c>
      <c r="AA177" t="s">
        <v>2626</v>
      </c>
      <c r="AB177" t="s">
        <v>2793</v>
      </c>
      <c r="AD177" t="s">
        <v>3583</v>
      </c>
      <c r="AE177">
        <v>176</v>
      </c>
      <c r="AF177" t="s">
        <v>4104</v>
      </c>
      <c r="AG177" t="s">
        <v>2255</v>
      </c>
      <c r="AH177">
        <v>41</v>
      </c>
      <c r="AI177">
        <v>1</v>
      </c>
      <c r="AJ177">
        <v>1</v>
      </c>
      <c r="AK177">
        <v>56.27</v>
      </c>
      <c r="AN177" t="s">
        <v>4127</v>
      </c>
      <c r="AO177">
        <v>9516</v>
      </c>
      <c r="AU177">
        <v>1</v>
      </c>
      <c r="AV177" t="s">
        <v>156</v>
      </c>
      <c r="AW177" t="s">
        <v>4252</v>
      </c>
      <c r="AX177" t="s">
        <v>4266</v>
      </c>
      <c r="AY177" t="s">
        <v>2226</v>
      </c>
      <c r="AZ177" t="s">
        <v>2225</v>
      </c>
    </row>
    <row r="178" spans="1:52">
      <c r="A178" s="1">
        <f>HYPERLINK("https://lsnyc.legalserver.org/matter/dynamic-profile/view/1905739","19-1905739")</f>
        <v>0</v>
      </c>
      <c r="B178" t="s">
        <v>112</v>
      </c>
      <c r="C178" t="s">
        <v>155</v>
      </c>
      <c r="D178" t="s">
        <v>173</v>
      </c>
      <c r="F178" t="s">
        <v>446</v>
      </c>
      <c r="G178" t="s">
        <v>861</v>
      </c>
      <c r="H178" t="s">
        <v>1542</v>
      </c>
      <c r="I178">
        <v>305</v>
      </c>
      <c r="J178" t="s">
        <v>2195</v>
      </c>
      <c r="K178">
        <v>10304</v>
      </c>
      <c r="L178" t="s">
        <v>2224</v>
      </c>
      <c r="M178" t="s">
        <v>2226</v>
      </c>
      <c r="N178" t="s">
        <v>2305</v>
      </c>
      <c r="O178" t="s">
        <v>2533</v>
      </c>
      <c r="P178" t="s">
        <v>2558</v>
      </c>
      <c r="R178" t="s">
        <v>2569</v>
      </c>
      <c r="S178" t="s">
        <v>2225</v>
      </c>
      <c r="U178" t="s">
        <v>2578</v>
      </c>
      <c r="V178" t="s">
        <v>2588</v>
      </c>
      <c r="W178" t="s">
        <v>173</v>
      </c>
      <c r="X178">
        <v>1245</v>
      </c>
      <c r="Y178" t="s">
        <v>2606</v>
      </c>
      <c r="Z178" t="s">
        <v>2613</v>
      </c>
      <c r="AB178" t="s">
        <v>2794</v>
      </c>
      <c r="AC178" t="s">
        <v>3401</v>
      </c>
      <c r="AD178" t="s">
        <v>3584</v>
      </c>
      <c r="AE178">
        <v>105</v>
      </c>
      <c r="AF178" t="s">
        <v>4099</v>
      </c>
      <c r="AG178" t="s">
        <v>4113</v>
      </c>
      <c r="AH178">
        <v>2</v>
      </c>
      <c r="AI178">
        <v>1</v>
      </c>
      <c r="AJ178">
        <v>2</v>
      </c>
      <c r="AK178">
        <v>56.43</v>
      </c>
      <c r="AN178" t="s">
        <v>4126</v>
      </c>
      <c r="AO178">
        <v>12036</v>
      </c>
      <c r="AU178">
        <v>13.8</v>
      </c>
      <c r="AV178" t="s">
        <v>218</v>
      </c>
      <c r="AW178" t="s">
        <v>4230</v>
      </c>
      <c r="AX178" t="s">
        <v>4267</v>
      </c>
      <c r="AY178" t="s">
        <v>2224</v>
      </c>
      <c r="AZ178" t="s">
        <v>2224</v>
      </c>
    </row>
    <row r="179" spans="1:52">
      <c r="A179" s="1">
        <f>HYPERLINK("https://lsnyc.legalserver.org/matter/dynamic-profile/view/1905743","19-1905743")</f>
        <v>0</v>
      </c>
      <c r="B179" t="s">
        <v>66</v>
      </c>
      <c r="C179" t="s">
        <v>155</v>
      </c>
      <c r="D179" t="s">
        <v>172</v>
      </c>
      <c r="F179" t="s">
        <v>447</v>
      </c>
      <c r="G179" t="s">
        <v>986</v>
      </c>
      <c r="H179" t="s">
        <v>1525</v>
      </c>
      <c r="I179" t="s">
        <v>2027</v>
      </c>
      <c r="J179" t="s">
        <v>2192</v>
      </c>
      <c r="K179">
        <v>11226</v>
      </c>
      <c r="L179" t="s">
        <v>2224</v>
      </c>
      <c r="M179" t="s">
        <v>2226</v>
      </c>
      <c r="O179" t="s">
        <v>2537</v>
      </c>
      <c r="P179" t="s">
        <v>2560</v>
      </c>
      <c r="R179" t="s">
        <v>2569</v>
      </c>
      <c r="S179" t="s">
        <v>2224</v>
      </c>
      <c r="U179" t="s">
        <v>2578</v>
      </c>
      <c r="W179" t="s">
        <v>172</v>
      </c>
      <c r="X179">
        <v>0</v>
      </c>
      <c r="Y179" t="s">
        <v>2604</v>
      </c>
      <c r="AB179" t="s">
        <v>2795</v>
      </c>
      <c r="AD179" t="s">
        <v>3585</v>
      </c>
      <c r="AE179">
        <v>36</v>
      </c>
      <c r="AF179" t="s">
        <v>4099</v>
      </c>
      <c r="AH179">
        <v>0</v>
      </c>
      <c r="AI179">
        <v>2</v>
      </c>
      <c r="AJ179">
        <v>0</v>
      </c>
      <c r="AK179">
        <v>56.77</v>
      </c>
      <c r="AN179" t="s">
        <v>4132</v>
      </c>
      <c r="AO179">
        <v>9600</v>
      </c>
      <c r="AU179">
        <v>0.2</v>
      </c>
      <c r="AV179" t="s">
        <v>172</v>
      </c>
      <c r="AW179" t="s">
        <v>124</v>
      </c>
      <c r="AY179" t="s">
        <v>2226</v>
      </c>
      <c r="AZ179" t="s">
        <v>2226</v>
      </c>
    </row>
    <row r="180" spans="1:52">
      <c r="A180" s="1">
        <f>HYPERLINK("https://lsnyc.legalserver.org/matter/dynamic-profile/view/1912560","19-1912560")</f>
        <v>0</v>
      </c>
      <c r="B180" t="s">
        <v>88</v>
      </c>
      <c r="C180" t="s">
        <v>155</v>
      </c>
      <c r="D180" t="s">
        <v>157</v>
      </c>
      <c r="F180" t="s">
        <v>448</v>
      </c>
      <c r="G180" t="s">
        <v>987</v>
      </c>
      <c r="H180" t="s">
        <v>1543</v>
      </c>
      <c r="J180" t="s">
        <v>2196</v>
      </c>
      <c r="K180">
        <v>10035</v>
      </c>
      <c r="L180" t="s">
        <v>2224</v>
      </c>
      <c r="M180" t="s">
        <v>2226</v>
      </c>
      <c r="N180" t="s">
        <v>2306</v>
      </c>
      <c r="O180" t="s">
        <v>2534</v>
      </c>
      <c r="P180" t="s">
        <v>2558</v>
      </c>
      <c r="R180" t="s">
        <v>2569</v>
      </c>
      <c r="S180" t="s">
        <v>2225</v>
      </c>
      <c r="U180" t="s">
        <v>2578</v>
      </c>
      <c r="V180" t="s">
        <v>2588</v>
      </c>
      <c r="W180" t="s">
        <v>157</v>
      </c>
      <c r="X180">
        <v>1167.04</v>
      </c>
      <c r="Y180" t="s">
        <v>2607</v>
      </c>
      <c r="Z180" t="s">
        <v>2611</v>
      </c>
      <c r="AB180" t="s">
        <v>2796</v>
      </c>
      <c r="AD180" t="s">
        <v>3586</v>
      </c>
      <c r="AE180">
        <v>54</v>
      </c>
      <c r="AF180" t="s">
        <v>4099</v>
      </c>
      <c r="AG180" t="s">
        <v>4112</v>
      </c>
      <c r="AH180">
        <v>11</v>
      </c>
      <c r="AI180">
        <v>1</v>
      </c>
      <c r="AJ180">
        <v>1</v>
      </c>
      <c r="AK180">
        <v>56.77</v>
      </c>
      <c r="AN180" t="s">
        <v>4126</v>
      </c>
      <c r="AO180">
        <v>9600</v>
      </c>
      <c r="AU180">
        <v>2.25</v>
      </c>
      <c r="AV180" t="s">
        <v>168</v>
      </c>
      <c r="AW180" t="s">
        <v>4237</v>
      </c>
      <c r="AX180" t="s">
        <v>4266</v>
      </c>
      <c r="AY180" t="s">
        <v>2226</v>
      </c>
      <c r="AZ180" t="s">
        <v>2226</v>
      </c>
    </row>
    <row r="181" spans="1:52">
      <c r="A181" s="1">
        <f>HYPERLINK("https://lsnyc.legalserver.org/matter/dynamic-profile/view/1910104","19-1910104")</f>
        <v>0</v>
      </c>
      <c r="B181" t="s">
        <v>66</v>
      </c>
      <c r="C181" t="s">
        <v>155</v>
      </c>
      <c r="D181" t="s">
        <v>211</v>
      </c>
      <c r="F181" t="s">
        <v>449</v>
      </c>
      <c r="G181" t="s">
        <v>930</v>
      </c>
      <c r="H181" t="s">
        <v>1544</v>
      </c>
      <c r="I181">
        <v>10</v>
      </c>
      <c r="J181" t="s">
        <v>2192</v>
      </c>
      <c r="K181">
        <v>11225</v>
      </c>
      <c r="L181" t="s">
        <v>2224</v>
      </c>
      <c r="M181" t="s">
        <v>2226</v>
      </c>
      <c r="N181" t="s">
        <v>2255</v>
      </c>
      <c r="O181" t="s">
        <v>2538</v>
      </c>
      <c r="P181" t="s">
        <v>2557</v>
      </c>
      <c r="R181" t="s">
        <v>2569</v>
      </c>
      <c r="S181" t="s">
        <v>2225</v>
      </c>
      <c r="U181" t="s">
        <v>2578</v>
      </c>
      <c r="V181" t="s">
        <v>2588</v>
      </c>
      <c r="W181" t="s">
        <v>211</v>
      </c>
      <c r="X181">
        <v>1519.6</v>
      </c>
      <c r="Y181" t="s">
        <v>2604</v>
      </c>
      <c r="AB181" t="s">
        <v>2797</v>
      </c>
      <c r="AE181">
        <v>12</v>
      </c>
      <c r="AF181" t="s">
        <v>4099</v>
      </c>
      <c r="AH181">
        <v>17</v>
      </c>
      <c r="AI181">
        <v>2</v>
      </c>
      <c r="AJ181">
        <v>0</v>
      </c>
      <c r="AK181">
        <v>57.69</v>
      </c>
      <c r="AN181" t="s">
        <v>4127</v>
      </c>
      <c r="AO181">
        <v>9756</v>
      </c>
      <c r="AU181">
        <v>10.4</v>
      </c>
      <c r="AV181" t="s">
        <v>188</v>
      </c>
      <c r="AW181" t="s">
        <v>66</v>
      </c>
      <c r="AY181" t="s">
        <v>2226</v>
      </c>
      <c r="AZ181" t="s">
        <v>2226</v>
      </c>
    </row>
    <row r="182" spans="1:52">
      <c r="A182" s="1">
        <f>HYPERLINK("https://lsnyc.legalserver.org/matter/dynamic-profile/view/1909484","19-1909484")</f>
        <v>0</v>
      </c>
      <c r="B182" t="s">
        <v>65</v>
      </c>
      <c r="C182" t="s">
        <v>154</v>
      </c>
      <c r="D182" t="s">
        <v>161</v>
      </c>
      <c r="E182" t="s">
        <v>161</v>
      </c>
      <c r="F182" t="s">
        <v>450</v>
      </c>
      <c r="G182" t="s">
        <v>988</v>
      </c>
      <c r="H182" t="s">
        <v>1545</v>
      </c>
      <c r="I182" t="s">
        <v>2028</v>
      </c>
      <c r="J182" t="s">
        <v>2192</v>
      </c>
      <c r="K182">
        <v>11208</v>
      </c>
      <c r="L182" t="s">
        <v>2224</v>
      </c>
      <c r="M182" t="s">
        <v>2226</v>
      </c>
      <c r="N182" t="s">
        <v>2307</v>
      </c>
      <c r="O182" t="s">
        <v>2533</v>
      </c>
      <c r="P182" t="s">
        <v>2556</v>
      </c>
      <c r="Q182" t="s">
        <v>2563</v>
      </c>
      <c r="R182" t="s">
        <v>2569</v>
      </c>
      <c r="S182" t="s">
        <v>2225</v>
      </c>
      <c r="U182" t="s">
        <v>2578</v>
      </c>
      <c r="W182" t="s">
        <v>167</v>
      </c>
      <c r="X182">
        <v>1064</v>
      </c>
      <c r="Y182" t="s">
        <v>2604</v>
      </c>
      <c r="Z182" t="s">
        <v>2609</v>
      </c>
      <c r="AA182" t="s">
        <v>2626</v>
      </c>
      <c r="AB182" t="s">
        <v>2798</v>
      </c>
      <c r="AD182" t="s">
        <v>3587</v>
      </c>
      <c r="AE182">
        <v>2</v>
      </c>
      <c r="AF182" t="s">
        <v>4098</v>
      </c>
      <c r="AG182" t="s">
        <v>2255</v>
      </c>
      <c r="AH182">
        <v>15</v>
      </c>
      <c r="AI182">
        <v>4</v>
      </c>
      <c r="AJ182">
        <v>0</v>
      </c>
      <c r="AK182">
        <v>58.39</v>
      </c>
      <c r="AN182" t="s">
        <v>4127</v>
      </c>
      <c r="AO182">
        <v>15036</v>
      </c>
      <c r="AU182">
        <v>1.2</v>
      </c>
      <c r="AV182" t="s">
        <v>225</v>
      </c>
      <c r="AW182" t="s">
        <v>127</v>
      </c>
      <c r="AX182" t="s">
        <v>4266</v>
      </c>
      <c r="AY182" t="s">
        <v>2226</v>
      </c>
      <c r="AZ182" t="s">
        <v>2225</v>
      </c>
    </row>
    <row r="183" spans="1:52">
      <c r="A183" s="1">
        <f>HYPERLINK("https://lsnyc.legalserver.org/matter/dynamic-profile/view/1909677","19-1909677")</f>
        <v>0</v>
      </c>
      <c r="B183" t="s">
        <v>105</v>
      </c>
      <c r="C183" t="s">
        <v>154</v>
      </c>
      <c r="D183" t="s">
        <v>196</v>
      </c>
      <c r="E183" t="s">
        <v>214</v>
      </c>
      <c r="F183" t="s">
        <v>451</v>
      </c>
      <c r="G183" t="s">
        <v>989</v>
      </c>
      <c r="H183" t="s">
        <v>1546</v>
      </c>
      <c r="I183" t="s">
        <v>2029</v>
      </c>
      <c r="J183" t="s">
        <v>2195</v>
      </c>
      <c r="K183">
        <v>10301</v>
      </c>
      <c r="L183" t="s">
        <v>2224</v>
      </c>
      <c r="M183" t="s">
        <v>2226</v>
      </c>
      <c r="N183" t="s">
        <v>2308</v>
      </c>
      <c r="O183" t="s">
        <v>2533</v>
      </c>
      <c r="P183" t="s">
        <v>2558</v>
      </c>
      <c r="Q183" t="s">
        <v>2568</v>
      </c>
      <c r="R183" t="s">
        <v>2569</v>
      </c>
      <c r="S183" t="s">
        <v>2225</v>
      </c>
      <c r="U183" t="s">
        <v>2578</v>
      </c>
      <c r="V183" t="s">
        <v>2591</v>
      </c>
      <c r="W183" t="s">
        <v>196</v>
      </c>
      <c r="X183">
        <v>1534</v>
      </c>
      <c r="Y183" t="s">
        <v>2606</v>
      </c>
      <c r="Z183" t="s">
        <v>2613</v>
      </c>
      <c r="AA183" t="s">
        <v>2628</v>
      </c>
      <c r="AB183" t="s">
        <v>2799</v>
      </c>
      <c r="AC183">
        <v>6882415</v>
      </c>
      <c r="AD183" t="s">
        <v>3588</v>
      </c>
      <c r="AE183">
        <v>5</v>
      </c>
      <c r="AF183" t="s">
        <v>4098</v>
      </c>
      <c r="AG183" t="s">
        <v>4113</v>
      </c>
      <c r="AH183">
        <v>4</v>
      </c>
      <c r="AI183">
        <v>1</v>
      </c>
      <c r="AJ183">
        <v>2</v>
      </c>
      <c r="AK183">
        <v>58.96</v>
      </c>
      <c r="AN183" t="s">
        <v>4126</v>
      </c>
      <c r="AO183">
        <v>12576</v>
      </c>
      <c r="AQ183" t="s">
        <v>4173</v>
      </c>
      <c r="AR183" t="s">
        <v>4181</v>
      </c>
      <c r="AS183" t="s">
        <v>4188</v>
      </c>
      <c r="AT183" t="s">
        <v>4201</v>
      </c>
      <c r="AU183">
        <v>9.6</v>
      </c>
      <c r="AV183" t="s">
        <v>214</v>
      </c>
      <c r="AW183" t="s">
        <v>4230</v>
      </c>
      <c r="AX183" t="s">
        <v>4266</v>
      </c>
      <c r="AY183" t="s">
        <v>2224</v>
      </c>
      <c r="AZ183" t="s">
        <v>2224</v>
      </c>
    </row>
    <row r="184" spans="1:52">
      <c r="A184" s="1">
        <f>HYPERLINK("https://lsnyc.legalserver.org/matter/dynamic-profile/view/1903853","19-1903853")</f>
        <v>0</v>
      </c>
      <c r="B184" t="s">
        <v>97</v>
      </c>
      <c r="C184" t="s">
        <v>154</v>
      </c>
      <c r="D184" t="s">
        <v>201</v>
      </c>
      <c r="E184" t="s">
        <v>187</v>
      </c>
      <c r="F184" t="s">
        <v>452</v>
      </c>
      <c r="G184" t="s">
        <v>990</v>
      </c>
      <c r="H184" t="s">
        <v>1547</v>
      </c>
      <c r="I184">
        <v>1</v>
      </c>
      <c r="J184" t="s">
        <v>2192</v>
      </c>
      <c r="K184">
        <v>11233</v>
      </c>
      <c r="L184" t="s">
        <v>2224</v>
      </c>
      <c r="M184" t="s">
        <v>2226</v>
      </c>
      <c r="N184" t="s">
        <v>2309</v>
      </c>
      <c r="O184" t="s">
        <v>2533</v>
      </c>
      <c r="P184" t="s">
        <v>2561</v>
      </c>
      <c r="Q184" t="s">
        <v>2566</v>
      </c>
      <c r="R184" t="s">
        <v>2569</v>
      </c>
      <c r="S184" t="s">
        <v>2225</v>
      </c>
      <c r="U184" t="s">
        <v>2580</v>
      </c>
      <c r="V184" t="s">
        <v>2591</v>
      </c>
      <c r="W184" t="s">
        <v>267</v>
      </c>
      <c r="X184">
        <v>650</v>
      </c>
      <c r="Y184" t="s">
        <v>2604</v>
      </c>
      <c r="Z184" t="s">
        <v>2613</v>
      </c>
      <c r="AA184" t="s">
        <v>2630</v>
      </c>
      <c r="AB184" t="s">
        <v>2800</v>
      </c>
      <c r="AD184" t="s">
        <v>3589</v>
      </c>
      <c r="AE184">
        <v>3</v>
      </c>
      <c r="AF184" t="s">
        <v>4098</v>
      </c>
      <c r="AG184" t="s">
        <v>2255</v>
      </c>
      <c r="AH184">
        <v>4</v>
      </c>
      <c r="AI184">
        <v>2</v>
      </c>
      <c r="AJ184">
        <v>0</v>
      </c>
      <c r="AK184">
        <v>59.04</v>
      </c>
      <c r="AN184" t="s">
        <v>4126</v>
      </c>
      <c r="AO184">
        <v>9984</v>
      </c>
      <c r="AR184" t="s">
        <v>2611</v>
      </c>
      <c r="AS184" t="s">
        <v>4189</v>
      </c>
      <c r="AT184" t="s">
        <v>4202</v>
      </c>
      <c r="AU184">
        <v>1.2</v>
      </c>
      <c r="AV184" t="s">
        <v>187</v>
      </c>
      <c r="AW184" t="s">
        <v>4253</v>
      </c>
      <c r="AX184" t="s">
        <v>4266</v>
      </c>
      <c r="AY184" t="s">
        <v>2226</v>
      </c>
      <c r="AZ184" t="s">
        <v>2226</v>
      </c>
    </row>
    <row r="185" spans="1:52">
      <c r="A185" s="1">
        <f>HYPERLINK("https://lsnyc.legalserver.org/matter/dynamic-profile/view/1907798","19-1907798")</f>
        <v>0</v>
      </c>
      <c r="B185" t="s">
        <v>113</v>
      </c>
      <c r="C185" t="s">
        <v>155</v>
      </c>
      <c r="D185" t="s">
        <v>183</v>
      </c>
      <c r="F185" t="s">
        <v>453</v>
      </c>
      <c r="G185" t="s">
        <v>991</v>
      </c>
      <c r="H185" t="s">
        <v>1548</v>
      </c>
      <c r="I185" t="s">
        <v>2030</v>
      </c>
      <c r="J185" t="s">
        <v>2192</v>
      </c>
      <c r="K185">
        <v>11217</v>
      </c>
      <c r="L185" t="s">
        <v>2224</v>
      </c>
      <c r="M185" t="s">
        <v>2226</v>
      </c>
      <c r="O185" t="s">
        <v>2546</v>
      </c>
      <c r="P185" t="s">
        <v>2558</v>
      </c>
      <c r="R185" t="s">
        <v>2569</v>
      </c>
      <c r="U185" t="s">
        <v>2578</v>
      </c>
      <c r="W185" t="s">
        <v>229</v>
      </c>
      <c r="X185">
        <v>1900</v>
      </c>
      <c r="Y185" t="s">
        <v>2604</v>
      </c>
      <c r="Z185" t="s">
        <v>2611</v>
      </c>
      <c r="AB185" t="s">
        <v>2801</v>
      </c>
      <c r="AD185" t="s">
        <v>3590</v>
      </c>
      <c r="AE185">
        <v>8</v>
      </c>
      <c r="AH185">
        <v>18</v>
      </c>
      <c r="AI185">
        <v>1</v>
      </c>
      <c r="AJ185">
        <v>2</v>
      </c>
      <c r="AK185">
        <v>59.24</v>
      </c>
      <c r="AN185" t="s">
        <v>4127</v>
      </c>
      <c r="AO185">
        <v>12636</v>
      </c>
      <c r="AU185">
        <v>9.85</v>
      </c>
      <c r="AV185" t="s">
        <v>168</v>
      </c>
      <c r="AW185" t="s">
        <v>4254</v>
      </c>
      <c r="AX185" t="s">
        <v>4266</v>
      </c>
      <c r="AY185" t="s">
        <v>2226</v>
      </c>
      <c r="AZ185" t="s">
        <v>2226</v>
      </c>
    </row>
    <row r="186" spans="1:52">
      <c r="A186" s="1">
        <f>HYPERLINK("https://lsnyc.legalserver.org/matter/dynamic-profile/view/1901339","19-1901339")</f>
        <v>0</v>
      </c>
      <c r="B186" t="s">
        <v>53</v>
      </c>
      <c r="C186" t="s">
        <v>155</v>
      </c>
      <c r="D186" t="s">
        <v>233</v>
      </c>
      <c r="F186" t="s">
        <v>454</v>
      </c>
      <c r="G186" t="s">
        <v>992</v>
      </c>
      <c r="H186" t="s">
        <v>1549</v>
      </c>
      <c r="J186" t="s">
        <v>2201</v>
      </c>
      <c r="K186">
        <v>11423</v>
      </c>
      <c r="L186" t="s">
        <v>2224</v>
      </c>
      <c r="M186" t="s">
        <v>2226</v>
      </c>
      <c r="N186" t="s">
        <v>2310</v>
      </c>
      <c r="O186" t="s">
        <v>2534</v>
      </c>
      <c r="P186" t="s">
        <v>2556</v>
      </c>
      <c r="R186" t="s">
        <v>2569</v>
      </c>
      <c r="S186" t="s">
        <v>2225</v>
      </c>
      <c r="U186" t="s">
        <v>2578</v>
      </c>
      <c r="V186" t="s">
        <v>2588</v>
      </c>
      <c r="W186" t="s">
        <v>207</v>
      </c>
      <c r="X186">
        <v>700</v>
      </c>
      <c r="Y186" t="s">
        <v>2603</v>
      </c>
      <c r="Z186" t="s">
        <v>2608</v>
      </c>
      <c r="AB186" t="s">
        <v>2802</v>
      </c>
      <c r="AC186" t="s">
        <v>3402</v>
      </c>
      <c r="AD186" t="s">
        <v>3591</v>
      </c>
      <c r="AE186">
        <v>2</v>
      </c>
      <c r="AF186" t="s">
        <v>4098</v>
      </c>
      <c r="AG186" t="s">
        <v>2255</v>
      </c>
      <c r="AH186">
        <v>53</v>
      </c>
      <c r="AI186">
        <v>2</v>
      </c>
      <c r="AJ186">
        <v>0</v>
      </c>
      <c r="AK186">
        <v>59.61</v>
      </c>
      <c r="AN186" t="s">
        <v>4126</v>
      </c>
      <c r="AO186">
        <v>10080</v>
      </c>
      <c r="AS186" t="s">
        <v>4188</v>
      </c>
      <c r="AT186" t="s">
        <v>4203</v>
      </c>
      <c r="AU186">
        <v>0.6</v>
      </c>
      <c r="AV186" t="s">
        <v>4220</v>
      </c>
      <c r="AW186" t="s">
        <v>53</v>
      </c>
      <c r="AX186" t="s">
        <v>4267</v>
      </c>
      <c r="AY186" t="s">
        <v>2226</v>
      </c>
      <c r="AZ186" t="s">
        <v>2225</v>
      </c>
    </row>
    <row r="187" spans="1:52">
      <c r="A187" s="1">
        <f>HYPERLINK("https://lsnyc.legalserver.org/matter/dynamic-profile/view/1912336","19-1912336")</f>
        <v>0</v>
      </c>
      <c r="B187" t="s">
        <v>104</v>
      </c>
      <c r="C187" t="s">
        <v>155</v>
      </c>
      <c r="D187" t="s">
        <v>169</v>
      </c>
      <c r="F187" t="s">
        <v>370</v>
      </c>
      <c r="G187" t="s">
        <v>987</v>
      </c>
      <c r="H187" t="s">
        <v>1550</v>
      </c>
      <c r="I187" t="s">
        <v>2031</v>
      </c>
      <c r="J187" t="s">
        <v>2196</v>
      </c>
      <c r="K187">
        <v>10040</v>
      </c>
      <c r="L187" t="s">
        <v>2224</v>
      </c>
      <c r="M187" t="s">
        <v>2226</v>
      </c>
      <c r="O187" t="s">
        <v>2537</v>
      </c>
      <c r="P187" t="s">
        <v>2558</v>
      </c>
      <c r="R187" t="s">
        <v>2569</v>
      </c>
      <c r="S187" t="s">
        <v>2224</v>
      </c>
      <c r="U187" t="s">
        <v>2578</v>
      </c>
      <c r="W187" t="s">
        <v>169</v>
      </c>
      <c r="X187">
        <v>1134.04</v>
      </c>
      <c r="Y187" t="s">
        <v>2607</v>
      </c>
      <c r="Z187" t="s">
        <v>2613</v>
      </c>
      <c r="AB187" t="s">
        <v>2803</v>
      </c>
      <c r="AC187" t="s">
        <v>3403</v>
      </c>
      <c r="AD187" t="s">
        <v>3592</v>
      </c>
      <c r="AE187">
        <v>44</v>
      </c>
      <c r="AF187" t="s">
        <v>4099</v>
      </c>
      <c r="AG187" t="s">
        <v>4112</v>
      </c>
      <c r="AH187">
        <v>36</v>
      </c>
      <c r="AI187">
        <v>1</v>
      </c>
      <c r="AJ187">
        <v>0</v>
      </c>
      <c r="AK187">
        <v>59.72</v>
      </c>
      <c r="AN187" t="s">
        <v>4127</v>
      </c>
      <c r="AO187">
        <v>7459.2</v>
      </c>
      <c r="AU187">
        <v>0</v>
      </c>
      <c r="AW187" t="s">
        <v>80</v>
      </c>
      <c r="AX187" t="s">
        <v>4266</v>
      </c>
      <c r="AY187" t="s">
        <v>2226</v>
      </c>
      <c r="AZ187" t="s">
        <v>2226</v>
      </c>
    </row>
    <row r="188" spans="1:52">
      <c r="A188" s="1">
        <f>HYPERLINK("https://lsnyc.legalserver.org/matter/dynamic-profile/view/1912943","19-1912943")</f>
        <v>0</v>
      </c>
      <c r="B188" t="s">
        <v>104</v>
      </c>
      <c r="C188" t="s">
        <v>155</v>
      </c>
      <c r="D188" t="s">
        <v>168</v>
      </c>
      <c r="F188" t="s">
        <v>370</v>
      </c>
      <c r="G188" t="s">
        <v>987</v>
      </c>
      <c r="H188" t="s">
        <v>1550</v>
      </c>
      <c r="I188" t="s">
        <v>2031</v>
      </c>
      <c r="J188" t="s">
        <v>2196</v>
      </c>
      <c r="K188">
        <v>10040</v>
      </c>
      <c r="L188" t="s">
        <v>2224</v>
      </c>
      <c r="M188" t="s">
        <v>2226</v>
      </c>
      <c r="O188" t="s">
        <v>2537</v>
      </c>
      <c r="P188" t="s">
        <v>2558</v>
      </c>
      <c r="R188" t="s">
        <v>2569</v>
      </c>
      <c r="S188" t="s">
        <v>2224</v>
      </c>
      <c r="U188" t="s">
        <v>2578</v>
      </c>
      <c r="W188" t="s">
        <v>168</v>
      </c>
      <c r="X188">
        <v>1134.04</v>
      </c>
      <c r="Y188" t="s">
        <v>2607</v>
      </c>
      <c r="Z188" t="s">
        <v>2613</v>
      </c>
      <c r="AB188" t="s">
        <v>2803</v>
      </c>
      <c r="AD188" t="s">
        <v>3592</v>
      </c>
      <c r="AE188">
        <v>44</v>
      </c>
      <c r="AF188" t="s">
        <v>4099</v>
      </c>
      <c r="AG188" t="s">
        <v>4112</v>
      </c>
      <c r="AH188">
        <v>36</v>
      </c>
      <c r="AI188">
        <v>1</v>
      </c>
      <c r="AJ188">
        <v>0</v>
      </c>
      <c r="AK188">
        <v>59.72</v>
      </c>
      <c r="AN188" t="s">
        <v>4127</v>
      </c>
      <c r="AO188">
        <v>7459.2</v>
      </c>
      <c r="AU188">
        <v>0</v>
      </c>
      <c r="AW188" t="s">
        <v>80</v>
      </c>
      <c r="AX188" t="s">
        <v>4266</v>
      </c>
      <c r="AY188" t="s">
        <v>2226</v>
      </c>
      <c r="AZ188" t="s">
        <v>2226</v>
      </c>
    </row>
    <row r="189" spans="1:52">
      <c r="A189" s="1">
        <f>HYPERLINK("https://lsnyc.legalserver.org/matter/dynamic-profile/view/1906049","19-1906049")</f>
        <v>0</v>
      </c>
      <c r="B189" t="s">
        <v>98</v>
      </c>
      <c r="C189" t="s">
        <v>155</v>
      </c>
      <c r="D189" t="s">
        <v>173</v>
      </c>
      <c r="F189" t="s">
        <v>455</v>
      </c>
      <c r="G189" t="s">
        <v>993</v>
      </c>
      <c r="H189" t="s">
        <v>1551</v>
      </c>
      <c r="I189" t="s">
        <v>2032</v>
      </c>
      <c r="J189" t="s">
        <v>2196</v>
      </c>
      <c r="K189">
        <v>10033</v>
      </c>
      <c r="L189" t="s">
        <v>2224</v>
      </c>
      <c r="M189" t="s">
        <v>2226</v>
      </c>
      <c r="P189" t="s">
        <v>2556</v>
      </c>
      <c r="R189" t="s">
        <v>2569</v>
      </c>
      <c r="S189" t="s">
        <v>2225</v>
      </c>
      <c r="U189" t="s">
        <v>2578</v>
      </c>
      <c r="W189" t="s">
        <v>173</v>
      </c>
      <c r="X189">
        <v>2668</v>
      </c>
      <c r="Y189" t="s">
        <v>2607</v>
      </c>
      <c r="Z189" t="s">
        <v>2613</v>
      </c>
      <c r="AB189" t="s">
        <v>2804</v>
      </c>
      <c r="AD189" t="s">
        <v>3593</v>
      </c>
      <c r="AE189">
        <v>480</v>
      </c>
      <c r="AF189" t="s">
        <v>4099</v>
      </c>
      <c r="AG189" t="s">
        <v>2255</v>
      </c>
      <c r="AH189">
        <v>5</v>
      </c>
      <c r="AI189">
        <v>1</v>
      </c>
      <c r="AJ189">
        <v>0</v>
      </c>
      <c r="AK189">
        <v>60.53</v>
      </c>
      <c r="AN189" t="s">
        <v>4127</v>
      </c>
      <c r="AO189">
        <v>7560</v>
      </c>
      <c r="AU189">
        <v>1.9</v>
      </c>
      <c r="AV189" t="s">
        <v>173</v>
      </c>
      <c r="AW189" t="s">
        <v>80</v>
      </c>
      <c r="AX189" t="s">
        <v>4266</v>
      </c>
      <c r="AY189" t="s">
        <v>2224</v>
      </c>
      <c r="AZ189" t="s">
        <v>2224</v>
      </c>
    </row>
    <row r="190" spans="1:52">
      <c r="A190" s="1">
        <f>HYPERLINK("https://lsnyc.legalserver.org/matter/dynamic-profile/view/1904678","19-1904678")</f>
        <v>0</v>
      </c>
      <c r="B190" t="s">
        <v>114</v>
      </c>
      <c r="C190" t="s">
        <v>155</v>
      </c>
      <c r="D190" t="s">
        <v>192</v>
      </c>
      <c r="F190" t="s">
        <v>356</v>
      </c>
      <c r="G190" t="s">
        <v>994</v>
      </c>
      <c r="H190" t="s">
        <v>1552</v>
      </c>
      <c r="I190" t="s">
        <v>2033</v>
      </c>
      <c r="J190" t="s">
        <v>2194</v>
      </c>
      <c r="K190">
        <v>10463</v>
      </c>
      <c r="L190" t="s">
        <v>2224</v>
      </c>
      <c r="M190" t="s">
        <v>2226</v>
      </c>
      <c r="N190" t="s">
        <v>2311</v>
      </c>
      <c r="O190" t="s">
        <v>2535</v>
      </c>
      <c r="P190" t="s">
        <v>2559</v>
      </c>
      <c r="R190" t="s">
        <v>2569</v>
      </c>
      <c r="S190" t="s">
        <v>2225</v>
      </c>
      <c r="U190" t="s">
        <v>2578</v>
      </c>
      <c r="W190" t="s">
        <v>192</v>
      </c>
      <c r="X190">
        <v>1133</v>
      </c>
      <c r="Y190" t="s">
        <v>2607</v>
      </c>
      <c r="Z190" t="s">
        <v>2611</v>
      </c>
      <c r="AB190" t="s">
        <v>2805</v>
      </c>
      <c r="AC190" t="s">
        <v>3404</v>
      </c>
      <c r="AD190" t="s">
        <v>3594</v>
      </c>
      <c r="AE190">
        <v>84</v>
      </c>
      <c r="AF190" t="s">
        <v>4099</v>
      </c>
      <c r="AG190" t="s">
        <v>2255</v>
      </c>
      <c r="AH190">
        <v>5</v>
      </c>
      <c r="AI190">
        <v>1</v>
      </c>
      <c r="AJ190">
        <v>1</v>
      </c>
      <c r="AK190">
        <v>60.86</v>
      </c>
      <c r="AN190" t="s">
        <v>4127</v>
      </c>
      <c r="AO190">
        <v>10292.04</v>
      </c>
      <c r="AU190">
        <v>10.4</v>
      </c>
      <c r="AV190" t="s">
        <v>199</v>
      </c>
      <c r="AW190" t="s">
        <v>4238</v>
      </c>
      <c r="AX190" t="s">
        <v>4267</v>
      </c>
      <c r="AY190" t="s">
        <v>2226</v>
      </c>
      <c r="AZ190" t="s">
        <v>2226</v>
      </c>
    </row>
    <row r="191" spans="1:52">
      <c r="A191" s="1">
        <f>HYPERLINK("https://lsnyc.legalserver.org/matter/dynamic-profile/view/1906741","19-1906741")</f>
        <v>0</v>
      </c>
      <c r="B191" t="s">
        <v>107</v>
      </c>
      <c r="C191" t="s">
        <v>155</v>
      </c>
      <c r="D191" t="s">
        <v>187</v>
      </c>
      <c r="F191" t="s">
        <v>456</v>
      </c>
      <c r="G191" t="s">
        <v>988</v>
      </c>
      <c r="H191" t="s">
        <v>1553</v>
      </c>
      <c r="I191" t="s">
        <v>2034</v>
      </c>
      <c r="J191" t="s">
        <v>2194</v>
      </c>
      <c r="K191">
        <v>10455</v>
      </c>
      <c r="L191" t="s">
        <v>2224</v>
      </c>
      <c r="M191" t="s">
        <v>2226</v>
      </c>
      <c r="N191" t="s">
        <v>2312</v>
      </c>
      <c r="O191" t="s">
        <v>2535</v>
      </c>
      <c r="P191" t="s">
        <v>2558</v>
      </c>
      <c r="R191" t="s">
        <v>2569</v>
      </c>
      <c r="S191" t="s">
        <v>2225</v>
      </c>
      <c r="U191" t="s">
        <v>2578</v>
      </c>
      <c r="V191" t="s">
        <v>2590</v>
      </c>
      <c r="W191" t="s">
        <v>190</v>
      </c>
      <c r="X191">
        <v>347</v>
      </c>
      <c r="Y191" t="s">
        <v>2605</v>
      </c>
      <c r="Z191" t="s">
        <v>2623</v>
      </c>
      <c r="AB191" t="s">
        <v>2806</v>
      </c>
      <c r="AD191" t="s">
        <v>3595</v>
      </c>
      <c r="AE191">
        <v>45</v>
      </c>
      <c r="AF191" t="s">
        <v>4104</v>
      </c>
      <c r="AG191" t="s">
        <v>2255</v>
      </c>
      <c r="AH191">
        <v>16</v>
      </c>
      <c r="AI191">
        <v>2</v>
      </c>
      <c r="AJ191">
        <v>0</v>
      </c>
      <c r="AK191">
        <v>61.5</v>
      </c>
      <c r="AN191" t="s">
        <v>4126</v>
      </c>
      <c r="AO191">
        <v>10400</v>
      </c>
      <c r="AU191">
        <v>16.25</v>
      </c>
      <c r="AV191" t="s">
        <v>222</v>
      </c>
      <c r="AW191" t="s">
        <v>4248</v>
      </c>
      <c r="AX191" t="s">
        <v>4266</v>
      </c>
      <c r="AY191" t="s">
        <v>2224</v>
      </c>
      <c r="AZ191" t="s">
        <v>2224</v>
      </c>
    </row>
    <row r="192" spans="1:52">
      <c r="A192" s="1">
        <f>HYPERLINK("https://lsnyc.legalserver.org/matter/dynamic-profile/view/1908444","19-1908444")</f>
        <v>0</v>
      </c>
      <c r="B192" t="s">
        <v>82</v>
      </c>
      <c r="C192" t="s">
        <v>155</v>
      </c>
      <c r="D192" t="s">
        <v>234</v>
      </c>
      <c r="F192" t="s">
        <v>331</v>
      </c>
      <c r="G192" t="s">
        <v>995</v>
      </c>
      <c r="H192" t="s">
        <v>1554</v>
      </c>
      <c r="I192">
        <v>201</v>
      </c>
      <c r="J192" t="s">
        <v>2196</v>
      </c>
      <c r="K192">
        <v>10025</v>
      </c>
      <c r="L192" t="s">
        <v>2224</v>
      </c>
      <c r="M192" t="s">
        <v>2226</v>
      </c>
      <c r="N192" t="s">
        <v>2244</v>
      </c>
      <c r="O192" t="s">
        <v>2539</v>
      </c>
      <c r="P192" t="s">
        <v>2557</v>
      </c>
      <c r="R192" t="s">
        <v>2569</v>
      </c>
      <c r="S192" t="s">
        <v>2225</v>
      </c>
      <c r="U192" t="s">
        <v>2578</v>
      </c>
      <c r="V192" t="s">
        <v>2588</v>
      </c>
      <c r="W192" t="s">
        <v>234</v>
      </c>
      <c r="X192">
        <v>900</v>
      </c>
      <c r="Y192" t="s">
        <v>2604</v>
      </c>
      <c r="Z192" t="s">
        <v>2613</v>
      </c>
      <c r="AB192" t="s">
        <v>2807</v>
      </c>
      <c r="AC192">
        <v>10154731</v>
      </c>
      <c r="AD192" t="s">
        <v>3596</v>
      </c>
      <c r="AE192">
        <v>10</v>
      </c>
      <c r="AF192" t="s">
        <v>4099</v>
      </c>
      <c r="AG192" t="s">
        <v>4117</v>
      </c>
      <c r="AH192">
        <v>0</v>
      </c>
      <c r="AI192">
        <v>2</v>
      </c>
      <c r="AJ192">
        <v>0</v>
      </c>
      <c r="AK192">
        <v>61.5</v>
      </c>
      <c r="AN192" t="s">
        <v>4126</v>
      </c>
      <c r="AO192">
        <v>10400</v>
      </c>
      <c r="AP192" t="s">
        <v>4149</v>
      </c>
      <c r="AU192">
        <v>15.5</v>
      </c>
      <c r="AV192" t="s">
        <v>204</v>
      </c>
      <c r="AW192" t="s">
        <v>4226</v>
      </c>
      <c r="AX192" t="s">
        <v>4267</v>
      </c>
      <c r="AY192" t="s">
        <v>2226</v>
      </c>
      <c r="AZ192" t="s">
        <v>2226</v>
      </c>
    </row>
    <row r="193" spans="1:52">
      <c r="A193" s="1">
        <f>HYPERLINK("https://lsnyc.legalserver.org/matter/dynamic-profile/view/1908938","19-1908938")</f>
        <v>0</v>
      </c>
      <c r="B193" t="s">
        <v>68</v>
      </c>
      <c r="C193" t="s">
        <v>155</v>
      </c>
      <c r="D193" t="s">
        <v>235</v>
      </c>
      <c r="F193" t="s">
        <v>402</v>
      </c>
      <c r="G193" t="s">
        <v>996</v>
      </c>
      <c r="H193" t="s">
        <v>1422</v>
      </c>
      <c r="I193" t="s">
        <v>2023</v>
      </c>
      <c r="J193" t="s">
        <v>2192</v>
      </c>
      <c r="K193">
        <v>11225</v>
      </c>
      <c r="L193" t="s">
        <v>2224</v>
      </c>
      <c r="M193" t="s">
        <v>2226</v>
      </c>
      <c r="O193" t="s">
        <v>2539</v>
      </c>
      <c r="P193" t="s">
        <v>2560</v>
      </c>
      <c r="R193" t="s">
        <v>2569</v>
      </c>
      <c r="S193" t="s">
        <v>2225</v>
      </c>
      <c r="U193" t="s">
        <v>2578</v>
      </c>
      <c r="W193" t="s">
        <v>235</v>
      </c>
      <c r="X193">
        <v>600</v>
      </c>
      <c r="Y193" t="s">
        <v>2604</v>
      </c>
      <c r="AB193" t="s">
        <v>2808</v>
      </c>
      <c r="AD193" t="s">
        <v>3597</v>
      </c>
      <c r="AE193">
        <v>46</v>
      </c>
      <c r="AH193">
        <v>20</v>
      </c>
      <c r="AI193">
        <v>2</v>
      </c>
      <c r="AJ193">
        <v>0</v>
      </c>
      <c r="AK193">
        <v>61.81</v>
      </c>
      <c r="AN193" t="s">
        <v>4126</v>
      </c>
      <c r="AO193">
        <v>10452</v>
      </c>
      <c r="AU193">
        <v>0</v>
      </c>
      <c r="AW193" t="s">
        <v>153</v>
      </c>
      <c r="AY193" t="s">
        <v>2224</v>
      </c>
      <c r="AZ193" t="s">
        <v>2224</v>
      </c>
    </row>
    <row r="194" spans="1:52">
      <c r="A194" s="1">
        <f>HYPERLINK("https://lsnyc.legalserver.org/matter/dynamic-profile/view/1912649","19-1912649")</f>
        <v>0</v>
      </c>
      <c r="B194" t="s">
        <v>52</v>
      </c>
      <c r="C194" t="s">
        <v>155</v>
      </c>
      <c r="D194" t="s">
        <v>157</v>
      </c>
      <c r="F194" t="s">
        <v>457</v>
      </c>
      <c r="G194" t="s">
        <v>997</v>
      </c>
      <c r="H194" t="s">
        <v>1555</v>
      </c>
      <c r="J194" t="s">
        <v>2208</v>
      </c>
      <c r="K194">
        <v>11413</v>
      </c>
      <c r="L194" t="s">
        <v>2224</v>
      </c>
      <c r="M194" t="s">
        <v>2226</v>
      </c>
      <c r="N194" t="s">
        <v>2313</v>
      </c>
      <c r="O194" t="s">
        <v>2533</v>
      </c>
      <c r="P194" t="s">
        <v>2556</v>
      </c>
      <c r="R194" t="s">
        <v>2569</v>
      </c>
      <c r="S194" t="s">
        <v>2225</v>
      </c>
      <c r="U194" t="s">
        <v>2578</v>
      </c>
      <c r="V194" t="s">
        <v>2588</v>
      </c>
      <c r="W194" t="s">
        <v>204</v>
      </c>
      <c r="X194">
        <v>1800</v>
      </c>
      <c r="Y194" t="s">
        <v>2603</v>
      </c>
      <c r="Z194" t="s">
        <v>2608</v>
      </c>
      <c r="AB194" t="s">
        <v>2809</v>
      </c>
      <c r="AD194" t="s">
        <v>3598</v>
      </c>
      <c r="AE194">
        <v>1</v>
      </c>
      <c r="AF194" t="s">
        <v>4098</v>
      </c>
      <c r="AG194" t="s">
        <v>2255</v>
      </c>
      <c r="AH194">
        <v>-1</v>
      </c>
      <c r="AI194">
        <v>1</v>
      </c>
      <c r="AJ194">
        <v>0</v>
      </c>
      <c r="AK194">
        <v>62.45</v>
      </c>
      <c r="AN194" t="s">
        <v>4126</v>
      </c>
      <c r="AO194">
        <v>7800</v>
      </c>
      <c r="AU194">
        <v>1.72</v>
      </c>
      <c r="AV194" t="s">
        <v>188</v>
      </c>
      <c r="AW194" t="s">
        <v>4223</v>
      </c>
      <c r="AX194" t="s">
        <v>4266</v>
      </c>
      <c r="AY194" t="s">
        <v>2224</v>
      </c>
      <c r="AZ194" t="s">
        <v>2224</v>
      </c>
    </row>
    <row r="195" spans="1:52">
      <c r="A195" s="1">
        <f>HYPERLINK("https://lsnyc.legalserver.org/matter/dynamic-profile/view/1908665","19-1908665")</f>
        <v>0</v>
      </c>
      <c r="B195" t="s">
        <v>55</v>
      </c>
      <c r="C195" t="s">
        <v>154</v>
      </c>
      <c r="D195" t="s">
        <v>171</v>
      </c>
      <c r="E195" t="s">
        <v>242</v>
      </c>
      <c r="F195" t="s">
        <v>458</v>
      </c>
      <c r="G195" t="s">
        <v>947</v>
      </c>
      <c r="H195" t="s">
        <v>1556</v>
      </c>
      <c r="I195">
        <v>2</v>
      </c>
      <c r="J195" t="s">
        <v>2209</v>
      </c>
      <c r="K195">
        <v>11693</v>
      </c>
      <c r="L195" t="s">
        <v>2224</v>
      </c>
      <c r="M195" t="s">
        <v>2226</v>
      </c>
      <c r="N195" t="s">
        <v>2314</v>
      </c>
      <c r="O195" t="s">
        <v>2533</v>
      </c>
      <c r="P195" t="s">
        <v>2556</v>
      </c>
      <c r="Q195" t="s">
        <v>2563</v>
      </c>
      <c r="R195" t="s">
        <v>2570</v>
      </c>
      <c r="S195" t="s">
        <v>2225</v>
      </c>
      <c r="U195" t="s">
        <v>2578</v>
      </c>
      <c r="V195" t="s">
        <v>2587</v>
      </c>
      <c r="W195" t="s">
        <v>242</v>
      </c>
      <c r="X195">
        <v>240</v>
      </c>
      <c r="Y195" t="s">
        <v>2603</v>
      </c>
      <c r="Z195" t="s">
        <v>2610</v>
      </c>
      <c r="AA195" t="s">
        <v>2626</v>
      </c>
      <c r="AB195" t="s">
        <v>2810</v>
      </c>
      <c r="AC195" t="s">
        <v>3405</v>
      </c>
      <c r="AE195">
        <v>2</v>
      </c>
      <c r="AF195" t="s">
        <v>4098</v>
      </c>
      <c r="AG195" t="s">
        <v>4112</v>
      </c>
      <c r="AH195">
        <v>6</v>
      </c>
      <c r="AI195">
        <v>1</v>
      </c>
      <c r="AJ195">
        <v>4</v>
      </c>
      <c r="AK195">
        <v>62.63</v>
      </c>
      <c r="AL195" t="s">
        <v>4121</v>
      </c>
      <c r="AM195" t="s">
        <v>4123</v>
      </c>
      <c r="AN195" t="s">
        <v>4126</v>
      </c>
      <c r="AO195">
        <v>18896.54</v>
      </c>
      <c r="AU195">
        <v>1.65</v>
      </c>
      <c r="AV195" t="s">
        <v>199</v>
      </c>
      <c r="AW195" t="s">
        <v>55</v>
      </c>
      <c r="AX195" t="s">
        <v>4266</v>
      </c>
      <c r="AY195" t="s">
        <v>2224</v>
      </c>
      <c r="AZ195" t="s">
        <v>2224</v>
      </c>
    </row>
    <row r="196" spans="1:52">
      <c r="A196" s="1">
        <f>HYPERLINK("https://lsnyc.legalserver.org/matter/dynamic-profile/view/1910458","19-1910458")</f>
        <v>0</v>
      </c>
      <c r="B196" t="s">
        <v>75</v>
      </c>
      <c r="C196" t="s">
        <v>155</v>
      </c>
      <c r="D196" t="s">
        <v>178</v>
      </c>
      <c r="F196" t="s">
        <v>300</v>
      </c>
      <c r="G196" t="s">
        <v>987</v>
      </c>
      <c r="H196" t="s">
        <v>1557</v>
      </c>
      <c r="I196" t="s">
        <v>2035</v>
      </c>
      <c r="J196" t="s">
        <v>2196</v>
      </c>
      <c r="K196">
        <v>10032</v>
      </c>
      <c r="L196" t="s">
        <v>2224</v>
      </c>
      <c r="M196" t="s">
        <v>2226</v>
      </c>
      <c r="O196" t="s">
        <v>2541</v>
      </c>
      <c r="P196" t="s">
        <v>2561</v>
      </c>
      <c r="R196" t="s">
        <v>2569</v>
      </c>
      <c r="S196" t="s">
        <v>2225</v>
      </c>
      <c r="U196" t="s">
        <v>2578</v>
      </c>
      <c r="W196" t="s">
        <v>178</v>
      </c>
      <c r="X196">
        <v>1243</v>
      </c>
      <c r="Y196" t="s">
        <v>2607</v>
      </c>
      <c r="Z196" t="s">
        <v>2617</v>
      </c>
      <c r="AB196" t="s">
        <v>2811</v>
      </c>
      <c r="AD196" t="s">
        <v>3599</v>
      </c>
      <c r="AE196">
        <v>41</v>
      </c>
      <c r="AF196" t="s">
        <v>4099</v>
      </c>
      <c r="AG196" t="s">
        <v>2255</v>
      </c>
      <c r="AH196">
        <v>23</v>
      </c>
      <c r="AI196">
        <v>2</v>
      </c>
      <c r="AJ196">
        <v>0</v>
      </c>
      <c r="AK196">
        <v>62.95</v>
      </c>
      <c r="AN196" t="s">
        <v>4126</v>
      </c>
      <c r="AO196">
        <v>10644</v>
      </c>
      <c r="AU196">
        <v>1.8</v>
      </c>
      <c r="AV196" t="s">
        <v>263</v>
      </c>
      <c r="AW196" t="s">
        <v>80</v>
      </c>
      <c r="AX196" t="s">
        <v>4266</v>
      </c>
      <c r="AY196" t="s">
        <v>2226</v>
      </c>
      <c r="AZ196" t="s">
        <v>2226</v>
      </c>
    </row>
    <row r="197" spans="1:52">
      <c r="A197" s="1">
        <f>HYPERLINK("https://lsnyc.legalserver.org/matter/dynamic-profile/view/1911516","19-1911516")</f>
        <v>0</v>
      </c>
      <c r="B197" t="s">
        <v>104</v>
      </c>
      <c r="C197" t="s">
        <v>155</v>
      </c>
      <c r="D197" t="s">
        <v>179</v>
      </c>
      <c r="F197" t="s">
        <v>370</v>
      </c>
      <c r="G197" t="s">
        <v>987</v>
      </c>
      <c r="H197" t="s">
        <v>1550</v>
      </c>
      <c r="I197" t="s">
        <v>2031</v>
      </c>
      <c r="J197" t="s">
        <v>2196</v>
      </c>
      <c r="K197">
        <v>10040</v>
      </c>
      <c r="L197" t="s">
        <v>2224</v>
      </c>
      <c r="M197" t="s">
        <v>2226</v>
      </c>
      <c r="O197" t="s">
        <v>2546</v>
      </c>
      <c r="P197" t="s">
        <v>2558</v>
      </c>
      <c r="R197" t="s">
        <v>2569</v>
      </c>
      <c r="S197" t="s">
        <v>2224</v>
      </c>
      <c r="U197" t="s">
        <v>2578</v>
      </c>
      <c r="W197" t="s">
        <v>179</v>
      </c>
      <c r="X197">
        <v>1134.04</v>
      </c>
      <c r="Y197" t="s">
        <v>2607</v>
      </c>
      <c r="Z197" t="s">
        <v>2613</v>
      </c>
      <c r="AB197" t="s">
        <v>2803</v>
      </c>
      <c r="AC197" t="s">
        <v>3403</v>
      </c>
      <c r="AD197" t="s">
        <v>3592</v>
      </c>
      <c r="AE197">
        <v>44</v>
      </c>
      <c r="AF197" t="s">
        <v>4099</v>
      </c>
      <c r="AG197" t="s">
        <v>4112</v>
      </c>
      <c r="AH197">
        <v>36</v>
      </c>
      <c r="AI197">
        <v>1</v>
      </c>
      <c r="AJ197">
        <v>0</v>
      </c>
      <c r="AK197">
        <v>63.51</v>
      </c>
      <c r="AN197" t="s">
        <v>4127</v>
      </c>
      <c r="AO197">
        <v>7932</v>
      </c>
      <c r="AU197">
        <v>0.1</v>
      </c>
      <c r="AV197" t="s">
        <v>197</v>
      </c>
      <c r="AW197" t="s">
        <v>80</v>
      </c>
      <c r="AX197" t="s">
        <v>4266</v>
      </c>
      <c r="AY197" t="s">
        <v>2226</v>
      </c>
      <c r="AZ197" t="s">
        <v>2226</v>
      </c>
    </row>
    <row r="198" spans="1:52">
      <c r="A198" s="1">
        <f>HYPERLINK("https://lsnyc.legalserver.org/matter/dynamic-profile/view/1913165","19-1913165")</f>
        <v>0</v>
      </c>
      <c r="B198" t="s">
        <v>55</v>
      </c>
      <c r="C198" t="s">
        <v>155</v>
      </c>
      <c r="D198" t="s">
        <v>163</v>
      </c>
      <c r="F198" t="s">
        <v>459</v>
      </c>
      <c r="G198" t="s">
        <v>998</v>
      </c>
      <c r="H198" t="s">
        <v>1558</v>
      </c>
      <c r="J198" t="s">
        <v>2210</v>
      </c>
      <c r="K198">
        <v>11378</v>
      </c>
      <c r="L198" t="s">
        <v>2224</v>
      </c>
      <c r="M198" t="s">
        <v>2226</v>
      </c>
      <c r="P198" t="s">
        <v>2561</v>
      </c>
      <c r="R198" t="s">
        <v>2570</v>
      </c>
      <c r="U198" t="s">
        <v>2578</v>
      </c>
      <c r="W198" t="s">
        <v>163</v>
      </c>
      <c r="X198">
        <v>800</v>
      </c>
      <c r="Y198" t="s">
        <v>2603</v>
      </c>
      <c r="Z198" t="s">
        <v>2610</v>
      </c>
      <c r="AB198" t="s">
        <v>2812</v>
      </c>
      <c r="AD198" t="s">
        <v>3600</v>
      </c>
      <c r="AE198">
        <v>3</v>
      </c>
      <c r="AH198">
        <v>5</v>
      </c>
      <c r="AI198">
        <v>1</v>
      </c>
      <c r="AJ198">
        <v>1</v>
      </c>
      <c r="AK198">
        <v>63.87</v>
      </c>
      <c r="AN198" t="s">
        <v>4126</v>
      </c>
      <c r="AO198">
        <v>10800</v>
      </c>
      <c r="AU198">
        <v>0.85</v>
      </c>
      <c r="AV198" t="s">
        <v>218</v>
      </c>
      <c r="AW198" t="s">
        <v>55</v>
      </c>
      <c r="AY198" t="s">
        <v>2226</v>
      </c>
      <c r="AZ198" t="s">
        <v>2226</v>
      </c>
    </row>
    <row r="199" spans="1:52">
      <c r="A199" s="1">
        <f>HYPERLINK("https://lsnyc.legalserver.org/matter/dynamic-profile/view/1912431","19-1912431")</f>
        <v>0</v>
      </c>
      <c r="B199" t="s">
        <v>53</v>
      </c>
      <c r="C199" t="s">
        <v>155</v>
      </c>
      <c r="D199" t="s">
        <v>230</v>
      </c>
      <c r="F199" t="s">
        <v>460</v>
      </c>
      <c r="G199" t="s">
        <v>402</v>
      </c>
      <c r="H199" t="s">
        <v>1397</v>
      </c>
      <c r="I199" t="s">
        <v>2031</v>
      </c>
      <c r="J199" t="s">
        <v>2187</v>
      </c>
      <c r="K199">
        <v>11691</v>
      </c>
      <c r="L199" t="s">
        <v>2224</v>
      </c>
      <c r="M199" t="s">
        <v>2226</v>
      </c>
      <c r="O199" t="s">
        <v>2534</v>
      </c>
      <c r="P199" t="s">
        <v>2558</v>
      </c>
      <c r="R199" t="s">
        <v>2569</v>
      </c>
      <c r="S199" t="s">
        <v>2224</v>
      </c>
      <c r="U199" t="s">
        <v>2578</v>
      </c>
      <c r="W199" t="s">
        <v>230</v>
      </c>
      <c r="X199">
        <v>637</v>
      </c>
      <c r="Y199" t="s">
        <v>2603</v>
      </c>
      <c r="Z199" t="s">
        <v>2609</v>
      </c>
      <c r="AB199" t="s">
        <v>2813</v>
      </c>
      <c r="AD199" t="s">
        <v>3601</v>
      </c>
      <c r="AE199">
        <v>43</v>
      </c>
      <c r="AF199" t="s">
        <v>4099</v>
      </c>
      <c r="AG199" t="s">
        <v>2255</v>
      </c>
      <c r="AH199">
        <v>20</v>
      </c>
      <c r="AI199">
        <v>1</v>
      </c>
      <c r="AJ199">
        <v>0</v>
      </c>
      <c r="AK199">
        <v>64.05</v>
      </c>
      <c r="AN199" t="s">
        <v>4126</v>
      </c>
      <c r="AO199">
        <v>8000</v>
      </c>
      <c r="AU199">
        <v>1.4</v>
      </c>
      <c r="AV199" t="s">
        <v>4221</v>
      </c>
      <c r="AW199" t="s">
        <v>4224</v>
      </c>
      <c r="AX199" t="s">
        <v>4266</v>
      </c>
      <c r="AY199" t="s">
        <v>2226</v>
      </c>
      <c r="AZ199" t="s">
        <v>2226</v>
      </c>
    </row>
    <row r="200" spans="1:52">
      <c r="A200" s="1">
        <f>HYPERLINK("https://lsnyc.legalserver.org/matter/dynamic-profile/view/1912425","19-1912425")</f>
        <v>0</v>
      </c>
      <c r="B200" t="s">
        <v>53</v>
      </c>
      <c r="C200" t="s">
        <v>155</v>
      </c>
      <c r="D200" t="s">
        <v>230</v>
      </c>
      <c r="F200" t="s">
        <v>460</v>
      </c>
      <c r="G200" t="s">
        <v>402</v>
      </c>
      <c r="H200" t="s">
        <v>1397</v>
      </c>
      <c r="I200" t="s">
        <v>2031</v>
      </c>
      <c r="J200" t="s">
        <v>2187</v>
      </c>
      <c r="K200">
        <v>11691</v>
      </c>
      <c r="L200" t="s">
        <v>2224</v>
      </c>
      <c r="M200" t="s">
        <v>2226</v>
      </c>
      <c r="O200" t="s">
        <v>2535</v>
      </c>
      <c r="P200" t="s">
        <v>2558</v>
      </c>
      <c r="R200" t="s">
        <v>2569</v>
      </c>
      <c r="S200" t="s">
        <v>2224</v>
      </c>
      <c r="U200" t="s">
        <v>2578</v>
      </c>
      <c r="W200" t="s">
        <v>230</v>
      </c>
      <c r="X200">
        <v>637</v>
      </c>
      <c r="Y200" t="s">
        <v>2603</v>
      </c>
      <c r="Z200" t="s">
        <v>2609</v>
      </c>
      <c r="AB200" t="s">
        <v>2813</v>
      </c>
      <c r="AD200" t="s">
        <v>3601</v>
      </c>
      <c r="AE200">
        <v>43</v>
      </c>
      <c r="AF200" t="s">
        <v>4099</v>
      </c>
      <c r="AG200" t="s">
        <v>2255</v>
      </c>
      <c r="AH200">
        <v>20</v>
      </c>
      <c r="AI200">
        <v>1</v>
      </c>
      <c r="AJ200">
        <v>0</v>
      </c>
      <c r="AK200">
        <v>64.05</v>
      </c>
      <c r="AN200" t="s">
        <v>4126</v>
      </c>
      <c r="AO200">
        <v>8000</v>
      </c>
      <c r="AU200">
        <v>0.5</v>
      </c>
      <c r="AV200" t="s">
        <v>4221</v>
      </c>
      <c r="AW200" t="s">
        <v>4224</v>
      </c>
      <c r="AX200" t="s">
        <v>4266</v>
      </c>
      <c r="AY200" t="s">
        <v>2226</v>
      </c>
      <c r="AZ200" t="s">
        <v>2226</v>
      </c>
    </row>
    <row r="201" spans="1:52">
      <c r="A201" s="1">
        <f>HYPERLINK("https://lsnyc.legalserver.org/matter/dynamic-profile/view/1904701","19-1904701")</f>
        <v>0</v>
      </c>
      <c r="B201" t="s">
        <v>78</v>
      </c>
      <c r="C201" t="s">
        <v>155</v>
      </c>
      <c r="D201" t="s">
        <v>192</v>
      </c>
      <c r="F201" t="s">
        <v>461</v>
      </c>
      <c r="G201" t="s">
        <v>925</v>
      </c>
      <c r="H201" t="s">
        <v>1443</v>
      </c>
      <c r="I201">
        <v>34</v>
      </c>
      <c r="J201" t="s">
        <v>2196</v>
      </c>
      <c r="K201">
        <v>10034</v>
      </c>
      <c r="L201" t="s">
        <v>2224</v>
      </c>
      <c r="M201" t="s">
        <v>2226</v>
      </c>
      <c r="P201" t="s">
        <v>2559</v>
      </c>
      <c r="R201" t="s">
        <v>2569</v>
      </c>
      <c r="S201" t="s">
        <v>2224</v>
      </c>
      <c r="U201" t="s">
        <v>2578</v>
      </c>
      <c r="W201" t="s">
        <v>192</v>
      </c>
      <c r="X201">
        <v>812.02</v>
      </c>
      <c r="Y201" t="s">
        <v>2607</v>
      </c>
      <c r="Z201" t="s">
        <v>2617</v>
      </c>
      <c r="AB201" t="s">
        <v>2814</v>
      </c>
      <c r="AD201" t="s">
        <v>3602</v>
      </c>
      <c r="AE201">
        <v>25</v>
      </c>
      <c r="AF201" t="s">
        <v>4099</v>
      </c>
      <c r="AG201" t="s">
        <v>4116</v>
      </c>
      <c r="AH201">
        <v>38</v>
      </c>
      <c r="AI201">
        <v>1</v>
      </c>
      <c r="AJ201">
        <v>0</v>
      </c>
      <c r="AK201">
        <v>64.05</v>
      </c>
      <c r="AN201" t="s">
        <v>4126</v>
      </c>
      <c r="AO201">
        <v>8000</v>
      </c>
      <c r="AU201">
        <v>1.5</v>
      </c>
      <c r="AV201" t="s">
        <v>185</v>
      </c>
      <c r="AW201" t="s">
        <v>80</v>
      </c>
      <c r="AX201" t="s">
        <v>4266</v>
      </c>
      <c r="AY201" t="s">
        <v>2226</v>
      </c>
      <c r="AZ201" t="s">
        <v>2226</v>
      </c>
    </row>
    <row r="202" spans="1:52">
      <c r="A202" s="1">
        <f>HYPERLINK("https://lsnyc.legalserver.org/matter/dynamic-profile/view/1909040","19-1909040")</f>
        <v>0</v>
      </c>
      <c r="B202" t="s">
        <v>76</v>
      </c>
      <c r="C202" t="s">
        <v>155</v>
      </c>
      <c r="D202" t="s">
        <v>212</v>
      </c>
      <c r="F202" t="s">
        <v>362</v>
      </c>
      <c r="G202" t="s">
        <v>999</v>
      </c>
      <c r="H202" t="s">
        <v>1537</v>
      </c>
      <c r="I202">
        <v>24</v>
      </c>
      <c r="J202" t="s">
        <v>2196</v>
      </c>
      <c r="K202">
        <v>10033</v>
      </c>
      <c r="L202" t="s">
        <v>2224</v>
      </c>
      <c r="M202" t="s">
        <v>2226</v>
      </c>
      <c r="O202" t="s">
        <v>2534</v>
      </c>
      <c r="P202" t="s">
        <v>2558</v>
      </c>
      <c r="R202" t="s">
        <v>2569</v>
      </c>
      <c r="S202" t="s">
        <v>2224</v>
      </c>
      <c r="U202" t="s">
        <v>2578</v>
      </c>
      <c r="W202" t="s">
        <v>212</v>
      </c>
      <c r="X202">
        <v>838.08</v>
      </c>
      <c r="Y202" t="s">
        <v>2607</v>
      </c>
      <c r="Z202" t="s">
        <v>2617</v>
      </c>
      <c r="AB202" t="s">
        <v>2815</v>
      </c>
      <c r="AD202" t="s">
        <v>3603</v>
      </c>
      <c r="AE202">
        <v>20</v>
      </c>
      <c r="AF202" t="s">
        <v>4099</v>
      </c>
      <c r="AG202" t="s">
        <v>4116</v>
      </c>
      <c r="AH202">
        <v>28</v>
      </c>
      <c r="AI202">
        <v>1</v>
      </c>
      <c r="AJ202">
        <v>0</v>
      </c>
      <c r="AK202">
        <v>64.05</v>
      </c>
      <c r="AN202" t="s">
        <v>4127</v>
      </c>
      <c r="AO202">
        <v>8000</v>
      </c>
      <c r="AU202">
        <v>0.3</v>
      </c>
      <c r="AV202" t="s">
        <v>166</v>
      </c>
      <c r="AW202" t="s">
        <v>80</v>
      </c>
      <c r="AX202" t="s">
        <v>4266</v>
      </c>
      <c r="AY202" t="s">
        <v>2226</v>
      </c>
      <c r="AZ202" t="s">
        <v>2226</v>
      </c>
    </row>
    <row r="203" spans="1:52">
      <c r="A203" s="1">
        <f>HYPERLINK("https://lsnyc.legalserver.org/matter/dynamic-profile/view/1901836","19-1901836")</f>
        <v>0</v>
      </c>
      <c r="B203" t="s">
        <v>60</v>
      </c>
      <c r="C203" t="s">
        <v>154</v>
      </c>
      <c r="D203" t="s">
        <v>236</v>
      </c>
      <c r="E203" t="s">
        <v>188</v>
      </c>
      <c r="F203" t="s">
        <v>312</v>
      </c>
      <c r="G203" t="s">
        <v>1000</v>
      </c>
      <c r="H203" t="s">
        <v>1559</v>
      </c>
      <c r="I203" t="s">
        <v>2036</v>
      </c>
      <c r="J203" t="s">
        <v>2192</v>
      </c>
      <c r="K203">
        <v>11233</v>
      </c>
      <c r="L203" t="s">
        <v>2224</v>
      </c>
      <c r="M203" t="s">
        <v>2226</v>
      </c>
      <c r="N203" t="s">
        <v>2315</v>
      </c>
      <c r="O203" t="s">
        <v>2535</v>
      </c>
      <c r="P203" t="s">
        <v>2558</v>
      </c>
      <c r="Q203" t="s">
        <v>2564</v>
      </c>
      <c r="R203" t="s">
        <v>2569</v>
      </c>
      <c r="S203" t="s">
        <v>2225</v>
      </c>
      <c r="U203" t="s">
        <v>2578</v>
      </c>
      <c r="V203" t="s">
        <v>2591</v>
      </c>
      <c r="W203" t="s">
        <v>191</v>
      </c>
      <c r="X203">
        <v>146</v>
      </c>
      <c r="Y203" t="s">
        <v>2604</v>
      </c>
      <c r="Z203" t="s">
        <v>2616</v>
      </c>
      <c r="AA203" t="s">
        <v>2633</v>
      </c>
      <c r="AB203" t="s">
        <v>2816</v>
      </c>
      <c r="AC203" t="s">
        <v>3406</v>
      </c>
      <c r="AD203" t="s">
        <v>3604</v>
      </c>
      <c r="AE203">
        <v>36</v>
      </c>
      <c r="AF203" t="s">
        <v>4099</v>
      </c>
      <c r="AG203" t="s">
        <v>4112</v>
      </c>
      <c r="AH203">
        <v>15</v>
      </c>
      <c r="AI203">
        <v>2</v>
      </c>
      <c r="AJ203">
        <v>0</v>
      </c>
      <c r="AK203">
        <v>64.87</v>
      </c>
      <c r="AN203" t="s">
        <v>4126</v>
      </c>
      <c r="AO203">
        <v>10970.16</v>
      </c>
      <c r="AU203">
        <v>21.5</v>
      </c>
      <c r="AV203" t="s">
        <v>245</v>
      </c>
      <c r="AW203" t="s">
        <v>4246</v>
      </c>
      <c r="AX203" t="s">
        <v>4267</v>
      </c>
      <c r="AY203" t="s">
        <v>2224</v>
      </c>
      <c r="AZ203" t="s">
        <v>2224</v>
      </c>
    </row>
    <row r="204" spans="1:52">
      <c r="A204" s="1">
        <f>HYPERLINK("https://lsnyc.legalserver.org/matter/dynamic-profile/view/1908970","19-1908970")</f>
        <v>0</v>
      </c>
      <c r="B204" t="s">
        <v>54</v>
      </c>
      <c r="C204" t="s">
        <v>155</v>
      </c>
      <c r="D204" t="s">
        <v>235</v>
      </c>
      <c r="F204" t="s">
        <v>462</v>
      </c>
      <c r="G204" t="s">
        <v>918</v>
      </c>
      <c r="H204" t="s">
        <v>1560</v>
      </c>
      <c r="J204" t="s">
        <v>2187</v>
      </c>
      <c r="K204">
        <v>11691</v>
      </c>
      <c r="L204" t="s">
        <v>2224</v>
      </c>
      <c r="M204" t="s">
        <v>2226</v>
      </c>
      <c r="N204" t="s">
        <v>2316</v>
      </c>
      <c r="O204" t="s">
        <v>2535</v>
      </c>
      <c r="P204" t="s">
        <v>2559</v>
      </c>
      <c r="R204" t="s">
        <v>2569</v>
      </c>
      <c r="S204" t="s">
        <v>2225</v>
      </c>
      <c r="U204" t="s">
        <v>2578</v>
      </c>
      <c r="W204" t="s">
        <v>235</v>
      </c>
      <c r="X204">
        <v>2100</v>
      </c>
      <c r="Y204" t="s">
        <v>2603</v>
      </c>
      <c r="Z204" t="s">
        <v>2608</v>
      </c>
      <c r="AB204" t="s">
        <v>2817</v>
      </c>
      <c r="AD204" t="s">
        <v>3605</v>
      </c>
      <c r="AE204">
        <v>2</v>
      </c>
      <c r="AF204" t="s">
        <v>2518</v>
      </c>
      <c r="AG204" t="s">
        <v>4112</v>
      </c>
      <c r="AH204">
        <v>4</v>
      </c>
      <c r="AI204">
        <v>2</v>
      </c>
      <c r="AJ204">
        <v>1</v>
      </c>
      <c r="AK204">
        <v>65.04000000000001</v>
      </c>
      <c r="AN204" t="s">
        <v>4126</v>
      </c>
      <c r="AO204">
        <v>13872</v>
      </c>
      <c r="AU204">
        <v>0.55</v>
      </c>
      <c r="AV204" t="s">
        <v>242</v>
      </c>
      <c r="AW204" t="s">
        <v>4224</v>
      </c>
      <c r="AX204" t="s">
        <v>4266</v>
      </c>
      <c r="AY204" t="s">
        <v>2226</v>
      </c>
      <c r="AZ204" t="s">
        <v>2226</v>
      </c>
    </row>
    <row r="205" spans="1:52">
      <c r="A205" s="1">
        <f>HYPERLINK("https://lsnyc.legalserver.org/matter/dynamic-profile/view/1906820","19-1906820")</f>
        <v>0</v>
      </c>
      <c r="B205" t="s">
        <v>73</v>
      </c>
      <c r="C205" t="s">
        <v>154</v>
      </c>
      <c r="D205" t="s">
        <v>237</v>
      </c>
      <c r="E205" t="s">
        <v>261</v>
      </c>
      <c r="F205" t="s">
        <v>373</v>
      </c>
      <c r="G205" t="s">
        <v>1001</v>
      </c>
      <c r="H205" t="s">
        <v>1561</v>
      </c>
      <c r="I205" t="s">
        <v>2037</v>
      </c>
      <c r="J205" t="s">
        <v>2195</v>
      </c>
      <c r="K205">
        <v>10306</v>
      </c>
      <c r="L205" t="s">
        <v>2224</v>
      </c>
      <c r="M205" t="s">
        <v>2226</v>
      </c>
      <c r="N205" t="s">
        <v>2317</v>
      </c>
      <c r="O205" t="s">
        <v>2535</v>
      </c>
      <c r="P205" t="s">
        <v>2558</v>
      </c>
      <c r="Q205" t="s">
        <v>2568</v>
      </c>
      <c r="R205" t="s">
        <v>2569</v>
      </c>
      <c r="S205" t="s">
        <v>2225</v>
      </c>
      <c r="U205" t="s">
        <v>2578</v>
      </c>
      <c r="V205" t="s">
        <v>2588</v>
      </c>
      <c r="W205" t="s">
        <v>237</v>
      </c>
      <c r="X205">
        <v>1820</v>
      </c>
      <c r="Y205" t="s">
        <v>2606</v>
      </c>
      <c r="Z205" t="s">
        <v>2618</v>
      </c>
      <c r="AA205" t="s">
        <v>2628</v>
      </c>
      <c r="AB205" t="s">
        <v>2818</v>
      </c>
      <c r="AD205" t="s">
        <v>3606</v>
      </c>
      <c r="AE205">
        <v>3</v>
      </c>
      <c r="AF205" t="s">
        <v>4098</v>
      </c>
      <c r="AG205" t="s">
        <v>4112</v>
      </c>
      <c r="AH205">
        <v>-1</v>
      </c>
      <c r="AI205">
        <v>2</v>
      </c>
      <c r="AJ205">
        <v>0</v>
      </c>
      <c r="AK205">
        <v>65.70999999999999</v>
      </c>
      <c r="AN205" t="s">
        <v>4126</v>
      </c>
      <c r="AO205">
        <v>11112</v>
      </c>
      <c r="AQ205" t="s">
        <v>4176</v>
      </c>
      <c r="AR205" t="s">
        <v>4183</v>
      </c>
      <c r="AS205" t="s">
        <v>4188</v>
      </c>
      <c r="AT205" t="s">
        <v>4204</v>
      </c>
      <c r="AU205">
        <v>26.4</v>
      </c>
      <c r="AV205" t="s">
        <v>261</v>
      </c>
      <c r="AW205" t="s">
        <v>4230</v>
      </c>
      <c r="AX205" t="s">
        <v>4266</v>
      </c>
      <c r="AY205" t="s">
        <v>2224</v>
      </c>
      <c r="AZ205" t="s">
        <v>2224</v>
      </c>
    </row>
    <row r="206" spans="1:52">
      <c r="A206" s="1">
        <f>HYPERLINK("https://lsnyc.legalserver.org/matter/dynamic-profile/view/1904669","19-1904669")</f>
        <v>0</v>
      </c>
      <c r="B206" t="s">
        <v>60</v>
      </c>
      <c r="C206" t="s">
        <v>155</v>
      </c>
      <c r="D206" t="s">
        <v>192</v>
      </c>
      <c r="F206" t="s">
        <v>463</v>
      </c>
      <c r="G206" t="s">
        <v>1002</v>
      </c>
      <c r="H206" t="s">
        <v>1452</v>
      </c>
      <c r="I206" t="s">
        <v>1955</v>
      </c>
      <c r="J206" t="s">
        <v>2192</v>
      </c>
      <c r="K206">
        <v>11208</v>
      </c>
      <c r="L206" t="s">
        <v>2224</v>
      </c>
      <c r="M206" t="s">
        <v>2226</v>
      </c>
      <c r="N206" t="s">
        <v>2318</v>
      </c>
      <c r="O206" t="s">
        <v>2533</v>
      </c>
      <c r="P206" t="s">
        <v>2558</v>
      </c>
      <c r="R206" t="s">
        <v>2569</v>
      </c>
      <c r="S206" t="s">
        <v>2225</v>
      </c>
      <c r="U206" t="s">
        <v>2578</v>
      </c>
      <c r="V206" t="s">
        <v>2591</v>
      </c>
      <c r="W206" t="s">
        <v>203</v>
      </c>
      <c r="X206">
        <v>0</v>
      </c>
      <c r="Y206" t="s">
        <v>2604</v>
      </c>
      <c r="Z206" t="s">
        <v>2622</v>
      </c>
      <c r="AB206" t="s">
        <v>2819</v>
      </c>
      <c r="AC206" t="s">
        <v>3407</v>
      </c>
      <c r="AD206" t="s">
        <v>3607</v>
      </c>
      <c r="AE206">
        <v>319</v>
      </c>
      <c r="AF206" t="s">
        <v>4099</v>
      </c>
      <c r="AG206" t="s">
        <v>4113</v>
      </c>
      <c r="AH206">
        <v>0</v>
      </c>
      <c r="AI206">
        <v>1</v>
      </c>
      <c r="AJ206">
        <v>7</v>
      </c>
      <c r="AK206">
        <v>65.98</v>
      </c>
      <c r="AN206" t="s">
        <v>4126</v>
      </c>
      <c r="AO206">
        <v>28656</v>
      </c>
      <c r="AU206">
        <v>35.5</v>
      </c>
      <c r="AV206" t="s">
        <v>163</v>
      </c>
      <c r="AW206" t="s">
        <v>4226</v>
      </c>
      <c r="AX206" t="s">
        <v>4267</v>
      </c>
      <c r="AY206" t="s">
        <v>2224</v>
      </c>
      <c r="AZ206" t="s">
        <v>2224</v>
      </c>
    </row>
    <row r="207" spans="1:52">
      <c r="A207" s="1">
        <f>HYPERLINK("https://lsnyc.legalserver.org/matter/dynamic-profile/view/1911480","19-1911480")</f>
        <v>0</v>
      </c>
      <c r="B207" t="s">
        <v>78</v>
      </c>
      <c r="C207" t="s">
        <v>155</v>
      </c>
      <c r="D207" t="s">
        <v>179</v>
      </c>
      <c r="F207" t="s">
        <v>464</v>
      </c>
      <c r="G207" t="s">
        <v>1003</v>
      </c>
      <c r="H207" t="s">
        <v>1562</v>
      </c>
      <c r="I207">
        <v>611</v>
      </c>
      <c r="J207" t="s">
        <v>2196</v>
      </c>
      <c r="K207">
        <v>10032</v>
      </c>
      <c r="L207" t="s">
        <v>2224</v>
      </c>
      <c r="M207" t="s">
        <v>2226</v>
      </c>
      <c r="N207" t="s">
        <v>2319</v>
      </c>
      <c r="O207" t="s">
        <v>2533</v>
      </c>
      <c r="P207" t="s">
        <v>2559</v>
      </c>
      <c r="R207" t="s">
        <v>2569</v>
      </c>
      <c r="S207" t="s">
        <v>2225</v>
      </c>
      <c r="U207" t="s">
        <v>2578</v>
      </c>
      <c r="W207" t="s">
        <v>179</v>
      </c>
      <c r="X207">
        <v>156</v>
      </c>
      <c r="Y207" t="s">
        <v>2607</v>
      </c>
      <c r="Z207" t="s">
        <v>2617</v>
      </c>
      <c r="AB207" t="s">
        <v>2820</v>
      </c>
      <c r="AD207" t="s">
        <v>3608</v>
      </c>
      <c r="AE207">
        <v>13</v>
      </c>
      <c r="AF207" t="s">
        <v>4099</v>
      </c>
      <c r="AG207" t="s">
        <v>4112</v>
      </c>
      <c r="AH207">
        <v>4</v>
      </c>
      <c r="AI207">
        <v>1</v>
      </c>
      <c r="AJ207">
        <v>0</v>
      </c>
      <c r="AK207">
        <v>66.58</v>
      </c>
      <c r="AN207" t="s">
        <v>4126</v>
      </c>
      <c r="AO207">
        <v>8316</v>
      </c>
      <c r="AU207">
        <v>1.7</v>
      </c>
      <c r="AV207" t="s">
        <v>204</v>
      </c>
      <c r="AW207" t="s">
        <v>80</v>
      </c>
      <c r="AX207" t="s">
        <v>4266</v>
      </c>
      <c r="AY207" t="s">
        <v>2226</v>
      </c>
      <c r="AZ207" t="s">
        <v>2226</v>
      </c>
    </row>
    <row r="208" spans="1:52">
      <c r="A208" s="1">
        <f>HYPERLINK("https://lsnyc.legalserver.org/matter/dynamic-profile/view/1880652","18-1880652")</f>
        <v>0</v>
      </c>
      <c r="B208" t="s">
        <v>115</v>
      </c>
      <c r="C208" t="s">
        <v>155</v>
      </c>
      <c r="D208" t="s">
        <v>238</v>
      </c>
      <c r="F208" t="s">
        <v>465</v>
      </c>
      <c r="G208" t="s">
        <v>1004</v>
      </c>
      <c r="H208" t="s">
        <v>1563</v>
      </c>
      <c r="I208" t="s">
        <v>2038</v>
      </c>
      <c r="J208" t="s">
        <v>2192</v>
      </c>
      <c r="K208">
        <v>11233</v>
      </c>
      <c r="L208" t="s">
        <v>2224</v>
      </c>
      <c r="M208" t="s">
        <v>2224</v>
      </c>
      <c r="N208" t="s">
        <v>2320</v>
      </c>
      <c r="O208" t="s">
        <v>2533</v>
      </c>
      <c r="P208" t="s">
        <v>2558</v>
      </c>
      <c r="R208" t="s">
        <v>2569</v>
      </c>
      <c r="S208" t="s">
        <v>2225</v>
      </c>
      <c r="U208" t="s">
        <v>2578</v>
      </c>
      <c r="V208" t="s">
        <v>2591</v>
      </c>
      <c r="W208" t="s">
        <v>191</v>
      </c>
      <c r="X208">
        <v>700</v>
      </c>
      <c r="Y208" t="s">
        <v>2604</v>
      </c>
      <c r="Z208" t="s">
        <v>2618</v>
      </c>
      <c r="AB208" t="s">
        <v>2821</v>
      </c>
      <c r="AD208" t="s">
        <v>3609</v>
      </c>
      <c r="AE208">
        <v>27</v>
      </c>
      <c r="AH208">
        <v>10</v>
      </c>
      <c r="AI208">
        <v>1</v>
      </c>
      <c r="AJ208">
        <v>0</v>
      </c>
      <c r="AK208">
        <v>66.72</v>
      </c>
      <c r="AN208" t="s">
        <v>4126</v>
      </c>
      <c r="AO208">
        <v>8100</v>
      </c>
      <c r="AP208" t="s">
        <v>4150</v>
      </c>
      <c r="AU208">
        <v>35.6</v>
      </c>
      <c r="AV208" t="s">
        <v>174</v>
      </c>
      <c r="AW208" t="s">
        <v>4254</v>
      </c>
      <c r="AX208" t="s">
        <v>4266</v>
      </c>
      <c r="AY208" t="s">
        <v>2224</v>
      </c>
      <c r="AZ208" t="s">
        <v>2224</v>
      </c>
    </row>
    <row r="209" spans="1:52">
      <c r="A209" s="1">
        <f>HYPERLINK("https://lsnyc.legalserver.org/matter/dynamic-profile/view/1897018","19-1897018")</f>
        <v>0</v>
      </c>
      <c r="B209" t="s">
        <v>85</v>
      </c>
      <c r="C209" t="s">
        <v>154</v>
      </c>
      <c r="D209" t="s">
        <v>239</v>
      </c>
      <c r="E209" t="s">
        <v>223</v>
      </c>
      <c r="F209" t="s">
        <v>466</v>
      </c>
      <c r="G209" t="s">
        <v>919</v>
      </c>
      <c r="H209" t="s">
        <v>1564</v>
      </c>
      <c r="I209" t="s">
        <v>2039</v>
      </c>
      <c r="J209" t="s">
        <v>2192</v>
      </c>
      <c r="K209">
        <v>11217</v>
      </c>
      <c r="L209" t="s">
        <v>2224</v>
      </c>
      <c r="M209" t="s">
        <v>2225</v>
      </c>
      <c r="N209" t="s">
        <v>2237</v>
      </c>
      <c r="O209" t="s">
        <v>2536</v>
      </c>
      <c r="P209" t="s">
        <v>2561</v>
      </c>
      <c r="Q209" t="s">
        <v>2563</v>
      </c>
      <c r="R209" t="s">
        <v>2569</v>
      </c>
      <c r="S209" t="s">
        <v>2225</v>
      </c>
      <c r="U209" t="s">
        <v>2578</v>
      </c>
      <c r="V209" t="s">
        <v>2588</v>
      </c>
      <c r="W209" t="s">
        <v>191</v>
      </c>
      <c r="X209">
        <v>2019.37</v>
      </c>
      <c r="Y209" t="s">
        <v>2604</v>
      </c>
      <c r="Z209" t="s">
        <v>2610</v>
      </c>
      <c r="AA209" t="s">
        <v>2626</v>
      </c>
      <c r="AB209" t="s">
        <v>2822</v>
      </c>
      <c r="AD209" t="s">
        <v>3610</v>
      </c>
      <c r="AE209">
        <v>363</v>
      </c>
      <c r="AF209" t="s">
        <v>4099</v>
      </c>
      <c r="AG209" t="s">
        <v>4119</v>
      </c>
      <c r="AH209">
        <v>2</v>
      </c>
      <c r="AI209">
        <v>1</v>
      </c>
      <c r="AJ209">
        <v>0</v>
      </c>
      <c r="AK209">
        <v>67.25</v>
      </c>
      <c r="AN209" t="s">
        <v>4126</v>
      </c>
      <c r="AO209">
        <v>8400</v>
      </c>
      <c r="AU209">
        <v>5.45</v>
      </c>
      <c r="AV209" t="s">
        <v>223</v>
      </c>
      <c r="AW209" t="s">
        <v>4226</v>
      </c>
      <c r="AX209" t="s">
        <v>4266</v>
      </c>
      <c r="AY209" t="s">
        <v>2226</v>
      </c>
      <c r="AZ209" t="s">
        <v>2226</v>
      </c>
    </row>
    <row r="210" spans="1:52">
      <c r="A210" s="1">
        <f>HYPERLINK("https://lsnyc.legalserver.org/matter/dynamic-profile/view/1907513","19-1907513")</f>
        <v>0</v>
      </c>
      <c r="B210" t="s">
        <v>116</v>
      </c>
      <c r="C210" t="s">
        <v>155</v>
      </c>
      <c r="D210" t="s">
        <v>162</v>
      </c>
      <c r="F210" t="s">
        <v>467</v>
      </c>
      <c r="G210" t="s">
        <v>908</v>
      </c>
      <c r="H210" t="s">
        <v>1565</v>
      </c>
      <c r="I210" t="s">
        <v>2040</v>
      </c>
      <c r="J210" t="s">
        <v>2194</v>
      </c>
      <c r="K210">
        <v>10452</v>
      </c>
      <c r="L210" t="s">
        <v>2224</v>
      </c>
      <c r="M210" t="s">
        <v>2226</v>
      </c>
      <c r="N210" t="s">
        <v>2244</v>
      </c>
      <c r="O210" t="s">
        <v>2238</v>
      </c>
      <c r="P210" t="s">
        <v>2556</v>
      </c>
      <c r="R210" t="s">
        <v>2569</v>
      </c>
      <c r="S210" t="s">
        <v>2225</v>
      </c>
      <c r="U210" t="s">
        <v>2578</v>
      </c>
      <c r="W210" t="s">
        <v>2594</v>
      </c>
      <c r="X210">
        <v>125</v>
      </c>
      <c r="Y210" t="s">
        <v>2605</v>
      </c>
      <c r="Z210" t="s">
        <v>2613</v>
      </c>
      <c r="AB210" t="s">
        <v>2823</v>
      </c>
      <c r="AD210" t="s">
        <v>3611</v>
      </c>
      <c r="AE210">
        <v>42</v>
      </c>
      <c r="AF210" t="s">
        <v>4099</v>
      </c>
      <c r="AG210" t="s">
        <v>4114</v>
      </c>
      <c r="AH210">
        <v>25</v>
      </c>
      <c r="AI210">
        <v>1</v>
      </c>
      <c r="AJ210">
        <v>0</v>
      </c>
      <c r="AK210">
        <v>67.25</v>
      </c>
      <c r="AO210">
        <v>8400</v>
      </c>
      <c r="AU210">
        <v>0.6</v>
      </c>
      <c r="AV210" t="s">
        <v>162</v>
      </c>
      <c r="AW210" t="s">
        <v>116</v>
      </c>
      <c r="AX210" t="s">
        <v>4266</v>
      </c>
      <c r="AY210" t="s">
        <v>2224</v>
      </c>
      <c r="AZ210" t="s">
        <v>2224</v>
      </c>
    </row>
    <row r="211" spans="1:52">
      <c r="A211" s="1">
        <f>HYPERLINK("https://lsnyc.legalserver.org/matter/dynamic-profile/view/1906859","19-1906859")</f>
        <v>0</v>
      </c>
      <c r="B211" t="s">
        <v>112</v>
      </c>
      <c r="C211" t="s">
        <v>154</v>
      </c>
      <c r="D211" t="s">
        <v>237</v>
      </c>
      <c r="E211" t="s">
        <v>181</v>
      </c>
      <c r="F211" t="s">
        <v>468</v>
      </c>
      <c r="G211" t="s">
        <v>1005</v>
      </c>
      <c r="H211" t="s">
        <v>1566</v>
      </c>
      <c r="I211">
        <v>2</v>
      </c>
      <c r="J211" t="s">
        <v>2195</v>
      </c>
      <c r="K211">
        <v>10306</v>
      </c>
      <c r="L211" t="s">
        <v>2224</v>
      </c>
      <c r="M211" t="s">
        <v>2226</v>
      </c>
      <c r="O211" t="s">
        <v>2238</v>
      </c>
      <c r="P211" t="s">
        <v>2556</v>
      </c>
      <c r="Q211" t="s">
        <v>2563</v>
      </c>
      <c r="R211" t="s">
        <v>2570</v>
      </c>
      <c r="S211" t="s">
        <v>2225</v>
      </c>
      <c r="U211" t="s">
        <v>2578</v>
      </c>
      <c r="V211" t="s">
        <v>2588</v>
      </c>
      <c r="W211" t="s">
        <v>237</v>
      </c>
      <c r="X211">
        <v>1200</v>
      </c>
      <c r="Y211" t="s">
        <v>2606</v>
      </c>
      <c r="Z211" t="s">
        <v>2610</v>
      </c>
      <c r="AA211" t="s">
        <v>2626</v>
      </c>
      <c r="AB211" t="s">
        <v>2824</v>
      </c>
      <c r="AD211" t="s">
        <v>3612</v>
      </c>
      <c r="AE211">
        <v>2</v>
      </c>
      <c r="AF211" t="s">
        <v>4098</v>
      </c>
      <c r="AG211" t="s">
        <v>2255</v>
      </c>
      <c r="AH211">
        <v>1</v>
      </c>
      <c r="AI211">
        <v>3</v>
      </c>
      <c r="AJ211">
        <v>0</v>
      </c>
      <c r="AK211">
        <v>67.51000000000001</v>
      </c>
      <c r="AL211" t="s">
        <v>4121</v>
      </c>
      <c r="AM211" t="s">
        <v>4123</v>
      </c>
      <c r="AN211" t="s">
        <v>4126</v>
      </c>
      <c r="AO211">
        <v>14400</v>
      </c>
      <c r="AU211">
        <v>1.5</v>
      </c>
      <c r="AV211" t="s">
        <v>237</v>
      </c>
      <c r="AW211" t="s">
        <v>112</v>
      </c>
      <c r="AX211" t="s">
        <v>4266</v>
      </c>
      <c r="AY211" t="s">
        <v>2224</v>
      </c>
      <c r="AZ211" t="s">
        <v>2224</v>
      </c>
    </row>
    <row r="212" spans="1:52">
      <c r="A212" s="1">
        <f>HYPERLINK("https://lsnyc.legalserver.org/matter/dynamic-profile/view/1911004","19-1911004")</f>
        <v>0</v>
      </c>
      <c r="B212" t="s">
        <v>87</v>
      </c>
      <c r="C212" t="s">
        <v>155</v>
      </c>
      <c r="D212" t="s">
        <v>225</v>
      </c>
      <c r="F212" t="s">
        <v>469</v>
      </c>
      <c r="G212" t="s">
        <v>966</v>
      </c>
      <c r="H212" t="s">
        <v>1567</v>
      </c>
      <c r="I212" t="s">
        <v>1963</v>
      </c>
      <c r="J212" t="s">
        <v>2196</v>
      </c>
      <c r="K212">
        <v>10029</v>
      </c>
      <c r="L212" t="s">
        <v>2224</v>
      </c>
      <c r="M212" t="s">
        <v>2226</v>
      </c>
      <c r="O212" t="s">
        <v>2537</v>
      </c>
      <c r="P212" t="s">
        <v>2559</v>
      </c>
      <c r="R212" t="s">
        <v>2569</v>
      </c>
      <c r="S212" t="s">
        <v>2225</v>
      </c>
      <c r="U212" t="s">
        <v>2578</v>
      </c>
      <c r="V212" t="s">
        <v>2588</v>
      </c>
      <c r="W212" t="s">
        <v>225</v>
      </c>
      <c r="X212">
        <v>404.29</v>
      </c>
      <c r="Y212" t="s">
        <v>2607</v>
      </c>
      <c r="Z212" t="s">
        <v>2613</v>
      </c>
      <c r="AB212" t="s">
        <v>2825</v>
      </c>
      <c r="AD212" t="s">
        <v>3613</v>
      </c>
      <c r="AE212">
        <v>13</v>
      </c>
      <c r="AF212" t="s">
        <v>4099</v>
      </c>
      <c r="AG212" t="s">
        <v>2255</v>
      </c>
      <c r="AH212">
        <v>40</v>
      </c>
      <c r="AI212">
        <v>1</v>
      </c>
      <c r="AJ212">
        <v>1</v>
      </c>
      <c r="AK212">
        <v>67.95999999999999</v>
      </c>
      <c r="AN212" t="s">
        <v>4126</v>
      </c>
      <c r="AO212">
        <v>11492</v>
      </c>
      <c r="AU212">
        <v>0</v>
      </c>
      <c r="AW212" t="s">
        <v>4237</v>
      </c>
      <c r="AX212" t="s">
        <v>4266</v>
      </c>
      <c r="AY212" t="s">
        <v>2226</v>
      </c>
      <c r="AZ212" t="s">
        <v>2226</v>
      </c>
    </row>
    <row r="213" spans="1:52">
      <c r="A213" s="1">
        <f>HYPERLINK("https://lsnyc.legalserver.org/matter/dynamic-profile/view/1908571","19-1908571")</f>
        <v>0</v>
      </c>
      <c r="B213" t="s">
        <v>85</v>
      </c>
      <c r="C213" t="s">
        <v>155</v>
      </c>
      <c r="D213" t="s">
        <v>240</v>
      </c>
      <c r="F213" t="s">
        <v>470</v>
      </c>
      <c r="G213" t="s">
        <v>1006</v>
      </c>
      <c r="H213" t="s">
        <v>1568</v>
      </c>
      <c r="I213" t="s">
        <v>2041</v>
      </c>
      <c r="J213" t="s">
        <v>2192</v>
      </c>
      <c r="K213">
        <v>11208</v>
      </c>
      <c r="L213" t="s">
        <v>2224</v>
      </c>
      <c r="M213" t="s">
        <v>2226</v>
      </c>
      <c r="N213" t="s">
        <v>2321</v>
      </c>
      <c r="O213" t="s">
        <v>2533</v>
      </c>
      <c r="P213" t="s">
        <v>2556</v>
      </c>
      <c r="R213" t="s">
        <v>2569</v>
      </c>
      <c r="U213" t="s">
        <v>2578</v>
      </c>
      <c r="W213" t="s">
        <v>240</v>
      </c>
      <c r="X213">
        <v>2199.98</v>
      </c>
      <c r="Y213" t="s">
        <v>2604</v>
      </c>
      <c r="Z213" t="s">
        <v>2608</v>
      </c>
      <c r="AB213" t="s">
        <v>2826</v>
      </c>
      <c r="AC213" t="s">
        <v>3408</v>
      </c>
      <c r="AD213" t="s">
        <v>3614</v>
      </c>
      <c r="AE213">
        <v>4</v>
      </c>
      <c r="AH213">
        <v>0</v>
      </c>
      <c r="AI213">
        <v>1</v>
      </c>
      <c r="AJ213">
        <v>3</v>
      </c>
      <c r="AK213">
        <v>68.66</v>
      </c>
      <c r="AN213" t="s">
        <v>4126</v>
      </c>
      <c r="AO213">
        <v>17680</v>
      </c>
      <c r="AU213">
        <v>1.25</v>
      </c>
      <c r="AV213" t="s">
        <v>240</v>
      </c>
      <c r="AW213" t="s">
        <v>4239</v>
      </c>
      <c r="AX213" t="s">
        <v>4266</v>
      </c>
      <c r="AY213" t="s">
        <v>2226</v>
      </c>
      <c r="AZ213" t="s">
        <v>2226</v>
      </c>
    </row>
    <row r="214" spans="1:52">
      <c r="A214" s="1">
        <f>HYPERLINK("https://lsnyc.legalserver.org/matter/dynamic-profile/view/1905118","19-1905118")</f>
        <v>0</v>
      </c>
      <c r="B214" t="s">
        <v>60</v>
      </c>
      <c r="C214" t="s">
        <v>155</v>
      </c>
      <c r="D214" t="s">
        <v>180</v>
      </c>
      <c r="F214" t="s">
        <v>452</v>
      </c>
      <c r="G214" t="s">
        <v>522</v>
      </c>
      <c r="H214" t="s">
        <v>1569</v>
      </c>
      <c r="I214" t="s">
        <v>2018</v>
      </c>
      <c r="J214" t="s">
        <v>2192</v>
      </c>
      <c r="K214">
        <v>11233</v>
      </c>
      <c r="L214" t="s">
        <v>2224</v>
      </c>
      <c r="M214" t="s">
        <v>2226</v>
      </c>
      <c r="N214" t="s">
        <v>2322</v>
      </c>
      <c r="O214" t="s">
        <v>2535</v>
      </c>
      <c r="P214" t="s">
        <v>2558</v>
      </c>
      <c r="R214" t="s">
        <v>2569</v>
      </c>
      <c r="S214" t="s">
        <v>2225</v>
      </c>
      <c r="U214" t="s">
        <v>2578</v>
      </c>
      <c r="V214" t="s">
        <v>2588</v>
      </c>
      <c r="W214" t="s">
        <v>191</v>
      </c>
      <c r="X214">
        <v>826</v>
      </c>
      <c r="Y214" t="s">
        <v>2604</v>
      </c>
      <c r="Z214" t="s">
        <v>2613</v>
      </c>
      <c r="AB214" t="s">
        <v>2827</v>
      </c>
      <c r="AC214" t="s">
        <v>2244</v>
      </c>
      <c r="AD214" t="s">
        <v>3615</v>
      </c>
      <c r="AE214">
        <v>42</v>
      </c>
      <c r="AF214" t="s">
        <v>4099</v>
      </c>
      <c r="AG214" t="s">
        <v>4116</v>
      </c>
      <c r="AH214">
        <v>14</v>
      </c>
      <c r="AI214">
        <v>1</v>
      </c>
      <c r="AJ214">
        <v>0</v>
      </c>
      <c r="AK214">
        <v>68.69</v>
      </c>
      <c r="AN214" t="s">
        <v>4126</v>
      </c>
      <c r="AO214">
        <v>8580</v>
      </c>
      <c r="AU214">
        <v>3.5</v>
      </c>
      <c r="AV214" t="s">
        <v>165</v>
      </c>
      <c r="AW214" t="s">
        <v>4226</v>
      </c>
      <c r="AX214" t="s">
        <v>4266</v>
      </c>
      <c r="AY214" t="s">
        <v>2224</v>
      </c>
      <c r="AZ214" t="s">
        <v>2224</v>
      </c>
    </row>
    <row r="215" spans="1:52">
      <c r="A215" s="1">
        <f>HYPERLINK("https://lsnyc.legalserver.org/matter/dynamic-profile/view/1910793","19-1910793")</f>
        <v>0</v>
      </c>
      <c r="B215" t="s">
        <v>62</v>
      </c>
      <c r="C215" t="s">
        <v>154</v>
      </c>
      <c r="D215" t="s">
        <v>214</v>
      </c>
      <c r="E215" t="s">
        <v>199</v>
      </c>
      <c r="F215" t="s">
        <v>454</v>
      </c>
      <c r="G215" t="s">
        <v>1007</v>
      </c>
      <c r="H215" t="s">
        <v>1570</v>
      </c>
      <c r="J215" t="s">
        <v>2192</v>
      </c>
      <c r="K215">
        <v>11233</v>
      </c>
      <c r="L215" t="s">
        <v>2224</v>
      </c>
      <c r="M215" t="s">
        <v>2226</v>
      </c>
      <c r="N215" t="s">
        <v>2238</v>
      </c>
      <c r="O215" t="s">
        <v>2238</v>
      </c>
      <c r="P215" t="s">
        <v>2556</v>
      </c>
      <c r="Q215" t="s">
        <v>2563</v>
      </c>
      <c r="R215" t="s">
        <v>2569</v>
      </c>
      <c r="S215" t="s">
        <v>2225</v>
      </c>
      <c r="U215" t="s">
        <v>2578</v>
      </c>
      <c r="V215" t="s">
        <v>2588</v>
      </c>
      <c r="W215" t="s">
        <v>214</v>
      </c>
      <c r="X215">
        <v>330</v>
      </c>
      <c r="Y215" t="s">
        <v>2604</v>
      </c>
      <c r="Z215" t="s">
        <v>2615</v>
      </c>
      <c r="AA215" t="s">
        <v>2626</v>
      </c>
      <c r="AB215" t="s">
        <v>2828</v>
      </c>
      <c r="AC215" t="s">
        <v>2513</v>
      </c>
      <c r="AD215" t="s">
        <v>3616</v>
      </c>
      <c r="AE215">
        <v>27</v>
      </c>
      <c r="AF215" t="s">
        <v>4104</v>
      </c>
      <c r="AG215" t="s">
        <v>4114</v>
      </c>
      <c r="AH215">
        <v>9</v>
      </c>
      <c r="AI215">
        <v>1</v>
      </c>
      <c r="AJ215">
        <v>0</v>
      </c>
      <c r="AK215">
        <v>69.18000000000001</v>
      </c>
      <c r="AN215" t="s">
        <v>4126</v>
      </c>
      <c r="AO215">
        <v>8640</v>
      </c>
      <c r="AU215">
        <v>1.75</v>
      </c>
      <c r="AV215" t="s">
        <v>199</v>
      </c>
      <c r="AW215" t="s">
        <v>4226</v>
      </c>
      <c r="AX215" t="s">
        <v>4266</v>
      </c>
      <c r="AY215" t="s">
        <v>2224</v>
      </c>
      <c r="AZ215" t="s">
        <v>2224</v>
      </c>
    </row>
    <row r="216" spans="1:52">
      <c r="A216" s="1">
        <f>HYPERLINK("https://lsnyc.legalserver.org/matter/dynamic-profile/view/1913022","19-1913022")</f>
        <v>0</v>
      </c>
      <c r="B216" t="s">
        <v>88</v>
      </c>
      <c r="C216" t="s">
        <v>155</v>
      </c>
      <c r="D216" t="s">
        <v>241</v>
      </c>
      <c r="F216" t="s">
        <v>457</v>
      </c>
      <c r="G216" t="s">
        <v>1008</v>
      </c>
      <c r="H216" t="s">
        <v>1571</v>
      </c>
      <c r="I216" t="s">
        <v>2042</v>
      </c>
      <c r="J216" t="s">
        <v>2196</v>
      </c>
      <c r="K216">
        <v>10065</v>
      </c>
      <c r="L216" t="s">
        <v>2224</v>
      </c>
      <c r="M216" t="s">
        <v>2226</v>
      </c>
      <c r="P216" t="s">
        <v>2557</v>
      </c>
      <c r="R216" t="s">
        <v>2569</v>
      </c>
      <c r="S216" t="s">
        <v>2225</v>
      </c>
      <c r="U216" t="s">
        <v>2584</v>
      </c>
      <c r="V216" t="s">
        <v>2588</v>
      </c>
      <c r="W216" t="s">
        <v>168</v>
      </c>
      <c r="X216">
        <v>0</v>
      </c>
      <c r="Y216" t="s">
        <v>2607</v>
      </c>
      <c r="Z216" t="s">
        <v>2613</v>
      </c>
      <c r="AB216" t="s">
        <v>2829</v>
      </c>
      <c r="AD216" t="s">
        <v>3617</v>
      </c>
      <c r="AE216">
        <v>45</v>
      </c>
      <c r="AF216" t="s">
        <v>4099</v>
      </c>
      <c r="AH216">
        <v>4</v>
      </c>
      <c r="AI216">
        <v>1</v>
      </c>
      <c r="AJ216">
        <v>0</v>
      </c>
      <c r="AK216">
        <v>69.18000000000001</v>
      </c>
      <c r="AN216" t="s">
        <v>4126</v>
      </c>
      <c r="AO216">
        <v>8640</v>
      </c>
      <c r="AU216">
        <v>0</v>
      </c>
      <c r="AW216" t="s">
        <v>4237</v>
      </c>
      <c r="AX216" t="s">
        <v>4266</v>
      </c>
      <c r="AY216" t="s">
        <v>2224</v>
      </c>
      <c r="AZ216" t="s">
        <v>2224</v>
      </c>
    </row>
    <row r="217" spans="1:52">
      <c r="A217" s="1">
        <f>HYPERLINK("https://lsnyc.legalserver.org/matter/dynamic-profile/view/1912726","19-1912726")</f>
        <v>0</v>
      </c>
      <c r="B217" t="s">
        <v>85</v>
      </c>
      <c r="C217" t="s">
        <v>155</v>
      </c>
      <c r="D217" t="s">
        <v>202</v>
      </c>
      <c r="F217" t="s">
        <v>471</v>
      </c>
      <c r="G217" t="s">
        <v>1009</v>
      </c>
      <c r="H217" t="s">
        <v>1572</v>
      </c>
      <c r="I217" t="s">
        <v>1999</v>
      </c>
      <c r="J217" t="s">
        <v>2192</v>
      </c>
      <c r="K217">
        <v>11212</v>
      </c>
      <c r="L217" t="s">
        <v>2224</v>
      </c>
      <c r="M217" t="s">
        <v>2226</v>
      </c>
      <c r="N217" t="s">
        <v>2323</v>
      </c>
      <c r="O217" t="s">
        <v>2535</v>
      </c>
      <c r="P217" t="s">
        <v>2559</v>
      </c>
      <c r="R217" t="s">
        <v>2569</v>
      </c>
      <c r="S217" t="s">
        <v>2225</v>
      </c>
      <c r="U217" t="s">
        <v>2578</v>
      </c>
      <c r="W217" t="s">
        <v>199</v>
      </c>
      <c r="X217">
        <v>1450</v>
      </c>
      <c r="Y217" t="s">
        <v>2604</v>
      </c>
      <c r="Z217" t="s">
        <v>2618</v>
      </c>
      <c r="AB217" t="s">
        <v>2830</v>
      </c>
      <c r="AC217" t="s">
        <v>3409</v>
      </c>
      <c r="AD217" t="s">
        <v>3618</v>
      </c>
      <c r="AE217">
        <v>43</v>
      </c>
      <c r="AF217" t="s">
        <v>4099</v>
      </c>
      <c r="AG217" t="s">
        <v>2255</v>
      </c>
      <c r="AH217">
        <v>4</v>
      </c>
      <c r="AI217">
        <v>1</v>
      </c>
      <c r="AJ217">
        <v>3</v>
      </c>
      <c r="AK217">
        <v>69.27</v>
      </c>
      <c r="AN217" t="s">
        <v>4126</v>
      </c>
      <c r="AO217">
        <v>17836</v>
      </c>
      <c r="AU217">
        <v>0</v>
      </c>
      <c r="AW217" t="s">
        <v>127</v>
      </c>
      <c r="AX217" t="s">
        <v>4266</v>
      </c>
      <c r="AY217" t="s">
        <v>2226</v>
      </c>
      <c r="AZ217" t="s">
        <v>2226</v>
      </c>
    </row>
    <row r="218" spans="1:52">
      <c r="A218" s="1">
        <f>HYPERLINK("https://lsnyc.legalserver.org/matter/dynamic-profile/view/1910966","19-1910966")</f>
        <v>0</v>
      </c>
      <c r="B218" t="s">
        <v>55</v>
      </c>
      <c r="C218" t="s">
        <v>155</v>
      </c>
      <c r="D218" t="s">
        <v>166</v>
      </c>
      <c r="F218" t="s">
        <v>472</v>
      </c>
      <c r="G218" t="s">
        <v>980</v>
      </c>
      <c r="H218" t="s">
        <v>1573</v>
      </c>
      <c r="I218" t="s">
        <v>2043</v>
      </c>
      <c r="J218" t="s">
        <v>2188</v>
      </c>
      <c r="K218">
        <v>11435</v>
      </c>
      <c r="L218" t="s">
        <v>2224</v>
      </c>
      <c r="M218" t="s">
        <v>2226</v>
      </c>
      <c r="O218" t="s">
        <v>2238</v>
      </c>
      <c r="P218" t="s">
        <v>2556</v>
      </c>
      <c r="R218" t="s">
        <v>2570</v>
      </c>
      <c r="S218" t="s">
        <v>2225</v>
      </c>
      <c r="U218" t="s">
        <v>2578</v>
      </c>
      <c r="W218" t="s">
        <v>178</v>
      </c>
      <c r="X218">
        <v>1800</v>
      </c>
      <c r="Y218" t="s">
        <v>2603</v>
      </c>
      <c r="Z218" t="s">
        <v>2610</v>
      </c>
      <c r="AB218" t="s">
        <v>2831</v>
      </c>
      <c r="AD218" t="s">
        <v>3619</v>
      </c>
      <c r="AE218">
        <v>2</v>
      </c>
      <c r="AF218" t="s">
        <v>4098</v>
      </c>
      <c r="AH218">
        <v>1</v>
      </c>
      <c r="AI218">
        <v>1</v>
      </c>
      <c r="AJ218">
        <v>0</v>
      </c>
      <c r="AK218">
        <v>69.58</v>
      </c>
      <c r="AL218" t="s">
        <v>4121</v>
      </c>
      <c r="AM218" t="s">
        <v>4123</v>
      </c>
      <c r="AN218" t="s">
        <v>4126</v>
      </c>
      <c r="AO218">
        <v>8690</v>
      </c>
      <c r="AU218">
        <v>1</v>
      </c>
      <c r="AV218" t="s">
        <v>165</v>
      </c>
      <c r="AW218" t="s">
        <v>55</v>
      </c>
      <c r="AX218" t="s">
        <v>4266</v>
      </c>
      <c r="AY218" t="s">
        <v>2226</v>
      </c>
      <c r="AZ218" t="s">
        <v>2226</v>
      </c>
    </row>
    <row r="219" spans="1:52">
      <c r="A219" s="1">
        <f>HYPERLINK("https://lsnyc.legalserver.org/matter/dynamic-profile/view/1909410","19-1909410")</f>
        <v>0</v>
      </c>
      <c r="B219" t="s">
        <v>74</v>
      </c>
      <c r="C219" t="s">
        <v>155</v>
      </c>
      <c r="D219" t="s">
        <v>194</v>
      </c>
      <c r="F219" t="s">
        <v>473</v>
      </c>
      <c r="G219" t="s">
        <v>1010</v>
      </c>
      <c r="H219" t="s">
        <v>1574</v>
      </c>
      <c r="I219" t="s">
        <v>1978</v>
      </c>
      <c r="J219" t="s">
        <v>2196</v>
      </c>
      <c r="K219">
        <v>10040</v>
      </c>
      <c r="L219" t="s">
        <v>2224</v>
      </c>
      <c r="M219" t="s">
        <v>2226</v>
      </c>
      <c r="O219" t="s">
        <v>2534</v>
      </c>
      <c r="P219" t="s">
        <v>2558</v>
      </c>
      <c r="R219" t="s">
        <v>2569</v>
      </c>
      <c r="S219" t="s">
        <v>2224</v>
      </c>
      <c r="U219" t="s">
        <v>2578</v>
      </c>
      <c r="W219" t="s">
        <v>194</v>
      </c>
      <c r="X219">
        <v>1860.63</v>
      </c>
      <c r="Y219" t="s">
        <v>2607</v>
      </c>
      <c r="Z219" t="s">
        <v>2617</v>
      </c>
      <c r="AB219" t="s">
        <v>2832</v>
      </c>
      <c r="AD219" t="s">
        <v>3620</v>
      </c>
      <c r="AE219">
        <v>77</v>
      </c>
      <c r="AF219" t="s">
        <v>4099</v>
      </c>
      <c r="AG219" t="s">
        <v>2255</v>
      </c>
      <c r="AH219">
        <v>4</v>
      </c>
      <c r="AI219">
        <v>2</v>
      </c>
      <c r="AJ219">
        <v>2</v>
      </c>
      <c r="AK219">
        <v>69.90000000000001</v>
      </c>
      <c r="AN219" t="s">
        <v>4127</v>
      </c>
      <c r="AO219">
        <v>18000</v>
      </c>
      <c r="AU219">
        <v>0.1</v>
      </c>
      <c r="AV219" t="s">
        <v>257</v>
      </c>
      <c r="AW219" t="s">
        <v>80</v>
      </c>
      <c r="AX219" t="s">
        <v>4266</v>
      </c>
      <c r="AY219" t="s">
        <v>2226</v>
      </c>
      <c r="AZ219" t="s">
        <v>2226</v>
      </c>
    </row>
    <row r="220" spans="1:52">
      <c r="A220" s="1">
        <f>HYPERLINK("https://lsnyc.legalserver.org/matter/dynamic-profile/view/1906099","19-1906099")</f>
        <v>0</v>
      </c>
      <c r="B220" t="s">
        <v>98</v>
      </c>
      <c r="C220" t="s">
        <v>155</v>
      </c>
      <c r="D220" t="s">
        <v>173</v>
      </c>
      <c r="F220" t="s">
        <v>474</v>
      </c>
      <c r="G220" t="s">
        <v>1011</v>
      </c>
      <c r="H220" t="s">
        <v>1575</v>
      </c>
      <c r="I220" t="s">
        <v>1952</v>
      </c>
      <c r="J220" t="s">
        <v>2196</v>
      </c>
      <c r="K220">
        <v>10034</v>
      </c>
      <c r="L220" t="s">
        <v>2224</v>
      </c>
      <c r="M220" t="s">
        <v>2226</v>
      </c>
      <c r="O220" t="s">
        <v>2536</v>
      </c>
      <c r="P220" t="s">
        <v>2561</v>
      </c>
      <c r="R220" t="s">
        <v>2569</v>
      </c>
      <c r="S220" t="s">
        <v>2225</v>
      </c>
      <c r="U220" t="s">
        <v>2578</v>
      </c>
      <c r="W220" t="s">
        <v>173</v>
      </c>
      <c r="X220">
        <v>175</v>
      </c>
      <c r="Y220" t="s">
        <v>2607</v>
      </c>
      <c r="AB220" t="s">
        <v>2833</v>
      </c>
      <c r="AD220" t="s">
        <v>3621</v>
      </c>
      <c r="AE220">
        <v>30</v>
      </c>
      <c r="AF220" t="s">
        <v>4099</v>
      </c>
      <c r="AG220" t="s">
        <v>2255</v>
      </c>
      <c r="AH220">
        <v>6</v>
      </c>
      <c r="AI220">
        <v>1</v>
      </c>
      <c r="AJ220">
        <v>0</v>
      </c>
      <c r="AK220">
        <v>69.97</v>
      </c>
      <c r="AN220" t="s">
        <v>4126</v>
      </c>
      <c r="AO220">
        <v>8739</v>
      </c>
      <c r="AU220">
        <v>6.2</v>
      </c>
      <c r="AV220" t="s">
        <v>211</v>
      </c>
      <c r="AW220" t="s">
        <v>80</v>
      </c>
      <c r="AX220" t="s">
        <v>4266</v>
      </c>
      <c r="AY220" t="s">
        <v>2224</v>
      </c>
      <c r="AZ220" t="s">
        <v>2224</v>
      </c>
    </row>
    <row r="221" spans="1:52">
      <c r="A221" s="1">
        <f>HYPERLINK("https://lsnyc.legalserver.org/matter/dynamic-profile/view/1907025","19-1907025")</f>
        <v>0</v>
      </c>
      <c r="B221" t="s">
        <v>57</v>
      </c>
      <c r="C221" t="s">
        <v>155</v>
      </c>
      <c r="D221" t="s">
        <v>193</v>
      </c>
      <c r="F221" t="s">
        <v>475</v>
      </c>
      <c r="G221" t="s">
        <v>1012</v>
      </c>
      <c r="H221" t="s">
        <v>1576</v>
      </c>
      <c r="I221" t="s">
        <v>1978</v>
      </c>
      <c r="J221" t="s">
        <v>2192</v>
      </c>
      <c r="K221">
        <v>11225</v>
      </c>
      <c r="L221" t="s">
        <v>2224</v>
      </c>
      <c r="M221" t="s">
        <v>2226</v>
      </c>
      <c r="O221" t="s">
        <v>2548</v>
      </c>
      <c r="P221" t="s">
        <v>2558</v>
      </c>
      <c r="R221" t="s">
        <v>2569</v>
      </c>
      <c r="S221" t="s">
        <v>2225</v>
      </c>
      <c r="U221" t="s">
        <v>2578</v>
      </c>
      <c r="W221" t="s">
        <v>193</v>
      </c>
      <c r="X221">
        <v>1450</v>
      </c>
      <c r="Y221" t="s">
        <v>2604</v>
      </c>
      <c r="AB221" t="s">
        <v>2834</v>
      </c>
      <c r="AD221" t="s">
        <v>3622</v>
      </c>
      <c r="AE221">
        <v>72</v>
      </c>
      <c r="AH221">
        <v>0</v>
      </c>
      <c r="AI221">
        <v>3</v>
      </c>
      <c r="AJ221">
        <v>0</v>
      </c>
      <c r="AK221">
        <v>70.31999999999999</v>
      </c>
      <c r="AN221" t="s">
        <v>4126</v>
      </c>
      <c r="AO221">
        <v>15000</v>
      </c>
      <c r="AU221">
        <v>41</v>
      </c>
      <c r="AV221" t="s">
        <v>165</v>
      </c>
      <c r="AW221" t="s">
        <v>153</v>
      </c>
      <c r="AX221" t="s">
        <v>4266</v>
      </c>
      <c r="AY221" t="s">
        <v>2226</v>
      </c>
      <c r="AZ221" t="s">
        <v>2226</v>
      </c>
    </row>
    <row r="222" spans="1:52">
      <c r="A222" s="1">
        <f>HYPERLINK("https://lsnyc.legalserver.org/matter/dynamic-profile/view/1906349","19-1906349")</f>
        <v>0</v>
      </c>
      <c r="B222" t="s">
        <v>64</v>
      </c>
      <c r="C222" t="s">
        <v>154</v>
      </c>
      <c r="D222" t="s">
        <v>220</v>
      </c>
      <c r="E222" t="s">
        <v>229</v>
      </c>
      <c r="F222" t="s">
        <v>476</v>
      </c>
      <c r="G222" t="s">
        <v>1013</v>
      </c>
      <c r="H222" t="s">
        <v>1577</v>
      </c>
      <c r="I222">
        <v>2</v>
      </c>
      <c r="J222" t="s">
        <v>2192</v>
      </c>
      <c r="K222">
        <v>11208</v>
      </c>
      <c r="L222" t="s">
        <v>2224</v>
      </c>
      <c r="M222" t="s">
        <v>2226</v>
      </c>
      <c r="N222" t="s">
        <v>2324</v>
      </c>
      <c r="O222" t="s">
        <v>2535</v>
      </c>
      <c r="P222" t="s">
        <v>2561</v>
      </c>
      <c r="Q222" t="s">
        <v>2566</v>
      </c>
      <c r="R222" t="s">
        <v>2569</v>
      </c>
      <c r="S222" t="s">
        <v>2225</v>
      </c>
      <c r="U222" t="s">
        <v>2578</v>
      </c>
      <c r="V222" t="s">
        <v>2588</v>
      </c>
      <c r="W222" t="s">
        <v>187</v>
      </c>
      <c r="X222">
        <v>1500</v>
      </c>
      <c r="Y222" t="s">
        <v>2604</v>
      </c>
      <c r="Z222" t="s">
        <v>2608</v>
      </c>
      <c r="AA222" t="s">
        <v>2626</v>
      </c>
      <c r="AB222" t="s">
        <v>2835</v>
      </c>
      <c r="AC222" t="s">
        <v>2518</v>
      </c>
      <c r="AD222" t="s">
        <v>3623</v>
      </c>
      <c r="AE222">
        <v>4</v>
      </c>
      <c r="AF222" t="s">
        <v>4098</v>
      </c>
      <c r="AG222" t="s">
        <v>4119</v>
      </c>
      <c r="AH222">
        <v>5</v>
      </c>
      <c r="AI222">
        <v>1</v>
      </c>
      <c r="AJ222">
        <v>2</v>
      </c>
      <c r="AK222">
        <v>70.31999999999999</v>
      </c>
      <c r="AN222" t="s">
        <v>4126</v>
      </c>
      <c r="AO222">
        <v>15000</v>
      </c>
      <c r="AS222" t="s">
        <v>4188</v>
      </c>
      <c r="AT222" t="s">
        <v>4205</v>
      </c>
      <c r="AU222">
        <v>3</v>
      </c>
      <c r="AV222" t="s">
        <v>183</v>
      </c>
      <c r="AW222" t="s">
        <v>4226</v>
      </c>
      <c r="AX222" t="s">
        <v>4266</v>
      </c>
      <c r="AY222" t="s">
        <v>2226</v>
      </c>
      <c r="AZ222" t="s">
        <v>2225</v>
      </c>
    </row>
    <row r="223" spans="1:52">
      <c r="A223" s="1">
        <f>HYPERLINK("https://lsnyc.legalserver.org/matter/dynamic-profile/view/1903677","19-1903677")</f>
        <v>0</v>
      </c>
      <c r="B223" t="s">
        <v>105</v>
      </c>
      <c r="C223" t="s">
        <v>155</v>
      </c>
      <c r="D223" t="s">
        <v>201</v>
      </c>
      <c r="F223" t="s">
        <v>477</v>
      </c>
      <c r="G223" t="s">
        <v>849</v>
      </c>
      <c r="H223" t="s">
        <v>1578</v>
      </c>
      <c r="I223" t="s">
        <v>1960</v>
      </c>
      <c r="J223" t="s">
        <v>2195</v>
      </c>
      <c r="K223">
        <v>10301</v>
      </c>
      <c r="L223" t="s">
        <v>2224</v>
      </c>
      <c r="M223" t="s">
        <v>2226</v>
      </c>
      <c r="N223" t="s">
        <v>2325</v>
      </c>
      <c r="O223" t="s">
        <v>2535</v>
      </c>
      <c r="P223" t="s">
        <v>2558</v>
      </c>
      <c r="R223" t="s">
        <v>2569</v>
      </c>
      <c r="S223" t="s">
        <v>2225</v>
      </c>
      <c r="U223" t="s">
        <v>2578</v>
      </c>
      <c r="V223" t="s">
        <v>2588</v>
      </c>
      <c r="W223" t="s">
        <v>201</v>
      </c>
      <c r="X223">
        <v>1515</v>
      </c>
      <c r="Y223" t="s">
        <v>2606</v>
      </c>
      <c r="Z223" t="s">
        <v>2621</v>
      </c>
      <c r="AB223" t="s">
        <v>2836</v>
      </c>
      <c r="AD223" t="s">
        <v>3624</v>
      </c>
      <c r="AE223">
        <v>11</v>
      </c>
      <c r="AF223" t="s">
        <v>4099</v>
      </c>
      <c r="AG223" t="s">
        <v>4117</v>
      </c>
      <c r="AH223">
        <v>1</v>
      </c>
      <c r="AI223">
        <v>1</v>
      </c>
      <c r="AJ223">
        <v>2</v>
      </c>
      <c r="AK223">
        <v>70.31999999999999</v>
      </c>
      <c r="AN223" t="s">
        <v>4126</v>
      </c>
      <c r="AO223">
        <v>15000</v>
      </c>
      <c r="AU223">
        <v>16.15</v>
      </c>
      <c r="AV223" t="s">
        <v>188</v>
      </c>
      <c r="AW223" t="s">
        <v>4230</v>
      </c>
      <c r="AX223" t="s">
        <v>4266</v>
      </c>
      <c r="AY223" t="s">
        <v>2224</v>
      </c>
      <c r="AZ223" t="s">
        <v>2224</v>
      </c>
    </row>
    <row r="224" spans="1:52">
      <c r="A224" s="1">
        <f>HYPERLINK("https://lsnyc.legalserver.org/matter/dynamic-profile/view/1908673","19-1908673")</f>
        <v>0</v>
      </c>
      <c r="B224" t="s">
        <v>74</v>
      </c>
      <c r="C224" t="s">
        <v>155</v>
      </c>
      <c r="D224" t="s">
        <v>171</v>
      </c>
      <c r="F224" t="s">
        <v>478</v>
      </c>
      <c r="G224" t="s">
        <v>1014</v>
      </c>
      <c r="H224" t="s">
        <v>1579</v>
      </c>
      <c r="I224" t="s">
        <v>2044</v>
      </c>
      <c r="J224" t="s">
        <v>2196</v>
      </c>
      <c r="K224">
        <v>10040</v>
      </c>
      <c r="L224" t="s">
        <v>2224</v>
      </c>
      <c r="M224" t="s">
        <v>2226</v>
      </c>
      <c r="O224" t="s">
        <v>2535</v>
      </c>
      <c r="P224" t="s">
        <v>2559</v>
      </c>
      <c r="R224" t="s">
        <v>2569</v>
      </c>
      <c r="S224" t="s">
        <v>2225</v>
      </c>
      <c r="U224" t="s">
        <v>2578</v>
      </c>
      <c r="W224" t="s">
        <v>171</v>
      </c>
      <c r="X224">
        <v>215</v>
      </c>
      <c r="Y224" t="s">
        <v>2607</v>
      </c>
      <c r="Z224" t="s">
        <v>2617</v>
      </c>
      <c r="AB224" t="s">
        <v>2837</v>
      </c>
      <c r="AD224" t="s">
        <v>3625</v>
      </c>
      <c r="AE224">
        <v>37</v>
      </c>
      <c r="AF224" t="s">
        <v>4099</v>
      </c>
      <c r="AG224" t="s">
        <v>2611</v>
      </c>
      <c r="AH224">
        <v>5</v>
      </c>
      <c r="AI224">
        <v>1</v>
      </c>
      <c r="AJ224">
        <v>0</v>
      </c>
      <c r="AK224">
        <v>70.62</v>
      </c>
      <c r="AN224" t="s">
        <v>4127</v>
      </c>
      <c r="AO224">
        <v>8820</v>
      </c>
      <c r="AU224">
        <v>4.1</v>
      </c>
      <c r="AV224" t="s">
        <v>261</v>
      </c>
      <c r="AW224" t="s">
        <v>80</v>
      </c>
      <c r="AX224" t="s">
        <v>4266</v>
      </c>
      <c r="AY224" t="s">
        <v>2226</v>
      </c>
      <c r="AZ224" t="s">
        <v>2226</v>
      </c>
    </row>
    <row r="225" spans="1:52">
      <c r="A225" s="1">
        <f>HYPERLINK("https://lsnyc.legalserver.org/matter/dynamic-profile/view/1908559","19-1908559")</f>
        <v>0</v>
      </c>
      <c r="B225" t="s">
        <v>117</v>
      </c>
      <c r="C225" t="s">
        <v>155</v>
      </c>
      <c r="D225" t="s">
        <v>240</v>
      </c>
      <c r="F225" t="s">
        <v>479</v>
      </c>
      <c r="G225" t="s">
        <v>1015</v>
      </c>
      <c r="H225" t="s">
        <v>1580</v>
      </c>
      <c r="I225">
        <v>25</v>
      </c>
      <c r="J225" t="s">
        <v>2194</v>
      </c>
      <c r="K225">
        <v>10460</v>
      </c>
      <c r="L225" t="s">
        <v>2224</v>
      </c>
      <c r="M225" t="s">
        <v>2226</v>
      </c>
      <c r="N225" t="s">
        <v>2326</v>
      </c>
      <c r="O225" t="s">
        <v>2533</v>
      </c>
      <c r="P225" t="s">
        <v>2558</v>
      </c>
      <c r="R225" t="s">
        <v>2569</v>
      </c>
      <c r="S225" t="s">
        <v>2225</v>
      </c>
      <c r="U225" t="s">
        <v>2578</v>
      </c>
      <c r="V225" t="s">
        <v>2590</v>
      </c>
      <c r="W225" t="s">
        <v>2594</v>
      </c>
      <c r="X225">
        <v>1587.81</v>
      </c>
      <c r="Y225" t="s">
        <v>2605</v>
      </c>
      <c r="Z225" t="s">
        <v>2613</v>
      </c>
      <c r="AB225" t="s">
        <v>2838</v>
      </c>
      <c r="AD225" t="s">
        <v>3626</v>
      </c>
      <c r="AE225">
        <v>30</v>
      </c>
      <c r="AF225" t="s">
        <v>4099</v>
      </c>
      <c r="AG225" t="s">
        <v>4112</v>
      </c>
      <c r="AH225">
        <v>8</v>
      </c>
      <c r="AI225">
        <v>2</v>
      </c>
      <c r="AJ225">
        <v>2</v>
      </c>
      <c r="AK225">
        <v>70.68000000000001</v>
      </c>
      <c r="AN225" t="s">
        <v>4127</v>
      </c>
      <c r="AO225">
        <v>18200</v>
      </c>
      <c r="AU225">
        <v>23.1</v>
      </c>
      <c r="AV225" t="s">
        <v>168</v>
      </c>
      <c r="AW225" t="s">
        <v>4255</v>
      </c>
      <c r="AX225" t="s">
        <v>4266</v>
      </c>
      <c r="AY225" t="s">
        <v>2226</v>
      </c>
      <c r="AZ225" t="s">
        <v>2226</v>
      </c>
    </row>
    <row r="226" spans="1:52">
      <c r="A226" s="1">
        <f>HYPERLINK("https://lsnyc.legalserver.org/matter/dynamic-profile/view/1910706","19-1910706")</f>
        <v>0</v>
      </c>
      <c r="B226" t="s">
        <v>90</v>
      </c>
      <c r="C226" t="s">
        <v>155</v>
      </c>
      <c r="D226" t="s">
        <v>200</v>
      </c>
      <c r="F226" t="s">
        <v>330</v>
      </c>
      <c r="G226" t="s">
        <v>1016</v>
      </c>
      <c r="H226" t="s">
        <v>1581</v>
      </c>
      <c r="I226" t="s">
        <v>2045</v>
      </c>
      <c r="J226" t="s">
        <v>2196</v>
      </c>
      <c r="K226">
        <v>10040</v>
      </c>
      <c r="L226" t="s">
        <v>2224</v>
      </c>
      <c r="M226" t="s">
        <v>2226</v>
      </c>
      <c r="O226" t="s">
        <v>2534</v>
      </c>
      <c r="P226" t="s">
        <v>2559</v>
      </c>
      <c r="R226" t="s">
        <v>2569</v>
      </c>
      <c r="S226" t="s">
        <v>2225</v>
      </c>
      <c r="U226" t="s">
        <v>2578</v>
      </c>
      <c r="W226" t="s">
        <v>200</v>
      </c>
      <c r="X226">
        <v>2050</v>
      </c>
      <c r="Y226" t="s">
        <v>2607</v>
      </c>
      <c r="Z226" t="s">
        <v>2613</v>
      </c>
      <c r="AB226" t="s">
        <v>2839</v>
      </c>
      <c r="AD226" t="s">
        <v>3627</v>
      </c>
      <c r="AE226">
        <v>54</v>
      </c>
      <c r="AF226" t="s">
        <v>4099</v>
      </c>
      <c r="AG226" t="s">
        <v>2255</v>
      </c>
      <c r="AH226">
        <v>4</v>
      </c>
      <c r="AI226">
        <v>2</v>
      </c>
      <c r="AJ226">
        <v>0</v>
      </c>
      <c r="AK226">
        <v>70.95999999999999</v>
      </c>
      <c r="AN226" t="s">
        <v>4126</v>
      </c>
      <c r="AO226">
        <v>12000</v>
      </c>
      <c r="AU226">
        <v>1.25</v>
      </c>
      <c r="AV226" t="s">
        <v>200</v>
      </c>
      <c r="AW226" t="s">
        <v>80</v>
      </c>
      <c r="AX226" t="s">
        <v>4266</v>
      </c>
      <c r="AY226" t="s">
        <v>2226</v>
      </c>
      <c r="AZ226" t="s">
        <v>2226</v>
      </c>
    </row>
    <row r="227" spans="1:52">
      <c r="A227" s="1">
        <f>HYPERLINK("https://lsnyc.legalserver.org/matter/dynamic-profile/view/1907609","19-1907609")</f>
        <v>0</v>
      </c>
      <c r="B227" t="s">
        <v>113</v>
      </c>
      <c r="C227" t="s">
        <v>155</v>
      </c>
      <c r="D227" t="s">
        <v>190</v>
      </c>
      <c r="F227" t="s">
        <v>480</v>
      </c>
      <c r="G227" t="s">
        <v>1017</v>
      </c>
      <c r="H227" t="s">
        <v>1582</v>
      </c>
      <c r="I227" t="s">
        <v>2035</v>
      </c>
      <c r="J227" t="s">
        <v>2192</v>
      </c>
      <c r="K227">
        <v>11210</v>
      </c>
      <c r="L227" t="s">
        <v>2224</v>
      </c>
      <c r="M227" t="s">
        <v>2226</v>
      </c>
      <c r="O227" t="s">
        <v>2539</v>
      </c>
      <c r="P227" t="s">
        <v>2557</v>
      </c>
      <c r="R227" t="s">
        <v>2569</v>
      </c>
      <c r="S227" t="s">
        <v>2225</v>
      </c>
      <c r="U227" t="s">
        <v>2578</v>
      </c>
      <c r="W227" t="s">
        <v>162</v>
      </c>
      <c r="X227">
        <v>1725</v>
      </c>
      <c r="Y227" t="s">
        <v>2604</v>
      </c>
      <c r="AB227" t="s">
        <v>2840</v>
      </c>
      <c r="AE227">
        <v>65</v>
      </c>
      <c r="AH227">
        <v>20</v>
      </c>
      <c r="AI227">
        <v>6</v>
      </c>
      <c r="AJ227">
        <v>2</v>
      </c>
      <c r="AK227">
        <v>71.84</v>
      </c>
      <c r="AN227" t="s">
        <v>4132</v>
      </c>
      <c r="AO227">
        <v>31200</v>
      </c>
      <c r="AU227">
        <v>0</v>
      </c>
      <c r="AW227" t="s">
        <v>153</v>
      </c>
      <c r="AX227" t="s">
        <v>4266</v>
      </c>
      <c r="AY227" t="s">
        <v>2224</v>
      </c>
      <c r="AZ227" t="s">
        <v>2224</v>
      </c>
    </row>
    <row r="228" spans="1:52">
      <c r="A228" s="1">
        <f>HYPERLINK("https://lsnyc.legalserver.org/matter/dynamic-profile/view/1907589","19-1907589")</f>
        <v>0</v>
      </c>
      <c r="B228" t="s">
        <v>113</v>
      </c>
      <c r="C228" t="s">
        <v>155</v>
      </c>
      <c r="D228" t="s">
        <v>190</v>
      </c>
      <c r="F228" t="s">
        <v>480</v>
      </c>
      <c r="G228" t="s">
        <v>1017</v>
      </c>
      <c r="H228" t="s">
        <v>1582</v>
      </c>
      <c r="I228" t="s">
        <v>2035</v>
      </c>
      <c r="J228" t="s">
        <v>2192</v>
      </c>
      <c r="K228">
        <v>11210</v>
      </c>
      <c r="L228" t="s">
        <v>2224</v>
      </c>
      <c r="M228" t="s">
        <v>2226</v>
      </c>
      <c r="N228" t="s">
        <v>2327</v>
      </c>
      <c r="O228" t="s">
        <v>2535</v>
      </c>
      <c r="P228" t="s">
        <v>2558</v>
      </c>
      <c r="R228" t="s">
        <v>2569</v>
      </c>
      <c r="S228" t="s">
        <v>2225</v>
      </c>
      <c r="U228" t="s">
        <v>2578</v>
      </c>
      <c r="W228" t="s">
        <v>190</v>
      </c>
      <c r="X228">
        <v>1725</v>
      </c>
      <c r="Y228" t="s">
        <v>2604</v>
      </c>
      <c r="AB228" t="s">
        <v>2840</v>
      </c>
      <c r="AE228">
        <v>65</v>
      </c>
      <c r="AH228">
        <v>20</v>
      </c>
      <c r="AI228">
        <v>6</v>
      </c>
      <c r="AJ228">
        <v>2</v>
      </c>
      <c r="AK228">
        <v>71.84</v>
      </c>
      <c r="AN228" t="s">
        <v>4132</v>
      </c>
      <c r="AO228">
        <v>31200</v>
      </c>
      <c r="AU228">
        <v>2.5</v>
      </c>
      <c r="AV228" t="s">
        <v>242</v>
      </c>
      <c r="AW228" t="s">
        <v>153</v>
      </c>
      <c r="AX228" t="s">
        <v>4266</v>
      </c>
      <c r="AY228" t="s">
        <v>2224</v>
      </c>
      <c r="AZ228" t="s">
        <v>2224</v>
      </c>
    </row>
    <row r="229" spans="1:52">
      <c r="A229" s="1">
        <f>HYPERLINK("https://lsnyc.legalserver.org/matter/dynamic-profile/view/1909603","19-1909603")</f>
        <v>0</v>
      </c>
      <c r="B229" t="s">
        <v>88</v>
      </c>
      <c r="C229" t="s">
        <v>155</v>
      </c>
      <c r="D229" t="s">
        <v>242</v>
      </c>
      <c r="F229" t="s">
        <v>481</v>
      </c>
      <c r="G229" t="s">
        <v>1018</v>
      </c>
      <c r="H229" t="s">
        <v>1583</v>
      </c>
      <c r="I229" t="s">
        <v>2046</v>
      </c>
      <c r="J229" t="s">
        <v>2196</v>
      </c>
      <c r="K229">
        <v>10039</v>
      </c>
      <c r="L229" t="s">
        <v>2224</v>
      </c>
      <c r="M229" t="s">
        <v>2226</v>
      </c>
      <c r="N229" t="s">
        <v>2328</v>
      </c>
      <c r="O229" t="s">
        <v>2549</v>
      </c>
      <c r="P229" t="s">
        <v>2558</v>
      </c>
      <c r="R229" t="s">
        <v>2570</v>
      </c>
      <c r="S229" t="s">
        <v>2225</v>
      </c>
      <c r="U229" t="s">
        <v>2582</v>
      </c>
      <c r="V229" t="s">
        <v>2588</v>
      </c>
      <c r="W229" t="s">
        <v>242</v>
      </c>
      <c r="X229">
        <v>844</v>
      </c>
      <c r="Y229" t="s">
        <v>2607</v>
      </c>
      <c r="Z229" t="s">
        <v>2610</v>
      </c>
      <c r="AB229" t="s">
        <v>2841</v>
      </c>
      <c r="AD229" t="s">
        <v>3628</v>
      </c>
      <c r="AE229">
        <v>360</v>
      </c>
      <c r="AF229" t="s">
        <v>4109</v>
      </c>
      <c r="AG229" t="s">
        <v>2255</v>
      </c>
      <c r="AH229">
        <v>12</v>
      </c>
      <c r="AI229">
        <v>1</v>
      </c>
      <c r="AJ229">
        <v>3</v>
      </c>
      <c r="AK229">
        <v>71.86</v>
      </c>
      <c r="AL229" t="s">
        <v>4121</v>
      </c>
      <c r="AM229" t="s">
        <v>4123</v>
      </c>
      <c r="AN229" t="s">
        <v>4126</v>
      </c>
      <c r="AO229">
        <v>18504</v>
      </c>
      <c r="AU229">
        <v>0</v>
      </c>
      <c r="AW229" t="s">
        <v>4237</v>
      </c>
      <c r="AX229" t="s">
        <v>4266</v>
      </c>
      <c r="AY229" t="s">
        <v>2224</v>
      </c>
      <c r="AZ229" t="s">
        <v>2224</v>
      </c>
    </row>
    <row r="230" spans="1:52">
      <c r="A230" s="1">
        <f>HYPERLINK("https://lsnyc.legalserver.org/matter/dynamic-profile/view/1910248","19-1910248")</f>
        <v>0</v>
      </c>
      <c r="B230" t="s">
        <v>58</v>
      </c>
      <c r="C230" t="s">
        <v>155</v>
      </c>
      <c r="D230" t="s">
        <v>232</v>
      </c>
      <c r="F230" t="s">
        <v>438</v>
      </c>
      <c r="G230" t="s">
        <v>979</v>
      </c>
      <c r="H230" t="s">
        <v>1409</v>
      </c>
      <c r="I230" t="s">
        <v>2021</v>
      </c>
      <c r="J230" t="s">
        <v>2192</v>
      </c>
      <c r="K230">
        <v>11238</v>
      </c>
      <c r="L230" t="s">
        <v>2224</v>
      </c>
      <c r="M230" t="s">
        <v>2226</v>
      </c>
      <c r="O230" t="s">
        <v>2535</v>
      </c>
      <c r="P230" t="s">
        <v>2558</v>
      </c>
      <c r="R230" t="s">
        <v>2569</v>
      </c>
      <c r="S230" t="s">
        <v>2225</v>
      </c>
      <c r="U230" t="s">
        <v>2578</v>
      </c>
      <c r="W230" t="s">
        <v>232</v>
      </c>
      <c r="X230">
        <v>0</v>
      </c>
      <c r="Y230" t="s">
        <v>2604</v>
      </c>
      <c r="AB230" t="s">
        <v>2785</v>
      </c>
      <c r="AD230" t="s">
        <v>3575</v>
      </c>
      <c r="AE230">
        <v>29</v>
      </c>
      <c r="AF230" t="s">
        <v>4099</v>
      </c>
      <c r="AH230">
        <v>0</v>
      </c>
      <c r="AI230">
        <v>1</v>
      </c>
      <c r="AJ230">
        <v>0</v>
      </c>
      <c r="AK230">
        <v>72.06</v>
      </c>
      <c r="AN230" t="s">
        <v>4126</v>
      </c>
      <c r="AO230">
        <v>9000</v>
      </c>
      <c r="AQ230" t="s">
        <v>4177</v>
      </c>
      <c r="AU230">
        <v>10.5</v>
      </c>
      <c r="AV230" t="s">
        <v>197</v>
      </c>
      <c r="AW230" t="s">
        <v>153</v>
      </c>
      <c r="AX230" t="s">
        <v>4266</v>
      </c>
      <c r="AY230" t="s">
        <v>2224</v>
      </c>
      <c r="AZ230" t="s">
        <v>2224</v>
      </c>
    </row>
    <row r="231" spans="1:52">
      <c r="A231" s="1">
        <f>HYPERLINK("https://lsnyc.legalserver.org/matter/dynamic-profile/view/1906125","19-1906125")</f>
        <v>0</v>
      </c>
      <c r="B231" t="s">
        <v>98</v>
      </c>
      <c r="C231" t="s">
        <v>155</v>
      </c>
      <c r="D231" t="s">
        <v>173</v>
      </c>
      <c r="F231" t="s">
        <v>459</v>
      </c>
      <c r="G231" t="s">
        <v>1019</v>
      </c>
      <c r="H231" t="s">
        <v>1438</v>
      </c>
      <c r="I231" t="s">
        <v>1960</v>
      </c>
      <c r="J231" t="s">
        <v>2196</v>
      </c>
      <c r="K231">
        <v>10040</v>
      </c>
      <c r="L231" t="s">
        <v>2224</v>
      </c>
      <c r="M231" t="s">
        <v>2226</v>
      </c>
      <c r="N231" t="s">
        <v>2329</v>
      </c>
      <c r="O231" t="s">
        <v>2535</v>
      </c>
      <c r="P231" t="s">
        <v>2558</v>
      </c>
      <c r="R231" t="s">
        <v>2569</v>
      </c>
      <c r="S231" t="s">
        <v>2225</v>
      </c>
      <c r="U231" t="s">
        <v>2578</v>
      </c>
      <c r="V231" t="s">
        <v>2588</v>
      </c>
      <c r="W231" t="s">
        <v>173</v>
      </c>
      <c r="X231">
        <v>1143.13</v>
      </c>
      <c r="Y231" t="s">
        <v>2607</v>
      </c>
      <c r="Z231" t="s">
        <v>2613</v>
      </c>
      <c r="AB231" t="s">
        <v>2842</v>
      </c>
      <c r="AD231" t="s">
        <v>3629</v>
      </c>
      <c r="AE231">
        <v>42</v>
      </c>
      <c r="AF231" t="s">
        <v>4099</v>
      </c>
      <c r="AG231" t="s">
        <v>4116</v>
      </c>
      <c r="AH231">
        <v>29</v>
      </c>
      <c r="AI231">
        <v>1</v>
      </c>
      <c r="AJ231">
        <v>0</v>
      </c>
      <c r="AK231">
        <v>72.06</v>
      </c>
      <c r="AN231" t="s">
        <v>4126</v>
      </c>
      <c r="AO231">
        <v>9000</v>
      </c>
      <c r="AU231">
        <v>19.1</v>
      </c>
      <c r="AV231" t="s">
        <v>280</v>
      </c>
      <c r="AW231" t="s">
        <v>80</v>
      </c>
      <c r="AX231" t="s">
        <v>4266</v>
      </c>
      <c r="AY231" t="s">
        <v>2224</v>
      </c>
      <c r="AZ231" t="s">
        <v>2224</v>
      </c>
    </row>
    <row r="232" spans="1:52">
      <c r="A232" s="1">
        <f>HYPERLINK("https://lsnyc.legalserver.org/matter/dynamic-profile/view/1909324","19-1909324")</f>
        <v>0</v>
      </c>
      <c r="B232" t="s">
        <v>90</v>
      </c>
      <c r="C232" t="s">
        <v>155</v>
      </c>
      <c r="D232" t="s">
        <v>167</v>
      </c>
      <c r="F232" t="s">
        <v>482</v>
      </c>
      <c r="G232" t="s">
        <v>1020</v>
      </c>
      <c r="H232" t="s">
        <v>1584</v>
      </c>
      <c r="I232">
        <v>31</v>
      </c>
      <c r="J232" t="s">
        <v>2196</v>
      </c>
      <c r="K232">
        <v>10033</v>
      </c>
      <c r="L232" t="s">
        <v>2224</v>
      </c>
      <c r="M232" t="s">
        <v>2226</v>
      </c>
      <c r="O232" t="s">
        <v>2533</v>
      </c>
      <c r="P232" t="s">
        <v>2559</v>
      </c>
      <c r="R232" t="s">
        <v>2569</v>
      </c>
      <c r="S232" t="s">
        <v>2225</v>
      </c>
      <c r="U232" t="s">
        <v>2578</v>
      </c>
      <c r="W232" t="s">
        <v>167</v>
      </c>
      <c r="X232">
        <v>792.47</v>
      </c>
      <c r="Y232" t="s">
        <v>2607</v>
      </c>
      <c r="Z232" t="s">
        <v>2621</v>
      </c>
      <c r="AB232" t="s">
        <v>2843</v>
      </c>
      <c r="AD232" t="s">
        <v>3630</v>
      </c>
      <c r="AE232">
        <v>38</v>
      </c>
      <c r="AF232" t="s">
        <v>4099</v>
      </c>
      <c r="AG232" t="s">
        <v>4116</v>
      </c>
      <c r="AH232">
        <v>16</v>
      </c>
      <c r="AI232">
        <v>1</v>
      </c>
      <c r="AJ232">
        <v>0</v>
      </c>
      <c r="AK232">
        <v>72.06</v>
      </c>
      <c r="AN232" t="s">
        <v>4127</v>
      </c>
      <c r="AO232">
        <v>9000</v>
      </c>
      <c r="AU232">
        <v>3</v>
      </c>
      <c r="AV232" t="s">
        <v>263</v>
      </c>
      <c r="AW232" t="s">
        <v>80</v>
      </c>
      <c r="AX232" t="s">
        <v>4266</v>
      </c>
      <c r="AY232" t="s">
        <v>2226</v>
      </c>
      <c r="AZ232" t="s">
        <v>2226</v>
      </c>
    </row>
    <row r="233" spans="1:52">
      <c r="A233" s="1">
        <f>HYPERLINK("https://lsnyc.legalserver.org/matter/dynamic-profile/view/1905375","19-1905375")</f>
        <v>0</v>
      </c>
      <c r="B233" t="s">
        <v>85</v>
      </c>
      <c r="C233" t="s">
        <v>154</v>
      </c>
      <c r="D233" t="s">
        <v>205</v>
      </c>
      <c r="E233" t="s">
        <v>244</v>
      </c>
      <c r="F233" t="s">
        <v>391</v>
      </c>
      <c r="G233" t="s">
        <v>1021</v>
      </c>
      <c r="H233" t="s">
        <v>1585</v>
      </c>
      <c r="I233" t="s">
        <v>1981</v>
      </c>
      <c r="J233" t="s">
        <v>2192</v>
      </c>
      <c r="K233">
        <v>11233</v>
      </c>
      <c r="L233" t="s">
        <v>2224</v>
      </c>
      <c r="M233" t="s">
        <v>2226</v>
      </c>
      <c r="N233" t="s">
        <v>2237</v>
      </c>
      <c r="O233" t="s">
        <v>2238</v>
      </c>
      <c r="P233" t="s">
        <v>2556</v>
      </c>
      <c r="Q233" t="s">
        <v>2563</v>
      </c>
      <c r="R233" t="s">
        <v>2569</v>
      </c>
      <c r="S233" t="s">
        <v>2225</v>
      </c>
      <c r="U233" t="s">
        <v>2578</v>
      </c>
      <c r="V233" t="s">
        <v>2588</v>
      </c>
      <c r="W233" t="s">
        <v>205</v>
      </c>
      <c r="X233">
        <v>550</v>
      </c>
      <c r="Y233" t="s">
        <v>2604</v>
      </c>
      <c r="AA233" t="s">
        <v>2626</v>
      </c>
      <c r="AB233" t="s">
        <v>2844</v>
      </c>
      <c r="AC233" t="s">
        <v>3410</v>
      </c>
      <c r="AD233" t="s">
        <v>3631</v>
      </c>
      <c r="AE233">
        <v>6</v>
      </c>
      <c r="AF233" t="s">
        <v>4099</v>
      </c>
      <c r="AG233" t="s">
        <v>2255</v>
      </c>
      <c r="AH233">
        <v>44</v>
      </c>
      <c r="AI233">
        <v>1</v>
      </c>
      <c r="AJ233">
        <v>0</v>
      </c>
      <c r="AK233">
        <v>72.15000000000001</v>
      </c>
      <c r="AN233" t="s">
        <v>4127</v>
      </c>
      <c r="AO233">
        <v>9012</v>
      </c>
      <c r="AU233">
        <v>1.25</v>
      </c>
      <c r="AV233" t="s">
        <v>220</v>
      </c>
      <c r="AW233" t="s">
        <v>4226</v>
      </c>
      <c r="AX233" t="s">
        <v>4266</v>
      </c>
      <c r="AY233" t="s">
        <v>2226</v>
      </c>
      <c r="AZ233" t="s">
        <v>2226</v>
      </c>
    </row>
    <row r="234" spans="1:52">
      <c r="A234" s="1">
        <f>HYPERLINK("https://lsnyc.legalserver.org/matter/dynamic-profile/view/1906232","19-1906232")</f>
        <v>0</v>
      </c>
      <c r="B234" t="s">
        <v>78</v>
      </c>
      <c r="C234" t="s">
        <v>155</v>
      </c>
      <c r="D234" t="s">
        <v>164</v>
      </c>
      <c r="F234" t="s">
        <v>483</v>
      </c>
      <c r="G234" t="s">
        <v>1022</v>
      </c>
      <c r="H234" t="s">
        <v>1586</v>
      </c>
      <c r="I234" t="s">
        <v>2022</v>
      </c>
      <c r="J234" t="s">
        <v>2196</v>
      </c>
      <c r="K234">
        <v>10040</v>
      </c>
      <c r="L234" t="s">
        <v>2224</v>
      </c>
      <c r="M234" t="s">
        <v>2226</v>
      </c>
      <c r="P234" t="s">
        <v>2559</v>
      </c>
      <c r="R234" t="s">
        <v>2569</v>
      </c>
      <c r="S234" t="s">
        <v>2225</v>
      </c>
      <c r="U234" t="s">
        <v>2578</v>
      </c>
      <c r="W234" t="s">
        <v>164</v>
      </c>
      <c r="X234">
        <v>1372.65</v>
      </c>
      <c r="Y234" t="s">
        <v>2607</v>
      </c>
      <c r="Z234" t="s">
        <v>2617</v>
      </c>
      <c r="AB234" t="s">
        <v>2845</v>
      </c>
      <c r="AE234">
        <v>75</v>
      </c>
      <c r="AF234" t="s">
        <v>4099</v>
      </c>
      <c r="AG234" t="s">
        <v>2255</v>
      </c>
      <c r="AH234">
        <v>11</v>
      </c>
      <c r="AI234">
        <v>1</v>
      </c>
      <c r="AJ234">
        <v>0</v>
      </c>
      <c r="AK234">
        <v>72.63</v>
      </c>
      <c r="AN234" t="s">
        <v>4126</v>
      </c>
      <c r="AO234">
        <v>9072</v>
      </c>
      <c r="AU234">
        <v>0.4</v>
      </c>
      <c r="AV234" t="s">
        <v>179</v>
      </c>
      <c r="AW234" t="s">
        <v>80</v>
      </c>
      <c r="AX234" t="s">
        <v>4266</v>
      </c>
      <c r="AY234" t="s">
        <v>2224</v>
      </c>
      <c r="AZ234" t="s">
        <v>2224</v>
      </c>
    </row>
    <row r="235" spans="1:52">
      <c r="A235" s="1">
        <f>HYPERLINK("https://lsnyc.legalserver.org/matter/dynamic-profile/view/1878104","18-1878104")</f>
        <v>0</v>
      </c>
      <c r="B235" t="s">
        <v>118</v>
      </c>
      <c r="C235" t="s">
        <v>154</v>
      </c>
      <c r="D235" t="s">
        <v>243</v>
      </c>
      <c r="E235" t="s">
        <v>184</v>
      </c>
      <c r="F235" t="s">
        <v>484</v>
      </c>
      <c r="G235" t="s">
        <v>1023</v>
      </c>
      <c r="H235" t="s">
        <v>1587</v>
      </c>
      <c r="I235" t="s">
        <v>1962</v>
      </c>
      <c r="J235" t="s">
        <v>2192</v>
      </c>
      <c r="K235">
        <v>11237</v>
      </c>
      <c r="L235" t="s">
        <v>2224</v>
      </c>
      <c r="M235" t="s">
        <v>2226</v>
      </c>
      <c r="N235" t="s">
        <v>2330</v>
      </c>
      <c r="O235" t="s">
        <v>2535</v>
      </c>
      <c r="P235" t="s">
        <v>2558</v>
      </c>
      <c r="Q235" t="s">
        <v>2564</v>
      </c>
      <c r="R235" t="s">
        <v>2569</v>
      </c>
      <c r="S235" t="s">
        <v>2225</v>
      </c>
      <c r="U235" t="s">
        <v>2578</v>
      </c>
      <c r="W235" t="s">
        <v>158</v>
      </c>
      <c r="X235">
        <v>0</v>
      </c>
      <c r="Y235" t="s">
        <v>2604</v>
      </c>
      <c r="AA235" t="s">
        <v>2633</v>
      </c>
      <c r="AB235" t="s">
        <v>2846</v>
      </c>
      <c r="AD235" t="s">
        <v>3632</v>
      </c>
      <c r="AE235">
        <v>32</v>
      </c>
      <c r="AH235">
        <v>0</v>
      </c>
      <c r="AI235">
        <v>1</v>
      </c>
      <c r="AJ235">
        <v>0</v>
      </c>
      <c r="AK235">
        <v>72.65000000000001</v>
      </c>
      <c r="AN235" t="s">
        <v>4126</v>
      </c>
      <c r="AO235">
        <v>8820</v>
      </c>
      <c r="AQ235" t="s">
        <v>4175</v>
      </c>
      <c r="AR235" t="s">
        <v>4184</v>
      </c>
      <c r="AS235" t="s">
        <v>4188</v>
      </c>
      <c r="AT235" t="s">
        <v>4206</v>
      </c>
      <c r="AU235">
        <v>21.9</v>
      </c>
      <c r="AV235" t="s">
        <v>184</v>
      </c>
      <c r="AW235" t="s">
        <v>4256</v>
      </c>
      <c r="AX235" t="s">
        <v>4266</v>
      </c>
      <c r="AY235" t="s">
        <v>2224</v>
      </c>
      <c r="AZ235" t="s">
        <v>2224</v>
      </c>
    </row>
    <row r="236" spans="1:52">
      <c r="A236" s="1">
        <f>HYPERLINK("https://lsnyc.legalserver.org/matter/dynamic-profile/view/1910959","19-1910959")</f>
        <v>0</v>
      </c>
      <c r="B236" t="s">
        <v>98</v>
      </c>
      <c r="C236" t="s">
        <v>155</v>
      </c>
      <c r="D236" t="s">
        <v>166</v>
      </c>
      <c r="F236" t="s">
        <v>485</v>
      </c>
      <c r="G236" t="s">
        <v>1024</v>
      </c>
      <c r="H236" t="s">
        <v>1588</v>
      </c>
      <c r="I236">
        <v>21</v>
      </c>
      <c r="J236" t="s">
        <v>2196</v>
      </c>
      <c r="K236">
        <v>10034</v>
      </c>
      <c r="L236" t="s">
        <v>2224</v>
      </c>
      <c r="M236" t="s">
        <v>2226</v>
      </c>
      <c r="O236" t="s">
        <v>2536</v>
      </c>
      <c r="P236" t="s">
        <v>2559</v>
      </c>
      <c r="R236" t="s">
        <v>2569</v>
      </c>
      <c r="S236" t="s">
        <v>2225</v>
      </c>
      <c r="U236" t="s">
        <v>2578</v>
      </c>
      <c r="W236" t="s">
        <v>166</v>
      </c>
      <c r="X236">
        <v>0</v>
      </c>
      <c r="Y236" t="s">
        <v>2607</v>
      </c>
      <c r="Z236" t="s">
        <v>2617</v>
      </c>
      <c r="AB236" t="s">
        <v>2847</v>
      </c>
      <c r="AC236" t="s">
        <v>3411</v>
      </c>
      <c r="AE236">
        <v>88</v>
      </c>
      <c r="AF236" t="s">
        <v>4099</v>
      </c>
      <c r="AG236" t="s">
        <v>2255</v>
      </c>
      <c r="AH236">
        <v>6</v>
      </c>
      <c r="AI236">
        <v>1</v>
      </c>
      <c r="AJ236">
        <v>3</v>
      </c>
      <c r="AK236">
        <v>72.7</v>
      </c>
      <c r="AN236" t="s">
        <v>4126</v>
      </c>
      <c r="AO236">
        <v>18720</v>
      </c>
      <c r="AU236">
        <v>3.5</v>
      </c>
      <c r="AV236" t="s">
        <v>272</v>
      </c>
      <c r="AW236" t="s">
        <v>80</v>
      </c>
      <c r="AX236" t="s">
        <v>4266</v>
      </c>
      <c r="AY236" t="s">
        <v>2224</v>
      </c>
      <c r="AZ236" t="s">
        <v>2224</v>
      </c>
    </row>
    <row r="237" spans="1:52">
      <c r="A237" s="1">
        <f>HYPERLINK("https://lsnyc.legalserver.org/matter/dynamic-profile/view/1908646","19-1908646")</f>
        <v>0</v>
      </c>
      <c r="B237" t="s">
        <v>119</v>
      </c>
      <c r="C237" t="s">
        <v>155</v>
      </c>
      <c r="D237" t="s">
        <v>216</v>
      </c>
      <c r="F237" t="s">
        <v>486</v>
      </c>
      <c r="G237" t="s">
        <v>1010</v>
      </c>
      <c r="H237" t="s">
        <v>1589</v>
      </c>
      <c r="J237" t="s">
        <v>2199</v>
      </c>
      <c r="K237">
        <v>11354</v>
      </c>
      <c r="L237" t="s">
        <v>2224</v>
      </c>
      <c r="M237" t="s">
        <v>2226</v>
      </c>
      <c r="N237" t="s">
        <v>2331</v>
      </c>
      <c r="O237" t="s">
        <v>2535</v>
      </c>
      <c r="P237" t="s">
        <v>2558</v>
      </c>
      <c r="R237" t="s">
        <v>2569</v>
      </c>
      <c r="S237" t="s">
        <v>2225</v>
      </c>
      <c r="U237" t="s">
        <v>2578</v>
      </c>
      <c r="V237" t="s">
        <v>2588</v>
      </c>
      <c r="W237" t="s">
        <v>216</v>
      </c>
      <c r="X237">
        <v>2400</v>
      </c>
      <c r="Y237" t="s">
        <v>2603</v>
      </c>
      <c r="Z237" t="s">
        <v>2608</v>
      </c>
      <c r="AB237" t="s">
        <v>2848</v>
      </c>
      <c r="AC237" t="s">
        <v>3412</v>
      </c>
      <c r="AE237">
        <v>3</v>
      </c>
      <c r="AF237" t="s">
        <v>4098</v>
      </c>
      <c r="AG237" t="s">
        <v>2611</v>
      </c>
      <c r="AH237">
        <v>1</v>
      </c>
      <c r="AI237">
        <v>2</v>
      </c>
      <c r="AJ237">
        <v>4</v>
      </c>
      <c r="AK237">
        <v>72.84999999999999</v>
      </c>
      <c r="AN237" t="s">
        <v>4127</v>
      </c>
      <c r="AO237">
        <v>25200</v>
      </c>
      <c r="AU237">
        <v>7.45</v>
      </c>
      <c r="AV237" t="s">
        <v>174</v>
      </c>
      <c r="AW237" t="s">
        <v>4257</v>
      </c>
      <c r="AX237" t="s">
        <v>4266</v>
      </c>
      <c r="AY237" t="s">
        <v>2226</v>
      </c>
      <c r="AZ237" t="s">
        <v>2226</v>
      </c>
    </row>
    <row r="238" spans="1:52">
      <c r="A238" s="1">
        <f>HYPERLINK("https://lsnyc.legalserver.org/matter/dynamic-profile/view/1910208","19-1910208")</f>
        <v>0</v>
      </c>
      <c r="B238" t="s">
        <v>79</v>
      </c>
      <c r="C238" t="s">
        <v>155</v>
      </c>
      <c r="D238" t="s">
        <v>232</v>
      </c>
      <c r="F238" t="s">
        <v>487</v>
      </c>
      <c r="G238" t="s">
        <v>1025</v>
      </c>
      <c r="H238" t="s">
        <v>1590</v>
      </c>
      <c r="I238" t="s">
        <v>1952</v>
      </c>
      <c r="J238" t="s">
        <v>2196</v>
      </c>
      <c r="K238">
        <v>10035</v>
      </c>
      <c r="L238" t="s">
        <v>2224</v>
      </c>
      <c r="M238" t="s">
        <v>2226</v>
      </c>
      <c r="N238" t="s">
        <v>2332</v>
      </c>
      <c r="O238" t="s">
        <v>2535</v>
      </c>
      <c r="P238" t="s">
        <v>2559</v>
      </c>
      <c r="R238" t="s">
        <v>2569</v>
      </c>
      <c r="S238" t="s">
        <v>2225</v>
      </c>
      <c r="U238" t="s">
        <v>2578</v>
      </c>
      <c r="W238" t="s">
        <v>232</v>
      </c>
      <c r="X238">
        <v>1620.05</v>
      </c>
      <c r="Y238" t="s">
        <v>2607</v>
      </c>
      <c r="Z238" t="s">
        <v>2614</v>
      </c>
      <c r="AB238" t="s">
        <v>2849</v>
      </c>
      <c r="AD238" t="s">
        <v>3633</v>
      </c>
      <c r="AE238">
        <v>30</v>
      </c>
      <c r="AF238" t="s">
        <v>4099</v>
      </c>
      <c r="AG238" t="s">
        <v>4112</v>
      </c>
      <c r="AH238">
        <v>12</v>
      </c>
      <c r="AI238">
        <v>1</v>
      </c>
      <c r="AJ238">
        <v>0</v>
      </c>
      <c r="AK238">
        <v>72.86</v>
      </c>
      <c r="AN238" t="s">
        <v>4126</v>
      </c>
      <c r="AO238">
        <v>9100</v>
      </c>
      <c r="AU238">
        <v>0.5</v>
      </c>
      <c r="AV238" t="s">
        <v>166</v>
      </c>
      <c r="AW238" t="s">
        <v>4238</v>
      </c>
      <c r="AX238" t="s">
        <v>4266</v>
      </c>
      <c r="AY238" t="s">
        <v>2226</v>
      </c>
      <c r="AZ238" t="s">
        <v>2226</v>
      </c>
    </row>
    <row r="239" spans="1:52">
      <c r="A239" s="1">
        <f>HYPERLINK("https://lsnyc.legalserver.org/matter/dynamic-profile/view/1909360","19-1909360")</f>
        <v>0</v>
      </c>
      <c r="B239" t="s">
        <v>84</v>
      </c>
      <c r="C239" t="s">
        <v>154</v>
      </c>
      <c r="D239" t="s">
        <v>167</v>
      </c>
      <c r="E239" t="s">
        <v>194</v>
      </c>
      <c r="F239" t="s">
        <v>488</v>
      </c>
      <c r="G239" t="s">
        <v>1026</v>
      </c>
      <c r="H239" t="s">
        <v>1591</v>
      </c>
      <c r="I239" t="s">
        <v>2047</v>
      </c>
      <c r="J239" t="s">
        <v>2194</v>
      </c>
      <c r="K239">
        <v>10458</v>
      </c>
      <c r="L239" t="s">
        <v>2224</v>
      </c>
      <c r="M239" t="s">
        <v>2226</v>
      </c>
      <c r="N239" t="s">
        <v>2333</v>
      </c>
      <c r="O239" t="s">
        <v>2533</v>
      </c>
      <c r="P239" t="s">
        <v>2556</v>
      </c>
      <c r="Q239" t="s">
        <v>2563</v>
      </c>
      <c r="R239" t="s">
        <v>2569</v>
      </c>
      <c r="S239" t="s">
        <v>2225</v>
      </c>
      <c r="U239" t="s">
        <v>2578</v>
      </c>
      <c r="W239" t="s">
        <v>189</v>
      </c>
      <c r="X239">
        <v>1150</v>
      </c>
      <c r="Y239" t="s">
        <v>2605</v>
      </c>
      <c r="Z239" t="s">
        <v>2614</v>
      </c>
      <c r="AA239" t="s">
        <v>2626</v>
      </c>
      <c r="AB239" t="s">
        <v>2850</v>
      </c>
      <c r="AD239" t="s">
        <v>3634</v>
      </c>
      <c r="AE239">
        <v>94</v>
      </c>
      <c r="AF239" t="s">
        <v>4099</v>
      </c>
      <c r="AG239" t="s">
        <v>4115</v>
      </c>
      <c r="AH239">
        <v>8</v>
      </c>
      <c r="AI239">
        <v>1</v>
      </c>
      <c r="AJ239">
        <v>0</v>
      </c>
      <c r="AK239">
        <v>72.90000000000001</v>
      </c>
      <c r="AN239" t="s">
        <v>4127</v>
      </c>
      <c r="AO239">
        <v>9105.360000000001</v>
      </c>
      <c r="AU239">
        <v>0.1</v>
      </c>
      <c r="AV239" t="s">
        <v>194</v>
      </c>
      <c r="AW239" t="s">
        <v>4248</v>
      </c>
      <c r="AX239" t="s">
        <v>4266</v>
      </c>
      <c r="AY239" t="s">
        <v>2226</v>
      </c>
      <c r="AZ239" t="s">
        <v>2226</v>
      </c>
    </row>
    <row r="240" spans="1:52">
      <c r="A240" s="1">
        <f>HYPERLINK("https://lsnyc.legalserver.org/matter/dynamic-profile/view/1906045","19-1906045")</f>
        <v>0</v>
      </c>
      <c r="B240" t="s">
        <v>109</v>
      </c>
      <c r="C240" t="s">
        <v>154</v>
      </c>
      <c r="D240" t="s">
        <v>173</v>
      </c>
      <c r="E240" t="s">
        <v>164</v>
      </c>
      <c r="F240" t="s">
        <v>489</v>
      </c>
      <c r="G240" t="s">
        <v>1027</v>
      </c>
      <c r="H240" t="s">
        <v>1592</v>
      </c>
      <c r="I240" t="s">
        <v>2033</v>
      </c>
      <c r="J240" t="s">
        <v>2194</v>
      </c>
      <c r="K240">
        <v>10467</v>
      </c>
      <c r="L240" t="s">
        <v>2224</v>
      </c>
      <c r="M240" t="s">
        <v>2226</v>
      </c>
      <c r="N240" t="s">
        <v>2334</v>
      </c>
      <c r="O240" t="s">
        <v>2537</v>
      </c>
      <c r="P240" t="s">
        <v>2561</v>
      </c>
      <c r="Q240" t="s">
        <v>2566</v>
      </c>
      <c r="R240" t="s">
        <v>2569</v>
      </c>
      <c r="S240" t="s">
        <v>2225</v>
      </c>
      <c r="U240" t="s">
        <v>2580</v>
      </c>
      <c r="W240" t="s">
        <v>191</v>
      </c>
      <c r="X240">
        <v>811</v>
      </c>
      <c r="Y240" t="s">
        <v>2605</v>
      </c>
      <c r="Z240" t="s">
        <v>2613</v>
      </c>
      <c r="AA240" t="s">
        <v>2626</v>
      </c>
      <c r="AB240" t="s">
        <v>2851</v>
      </c>
      <c r="AD240" t="s">
        <v>3635</v>
      </c>
      <c r="AE240">
        <v>53</v>
      </c>
      <c r="AF240" t="s">
        <v>4099</v>
      </c>
      <c r="AG240" t="s">
        <v>4116</v>
      </c>
      <c r="AH240">
        <v>42</v>
      </c>
      <c r="AI240">
        <v>1</v>
      </c>
      <c r="AJ240">
        <v>0</v>
      </c>
      <c r="AK240">
        <v>73.02</v>
      </c>
      <c r="AN240" t="s">
        <v>4127</v>
      </c>
      <c r="AO240">
        <v>9120</v>
      </c>
      <c r="AU240">
        <v>0.6</v>
      </c>
      <c r="AV240" t="s">
        <v>173</v>
      </c>
      <c r="AW240" t="s">
        <v>4248</v>
      </c>
      <c r="AX240" t="s">
        <v>4266</v>
      </c>
      <c r="AY240" t="s">
        <v>2224</v>
      </c>
      <c r="AZ240" t="s">
        <v>2224</v>
      </c>
    </row>
    <row r="241" spans="1:52">
      <c r="A241" s="1">
        <f>HYPERLINK("https://lsnyc.legalserver.org/matter/dynamic-profile/view/1904525","19-1904525")</f>
        <v>0</v>
      </c>
      <c r="B241" t="s">
        <v>109</v>
      </c>
      <c r="C241" t="s">
        <v>154</v>
      </c>
      <c r="D241" t="s">
        <v>203</v>
      </c>
      <c r="E241" t="s">
        <v>172</v>
      </c>
      <c r="F241" t="s">
        <v>490</v>
      </c>
      <c r="G241" t="s">
        <v>1027</v>
      </c>
      <c r="H241" t="s">
        <v>1592</v>
      </c>
      <c r="I241" t="s">
        <v>2033</v>
      </c>
      <c r="J241" t="s">
        <v>2194</v>
      </c>
      <c r="K241">
        <v>10467</v>
      </c>
      <c r="L241" t="s">
        <v>2224</v>
      </c>
      <c r="M241" t="s">
        <v>2226</v>
      </c>
      <c r="N241" t="s">
        <v>2334</v>
      </c>
      <c r="O241" t="s">
        <v>2533</v>
      </c>
      <c r="P241" t="s">
        <v>2558</v>
      </c>
      <c r="Q241" t="s">
        <v>2564</v>
      </c>
      <c r="R241" t="s">
        <v>2569</v>
      </c>
      <c r="S241" t="s">
        <v>2225</v>
      </c>
      <c r="U241" t="s">
        <v>2578</v>
      </c>
      <c r="V241" t="s">
        <v>2588</v>
      </c>
      <c r="W241" t="s">
        <v>254</v>
      </c>
      <c r="X241">
        <v>811</v>
      </c>
      <c r="Y241" t="s">
        <v>2605</v>
      </c>
      <c r="Z241" t="s">
        <v>2613</v>
      </c>
      <c r="AA241" t="s">
        <v>2628</v>
      </c>
      <c r="AB241" t="s">
        <v>2851</v>
      </c>
      <c r="AD241" t="s">
        <v>3635</v>
      </c>
      <c r="AE241">
        <v>53</v>
      </c>
      <c r="AF241" t="s">
        <v>4099</v>
      </c>
      <c r="AG241" t="s">
        <v>4116</v>
      </c>
      <c r="AH241">
        <v>42</v>
      </c>
      <c r="AI241">
        <v>1</v>
      </c>
      <c r="AJ241">
        <v>0</v>
      </c>
      <c r="AK241">
        <v>73.02</v>
      </c>
      <c r="AN241" t="s">
        <v>4127</v>
      </c>
      <c r="AO241">
        <v>9120</v>
      </c>
      <c r="AR241" t="s">
        <v>4183</v>
      </c>
      <c r="AS241" t="s">
        <v>4188</v>
      </c>
      <c r="AT241" t="s">
        <v>4198</v>
      </c>
      <c r="AU241">
        <v>3.5</v>
      </c>
      <c r="AV241" t="s">
        <v>205</v>
      </c>
      <c r="AW241" t="s">
        <v>4248</v>
      </c>
      <c r="AX241" t="s">
        <v>4266</v>
      </c>
      <c r="AY241" t="s">
        <v>2224</v>
      </c>
      <c r="AZ241" t="s">
        <v>2224</v>
      </c>
    </row>
    <row r="242" spans="1:52">
      <c r="A242" s="1">
        <f>HYPERLINK("https://lsnyc.legalserver.org/matter/dynamic-profile/view/1904528","19-1904528")</f>
        <v>0</v>
      </c>
      <c r="B242" t="s">
        <v>109</v>
      </c>
      <c r="C242" t="s">
        <v>154</v>
      </c>
      <c r="D242" t="s">
        <v>203</v>
      </c>
      <c r="E242" t="s">
        <v>192</v>
      </c>
      <c r="F242" t="s">
        <v>490</v>
      </c>
      <c r="G242" t="s">
        <v>1027</v>
      </c>
      <c r="H242" t="s">
        <v>1592</v>
      </c>
      <c r="I242" t="s">
        <v>2033</v>
      </c>
      <c r="J242" t="s">
        <v>2194</v>
      </c>
      <c r="K242">
        <v>10467</v>
      </c>
      <c r="L242" t="s">
        <v>2224</v>
      </c>
      <c r="M242" t="s">
        <v>2226</v>
      </c>
      <c r="N242" t="s">
        <v>2334</v>
      </c>
      <c r="O242" t="s">
        <v>2541</v>
      </c>
      <c r="P242" t="s">
        <v>2561</v>
      </c>
      <c r="Q242" t="s">
        <v>2566</v>
      </c>
      <c r="R242" t="s">
        <v>2569</v>
      </c>
      <c r="S242" t="s">
        <v>2225</v>
      </c>
      <c r="U242" t="s">
        <v>2580</v>
      </c>
      <c r="W242" t="s">
        <v>254</v>
      </c>
      <c r="X242">
        <v>811</v>
      </c>
      <c r="Y242" t="s">
        <v>2605</v>
      </c>
      <c r="Z242" t="s">
        <v>2613</v>
      </c>
      <c r="AA242" t="s">
        <v>2630</v>
      </c>
      <c r="AB242" t="s">
        <v>2851</v>
      </c>
      <c r="AD242" t="s">
        <v>3635</v>
      </c>
      <c r="AE242">
        <v>53</v>
      </c>
      <c r="AF242" t="s">
        <v>4099</v>
      </c>
      <c r="AG242" t="s">
        <v>4116</v>
      </c>
      <c r="AH242">
        <v>42</v>
      </c>
      <c r="AI242">
        <v>1</v>
      </c>
      <c r="AJ242">
        <v>0</v>
      </c>
      <c r="AK242">
        <v>73.02</v>
      </c>
      <c r="AN242" t="s">
        <v>4127</v>
      </c>
      <c r="AO242">
        <v>9120</v>
      </c>
      <c r="AU242">
        <v>1.5</v>
      </c>
      <c r="AV242" t="s">
        <v>192</v>
      </c>
      <c r="AW242" t="s">
        <v>4248</v>
      </c>
      <c r="AX242" t="s">
        <v>4266</v>
      </c>
      <c r="AY242" t="s">
        <v>2224</v>
      </c>
      <c r="AZ242" t="s">
        <v>2224</v>
      </c>
    </row>
    <row r="243" spans="1:52">
      <c r="A243" s="1">
        <f>HYPERLINK("https://lsnyc.legalserver.org/matter/dynamic-profile/view/1911891","19-1911891")</f>
        <v>0</v>
      </c>
      <c r="B243" t="s">
        <v>98</v>
      </c>
      <c r="C243" t="s">
        <v>155</v>
      </c>
      <c r="D243" t="s">
        <v>165</v>
      </c>
      <c r="F243" t="s">
        <v>455</v>
      </c>
      <c r="G243" t="s">
        <v>1028</v>
      </c>
      <c r="H243" t="s">
        <v>1593</v>
      </c>
      <c r="I243" t="s">
        <v>2035</v>
      </c>
      <c r="J243" t="s">
        <v>2196</v>
      </c>
      <c r="K243">
        <v>10034</v>
      </c>
      <c r="L243" t="s">
        <v>2224</v>
      </c>
      <c r="M243" t="s">
        <v>2226</v>
      </c>
      <c r="P243" t="s">
        <v>2561</v>
      </c>
      <c r="R243" t="s">
        <v>2569</v>
      </c>
      <c r="S243" t="s">
        <v>2225</v>
      </c>
      <c r="U243" t="s">
        <v>2578</v>
      </c>
      <c r="W243" t="s">
        <v>165</v>
      </c>
      <c r="X243">
        <v>0</v>
      </c>
      <c r="Y243" t="s">
        <v>2607</v>
      </c>
      <c r="Z243" t="s">
        <v>2613</v>
      </c>
      <c r="AB243" t="s">
        <v>2852</v>
      </c>
      <c r="AD243" t="s">
        <v>3636</v>
      </c>
      <c r="AE243">
        <v>100</v>
      </c>
      <c r="AF243" t="s">
        <v>4099</v>
      </c>
      <c r="AG243" t="s">
        <v>2255</v>
      </c>
      <c r="AH243">
        <v>1</v>
      </c>
      <c r="AI243">
        <v>1</v>
      </c>
      <c r="AJ243">
        <v>0</v>
      </c>
      <c r="AK243">
        <v>73.02</v>
      </c>
      <c r="AN243" t="s">
        <v>4126</v>
      </c>
      <c r="AO243">
        <v>9120</v>
      </c>
      <c r="AU243">
        <v>3.8</v>
      </c>
      <c r="AV243" t="s">
        <v>188</v>
      </c>
      <c r="AW243" t="s">
        <v>80</v>
      </c>
      <c r="AX243" t="s">
        <v>4266</v>
      </c>
      <c r="AY243" t="s">
        <v>2224</v>
      </c>
      <c r="AZ243" t="s">
        <v>2224</v>
      </c>
    </row>
    <row r="244" spans="1:52">
      <c r="A244" s="1">
        <f>HYPERLINK("https://lsnyc.legalserver.org/matter/dynamic-profile/view/1906523","19-1906523")</f>
        <v>0</v>
      </c>
      <c r="B244" t="s">
        <v>64</v>
      </c>
      <c r="C244" t="s">
        <v>154</v>
      </c>
      <c r="D244" t="s">
        <v>244</v>
      </c>
      <c r="E244" t="s">
        <v>188</v>
      </c>
      <c r="F244" t="s">
        <v>491</v>
      </c>
      <c r="G244" t="s">
        <v>1029</v>
      </c>
      <c r="H244" t="s">
        <v>1594</v>
      </c>
      <c r="I244" t="s">
        <v>1963</v>
      </c>
      <c r="J244" t="s">
        <v>2192</v>
      </c>
      <c r="K244">
        <v>11212</v>
      </c>
      <c r="L244" t="s">
        <v>2224</v>
      </c>
      <c r="M244" t="s">
        <v>2226</v>
      </c>
      <c r="N244" t="s">
        <v>2335</v>
      </c>
      <c r="O244" t="s">
        <v>2535</v>
      </c>
      <c r="P244" t="s">
        <v>2561</v>
      </c>
      <c r="Q244" t="s">
        <v>2566</v>
      </c>
      <c r="R244" t="s">
        <v>2569</v>
      </c>
      <c r="S244" t="s">
        <v>2225</v>
      </c>
      <c r="U244" t="s">
        <v>2578</v>
      </c>
      <c r="V244" t="s">
        <v>2590</v>
      </c>
      <c r="W244" t="s">
        <v>162</v>
      </c>
      <c r="X244">
        <v>2001</v>
      </c>
      <c r="Y244" t="s">
        <v>2604</v>
      </c>
      <c r="Z244" t="s">
        <v>2621</v>
      </c>
      <c r="AA244" t="s">
        <v>2626</v>
      </c>
      <c r="AB244" t="s">
        <v>2853</v>
      </c>
      <c r="AC244" t="s">
        <v>2244</v>
      </c>
      <c r="AD244" t="s">
        <v>3637</v>
      </c>
      <c r="AE244">
        <v>74</v>
      </c>
      <c r="AF244" t="s">
        <v>4104</v>
      </c>
      <c r="AG244" t="s">
        <v>4114</v>
      </c>
      <c r="AH244">
        <v>11</v>
      </c>
      <c r="AI244">
        <v>2</v>
      </c>
      <c r="AJ244">
        <v>1</v>
      </c>
      <c r="AK244">
        <v>73.14</v>
      </c>
      <c r="AN244" t="s">
        <v>4126</v>
      </c>
      <c r="AO244">
        <v>15600</v>
      </c>
      <c r="AU244">
        <v>2</v>
      </c>
      <c r="AV244" t="s">
        <v>247</v>
      </c>
      <c r="AW244" t="s">
        <v>4226</v>
      </c>
      <c r="AX244" t="s">
        <v>4266</v>
      </c>
      <c r="AY244" t="s">
        <v>2226</v>
      </c>
      <c r="AZ244" t="s">
        <v>2225</v>
      </c>
    </row>
    <row r="245" spans="1:52">
      <c r="A245" s="1">
        <f>HYPERLINK("https://lsnyc.legalserver.org/matter/dynamic-profile/view/1904758","19-1904758")</f>
        <v>0</v>
      </c>
      <c r="B245" t="s">
        <v>71</v>
      </c>
      <c r="C245" t="s">
        <v>155</v>
      </c>
      <c r="D245" t="s">
        <v>192</v>
      </c>
      <c r="F245" t="s">
        <v>390</v>
      </c>
      <c r="G245" t="s">
        <v>1030</v>
      </c>
      <c r="H245" t="s">
        <v>1595</v>
      </c>
      <c r="I245" t="s">
        <v>1978</v>
      </c>
      <c r="J245" t="s">
        <v>2194</v>
      </c>
      <c r="K245">
        <v>10474</v>
      </c>
      <c r="L245" t="s">
        <v>2224</v>
      </c>
      <c r="M245" t="s">
        <v>2226</v>
      </c>
      <c r="O245" t="s">
        <v>2533</v>
      </c>
      <c r="P245" t="s">
        <v>2557</v>
      </c>
      <c r="R245" t="s">
        <v>2569</v>
      </c>
      <c r="S245" t="s">
        <v>2225</v>
      </c>
      <c r="U245" t="s">
        <v>2578</v>
      </c>
      <c r="V245" t="s">
        <v>2588</v>
      </c>
      <c r="W245" t="s">
        <v>191</v>
      </c>
      <c r="X245">
        <v>912.41</v>
      </c>
      <c r="Y245" t="s">
        <v>2605</v>
      </c>
      <c r="Z245" t="s">
        <v>2613</v>
      </c>
      <c r="AB245" t="s">
        <v>2854</v>
      </c>
      <c r="AE245">
        <v>60</v>
      </c>
      <c r="AF245" t="s">
        <v>4099</v>
      </c>
      <c r="AG245" t="s">
        <v>2255</v>
      </c>
      <c r="AH245">
        <v>15</v>
      </c>
      <c r="AI245">
        <v>3</v>
      </c>
      <c r="AJ245">
        <v>0</v>
      </c>
      <c r="AK245">
        <v>73.14</v>
      </c>
      <c r="AN245" t="s">
        <v>4127</v>
      </c>
      <c r="AO245">
        <v>15600</v>
      </c>
      <c r="AU245">
        <v>2.5</v>
      </c>
      <c r="AV245" t="s">
        <v>180</v>
      </c>
      <c r="AW245" t="s">
        <v>71</v>
      </c>
      <c r="AX245" t="s">
        <v>4266</v>
      </c>
      <c r="AY245" t="s">
        <v>2224</v>
      </c>
      <c r="AZ245" t="s">
        <v>2224</v>
      </c>
    </row>
    <row r="246" spans="1:52">
      <c r="A246" s="1">
        <f>HYPERLINK("https://lsnyc.legalserver.org/matter/dynamic-profile/view/1908586","19-1908586")</f>
        <v>0</v>
      </c>
      <c r="B246" t="s">
        <v>87</v>
      </c>
      <c r="C246" t="s">
        <v>155</v>
      </c>
      <c r="D246" t="s">
        <v>216</v>
      </c>
      <c r="F246" t="s">
        <v>492</v>
      </c>
      <c r="G246" t="s">
        <v>1031</v>
      </c>
      <c r="H246" t="s">
        <v>1520</v>
      </c>
      <c r="I246" t="s">
        <v>2048</v>
      </c>
      <c r="J246" t="s">
        <v>2196</v>
      </c>
      <c r="K246">
        <v>10035</v>
      </c>
      <c r="L246" t="s">
        <v>2224</v>
      </c>
      <c r="M246" t="s">
        <v>2226</v>
      </c>
      <c r="N246" t="s">
        <v>2336</v>
      </c>
      <c r="O246" t="s">
        <v>2535</v>
      </c>
      <c r="P246" t="s">
        <v>2558</v>
      </c>
      <c r="R246" t="s">
        <v>2569</v>
      </c>
      <c r="S246" t="s">
        <v>2224</v>
      </c>
      <c r="U246" t="s">
        <v>2578</v>
      </c>
      <c r="V246" t="s">
        <v>2588</v>
      </c>
      <c r="W246" t="s">
        <v>181</v>
      </c>
      <c r="X246">
        <v>1630.81</v>
      </c>
      <c r="Y246" t="s">
        <v>2607</v>
      </c>
      <c r="Z246" t="s">
        <v>2609</v>
      </c>
      <c r="AB246" t="s">
        <v>2855</v>
      </c>
      <c r="AD246" t="s">
        <v>3638</v>
      </c>
      <c r="AE246">
        <v>72</v>
      </c>
      <c r="AF246" t="s">
        <v>4099</v>
      </c>
      <c r="AG246" t="s">
        <v>4112</v>
      </c>
      <c r="AH246">
        <v>19</v>
      </c>
      <c r="AI246">
        <v>2</v>
      </c>
      <c r="AJ246">
        <v>2</v>
      </c>
      <c r="AK246">
        <v>73.70999999999999</v>
      </c>
      <c r="AN246" t="s">
        <v>4126</v>
      </c>
      <c r="AO246">
        <v>18980</v>
      </c>
      <c r="AU246">
        <v>1</v>
      </c>
      <c r="AV246" t="s">
        <v>204</v>
      </c>
      <c r="AW246" t="s">
        <v>4237</v>
      </c>
      <c r="AX246" t="s">
        <v>4266</v>
      </c>
      <c r="AY246" t="s">
        <v>2224</v>
      </c>
      <c r="AZ246" t="s">
        <v>2224</v>
      </c>
    </row>
    <row r="247" spans="1:52">
      <c r="A247" s="1">
        <f>HYPERLINK("https://lsnyc.legalserver.org/matter/dynamic-profile/view/1910139","19-1910139")</f>
        <v>0</v>
      </c>
      <c r="B247" t="s">
        <v>70</v>
      </c>
      <c r="C247" t="s">
        <v>155</v>
      </c>
      <c r="D247" t="s">
        <v>211</v>
      </c>
      <c r="F247" t="s">
        <v>406</v>
      </c>
      <c r="G247" t="s">
        <v>1032</v>
      </c>
      <c r="H247" t="s">
        <v>1596</v>
      </c>
      <c r="I247" t="s">
        <v>2049</v>
      </c>
      <c r="J247" t="s">
        <v>2194</v>
      </c>
      <c r="K247">
        <v>10451</v>
      </c>
      <c r="L247" t="s">
        <v>2224</v>
      </c>
      <c r="M247" t="s">
        <v>2226</v>
      </c>
      <c r="O247" t="s">
        <v>2238</v>
      </c>
      <c r="P247" t="s">
        <v>2556</v>
      </c>
      <c r="R247" t="s">
        <v>2569</v>
      </c>
      <c r="S247" t="s">
        <v>2225</v>
      </c>
      <c r="U247" t="s">
        <v>2578</v>
      </c>
      <c r="W247" t="s">
        <v>214</v>
      </c>
      <c r="X247">
        <v>1061</v>
      </c>
      <c r="Y247" t="s">
        <v>2605</v>
      </c>
      <c r="Z247" t="s">
        <v>2614</v>
      </c>
      <c r="AB247" t="s">
        <v>2856</v>
      </c>
      <c r="AD247" t="s">
        <v>3639</v>
      </c>
      <c r="AE247">
        <v>176</v>
      </c>
      <c r="AF247" t="s">
        <v>4099</v>
      </c>
      <c r="AG247" t="s">
        <v>4119</v>
      </c>
      <c r="AH247">
        <v>3</v>
      </c>
      <c r="AI247">
        <v>2</v>
      </c>
      <c r="AJ247">
        <v>0</v>
      </c>
      <c r="AK247">
        <v>73.73</v>
      </c>
      <c r="AN247" t="s">
        <v>4126</v>
      </c>
      <c r="AO247">
        <v>12468</v>
      </c>
      <c r="AU247">
        <v>1.6</v>
      </c>
      <c r="AV247" t="s">
        <v>272</v>
      </c>
      <c r="AW247" t="s">
        <v>70</v>
      </c>
      <c r="AX247" t="s">
        <v>4266</v>
      </c>
      <c r="AY247" t="s">
        <v>2226</v>
      </c>
      <c r="AZ247" t="s">
        <v>2225</v>
      </c>
    </row>
    <row r="248" spans="1:52">
      <c r="A248" s="1">
        <f>HYPERLINK("https://lsnyc.legalserver.org/matter/dynamic-profile/view/1908585","19-1908585")</f>
        <v>0</v>
      </c>
      <c r="B248" t="s">
        <v>87</v>
      </c>
      <c r="C248" t="s">
        <v>155</v>
      </c>
      <c r="D248" t="s">
        <v>216</v>
      </c>
      <c r="F248" t="s">
        <v>493</v>
      </c>
      <c r="G248" t="s">
        <v>905</v>
      </c>
      <c r="H248" t="s">
        <v>1597</v>
      </c>
      <c r="I248" t="s">
        <v>2050</v>
      </c>
      <c r="J248" t="s">
        <v>2196</v>
      </c>
      <c r="K248">
        <v>10035</v>
      </c>
      <c r="L248" t="s">
        <v>2224</v>
      </c>
      <c r="M248" t="s">
        <v>2226</v>
      </c>
      <c r="O248" t="s">
        <v>2238</v>
      </c>
      <c r="P248" t="s">
        <v>2556</v>
      </c>
      <c r="R248" t="s">
        <v>2569</v>
      </c>
      <c r="S248" t="s">
        <v>2225</v>
      </c>
      <c r="U248" t="s">
        <v>2578</v>
      </c>
      <c r="V248" t="s">
        <v>2588</v>
      </c>
      <c r="W248" t="s">
        <v>247</v>
      </c>
      <c r="X248">
        <v>354</v>
      </c>
      <c r="Y248" t="s">
        <v>2607</v>
      </c>
      <c r="Z248" t="s">
        <v>2609</v>
      </c>
      <c r="AB248" t="s">
        <v>2857</v>
      </c>
      <c r="AD248" t="s">
        <v>3640</v>
      </c>
      <c r="AE248">
        <v>24</v>
      </c>
      <c r="AF248" t="s">
        <v>2518</v>
      </c>
      <c r="AG248" t="s">
        <v>2255</v>
      </c>
      <c r="AH248">
        <v>33</v>
      </c>
      <c r="AI248">
        <v>1</v>
      </c>
      <c r="AJ248">
        <v>0</v>
      </c>
      <c r="AK248">
        <v>73.79000000000001</v>
      </c>
      <c r="AN248" t="s">
        <v>4127</v>
      </c>
      <c r="AO248">
        <v>9216</v>
      </c>
      <c r="AU248">
        <v>1</v>
      </c>
      <c r="AV248" t="s">
        <v>289</v>
      </c>
      <c r="AW248" t="s">
        <v>4237</v>
      </c>
      <c r="AX248" t="s">
        <v>4266</v>
      </c>
      <c r="AY248" t="s">
        <v>2224</v>
      </c>
      <c r="AZ248" t="s">
        <v>2224</v>
      </c>
    </row>
    <row r="249" spans="1:52">
      <c r="A249" s="1">
        <f>HYPERLINK("https://lsnyc.legalserver.org/matter/dynamic-profile/view/1907382","19-1907382")</f>
        <v>0</v>
      </c>
      <c r="B249" t="s">
        <v>109</v>
      </c>
      <c r="C249" t="s">
        <v>155</v>
      </c>
      <c r="D249" t="s">
        <v>176</v>
      </c>
      <c r="F249" t="s">
        <v>494</v>
      </c>
      <c r="G249" t="s">
        <v>1033</v>
      </c>
      <c r="H249" t="s">
        <v>1598</v>
      </c>
      <c r="I249" t="s">
        <v>2051</v>
      </c>
      <c r="J249" t="s">
        <v>2194</v>
      </c>
      <c r="K249">
        <v>10457</v>
      </c>
      <c r="L249" t="s">
        <v>2224</v>
      </c>
      <c r="M249" t="s">
        <v>2226</v>
      </c>
      <c r="N249" t="s">
        <v>2244</v>
      </c>
      <c r="O249" t="s">
        <v>2550</v>
      </c>
      <c r="P249" t="s">
        <v>2557</v>
      </c>
      <c r="R249" t="s">
        <v>2569</v>
      </c>
      <c r="S249" t="s">
        <v>2225</v>
      </c>
      <c r="U249" t="s">
        <v>2583</v>
      </c>
      <c r="W249" t="s">
        <v>2594</v>
      </c>
      <c r="X249">
        <v>816</v>
      </c>
      <c r="Y249" t="s">
        <v>2605</v>
      </c>
      <c r="Z249" t="s">
        <v>2613</v>
      </c>
      <c r="AB249" t="s">
        <v>2858</v>
      </c>
      <c r="AD249" t="s">
        <v>3641</v>
      </c>
      <c r="AE249">
        <v>47</v>
      </c>
      <c r="AF249" t="s">
        <v>4099</v>
      </c>
      <c r="AG249" t="s">
        <v>4112</v>
      </c>
      <c r="AH249">
        <v>10</v>
      </c>
      <c r="AI249">
        <v>1</v>
      </c>
      <c r="AJ249">
        <v>0</v>
      </c>
      <c r="AK249">
        <v>73.98</v>
      </c>
      <c r="AN249" t="s">
        <v>4126</v>
      </c>
      <c r="AO249">
        <v>9240</v>
      </c>
      <c r="AU249">
        <v>2.6</v>
      </c>
      <c r="AV249" t="s">
        <v>199</v>
      </c>
      <c r="AW249" t="s">
        <v>4248</v>
      </c>
      <c r="AX249" t="s">
        <v>4266</v>
      </c>
      <c r="AY249" t="s">
        <v>2224</v>
      </c>
      <c r="AZ249" t="s">
        <v>2224</v>
      </c>
    </row>
    <row r="250" spans="1:52">
      <c r="A250" s="1">
        <f>HYPERLINK("https://lsnyc.legalserver.org/matter/dynamic-profile/view/1913309","19-1913309")</f>
        <v>0</v>
      </c>
      <c r="B250" t="s">
        <v>88</v>
      </c>
      <c r="C250" t="s">
        <v>155</v>
      </c>
      <c r="D250" t="s">
        <v>218</v>
      </c>
      <c r="F250" t="s">
        <v>495</v>
      </c>
      <c r="G250" t="s">
        <v>1034</v>
      </c>
      <c r="H250" t="s">
        <v>1504</v>
      </c>
      <c r="I250">
        <v>612</v>
      </c>
      <c r="J250" t="s">
        <v>2196</v>
      </c>
      <c r="K250">
        <v>10029</v>
      </c>
      <c r="L250" t="s">
        <v>2224</v>
      </c>
      <c r="M250" t="s">
        <v>2226</v>
      </c>
      <c r="O250" t="s">
        <v>2534</v>
      </c>
      <c r="P250" t="s">
        <v>2559</v>
      </c>
      <c r="R250" t="s">
        <v>2569</v>
      </c>
      <c r="S250" t="s">
        <v>2224</v>
      </c>
      <c r="U250" t="s">
        <v>2578</v>
      </c>
      <c r="V250" t="s">
        <v>2588</v>
      </c>
      <c r="W250" t="s">
        <v>272</v>
      </c>
      <c r="X250">
        <v>0</v>
      </c>
      <c r="Y250" t="s">
        <v>2607</v>
      </c>
      <c r="Z250" t="s">
        <v>2609</v>
      </c>
      <c r="AB250" t="s">
        <v>2859</v>
      </c>
      <c r="AD250" t="s">
        <v>3642</v>
      </c>
      <c r="AE250">
        <v>108</v>
      </c>
      <c r="AF250" t="s">
        <v>4104</v>
      </c>
      <c r="AG250" t="s">
        <v>4112</v>
      </c>
      <c r="AH250">
        <v>23</v>
      </c>
      <c r="AI250">
        <v>1</v>
      </c>
      <c r="AJ250">
        <v>0</v>
      </c>
      <c r="AK250">
        <v>73.98</v>
      </c>
      <c r="AN250" t="s">
        <v>4127</v>
      </c>
      <c r="AO250">
        <v>9240</v>
      </c>
      <c r="AU250">
        <v>0</v>
      </c>
      <c r="AW250" t="s">
        <v>4237</v>
      </c>
      <c r="AX250" t="s">
        <v>4266</v>
      </c>
      <c r="AY250" t="s">
        <v>2226</v>
      </c>
      <c r="AZ250" t="s">
        <v>2226</v>
      </c>
    </row>
    <row r="251" spans="1:52">
      <c r="A251" s="1">
        <f>HYPERLINK("https://lsnyc.legalserver.org/matter/dynamic-profile/view/1910703","19-1910703")</f>
        <v>0</v>
      </c>
      <c r="B251" t="s">
        <v>58</v>
      </c>
      <c r="C251" t="s">
        <v>155</v>
      </c>
      <c r="D251" t="s">
        <v>200</v>
      </c>
      <c r="F251" t="s">
        <v>443</v>
      </c>
      <c r="G251" t="s">
        <v>1035</v>
      </c>
      <c r="H251" t="s">
        <v>1599</v>
      </c>
      <c r="I251" t="s">
        <v>2052</v>
      </c>
      <c r="J251" t="s">
        <v>2211</v>
      </c>
      <c r="K251">
        <v>11238</v>
      </c>
      <c r="L251" t="s">
        <v>2224</v>
      </c>
      <c r="M251" t="s">
        <v>2226</v>
      </c>
      <c r="N251" t="s">
        <v>2337</v>
      </c>
      <c r="O251" t="s">
        <v>2535</v>
      </c>
      <c r="P251" t="s">
        <v>2558</v>
      </c>
      <c r="R251" t="s">
        <v>2569</v>
      </c>
      <c r="S251" t="s">
        <v>2224</v>
      </c>
      <c r="U251" t="s">
        <v>2578</v>
      </c>
      <c r="V251" t="s">
        <v>2588</v>
      </c>
      <c r="W251" t="s">
        <v>229</v>
      </c>
      <c r="X251">
        <v>654.33</v>
      </c>
      <c r="Y251" t="s">
        <v>2604</v>
      </c>
      <c r="Z251" t="s">
        <v>2613</v>
      </c>
      <c r="AB251" t="s">
        <v>2860</v>
      </c>
      <c r="AD251" t="s">
        <v>3643</v>
      </c>
      <c r="AE251">
        <v>29</v>
      </c>
      <c r="AF251" t="s">
        <v>4099</v>
      </c>
      <c r="AH251">
        <v>44</v>
      </c>
      <c r="AI251">
        <v>1</v>
      </c>
      <c r="AJ251">
        <v>0</v>
      </c>
      <c r="AK251">
        <v>74.08</v>
      </c>
      <c r="AN251" t="s">
        <v>4126</v>
      </c>
      <c r="AO251">
        <v>9252</v>
      </c>
      <c r="AQ251" t="s">
        <v>4177</v>
      </c>
      <c r="AU251">
        <v>13</v>
      </c>
      <c r="AV251" t="s">
        <v>168</v>
      </c>
      <c r="AW251" t="s">
        <v>124</v>
      </c>
      <c r="AX251" t="s">
        <v>4266</v>
      </c>
      <c r="AY251" t="s">
        <v>2224</v>
      </c>
      <c r="AZ251" t="s">
        <v>2224</v>
      </c>
    </row>
    <row r="252" spans="1:52">
      <c r="A252" s="1">
        <f>HYPERLINK("https://lsnyc.legalserver.org/matter/dynamic-profile/view/1912736","19-1912736")</f>
        <v>0</v>
      </c>
      <c r="B252" t="s">
        <v>67</v>
      </c>
      <c r="C252" t="s">
        <v>155</v>
      </c>
      <c r="D252" t="s">
        <v>230</v>
      </c>
      <c r="F252" t="s">
        <v>389</v>
      </c>
      <c r="G252" t="s">
        <v>1036</v>
      </c>
      <c r="H252" t="s">
        <v>1600</v>
      </c>
      <c r="I252">
        <v>4</v>
      </c>
      <c r="J252" t="s">
        <v>2192</v>
      </c>
      <c r="K252">
        <v>11231</v>
      </c>
      <c r="L252" t="s">
        <v>2224</v>
      </c>
      <c r="M252" t="s">
        <v>2226</v>
      </c>
      <c r="O252" t="s">
        <v>2533</v>
      </c>
      <c r="P252" t="s">
        <v>2558</v>
      </c>
      <c r="R252" t="s">
        <v>2569</v>
      </c>
      <c r="S252" t="s">
        <v>2225</v>
      </c>
      <c r="U252" t="s">
        <v>2578</v>
      </c>
      <c r="W252" t="s">
        <v>202</v>
      </c>
      <c r="X252">
        <v>670</v>
      </c>
      <c r="Y252" t="s">
        <v>2604</v>
      </c>
      <c r="Z252" t="s">
        <v>2611</v>
      </c>
      <c r="AB252" t="s">
        <v>2861</v>
      </c>
      <c r="AD252" t="s">
        <v>3644</v>
      </c>
      <c r="AE252">
        <v>12</v>
      </c>
      <c r="AH252">
        <v>12</v>
      </c>
      <c r="AI252">
        <v>1</v>
      </c>
      <c r="AJ252">
        <v>0</v>
      </c>
      <c r="AK252">
        <v>74.08</v>
      </c>
      <c r="AN252" t="s">
        <v>4126</v>
      </c>
      <c r="AO252">
        <v>9252</v>
      </c>
      <c r="AU252">
        <v>4.2</v>
      </c>
      <c r="AV252" t="s">
        <v>218</v>
      </c>
      <c r="AW252" t="s">
        <v>153</v>
      </c>
      <c r="AX252" t="s">
        <v>4266</v>
      </c>
      <c r="AY252" t="s">
        <v>2224</v>
      </c>
      <c r="AZ252" t="s">
        <v>2224</v>
      </c>
    </row>
    <row r="253" spans="1:52">
      <c r="A253" s="1">
        <f>HYPERLINK("https://lsnyc.legalserver.org/matter/dynamic-profile/view/1908100","19-1908100")</f>
        <v>0</v>
      </c>
      <c r="B253" t="s">
        <v>64</v>
      </c>
      <c r="C253" t="s">
        <v>155</v>
      </c>
      <c r="D253" t="s">
        <v>206</v>
      </c>
      <c r="F253" t="s">
        <v>496</v>
      </c>
      <c r="G253" t="s">
        <v>1037</v>
      </c>
      <c r="H253" t="s">
        <v>1601</v>
      </c>
      <c r="I253" t="s">
        <v>2053</v>
      </c>
      <c r="J253" t="s">
        <v>2192</v>
      </c>
      <c r="K253">
        <v>11212</v>
      </c>
      <c r="L253" t="s">
        <v>2224</v>
      </c>
      <c r="M253" t="s">
        <v>2226</v>
      </c>
      <c r="N253" t="s">
        <v>2338</v>
      </c>
      <c r="O253" t="s">
        <v>2535</v>
      </c>
      <c r="P253" t="s">
        <v>2558</v>
      </c>
      <c r="R253" t="s">
        <v>2569</v>
      </c>
      <c r="S253" t="s">
        <v>2225</v>
      </c>
      <c r="U253" t="s">
        <v>2578</v>
      </c>
      <c r="V253" t="s">
        <v>2588</v>
      </c>
      <c r="W253" t="s">
        <v>189</v>
      </c>
      <c r="X253">
        <v>1027</v>
      </c>
      <c r="Y253" t="s">
        <v>2604</v>
      </c>
      <c r="Z253" t="s">
        <v>2618</v>
      </c>
      <c r="AB253" t="s">
        <v>2862</v>
      </c>
      <c r="AC253" t="s">
        <v>2513</v>
      </c>
      <c r="AD253" t="s">
        <v>3645</v>
      </c>
      <c r="AE253">
        <v>260</v>
      </c>
      <c r="AF253" t="s">
        <v>4104</v>
      </c>
      <c r="AG253" t="s">
        <v>4114</v>
      </c>
      <c r="AH253">
        <v>17</v>
      </c>
      <c r="AI253">
        <v>1</v>
      </c>
      <c r="AJ253">
        <v>0</v>
      </c>
      <c r="AK253">
        <v>74.08</v>
      </c>
      <c r="AN253" t="s">
        <v>4126</v>
      </c>
      <c r="AO253">
        <v>9252</v>
      </c>
      <c r="AU253">
        <v>5.5</v>
      </c>
      <c r="AV253" t="s">
        <v>200</v>
      </c>
      <c r="AW253" t="s">
        <v>4227</v>
      </c>
      <c r="AX253" t="s">
        <v>4266</v>
      </c>
      <c r="AY253" t="s">
        <v>2224</v>
      </c>
      <c r="AZ253" t="s">
        <v>2224</v>
      </c>
    </row>
    <row r="254" spans="1:52">
      <c r="A254" s="1">
        <f>HYPERLINK("https://lsnyc.legalserver.org/matter/dynamic-profile/view/1907458","19-1907458")</f>
        <v>0</v>
      </c>
      <c r="B254" t="s">
        <v>62</v>
      </c>
      <c r="C254" t="s">
        <v>154</v>
      </c>
      <c r="D254" t="s">
        <v>162</v>
      </c>
      <c r="E254" t="s">
        <v>183</v>
      </c>
      <c r="F254" t="s">
        <v>497</v>
      </c>
      <c r="G254" t="s">
        <v>1038</v>
      </c>
      <c r="H254" t="s">
        <v>1602</v>
      </c>
      <c r="I254">
        <v>2</v>
      </c>
      <c r="J254" t="s">
        <v>2192</v>
      </c>
      <c r="K254">
        <v>11208</v>
      </c>
      <c r="L254" t="s">
        <v>2225</v>
      </c>
      <c r="M254" t="s">
        <v>2226</v>
      </c>
      <c r="N254" t="s">
        <v>2255</v>
      </c>
      <c r="O254" t="s">
        <v>2238</v>
      </c>
      <c r="P254" t="s">
        <v>2556</v>
      </c>
      <c r="Q254" t="s">
        <v>2563</v>
      </c>
      <c r="R254" t="s">
        <v>2569</v>
      </c>
      <c r="S254" t="s">
        <v>2225</v>
      </c>
      <c r="U254" t="s">
        <v>2578</v>
      </c>
      <c r="W254" t="s">
        <v>162</v>
      </c>
      <c r="X254">
        <v>1442</v>
      </c>
      <c r="Y254" t="s">
        <v>2604</v>
      </c>
      <c r="Z254" t="s">
        <v>2611</v>
      </c>
      <c r="AA254" t="s">
        <v>2626</v>
      </c>
      <c r="AB254" t="s">
        <v>2863</v>
      </c>
      <c r="AD254" t="s">
        <v>3646</v>
      </c>
      <c r="AE254">
        <v>2</v>
      </c>
      <c r="AF254" t="s">
        <v>4098</v>
      </c>
      <c r="AG254" t="s">
        <v>4112</v>
      </c>
      <c r="AH254">
        <v>12</v>
      </c>
      <c r="AI254">
        <v>1</v>
      </c>
      <c r="AJ254">
        <v>0</v>
      </c>
      <c r="AK254">
        <v>74.08</v>
      </c>
      <c r="AN254" t="s">
        <v>4127</v>
      </c>
      <c r="AO254">
        <v>9252</v>
      </c>
      <c r="AU254">
        <v>1.4</v>
      </c>
      <c r="AV254" t="s">
        <v>183</v>
      </c>
      <c r="AW254" t="s">
        <v>4258</v>
      </c>
      <c r="AY254" t="s">
        <v>2226</v>
      </c>
      <c r="AZ254" t="s">
        <v>2225</v>
      </c>
    </row>
    <row r="255" spans="1:52">
      <c r="A255" s="1">
        <f>HYPERLINK("https://lsnyc.legalserver.org/matter/dynamic-profile/view/1907182","19-1907182")</f>
        <v>0</v>
      </c>
      <c r="B255" t="s">
        <v>120</v>
      </c>
      <c r="C255" t="s">
        <v>155</v>
      </c>
      <c r="D255" t="s">
        <v>190</v>
      </c>
      <c r="F255" t="s">
        <v>498</v>
      </c>
      <c r="G255" t="s">
        <v>1039</v>
      </c>
      <c r="H255" t="s">
        <v>1603</v>
      </c>
      <c r="I255" t="s">
        <v>2054</v>
      </c>
      <c r="J255" t="s">
        <v>2195</v>
      </c>
      <c r="K255">
        <v>10301</v>
      </c>
      <c r="L255" t="s">
        <v>2224</v>
      </c>
      <c r="M255" t="s">
        <v>2226</v>
      </c>
      <c r="N255" t="s">
        <v>2339</v>
      </c>
      <c r="O255" t="s">
        <v>2535</v>
      </c>
      <c r="P255" t="s">
        <v>2558</v>
      </c>
      <c r="R255" t="s">
        <v>2569</v>
      </c>
      <c r="S255" t="s">
        <v>2225</v>
      </c>
      <c r="U255" t="s">
        <v>2583</v>
      </c>
      <c r="V255" t="s">
        <v>2588</v>
      </c>
      <c r="W255" t="s">
        <v>190</v>
      </c>
      <c r="X255">
        <v>215</v>
      </c>
      <c r="Y255" t="s">
        <v>2606</v>
      </c>
      <c r="Z255" t="s">
        <v>2621</v>
      </c>
      <c r="AB255" t="s">
        <v>2864</v>
      </c>
      <c r="AD255" t="s">
        <v>3647</v>
      </c>
      <c r="AE255">
        <v>454</v>
      </c>
      <c r="AF255" t="s">
        <v>4103</v>
      </c>
      <c r="AG255" t="s">
        <v>4112</v>
      </c>
      <c r="AH255">
        <v>37</v>
      </c>
      <c r="AI255">
        <v>1</v>
      </c>
      <c r="AJ255">
        <v>0</v>
      </c>
      <c r="AK255">
        <v>74.08</v>
      </c>
      <c r="AN255" t="s">
        <v>4126</v>
      </c>
      <c r="AO255">
        <v>9252</v>
      </c>
      <c r="AQ255" t="s">
        <v>4173</v>
      </c>
      <c r="AU255">
        <v>9.85</v>
      </c>
      <c r="AV255" t="s">
        <v>241</v>
      </c>
      <c r="AW255" t="s">
        <v>4230</v>
      </c>
      <c r="AX255" t="s">
        <v>4266</v>
      </c>
      <c r="AY255" t="s">
        <v>2224</v>
      </c>
      <c r="AZ255" t="s">
        <v>2224</v>
      </c>
    </row>
    <row r="256" spans="1:52">
      <c r="A256" s="1">
        <f>HYPERLINK("https://lsnyc.legalserver.org/matter/dynamic-profile/view/1911358","19-1911358")</f>
        <v>0</v>
      </c>
      <c r="B256" t="s">
        <v>74</v>
      </c>
      <c r="C256" t="s">
        <v>155</v>
      </c>
      <c r="D256" t="s">
        <v>245</v>
      </c>
      <c r="F256" t="s">
        <v>499</v>
      </c>
      <c r="G256" t="s">
        <v>1040</v>
      </c>
      <c r="H256" t="s">
        <v>1604</v>
      </c>
      <c r="I256" t="s">
        <v>2015</v>
      </c>
      <c r="J256" t="s">
        <v>2196</v>
      </c>
      <c r="K256">
        <v>10040</v>
      </c>
      <c r="L256" t="s">
        <v>2224</v>
      </c>
      <c r="M256" t="s">
        <v>2226</v>
      </c>
      <c r="P256" t="s">
        <v>2559</v>
      </c>
      <c r="R256" t="s">
        <v>2569</v>
      </c>
      <c r="S256" t="s">
        <v>2225</v>
      </c>
      <c r="U256" t="s">
        <v>2578</v>
      </c>
      <c r="W256" t="s">
        <v>245</v>
      </c>
      <c r="X256">
        <v>703</v>
      </c>
      <c r="Y256" t="s">
        <v>2607</v>
      </c>
      <c r="Z256" t="s">
        <v>2617</v>
      </c>
      <c r="AB256" t="s">
        <v>2865</v>
      </c>
      <c r="AD256" t="s">
        <v>3648</v>
      </c>
      <c r="AE256">
        <v>49</v>
      </c>
      <c r="AF256" t="s">
        <v>4099</v>
      </c>
      <c r="AG256" t="s">
        <v>4116</v>
      </c>
      <c r="AH256">
        <v>22</v>
      </c>
      <c r="AI256">
        <v>1</v>
      </c>
      <c r="AJ256">
        <v>0</v>
      </c>
      <c r="AK256">
        <v>74.08</v>
      </c>
      <c r="AN256" t="s">
        <v>4127</v>
      </c>
      <c r="AO256">
        <v>9252</v>
      </c>
      <c r="AU256">
        <v>1.8</v>
      </c>
      <c r="AV256" t="s">
        <v>169</v>
      </c>
      <c r="AW256" t="s">
        <v>80</v>
      </c>
      <c r="AX256" t="s">
        <v>4266</v>
      </c>
      <c r="AY256" t="s">
        <v>2226</v>
      </c>
      <c r="AZ256" t="s">
        <v>2226</v>
      </c>
    </row>
    <row r="257" spans="1:52">
      <c r="A257" s="1">
        <f>HYPERLINK("https://lsnyc.legalserver.org/matter/dynamic-profile/view/1910361","19-1910361")</f>
        <v>0</v>
      </c>
      <c r="B257" t="s">
        <v>121</v>
      </c>
      <c r="C257" t="s">
        <v>155</v>
      </c>
      <c r="D257" t="s">
        <v>178</v>
      </c>
      <c r="F257" t="s">
        <v>415</v>
      </c>
      <c r="G257" t="s">
        <v>869</v>
      </c>
      <c r="H257" t="s">
        <v>1605</v>
      </c>
      <c r="I257" t="s">
        <v>1978</v>
      </c>
      <c r="J257" t="s">
        <v>2212</v>
      </c>
      <c r="K257">
        <v>10002</v>
      </c>
      <c r="L257" t="s">
        <v>2224</v>
      </c>
      <c r="M257" t="s">
        <v>2226</v>
      </c>
      <c r="O257" t="s">
        <v>2238</v>
      </c>
      <c r="P257" t="s">
        <v>2559</v>
      </c>
      <c r="R257" t="s">
        <v>2569</v>
      </c>
      <c r="S257" t="s">
        <v>2225</v>
      </c>
      <c r="U257" t="s">
        <v>2578</v>
      </c>
      <c r="W257" t="s">
        <v>178</v>
      </c>
      <c r="X257">
        <v>250</v>
      </c>
      <c r="Y257" t="s">
        <v>2607</v>
      </c>
      <c r="Z257" t="s">
        <v>2609</v>
      </c>
      <c r="AB257" t="s">
        <v>2866</v>
      </c>
      <c r="AD257" t="s">
        <v>3649</v>
      </c>
      <c r="AE257">
        <v>200</v>
      </c>
      <c r="AF257" t="s">
        <v>2518</v>
      </c>
      <c r="AG257" t="s">
        <v>4112</v>
      </c>
      <c r="AH257">
        <v>41</v>
      </c>
      <c r="AI257">
        <v>1</v>
      </c>
      <c r="AJ257">
        <v>0</v>
      </c>
      <c r="AK257">
        <v>74.08</v>
      </c>
      <c r="AN257" t="s">
        <v>4126</v>
      </c>
      <c r="AO257">
        <v>9252</v>
      </c>
      <c r="AU257">
        <v>0</v>
      </c>
      <c r="AW257" t="s">
        <v>4238</v>
      </c>
      <c r="AX257" t="s">
        <v>4266</v>
      </c>
      <c r="AY257" t="s">
        <v>2226</v>
      </c>
      <c r="AZ257" t="s">
        <v>2226</v>
      </c>
    </row>
    <row r="258" spans="1:52">
      <c r="A258" s="1">
        <f>HYPERLINK("https://lsnyc.legalserver.org/matter/dynamic-profile/view/1911030","19-1911030")</f>
        <v>0</v>
      </c>
      <c r="B258" t="s">
        <v>73</v>
      </c>
      <c r="C258" t="s">
        <v>155</v>
      </c>
      <c r="D258" t="s">
        <v>179</v>
      </c>
      <c r="F258" t="s">
        <v>500</v>
      </c>
      <c r="G258" t="s">
        <v>1041</v>
      </c>
      <c r="H258" t="s">
        <v>1606</v>
      </c>
      <c r="I258" t="s">
        <v>1955</v>
      </c>
      <c r="J258" t="s">
        <v>2195</v>
      </c>
      <c r="K258">
        <v>10304</v>
      </c>
      <c r="L258" t="s">
        <v>2226</v>
      </c>
      <c r="M258" t="s">
        <v>2226</v>
      </c>
      <c r="N258" t="s">
        <v>2340</v>
      </c>
      <c r="O258" t="s">
        <v>2535</v>
      </c>
      <c r="R258" t="s">
        <v>2569</v>
      </c>
      <c r="S258" t="s">
        <v>2225</v>
      </c>
      <c r="U258" t="s">
        <v>2578</v>
      </c>
      <c r="V258" t="s">
        <v>2588</v>
      </c>
      <c r="W258" t="s">
        <v>179</v>
      </c>
      <c r="X258">
        <v>661</v>
      </c>
      <c r="Y258" t="s">
        <v>2606</v>
      </c>
      <c r="Z258" t="s">
        <v>2624</v>
      </c>
      <c r="AB258" t="s">
        <v>2867</v>
      </c>
      <c r="AD258" t="s">
        <v>3650</v>
      </c>
      <c r="AE258">
        <v>403</v>
      </c>
      <c r="AF258" t="s">
        <v>4104</v>
      </c>
      <c r="AG258" t="s">
        <v>2255</v>
      </c>
      <c r="AH258">
        <v>1</v>
      </c>
      <c r="AI258">
        <v>2</v>
      </c>
      <c r="AJ258">
        <v>1</v>
      </c>
      <c r="AK258">
        <v>74.26000000000001</v>
      </c>
      <c r="AN258" t="s">
        <v>4126</v>
      </c>
      <c r="AO258">
        <v>15840</v>
      </c>
      <c r="AU258">
        <v>3.65</v>
      </c>
      <c r="AV258" t="s">
        <v>188</v>
      </c>
      <c r="AW258" t="s">
        <v>4230</v>
      </c>
      <c r="AY258" t="s">
        <v>2226</v>
      </c>
      <c r="AZ258" t="s">
        <v>2226</v>
      </c>
    </row>
    <row r="259" spans="1:52">
      <c r="A259" s="1">
        <f>HYPERLINK("https://lsnyc.legalserver.org/matter/dynamic-profile/view/1908436","19-1908436")</f>
        <v>0</v>
      </c>
      <c r="B259" t="s">
        <v>105</v>
      </c>
      <c r="C259" t="s">
        <v>155</v>
      </c>
      <c r="D259" t="s">
        <v>194</v>
      </c>
      <c r="F259" t="s">
        <v>501</v>
      </c>
      <c r="G259" t="s">
        <v>966</v>
      </c>
      <c r="H259" t="s">
        <v>1607</v>
      </c>
      <c r="I259" t="s">
        <v>1990</v>
      </c>
      <c r="J259" t="s">
        <v>2195</v>
      </c>
      <c r="K259">
        <v>10304</v>
      </c>
      <c r="L259" t="s">
        <v>2224</v>
      </c>
      <c r="M259" t="s">
        <v>2226</v>
      </c>
      <c r="N259" t="s">
        <v>2341</v>
      </c>
      <c r="O259" t="s">
        <v>2535</v>
      </c>
      <c r="P259" t="s">
        <v>2558</v>
      </c>
      <c r="R259" t="s">
        <v>2569</v>
      </c>
      <c r="S259" t="s">
        <v>2225</v>
      </c>
      <c r="U259" t="s">
        <v>2578</v>
      </c>
      <c r="V259" t="s">
        <v>2588</v>
      </c>
      <c r="W259" t="s">
        <v>167</v>
      </c>
      <c r="X259">
        <v>169</v>
      </c>
      <c r="Y259" t="s">
        <v>2606</v>
      </c>
      <c r="Z259" t="s">
        <v>2618</v>
      </c>
      <c r="AB259" t="s">
        <v>2868</v>
      </c>
      <c r="AD259" t="s">
        <v>3651</v>
      </c>
      <c r="AE259">
        <v>305</v>
      </c>
      <c r="AF259" t="s">
        <v>4104</v>
      </c>
      <c r="AG259" t="s">
        <v>4112</v>
      </c>
      <c r="AH259">
        <v>18</v>
      </c>
      <c r="AI259">
        <v>1</v>
      </c>
      <c r="AJ259">
        <v>0</v>
      </c>
      <c r="AK259">
        <v>74.27</v>
      </c>
      <c r="AN259" t="s">
        <v>4126</v>
      </c>
      <c r="AO259">
        <v>9276</v>
      </c>
      <c r="AQ259" t="s">
        <v>4176</v>
      </c>
      <c r="AR259" t="s">
        <v>4185</v>
      </c>
      <c r="AS259" t="s">
        <v>4188</v>
      </c>
      <c r="AT259" t="s">
        <v>4207</v>
      </c>
      <c r="AU259">
        <v>20.75</v>
      </c>
      <c r="AV259" t="s">
        <v>188</v>
      </c>
      <c r="AW259" t="s">
        <v>4230</v>
      </c>
      <c r="AX259" t="s">
        <v>4266</v>
      </c>
      <c r="AY259" t="s">
        <v>2224</v>
      </c>
      <c r="AZ259" t="s">
        <v>2224</v>
      </c>
    </row>
    <row r="260" spans="1:52">
      <c r="A260" s="1">
        <f>HYPERLINK("https://lsnyc.legalserver.org/matter/dynamic-profile/view/1906584","19-1906584")</f>
        <v>0</v>
      </c>
      <c r="B260" t="s">
        <v>122</v>
      </c>
      <c r="C260" t="s">
        <v>154</v>
      </c>
      <c r="D260" t="s">
        <v>195</v>
      </c>
      <c r="E260" t="s">
        <v>204</v>
      </c>
      <c r="F260" t="s">
        <v>492</v>
      </c>
      <c r="G260" t="s">
        <v>845</v>
      </c>
      <c r="H260" t="s">
        <v>1608</v>
      </c>
      <c r="I260" t="s">
        <v>2055</v>
      </c>
      <c r="J260" t="s">
        <v>2194</v>
      </c>
      <c r="K260">
        <v>10452</v>
      </c>
      <c r="L260" t="s">
        <v>2224</v>
      </c>
      <c r="M260" t="s">
        <v>2226</v>
      </c>
      <c r="O260" t="s">
        <v>2238</v>
      </c>
      <c r="P260" t="s">
        <v>2556</v>
      </c>
      <c r="Q260" t="s">
        <v>2563</v>
      </c>
      <c r="R260" t="s">
        <v>2569</v>
      </c>
      <c r="S260" t="s">
        <v>2225</v>
      </c>
      <c r="U260" t="s">
        <v>2578</v>
      </c>
      <c r="W260" t="s">
        <v>214</v>
      </c>
      <c r="X260">
        <v>640</v>
      </c>
      <c r="Y260" t="s">
        <v>2605</v>
      </c>
      <c r="Z260" t="s">
        <v>2613</v>
      </c>
      <c r="AA260" t="s">
        <v>2626</v>
      </c>
      <c r="AB260" t="s">
        <v>2869</v>
      </c>
      <c r="AD260" t="s">
        <v>3652</v>
      </c>
      <c r="AE260">
        <v>52</v>
      </c>
      <c r="AF260" t="s">
        <v>4099</v>
      </c>
      <c r="AG260" t="s">
        <v>4112</v>
      </c>
      <c r="AH260">
        <v>6</v>
      </c>
      <c r="AI260">
        <v>1</v>
      </c>
      <c r="AJ260">
        <v>0</v>
      </c>
      <c r="AK260">
        <v>74.36</v>
      </c>
      <c r="AN260" t="s">
        <v>4126</v>
      </c>
      <c r="AO260">
        <v>9288</v>
      </c>
      <c r="AU260">
        <v>2</v>
      </c>
      <c r="AV260" t="s">
        <v>162</v>
      </c>
      <c r="AW260" t="s">
        <v>4243</v>
      </c>
      <c r="AX260" t="s">
        <v>4266</v>
      </c>
      <c r="AY260" t="s">
        <v>2224</v>
      </c>
      <c r="AZ260" t="s">
        <v>2224</v>
      </c>
    </row>
    <row r="261" spans="1:52">
      <c r="A261" s="1">
        <f>HYPERLINK("https://lsnyc.legalserver.org/matter/dynamic-profile/view/1906244","19-1906244")</f>
        <v>0</v>
      </c>
      <c r="B261" t="s">
        <v>65</v>
      </c>
      <c r="C261" t="s">
        <v>154</v>
      </c>
      <c r="D261" t="s">
        <v>164</v>
      </c>
      <c r="E261" t="s">
        <v>161</v>
      </c>
      <c r="F261" t="s">
        <v>502</v>
      </c>
      <c r="G261" t="s">
        <v>1042</v>
      </c>
      <c r="H261" t="s">
        <v>1609</v>
      </c>
      <c r="I261" t="s">
        <v>1965</v>
      </c>
      <c r="J261" t="s">
        <v>2192</v>
      </c>
      <c r="K261">
        <v>11233</v>
      </c>
      <c r="L261" t="s">
        <v>2224</v>
      </c>
      <c r="M261" t="s">
        <v>2226</v>
      </c>
      <c r="N261" t="s">
        <v>2237</v>
      </c>
      <c r="O261" t="s">
        <v>2238</v>
      </c>
      <c r="P261" t="s">
        <v>2561</v>
      </c>
      <c r="Q261" t="s">
        <v>2566</v>
      </c>
      <c r="R261" t="s">
        <v>2569</v>
      </c>
      <c r="S261" t="s">
        <v>2225</v>
      </c>
      <c r="U261" t="s">
        <v>2578</v>
      </c>
      <c r="W261" t="s">
        <v>164</v>
      </c>
      <c r="X261">
        <v>259</v>
      </c>
      <c r="Y261" t="s">
        <v>2604</v>
      </c>
      <c r="Z261" t="s">
        <v>2613</v>
      </c>
      <c r="AA261" t="s">
        <v>2629</v>
      </c>
      <c r="AB261" t="s">
        <v>2870</v>
      </c>
      <c r="AE261">
        <v>6</v>
      </c>
      <c r="AF261" t="s">
        <v>4099</v>
      </c>
      <c r="AH261">
        <v>9</v>
      </c>
      <c r="AI261">
        <v>1</v>
      </c>
      <c r="AJ261">
        <v>0</v>
      </c>
      <c r="AK261">
        <v>74.45999999999999</v>
      </c>
      <c r="AN261" t="s">
        <v>4126</v>
      </c>
      <c r="AO261">
        <v>9300</v>
      </c>
      <c r="AU261">
        <v>0.4</v>
      </c>
      <c r="AV261" t="s">
        <v>187</v>
      </c>
      <c r="AW261" t="s">
        <v>4251</v>
      </c>
      <c r="AX261" t="s">
        <v>4266</v>
      </c>
      <c r="AY261" t="s">
        <v>2224</v>
      </c>
      <c r="AZ261" t="s">
        <v>2224</v>
      </c>
    </row>
    <row r="262" spans="1:52">
      <c r="A262" s="1">
        <f>HYPERLINK("https://lsnyc.legalserver.org/matter/dynamic-profile/view/1910624","19-1910624")</f>
        <v>0</v>
      </c>
      <c r="B262" t="s">
        <v>66</v>
      </c>
      <c r="C262" t="s">
        <v>155</v>
      </c>
      <c r="D262" t="s">
        <v>156</v>
      </c>
      <c r="F262" t="s">
        <v>503</v>
      </c>
      <c r="G262" t="s">
        <v>1043</v>
      </c>
      <c r="H262" t="s">
        <v>1421</v>
      </c>
      <c r="I262" t="s">
        <v>2045</v>
      </c>
      <c r="J262" t="s">
        <v>2192</v>
      </c>
      <c r="K262">
        <v>11226</v>
      </c>
      <c r="L262" t="s">
        <v>2224</v>
      </c>
      <c r="M262" t="s">
        <v>2226</v>
      </c>
      <c r="O262" t="s">
        <v>2534</v>
      </c>
      <c r="P262" t="s">
        <v>2558</v>
      </c>
      <c r="R262" t="s">
        <v>2569</v>
      </c>
      <c r="S262" t="s">
        <v>2224</v>
      </c>
      <c r="U262" t="s">
        <v>2578</v>
      </c>
      <c r="V262" t="s">
        <v>2588</v>
      </c>
      <c r="W262" t="s">
        <v>289</v>
      </c>
      <c r="X262">
        <v>582.34</v>
      </c>
      <c r="Y262" t="s">
        <v>2604</v>
      </c>
      <c r="Z262" t="s">
        <v>2614</v>
      </c>
      <c r="AB262" t="s">
        <v>2871</v>
      </c>
      <c r="AE262">
        <v>16</v>
      </c>
      <c r="AF262" t="s">
        <v>4099</v>
      </c>
      <c r="AH262">
        <v>29</v>
      </c>
      <c r="AI262">
        <v>2</v>
      </c>
      <c r="AJ262">
        <v>0</v>
      </c>
      <c r="AK262">
        <v>74.51000000000001</v>
      </c>
      <c r="AN262" t="s">
        <v>4126</v>
      </c>
      <c r="AO262">
        <v>12600</v>
      </c>
      <c r="AU262">
        <v>0.2</v>
      </c>
      <c r="AV262" t="s">
        <v>156</v>
      </c>
      <c r="AW262" t="s">
        <v>124</v>
      </c>
      <c r="AY262" t="s">
        <v>2224</v>
      </c>
      <c r="AZ262" t="s">
        <v>2224</v>
      </c>
    </row>
    <row r="263" spans="1:52">
      <c r="A263" s="1">
        <f>HYPERLINK("https://lsnyc.legalserver.org/matter/dynamic-profile/view/1911773","19-1911773")</f>
        <v>0</v>
      </c>
      <c r="B263" t="s">
        <v>66</v>
      </c>
      <c r="C263" t="s">
        <v>155</v>
      </c>
      <c r="D263" t="s">
        <v>174</v>
      </c>
      <c r="F263" t="s">
        <v>503</v>
      </c>
      <c r="G263" t="s">
        <v>1043</v>
      </c>
      <c r="H263" t="s">
        <v>1421</v>
      </c>
      <c r="I263" t="s">
        <v>2045</v>
      </c>
      <c r="J263" t="s">
        <v>2192</v>
      </c>
      <c r="K263">
        <v>11226</v>
      </c>
      <c r="L263" t="s">
        <v>2225</v>
      </c>
      <c r="M263" t="s">
        <v>2226</v>
      </c>
      <c r="P263" t="s">
        <v>2558</v>
      </c>
      <c r="R263" t="s">
        <v>2569</v>
      </c>
      <c r="U263" t="s">
        <v>2578</v>
      </c>
      <c r="W263" t="s">
        <v>245</v>
      </c>
      <c r="X263">
        <v>0</v>
      </c>
      <c r="Y263" t="s">
        <v>2604</v>
      </c>
      <c r="AB263" t="s">
        <v>2871</v>
      </c>
      <c r="AE263">
        <v>16</v>
      </c>
      <c r="AH263">
        <v>0</v>
      </c>
      <c r="AI263">
        <v>2</v>
      </c>
      <c r="AJ263">
        <v>0</v>
      </c>
      <c r="AK263">
        <v>74.51000000000001</v>
      </c>
      <c r="AN263" t="s">
        <v>4126</v>
      </c>
      <c r="AO263">
        <v>12600</v>
      </c>
      <c r="AU263">
        <v>0</v>
      </c>
      <c r="AW263" t="s">
        <v>153</v>
      </c>
      <c r="AY263" t="s">
        <v>2226</v>
      </c>
      <c r="AZ263" t="s">
        <v>2226</v>
      </c>
    </row>
    <row r="264" spans="1:52">
      <c r="A264" s="1">
        <f>HYPERLINK("https://lsnyc.legalserver.org/matter/dynamic-profile/view/1905954","19-1905954")</f>
        <v>0</v>
      </c>
      <c r="B264" t="s">
        <v>98</v>
      </c>
      <c r="C264" t="s">
        <v>155</v>
      </c>
      <c r="D264" t="s">
        <v>223</v>
      </c>
      <c r="F264" t="s">
        <v>504</v>
      </c>
      <c r="G264" t="s">
        <v>1044</v>
      </c>
      <c r="H264" t="s">
        <v>1610</v>
      </c>
      <c r="I264">
        <v>22</v>
      </c>
      <c r="J264" t="s">
        <v>2196</v>
      </c>
      <c r="K264">
        <v>10033</v>
      </c>
      <c r="L264" t="s">
        <v>2224</v>
      </c>
      <c r="M264" t="s">
        <v>2226</v>
      </c>
      <c r="O264" t="s">
        <v>2536</v>
      </c>
      <c r="P264" t="s">
        <v>2556</v>
      </c>
      <c r="R264" t="s">
        <v>2569</v>
      </c>
      <c r="S264" t="s">
        <v>2225</v>
      </c>
      <c r="U264" t="s">
        <v>2578</v>
      </c>
      <c r="W264" t="s">
        <v>223</v>
      </c>
      <c r="X264">
        <v>1296.98</v>
      </c>
      <c r="Y264" t="s">
        <v>2607</v>
      </c>
      <c r="Z264" t="s">
        <v>2615</v>
      </c>
      <c r="AA264" t="s">
        <v>2626</v>
      </c>
      <c r="AB264" t="s">
        <v>2872</v>
      </c>
      <c r="AD264" t="s">
        <v>3653</v>
      </c>
      <c r="AE264">
        <v>41</v>
      </c>
      <c r="AF264" t="s">
        <v>4099</v>
      </c>
      <c r="AG264" t="s">
        <v>2255</v>
      </c>
      <c r="AH264">
        <v>26</v>
      </c>
      <c r="AI264">
        <v>1</v>
      </c>
      <c r="AJ264">
        <v>0</v>
      </c>
      <c r="AK264">
        <v>74.72</v>
      </c>
      <c r="AN264" t="s">
        <v>4127</v>
      </c>
      <c r="AO264">
        <v>9332.440000000001</v>
      </c>
      <c r="AU264">
        <v>5.7</v>
      </c>
      <c r="AV264" t="s">
        <v>188</v>
      </c>
      <c r="AW264" t="s">
        <v>80</v>
      </c>
      <c r="AX264" t="s">
        <v>4266</v>
      </c>
      <c r="AY264" t="s">
        <v>2226</v>
      </c>
      <c r="AZ264" t="s">
        <v>2225</v>
      </c>
    </row>
    <row r="265" spans="1:52">
      <c r="A265" s="1">
        <f>HYPERLINK("https://lsnyc.legalserver.org/matter/dynamic-profile/view/1906273","19-1906273")</f>
        <v>0</v>
      </c>
      <c r="B265" t="s">
        <v>115</v>
      </c>
      <c r="C265" t="s">
        <v>154</v>
      </c>
      <c r="D265" t="s">
        <v>220</v>
      </c>
      <c r="E265" t="s">
        <v>212</v>
      </c>
      <c r="F265" t="s">
        <v>505</v>
      </c>
      <c r="G265" t="s">
        <v>1045</v>
      </c>
      <c r="H265" t="s">
        <v>1611</v>
      </c>
      <c r="I265" t="s">
        <v>2056</v>
      </c>
      <c r="J265" t="s">
        <v>2192</v>
      </c>
      <c r="K265">
        <v>11233</v>
      </c>
      <c r="L265" t="s">
        <v>2224</v>
      </c>
      <c r="M265" t="s">
        <v>2226</v>
      </c>
      <c r="N265" t="s">
        <v>2342</v>
      </c>
      <c r="O265" t="s">
        <v>2533</v>
      </c>
      <c r="P265" t="s">
        <v>2558</v>
      </c>
      <c r="Q265" t="s">
        <v>2564</v>
      </c>
      <c r="R265" t="s">
        <v>2569</v>
      </c>
      <c r="S265" t="s">
        <v>2225</v>
      </c>
      <c r="U265" t="s">
        <v>2578</v>
      </c>
      <c r="V265" t="s">
        <v>2588</v>
      </c>
      <c r="W265" t="s">
        <v>164</v>
      </c>
      <c r="X265">
        <v>2300</v>
      </c>
      <c r="Y265" t="s">
        <v>2604</v>
      </c>
      <c r="Z265" t="s">
        <v>2611</v>
      </c>
      <c r="AA265" t="s">
        <v>2628</v>
      </c>
      <c r="AB265" t="s">
        <v>2873</v>
      </c>
      <c r="AD265" t="s">
        <v>3654</v>
      </c>
      <c r="AE265">
        <v>3</v>
      </c>
      <c r="AF265" t="s">
        <v>4098</v>
      </c>
      <c r="AG265" t="s">
        <v>4119</v>
      </c>
      <c r="AH265">
        <v>4</v>
      </c>
      <c r="AI265">
        <v>3</v>
      </c>
      <c r="AJ265">
        <v>3</v>
      </c>
      <c r="AK265">
        <v>75.17</v>
      </c>
      <c r="AN265" t="s">
        <v>4126</v>
      </c>
      <c r="AO265">
        <v>26000</v>
      </c>
      <c r="AU265">
        <v>2.3</v>
      </c>
      <c r="AV265" t="s">
        <v>184</v>
      </c>
      <c r="AW265" t="s">
        <v>127</v>
      </c>
      <c r="AX265" t="s">
        <v>4266</v>
      </c>
      <c r="AY265" t="s">
        <v>2224</v>
      </c>
      <c r="AZ265" t="s">
        <v>2224</v>
      </c>
    </row>
    <row r="266" spans="1:52">
      <c r="A266" s="1">
        <f>HYPERLINK("https://lsnyc.legalserver.org/matter/dynamic-profile/view/1909226","19-1909226")</f>
        <v>0</v>
      </c>
      <c r="B266" t="s">
        <v>101</v>
      </c>
      <c r="C266" t="s">
        <v>155</v>
      </c>
      <c r="D266" t="s">
        <v>186</v>
      </c>
      <c r="F266" t="s">
        <v>505</v>
      </c>
      <c r="G266" t="s">
        <v>1045</v>
      </c>
      <c r="H266" t="s">
        <v>1611</v>
      </c>
      <c r="I266" t="s">
        <v>2056</v>
      </c>
      <c r="J266" t="s">
        <v>2192</v>
      </c>
      <c r="K266">
        <v>11233</v>
      </c>
      <c r="L266" t="s">
        <v>2224</v>
      </c>
      <c r="M266" t="s">
        <v>2226</v>
      </c>
      <c r="N266" t="s">
        <v>2343</v>
      </c>
      <c r="O266" t="s">
        <v>2535</v>
      </c>
      <c r="P266" t="s">
        <v>2558</v>
      </c>
      <c r="R266" t="s">
        <v>2569</v>
      </c>
      <c r="S266" t="s">
        <v>2225</v>
      </c>
      <c r="U266" t="s">
        <v>2578</v>
      </c>
      <c r="V266" t="s">
        <v>2588</v>
      </c>
      <c r="W266" t="s">
        <v>164</v>
      </c>
      <c r="X266">
        <v>2300</v>
      </c>
      <c r="Y266" t="s">
        <v>2604</v>
      </c>
      <c r="Z266" t="s">
        <v>2613</v>
      </c>
      <c r="AB266" t="s">
        <v>2873</v>
      </c>
      <c r="AC266" t="s">
        <v>2255</v>
      </c>
      <c r="AD266" t="s">
        <v>3654</v>
      </c>
      <c r="AE266">
        <v>3</v>
      </c>
      <c r="AF266" t="s">
        <v>4099</v>
      </c>
      <c r="AG266" t="s">
        <v>4119</v>
      </c>
      <c r="AH266">
        <v>4</v>
      </c>
      <c r="AI266">
        <v>3</v>
      </c>
      <c r="AJ266">
        <v>3</v>
      </c>
      <c r="AK266">
        <v>75.17</v>
      </c>
      <c r="AN266" t="s">
        <v>4126</v>
      </c>
      <c r="AO266">
        <v>26000</v>
      </c>
      <c r="AU266">
        <v>0.4</v>
      </c>
      <c r="AV266" t="s">
        <v>200</v>
      </c>
      <c r="AW266" t="s">
        <v>4226</v>
      </c>
      <c r="AX266" t="s">
        <v>4266</v>
      </c>
      <c r="AY266" t="s">
        <v>2226</v>
      </c>
      <c r="AZ266" t="s">
        <v>2226</v>
      </c>
    </row>
    <row r="267" spans="1:52">
      <c r="A267" s="1">
        <f>HYPERLINK("https://lsnyc.legalserver.org/matter/dynamic-profile/view/1912969","19-1912969")</f>
        <v>0</v>
      </c>
      <c r="B267" t="s">
        <v>74</v>
      </c>
      <c r="C267" t="s">
        <v>155</v>
      </c>
      <c r="D267" t="s">
        <v>168</v>
      </c>
      <c r="F267" t="s">
        <v>341</v>
      </c>
      <c r="G267" t="s">
        <v>987</v>
      </c>
      <c r="H267" t="s">
        <v>1612</v>
      </c>
      <c r="I267" t="s">
        <v>2040</v>
      </c>
      <c r="J267" t="s">
        <v>2196</v>
      </c>
      <c r="K267">
        <v>10032</v>
      </c>
      <c r="L267" t="s">
        <v>2224</v>
      </c>
      <c r="M267" t="s">
        <v>2226</v>
      </c>
      <c r="P267" t="s">
        <v>2559</v>
      </c>
      <c r="R267" t="s">
        <v>2569</v>
      </c>
      <c r="S267" t="s">
        <v>2225</v>
      </c>
      <c r="U267" t="s">
        <v>2578</v>
      </c>
      <c r="W267" t="s">
        <v>168</v>
      </c>
      <c r="X267">
        <v>2400</v>
      </c>
      <c r="Y267" t="s">
        <v>2607</v>
      </c>
      <c r="Z267" t="s">
        <v>2609</v>
      </c>
      <c r="AB267" t="s">
        <v>2874</v>
      </c>
      <c r="AE267">
        <v>0</v>
      </c>
      <c r="AF267" t="s">
        <v>4099</v>
      </c>
      <c r="AG267" t="s">
        <v>2255</v>
      </c>
      <c r="AH267">
        <v>9</v>
      </c>
      <c r="AI267">
        <v>2</v>
      </c>
      <c r="AJ267">
        <v>4</v>
      </c>
      <c r="AK267">
        <v>75.17</v>
      </c>
      <c r="AN267" t="s">
        <v>4127</v>
      </c>
      <c r="AO267">
        <v>26000</v>
      </c>
      <c r="AU267">
        <v>3</v>
      </c>
      <c r="AV267" t="s">
        <v>241</v>
      </c>
      <c r="AW267" t="s">
        <v>80</v>
      </c>
      <c r="AX267" t="s">
        <v>4266</v>
      </c>
      <c r="AY267" t="s">
        <v>2226</v>
      </c>
      <c r="AZ267" t="s">
        <v>2226</v>
      </c>
    </row>
    <row r="268" spans="1:52">
      <c r="A268" s="1">
        <f>HYPERLINK("https://lsnyc.legalserver.org/matter/dynamic-profile/view/1910156","19-1910156")</f>
        <v>0</v>
      </c>
      <c r="B268" t="s">
        <v>93</v>
      </c>
      <c r="C268" t="s">
        <v>155</v>
      </c>
      <c r="D268" t="s">
        <v>232</v>
      </c>
      <c r="F268" t="s">
        <v>506</v>
      </c>
      <c r="G268" t="s">
        <v>1046</v>
      </c>
      <c r="H268" t="s">
        <v>1613</v>
      </c>
      <c r="J268" t="s">
        <v>2213</v>
      </c>
      <c r="K268">
        <v>11357</v>
      </c>
      <c r="L268" t="s">
        <v>2224</v>
      </c>
      <c r="M268" t="s">
        <v>2226</v>
      </c>
      <c r="N268" t="s">
        <v>2344</v>
      </c>
      <c r="O268" t="s">
        <v>2533</v>
      </c>
      <c r="P268" t="s">
        <v>2558</v>
      </c>
      <c r="R268" t="s">
        <v>2570</v>
      </c>
      <c r="S268" t="s">
        <v>2225</v>
      </c>
      <c r="U268" t="s">
        <v>2578</v>
      </c>
      <c r="V268" t="s">
        <v>2592</v>
      </c>
      <c r="W268" t="s">
        <v>232</v>
      </c>
      <c r="X268">
        <v>0.01</v>
      </c>
      <c r="Y268" t="s">
        <v>2603</v>
      </c>
      <c r="Z268" t="s">
        <v>2610</v>
      </c>
      <c r="AB268" t="s">
        <v>2875</v>
      </c>
      <c r="AD268" t="s">
        <v>3655</v>
      </c>
      <c r="AE268">
        <v>2</v>
      </c>
      <c r="AF268" t="s">
        <v>4098</v>
      </c>
      <c r="AG268" t="s">
        <v>2255</v>
      </c>
      <c r="AH268">
        <v>4</v>
      </c>
      <c r="AI268">
        <v>1</v>
      </c>
      <c r="AJ268">
        <v>0</v>
      </c>
      <c r="AK268">
        <v>75.8</v>
      </c>
      <c r="AL268" t="s">
        <v>4121</v>
      </c>
      <c r="AM268" t="s">
        <v>4123</v>
      </c>
      <c r="AN268" t="s">
        <v>4126</v>
      </c>
      <c r="AO268">
        <v>9468</v>
      </c>
      <c r="AU268">
        <v>10.45</v>
      </c>
      <c r="AV268" t="s">
        <v>230</v>
      </c>
      <c r="AW268" t="s">
        <v>93</v>
      </c>
      <c r="AX268" t="s">
        <v>4266</v>
      </c>
      <c r="AY268" t="s">
        <v>2224</v>
      </c>
      <c r="AZ268" t="s">
        <v>2224</v>
      </c>
    </row>
    <row r="269" spans="1:52">
      <c r="A269" s="1">
        <f>HYPERLINK("https://lsnyc.legalserver.org/matter/dynamic-profile/view/1907769","19-1907769")</f>
        <v>0</v>
      </c>
      <c r="B269" t="s">
        <v>81</v>
      </c>
      <c r="C269" t="s">
        <v>155</v>
      </c>
      <c r="D269" t="s">
        <v>183</v>
      </c>
      <c r="F269" t="s">
        <v>507</v>
      </c>
      <c r="G269" t="s">
        <v>922</v>
      </c>
      <c r="H269" t="s">
        <v>1450</v>
      </c>
      <c r="I269" t="s">
        <v>1972</v>
      </c>
      <c r="J269" t="s">
        <v>2192</v>
      </c>
      <c r="K269">
        <v>11212</v>
      </c>
      <c r="L269" t="s">
        <v>2224</v>
      </c>
      <c r="M269" t="s">
        <v>2226</v>
      </c>
      <c r="N269" t="s">
        <v>2255</v>
      </c>
      <c r="O269" t="s">
        <v>2539</v>
      </c>
      <c r="P269" t="s">
        <v>2561</v>
      </c>
      <c r="R269" t="s">
        <v>2569</v>
      </c>
      <c r="S269" t="s">
        <v>2224</v>
      </c>
      <c r="U269" t="s">
        <v>2578</v>
      </c>
      <c r="V269" t="s">
        <v>2588</v>
      </c>
      <c r="W269" t="s">
        <v>181</v>
      </c>
      <c r="X269">
        <v>257</v>
      </c>
      <c r="Y269" t="s">
        <v>2604</v>
      </c>
      <c r="Z269" t="s">
        <v>2614</v>
      </c>
      <c r="AB269" t="s">
        <v>2876</v>
      </c>
      <c r="AD269" t="s">
        <v>3656</v>
      </c>
      <c r="AE269">
        <v>96</v>
      </c>
      <c r="AF269" t="s">
        <v>4099</v>
      </c>
      <c r="AG269" t="s">
        <v>2611</v>
      </c>
      <c r="AH269">
        <v>6</v>
      </c>
      <c r="AI269">
        <v>1</v>
      </c>
      <c r="AJ269">
        <v>0</v>
      </c>
      <c r="AK269">
        <v>76</v>
      </c>
      <c r="AN269" t="s">
        <v>4126</v>
      </c>
      <c r="AO269">
        <v>9492</v>
      </c>
      <c r="AU269">
        <v>0.08</v>
      </c>
      <c r="AV269" t="s">
        <v>272</v>
      </c>
      <c r="AW269" t="s">
        <v>127</v>
      </c>
      <c r="AX269" t="s">
        <v>4266</v>
      </c>
      <c r="AY269" t="s">
        <v>2224</v>
      </c>
      <c r="AZ269" t="s">
        <v>2224</v>
      </c>
    </row>
    <row r="270" spans="1:52">
      <c r="A270" s="1">
        <f>HYPERLINK("https://lsnyc.legalserver.org/matter/dynamic-profile/view/1910748","19-1910748")</f>
        <v>0</v>
      </c>
      <c r="B270" t="s">
        <v>85</v>
      </c>
      <c r="C270" t="s">
        <v>155</v>
      </c>
      <c r="D270" t="s">
        <v>200</v>
      </c>
      <c r="F270" t="s">
        <v>508</v>
      </c>
      <c r="G270" t="s">
        <v>1047</v>
      </c>
      <c r="H270" t="s">
        <v>1614</v>
      </c>
      <c r="J270" t="s">
        <v>2192</v>
      </c>
      <c r="K270">
        <v>11208</v>
      </c>
      <c r="L270" t="s">
        <v>2224</v>
      </c>
      <c r="M270" t="s">
        <v>2226</v>
      </c>
      <c r="N270" t="s">
        <v>2345</v>
      </c>
      <c r="O270" t="s">
        <v>2535</v>
      </c>
      <c r="P270" t="s">
        <v>2559</v>
      </c>
      <c r="R270" t="s">
        <v>2569</v>
      </c>
      <c r="S270" t="s">
        <v>2225</v>
      </c>
      <c r="U270" t="s">
        <v>2578</v>
      </c>
      <c r="V270" t="s">
        <v>2588</v>
      </c>
      <c r="W270" t="s">
        <v>200</v>
      </c>
      <c r="X270">
        <v>1057</v>
      </c>
      <c r="Y270" t="s">
        <v>2604</v>
      </c>
      <c r="AB270" t="s">
        <v>2877</v>
      </c>
      <c r="AC270" t="s">
        <v>3413</v>
      </c>
      <c r="AD270" t="s">
        <v>3657</v>
      </c>
      <c r="AE270">
        <v>300</v>
      </c>
      <c r="AF270" t="s">
        <v>4108</v>
      </c>
      <c r="AG270" t="s">
        <v>4118</v>
      </c>
      <c r="AH270">
        <v>2</v>
      </c>
      <c r="AI270">
        <v>1</v>
      </c>
      <c r="AJ270">
        <v>0</v>
      </c>
      <c r="AK270">
        <v>76</v>
      </c>
      <c r="AN270" t="s">
        <v>4126</v>
      </c>
      <c r="AO270">
        <v>9492</v>
      </c>
      <c r="AU270">
        <v>2.25</v>
      </c>
      <c r="AV270" t="s">
        <v>225</v>
      </c>
      <c r="AW270" t="s">
        <v>4227</v>
      </c>
      <c r="AX270" t="s">
        <v>4266</v>
      </c>
      <c r="AY270" t="s">
        <v>2224</v>
      </c>
      <c r="AZ270" t="s">
        <v>2224</v>
      </c>
    </row>
    <row r="271" spans="1:52">
      <c r="A271" s="1">
        <f>HYPERLINK("https://lsnyc.legalserver.org/matter/dynamic-profile/view/1912175","19-1912175")</f>
        <v>0</v>
      </c>
      <c r="B271" t="s">
        <v>62</v>
      </c>
      <c r="C271" t="s">
        <v>155</v>
      </c>
      <c r="D271" t="s">
        <v>199</v>
      </c>
      <c r="F271" t="s">
        <v>508</v>
      </c>
      <c r="G271" t="s">
        <v>1047</v>
      </c>
      <c r="H271" t="s">
        <v>1615</v>
      </c>
      <c r="J271" t="s">
        <v>2192</v>
      </c>
      <c r="K271">
        <v>11208</v>
      </c>
      <c r="L271" t="s">
        <v>2224</v>
      </c>
      <c r="M271" t="s">
        <v>2226</v>
      </c>
      <c r="N271" t="s">
        <v>2345</v>
      </c>
      <c r="O271" t="s">
        <v>2545</v>
      </c>
      <c r="R271" t="s">
        <v>2569</v>
      </c>
      <c r="S271" t="s">
        <v>2225</v>
      </c>
      <c r="U271" t="s">
        <v>2579</v>
      </c>
      <c r="W271" t="s">
        <v>225</v>
      </c>
      <c r="X271">
        <v>1057</v>
      </c>
      <c r="Y271" t="s">
        <v>2604</v>
      </c>
      <c r="Z271" t="s">
        <v>2611</v>
      </c>
      <c r="AB271" t="s">
        <v>2877</v>
      </c>
      <c r="AD271" t="s">
        <v>3657</v>
      </c>
      <c r="AE271">
        <v>300</v>
      </c>
      <c r="AF271" t="s">
        <v>4099</v>
      </c>
      <c r="AG271" t="s">
        <v>4118</v>
      </c>
      <c r="AH271">
        <v>2</v>
      </c>
      <c r="AI271">
        <v>1</v>
      </c>
      <c r="AJ271">
        <v>0</v>
      </c>
      <c r="AK271">
        <v>76</v>
      </c>
      <c r="AN271" t="s">
        <v>4126</v>
      </c>
      <c r="AO271">
        <v>9492</v>
      </c>
      <c r="AP271" t="s">
        <v>4151</v>
      </c>
      <c r="AU271">
        <v>2</v>
      </c>
      <c r="AV271" t="s">
        <v>202</v>
      </c>
      <c r="AW271" t="s">
        <v>127</v>
      </c>
      <c r="AX271" t="s">
        <v>4266</v>
      </c>
      <c r="AY271" t="s">
        <v>2224</v>
      </c>
      <c r="AZ271" t="s">
        <v>2224</v>
      </c>
    </row>
    <row r="272" spans="1:52">
      <c r="A272" s="1">
        <f>HYPERLINK("https://lsnyc.legalserver.org/matter/dynamic-profile/view/1905947","19-1905947")</f>
        <v>0</v>
      </c>
      <c r="B272" t="s">
        <v>123</v>
      </c>
      <c r="C272" t="s">
        <v>155</v>
      </c>
      <c r="D272" t="s">
        <v>223</v>
      </c>
      <c r="F272" t="s">
        <v>509</v>
      </c>
      <c r="G272" t="s">
        <v>1048</v>
      </c>
      <c r="H272" t="s">
        <v>1616</v>
      </c>
      <c r="I272" t="s">
        <v>2057</v>
      </c>
      <c r="J272" t="s">
        <v>2196</v>
      </c>
      <c r="K272">
        <v>10032</v>
      </c>
      <c r="L272" t="s">
        <v>2224</v>
      </c>
      <c r="M272" t="s">
        <v>2226</v>
      </c>
      <c r="N272" t="s">
        <v>2346</v>
      </c>
      <c r="O272" t="s">
        <v>2533</v>
      </c>
      <c r="P272" t="s">
        <v>2559</v>
      </c>
      <c r="R272" t="s">
        <v>2569</v>
      </c>
      <c r="S272" t="s">
        <v>2225</v>
      </c>
      <c r="U272" t="s">
        <v>2578</v>
      </c>
      <c r="W272" t="s">
        <v>223</v>
      </c>
      <c r="X272">
        <v>711</v>
      </c>
      <c r="Y272" t="s">
        <v>2607</v>
      </c>
      <c r="Z272" t="s">
        <v>2608</v>
      </c>
      <c r="AB272" t="s">
        <v>2878</v>
      </c>
      <c r="AC272" t="s">
        <v>3414</v>
      </c>
      <c r="AD272" t="s">
        <v>3658</v>
      </c>
      <c r="AE272">
        <v>22</v>
      </c>
      <c r="AF272" t="s">
        <v>4099</v>
      </c>
      <c r="AG272" t="s">
        <v>2255</v>
      </c>
      <c r="AH272">
        <v>30</v>
      </c>
      <c r="AI272">
        <v>1</v>
      </c>
      <c r="AJ272">
        <v>0</v>
      </c>
      <c r="AK272">
        <v>76</v>
      </c>
      <c r="AN272" t="s">
        <v>4127</v>
      </c>
      <c r="AO272">
        <v>9492</v>
      </c>
      <c r="AU272">
        <v>1.3</v>
      </c>
      <c r="AV272" t="s">
        <v>199</v>
      </c>
      <c r="AW272" t="s">
        <v>4238</v>
      </c>
      <c r="AX272" t="s">
        <v>4267</v>
      </c>
      <c r="AY272" t="s">
        <v>2226</v>
      </c>
      <c r="AZ272" t="s">
        <v>2226</v>
      </c>
    </row>
    <row r="273" spans="1:52">
      <c r="A273" s="1">
        <f>HYPERLINK("https://lsnyc.legalserver.org/matter/dynamic-profile/view/1907767","19-1907767")</f>
        <v>0</v>
      </c>
      <c r="B273" t="s">
        <v>81</v>
      </c>
      <c r="C273" t="s">
        <v>155</v>
      </c>
      <c r="D273" t="s">
        <v>183</v>
      </c>
      <c r="F273" t="s">
        <v>438</v>
      </c>
      <c r="G273" t="s">
        <v>1049</v>
      </c>
      <c r="H273" t="s">
        <v>1450</v>
      </c>
      <c r="I273" t="s">
        <v>2058</v>
      </c>
      <c r="J273" t="s">
        <v>2192</v>
      </c>
      <c r="K273">
        <v>11212</v>
      </c>
      <c r="L273" t="s">
        <v>2224</v>
      </c>
      <c r="M273" t="s">
        <v>2226</v>
      </c>
      <c r="N273" t="s">
        <v>2255</v>
      </c>
      <c r="O273" t="s">
        <v>2539</v>
      </c>
      <c r="P273" t="s">
        <v>2561</v>
      </c>
      <c r="R273" t="s">
        <v>2569</v>
      </c>
      <c r="S273" t="s">
        <v>2224</v>
      </c>
      <c r="U273" t="s">
        <v>2578</v>
      </c>
      <c r="W273" t="s">
        <v>195</v>
      </c>
      <c r="X273">
        <v>165</v>
      </c>
      <c r="Y273" t="s">
        <v>2604</v>
      </c>
      <c r="Z273" t="s">
        <v>2614</v>
      </c>
      <c r="AB273" t="s">
        <v>2879</v>
      </c>
      <c r="AD273" t="s">
        <v>3659</v>
      </c>
      <c r="AE273">
        <v>96</v>
      </c>
      <c r="AF273" t="s">
        <v>4099</v>
      </c>
      <c r="AG273" t="s">
        <v>2611</v>
      </c>
      <c r="AH273">
        <v>6</v>
      </c>
      <c r="AI273">
        <v>1</v>
      </c>
      <c r="AJ273">
        <v>0</v>
      </c>
      <c r="AK273">
        <v>76.29000000000001</v>
      </c>
      <c r="AN273" t="s">
        <v>4126</v>
      </c>
      <c r="AO273">
        <v>9528</v>
      </c>
      <c r="AU273">
        <v>0</v>
      </c>
      <c r="AW273" t="s">
        <v>127</v>
      </c>
      <c r="AX273" t="s">
        <v>4266</v>
      </c>
      <c r="AY273" t="s">
        <v>2224</v>
      </c>
      <c r="AZ273" t="s">
        <v>2224</v>
      </c>
    </row>
    <row r="274" spans="1:52">
      <c r="A274" s="1">
        <f>HYPERLINK("https://lsnyc.legalserver.org/matter/dynamic-profile/view/1908389","19-1908389")</f>
        <v>0</v>
      </c>
      <c r="B274" t="s">
        <v>64</v>
      </c>
      <c r="C274" t="s">
        <v>155</v>
      </c>
      <c r="D274" t="s">
        <v>234</v>
      </c>
      <c r="F274" t="s">
        <v>510</v>
      </c>
      <c r="G274" t="s">
        <v>1050</v>
      </c>
      <c r="H274" t="s">
        <v>1617</v>
      </c>
      <c r="I274" t="s">
        <v>2059</v>
      </c>
      <c r="J274" t="s">
        <v>2192</v>
      </c>
      <c r="K274">
        <v>11239</v>
      </c>
      <c r="L274" t="s">
        <v>2224</v>
      </c>
      <c r="M274" t="s">
        <v>2226</v>
      </c>
      <c r="N274" t="s">
        <v>2347</v>
      </c>
      <c r="O274" t="s">
        <v>2533</v>
      </c>
      <c r="P274" t="s">
        <v>2558</v>
      </c>
      <c r="R274" t="s">
        <v>2569</v>
      </c>
      <c r="S274" t="s">
        <v>2225</v>
      </c>
      <c r="U274" t="s">
        <v>2578</v>
      </c>
      <c r="V274" t="s">
        <v>2588</v>
      </c>
      <c r="W274" t="s">
        <v>157</v>
      </c>
      <c r="X274">
        <v>2050</v>
      </c>
      <c r="Y274" t="s">
        <v>2604</v>
      </c>
      <c r="Z274" t="s">
        <v>2618</v>
      </c>
      <c r="AB274" t="s">
        <v>2880</v>
      </c>
      <c r="AC274" t="s">
        <v>3366</v>
      </c>
      <c r="AE274">
        <v>1164</v>
      </c>
      <c r="AF274" t="s">
        <v>4104</v>
      </c>
      <c r="AG274" t="s">
        <v>4112</v>
      </c>
      <c r="AH274">
        <v>3</v>
      </c>
      <c r="AI274">
        <v>1</v>
      </c>
      <c r="AJ274">
        <v>0</v>
      </c>
      <c r="AK274">
        <v>76.86</v>
      </c>
      <c r="AN274" t="s">
        <v>4126</v>
      </c>
      <c r="AO274">
        <v>9600</v>
      </c>
      <c r="AU274">
        <v>2</v>
      </c>
      <c r="AV274" t="s">
        <v>157</v>
      </c>
      <c r="AW274" t="s">
        <v>4227</v>
      </c>
      <c r="AX274" t="s">
        <v>4266</v>
      </c>
      <c r="AY274" t="s">
        <v>2224</v>
      </c>
      <c r="AZ274" t="s">
        <v>2224</v>
      </c>
    </row>
    <row r="275" spans="1:52">
      <c r="A275" s="1">
        <f>HYPERLINK("https://lsnyc.legalserver.org/matter/dynamic-profile/view/1912882","19-1912882")</f>
        <v>0</v>
      </c>
      <c r="B275" t="s">
        <v>124</v>
      </c>
      <c r="C275" t="s">
        <v>155</v>
      </c>
      <c r="D275" t="s">
        <v>204</v>
      </c>
      <c r="F275" t="s">
        <v>511</v>
      </c>
      <c r="G275" t="s">
        <v>1051</v>
      </c>
      <c r="H275" t="s">
        <v>1618</v>
      </c>
      <c r="I275" t="s">
        <v>2060</v>
      </c>
      <c r="J275" t="s">
        <v>2192</v>
      </c>
      <c r="K275">
        <v>11226</v>
      </c>
      <c r="L275" t="s">
        <v>2224</v>
      </c>
      <c r="M275" t="s">
        <v>2226</v>
      </c>
      <c r="O275" t="s">
        <v>2238</v>
      </c>
      <c r="P275" t="s">
        <v>2557</v>
      </c>
      <c r="R275" t="s">
        <v>2569</v>
      </c>
      <c r="S275" t="s">
        <v>2225</v>
      </c>
      <c r="U275" t="s">
        <v>2578</v>
      </c>
      <c r="W275" t="s">
        <v>204</v>
      </c>
      <c r="X275">
        <v>865</v>
      </c>
      <c r="Y275" t="s">
        <v>2604</v>
      </c>
      <c r="AB275" t="s">
        <v>2881</v>
      </c>
      <c r="AD275" t="s">
        <v>3660</v>
      </c>
      <c r="AE275">
        <v>0</v>
      </c>
      <c r="AH275">
        <v>37</v>
      </c>
      <c r="AI275">
        <v>1</v>
      </c>
      <c r="AJ275">
        <v>0</v>
      </c>
      <c r="AK275">
        <v>76.86</v>
      </c>
      <c r="AN275" t="s">
        <v>4126</v>
      </c>
      <c r="AO275">
        <v>9600</v>
      </c>
      <c r="AU275">
        <v>0</v>
      </c>
      <c r="AW275" t="s">
        <v>153</v>
      </c>
      <c r="AX275" t="s">
        <v>4266</v>
      </c>
      <c r="AY275" t="s">
        <v>2226</v>
      </c>
      <c r="AZ275" t="s">
        <v>2226</v>
      </c>
    </row>
    <row r="276" spans="1:52">
      <c r="A276" s="1">
        <f>HYPERLINK("https://lsnyc.legalserver.org/matter/dynamic-profile/view/1906776","19-1906776")</f>
        <v>0</v>
      </c>
      <c r="B276" t="s">
        <v>124</v>
      </c>
      <c r="C276" t="s">
        <v>154</v>
      </c>
      <c r="D276" t="s">
        <v>187</v>
      </c>
      <c r="E276" t="s">
        <v>185</v>
      </c>
      <c r="F276" t="s">
        <v>512</v>
      </c>
      <c r="G276" t="s">
        <v>1052</v>
      </c>
      <c r="H276" t="s">
        <v>1619</v>
      </c>
      <c r="I276" t="s">
        <v>2061</v>
      </c>
      <c r="J276" t="s">
        <v>2192</v>
      </c>
      <c r="K276">
        <v>11206</v>
      </c>
      <c r="L276" t="s">
        <v>2224</v>
      </c>
      <c r="M276" t="s">
        <v>2226</v>
      </c>
      <c r="O276" t="s">
        <v>2550</v>
      </c>
      <c r="P276" t="s">
        <v>2560</v>
      </c>
      <c r="Q276" t="s">
        <v>2567</v>
      </c>
      <c r="R276" t="s">
        <v>2569</v>
      </c>
      <c r="S276" t="s">
        <v>2225</v>
      </c>
      <c r="U276" t="s">
        <v>2578</v>
      </c>
      <c r="W276" t="s">
        <v>187</v>
      </c>
      <c r="X276">
        <v>0</v>
      </c>
      <c r="Y276" t="s">
        <v>2604</v>
      </c>
      <c r="AA276" t="s">
        <v>2628</v>
      </c>
      <c r="AB276" t="s">
        <v>2882</v>
      </c>
      <c r="AD276" t="s">
        <v>3661</v>
      </c>
      <c r="AE276">
        <v>774</v>
      </c>
      <c r="AH276">
        <v>0</v>
      </c>
      <c r="AI276">
        <v>1</v>
      </c>
      <c r="AJ276">
        <v>0</v>
      </c>
      <c r="AK276">
        <v>76.86</v>
      </c>
      <c r="AN276" t="s">
        <v>4133</v>
      </c>
      <c r="AO276">
        <v>9600</v>
      </c>
      <c r="AS276" t="s">
        <v>4188</v>
      </c>
      <c r="AT276" t="s">
        <v>4208</v>
      </c>
      <c r="AU276">
        <v>7.6</v>
      </c>
      <c r="AV276" t="s">
        <v>190</v>
      </c>
      <c r="AW276" t="s">
        <v>124</v>
      </c>
      <c r="AX276" t="s">
        <v>4266</v>
      </c>
      <c r="AY276" t="s">
        <v>2224</v>
      </c>
      <c r="AZ276" t="s">
        <v>2224</v>
      </c>
    </row>
    <row r="277" spans="1:52">
      <c r="A277" s="1">
        <f>HYPERLINK("https://lsnyc.legalserver.org/matter/dynamic-profile/view/1904896","19-1904896")</f>
        <v>0</v>
      </c>
      <c r="B277" t="s">
        <v>98</v>
      </c>
      <c r="C277" t="s">
        <v>155</v>
      </c>
      <c r="D277" t="s">
        <v>210</v>
      </c>
      <c r="F277" t="s">
        <v>504</v>
      </c>
      <c r="G277" t="s">
        <v>1053</v>
      </c>
      <c r="H277" t="s">
        <v>1620</v>
      </c>
      <c r="I277" t="s">
        <v>2062</v>
      </c>
      <c r="J277" t="s">
        <v>2196</v>
      </c>
      <c r="K277">
        <v>10034</v>
      </c>
      <c r="L277" t="s">
        <v>2224</v>
      </c>
      <c r="M277" t="s">
        <v>2226</v>
      </c>
      <c r="P277" t="s">
        <v>2561</v>
      </c>
      <c r="R277" t="s">
        <v>2569</v>
      </c>
      <c r="S277" t="s">
        <v>2225</v>
      </c>
      <c r="U277" t="s">
        <v>2578</v>
      </c>
      <c r="W277" t="s">
        <v>210</v>
      </c>
      <c r="X277">
        <v>1036.77</v>
      </c>
      <c r="Y277" t="s">
        <v>2607</v>
      </c>
      <c r="Z277" t="s">
        <v>2617</v>
      </c>
      <c r="AB277" t="s">
        <v>2883</v>
      </c>
      <c r="AD277" t="s">
        <v>3662</v>
      </c>
      <c r="AE277">
        <v>65</v>
      </c>
      <c r="AF277" t="s">
        <v>4099</v>
      </c>
      <c r="AG277" t="s">
        <v>2255</v>
      </c>
      <c r="AH277">
        <v>4</v>
      </c>
      <c r="AI277">
        <v>1</v>
      </c>
      <c r="AJ277">
        <v>0</v>
      </c>
      <c r="AK277">
        <v>76.86</v>
      </c>
      <c r="AN277" t="s">
        <v>4126</v>
      </c>
      <c r="AO277">
        <v>9600</v>
      </c>
      <c r="AU277">
        <v>1.9</v>
      </c>
      <c r="AV277" t="s">
        <v>184</v>
      </c>
      <c r="AW277" t="s">
        <v>80</v>
      </c>
      <c r="AX277" t="s">
        <v>4266</v>
      </c>
      <c r="AY277" t="s">
        <v>2224</v>
      </c>
      <c r="AZ277" t="s">
        <v>2224</v>
      </c>
    </row>
    <row r="278" spans="1:52">
      <c r="A278" s="1">
        <f>HYPERLINK("https://lsnyc.legalserver.org/matter/dynamic-profile/view/1912397","19-1912397")</f>
        <v>0</v>
      </c>
      <c r="B278" t="s">
        <v>87</v>
      </c>
      <c r="C278" t="s">
        <v>155</v>
      </c>
      <c r="D278" t="s">
        <v>230</v>
      </c>
      <c r="F278" t="s">
        <v>513</v>
      </c>
      <c r="G278" t="s">
        <v>966</v>
      </c>
      <c r="H278" t="s">
        <v>1621</v>
      </c>
      <c r="I278" t="s">
        <v>1965</v>
      </c>
      <c r="J278" t="s">
        <v>2196</v>
      </c>
      <c r="K278">
        <v>10029</v>
      </c>
      <c r="L278" t="s">
        <v>2224</v>
      </c>
      <c r="M278" t="s">
        <v>2226</v>
      </c>
      <c r="O278" t="s">
        <v>2238</v>
      </c>
      <c r="P278" t="s">
        <v>2556</v>
      </c>
      <c r="R278" t="s">
        <v>2569</v>
      </c>
      <c r="S278" t="s">
        <v>2225</v>
      </c>
      <c r="U278" t="s">
        <v>2578</v>
      </c>
      <c r="V278" t="s">
        <v>2588</v>
      </c>
      <c r="W278" t="s">
        <v>261</v>
      </c>
      <c r="X278">
        <v>259.33</v>
      </c>
      <c r="Y278" t="s">
        <v>2607</v>
      </c>
      <c r="Z278" t="s">
        <v>2609</v>
      </c>
      <c r="AB278" t="s">
        <v>2884</v>
      </c>
      <c r="AC278" t="s">
        <v>3415</v>
      </c>
      <c r="AD278" t="s">
        <v>3663</v>
      </c>
      <c r="AE278">
        <v>18</v>
      </c>
      <c r="AF278" t="s">
        <v>4099</v>
      </c>
      <c r="AG278" t="s">
        <v>2255</v>
      </c>
      <c r="AH278">
        <v>15</v>
      </c>
      <c r="AI278">
        <v>1</v>
      </c>
      <c r="AJ278">
        <v>0</v>
      </c>
      <c r="AK278">
        <v>76.86</v>
      </c>
      <c r="AN278" t="s">
        <v>4127</v>
      </c>
      <c r="AO278">
        <v>9600</v>
      </c>
      <c r="AU278">
        <v>0</v>
      </c>
      <c r="AW278" t="s">
        <v>4237</v>
      </c>
      <c r="AX278" t="s">
        <v>4266</v>
      </c>
      <c r="AY278" t="s">
        <v>2226</v>
      </c>
      <c r="AZ278" t="s">
        <v>2226</v>
      </c>
    </row>
    <row r="279" spans="1:52">
      <c r="A279" s="1">
        <f>HYPERLINK("https://lsnyc.legalserver.org/matter/dynamic-profile/view/1904693","19-1904693")</f>
        <v>0</v>
      </c>
      <c r="B279" t="s">
        <v>78</v>
      </c>
      <c r="C279" t="s">
        <v>155</v>
      </c>
      <c r="D279" t="s">
        <v>192</v>
      </c>
      <c r="F279" t="s">
        <v>505</v>
      </c>
      <c r="G279" t="s">
        <v>1054</v>
      </c>
      <c r="H279" t="s">
        <v>1443</v>
      </c>
      <c r="I279">
        <v>31</v>
      </c>
      <c r="J279" t="s">
        <v>2196</v>
      </c>
      <c r="K279">
        <v>10034</v>
      </c>
      <c r="L279" t="s">
        <v>2224</v>
      </c>
      <c r="M279" t="s">
        <v>2226</v>
      </c>
      <c r="P279" t="s">
        <v>2559</v>
      </c>
      <c r="R279" t="s">
        <v>2569</v>
      </c>
      <c r="S279" t="s">
        <v>2224</v>
      </c>
      <c r="U279" t="s">
        <v>2578</v>
      </c>
      <c r="W279" t="s">
        <v>192</v>
      </c>
      <c r="X279">
        <v>997</v>
      </c>
      <c r="Y279" t="s">
        <v>2607</v>
      </c>
      <c r="Z279" t="s">
        <v>2617</v>
      </c>
      <c r="AB279" t="s">
        <v>2885</v>
      </c>
      <c r="AE279">
        <v>25</v>
      </c>
      <c r="AF279" t="s">
        <v>4099</v>
      </c>
      <c r="AG279" t="s">
        <v>2255</v>
      </c>
      <c r="AH279">
        <v>5</v>
      </c>
      <c r="AI279">
        <v>3</v>
      </c>
      <c r="AJ279">
        <v>2</v>
      </c>
      <c r="AK279">
        <v>77.56</v>
      </c>
      <c r="AN279" t="s">
        <v>4127</v>
      </c>
      <c r="AO279">
        <v>23400</v>
      </c>
      <c r="AU279">
        <v>0</v>
      </c>
      <c r="AW279" t="s">
        <v>80</v>
      </c>
      <c r="AX279" t="s">
        <v>4266</v>
      </c>
      <c r="AY279" t="s">
        <v>2226</v>
      </c>
      <c r="AZ279" t="s">
        <v>2226</v>
      </c>
    </row>
    <row r="280" spans="1:52">
      <c r="A280" s="1">
        <f>HYPERLINK("https://lsnyc.legalserver.org/matter/dynamic-profile/view/1905437","19-1905437")</f>
        <v>0</v>
      </c>
      <c r="B280" t="s">
        <v>104</v>
      </c>
      <c r="C280" t="s">
        <v>155</v>
      </c>
      <c r="D280" t="s">
        <v>207</v>
      </c>
      <c r="F280" t="s">
        <v>415</v>
      </c>
      <c r="G280" t="s">
        <v>1055</v>
      </c>
      <c r="H280" t="s">
        <v>1622</v>
      </c>
      <c r="I280">
        <v>16</v>
      </c>
      <c r="J280" t="s">
        <v>2196</v>
      </c>
      <c r="K280">
        <v>10032</v>
      </c>
      <c r="L280" t="s">
        <v>2224</v>
      </c>
      <c r="M280" t="s">
        <v>2226</v>
      </c>
      <c r="N280" t="s">
        <v>2348</v>
      </c>
      <c r="O280" t="s">
        <v>2537</v>
      </c>
      <c r="P280" t="s">
        <v>2560</v>
      </c>
      <c r="R280" t="s">
        <v>2569</v>
      </c>
      <c r="S280" t="s">
        <v>2225</v>
      </c>
      <c r="U280" t="s">
        <v>2578</v>
      </c>
      <c r="W280" t="s">
        <v>207</v>
      </c>
      <c r="X280">
        <v>1142.3</v>
      </c>
      <c r="Y280" t="s">
        <v>2607</v>
      </c>
      <c r="Z280" t="s">
        <v>2613</v>
      </c>
      <c r="AB280" t="s">
        <v>2886</v>
      </c>
      <c r="AD280" t="s">
        <v>3664</v>
      </c>
      <c r="AE280">
        <v>20</v>
      </c>
      <c r="AF280" t="s">
        <v>4099</v>
      </c>
      <c r="AG280" t="s">
        <v>2255</v>
      </c>
      <c r="AH280">
        <v>25</v>
      </c>
      <c r="AI280">
        <v>3</v>
      </c>
      <c r="AJ280">
        <v>2</v>
      </c>
      <c r="AK280">
        <v>77.56</v>
      </c>
      <c r="AN280" t="s">
        <v>4127</v>
      </c>
      <c r="AO280">
        <v>23400</v>
      </c>
      <c r="AU280">
        <v>0.1</v>
      </c>
      <c r="AV280" t="s">
        <v>207</v>
      </c>
      <c r="AW280" t="s">
        <v>80</v>
      </c>
      <c r="AX280" t="s">
        <v>4266</v>
      </c>
      <c r="AY280" t="s">
        <v>2224</v>
      </c>
      <c r="AZ280" t="s">
        <v>2224</v>
      </c>
    </row>
    <row r="281" spans="1:52">
      <c r="A281" s="1">
        <f>HYPERLINK("https://lsnyc.legalserver.org/matter/dynamic-profile/view/1911832","19-1911832")</f>
        <v>0</v>
      </c>
      <c r="B281" t="s">
        <v>57</v>
      </c>
      <c r="C281" t="s">
        <v>155</v>
      </c>
      <c r="D281" t="s">
        <v>165</v>
      </c>
      <c r="F281" t="s">
        <v>438</v>
      </c>
      <c r="G281" t="s">
        <v>1056</v>
      </c>
      <c r="H281" t="s">
        <v>1623</v>
      </c>
      <c r="I281" t="s">
        <v>2063</v>
      </c>
      <c r="J281" t="s">
        <v>2192</v>
      </c>
      <c r="K281">
        <v>11238</v>
      </c>
      <c r="L281" t="s">
        <v>2224</v>
      </c>
      <c r="M281" t="s">
        <v>2226</v>
      </c>
      <c r="O281" t="s">
        <v>2535</v>
      </c>
      <c r="P281" t="s">
        <v>2558</v>
      </c>
      <c r="R281" t="s">
        <v>2569</v>
      </c>
      <c r="S281" t="s">
        <v>2225</v>
      </c>
      <c r="U281" t="s">
        <v>2578</v>
      </c>
      <c r="W281" t="s">
        <v>165</v>
      </c>
      <c r="X281">
        <v>838.96</v>
      </c>
      <c r="Y281" t="s">
        <v>2604</v>
      </c>
      <c r="AB281" t="s">
        <v>2887</v>
      </c>
      <c r="AD281" t="s">
        <v>3665</v>
      </c>
      <c r="AE281">
        <v>35</v>
      </c>
      <c r="AH281">
        <v>34</v>
      </c>
      <c r="AI281">
        <v>1</v>
      </c>
      <c r="AJ281">
        <v>0</v>
      </c>
      <c r="AK281">
        <v>78.40000000000001</v>
      </c>
      <c r="AN281" t="s">
        <v>4126</v>
      </c>
      <c r="AO281">
        <v>9792</v>
      </c>
      <c r="AU281">
        <v>1</v>
      </c>
      <c r="AV281" t="s">
        <v>263</v>
      </c>
      <c r="AW281" t="s">
        <v>153</v>
      </c>
      <c r="AX281" t="s">
        <v>4266</v>
      </c>
      <c r="AY281" t="s">
        <v>2224</v>
      </c>
      <c r="AZ281" t="s">
        <v>2224</v>
      </c>
    </row>
    <row r="282" spans="1:52">
      <c r="A282" s="1">
        <f>HYPERLINK("https://lsnyc.legalserver.org/matter/dynamic-profile/view/1905779","19-1905779")</f>
        <v>0</v>
      </c>
      <c r="B282" t="s">
        <v>125</v>
      </c>
      <c r="C282" t="s">
        <v>155</v>
      </c>
      <c r="D282" t="s">
        <v>172</v>
      </c>
      <c r="F282" t="s">
        <v>514</v>
      </c>
      <c r="G282" t="s">
        <v>1057</v>
      </c>
      <c r="H282" t="s">
        <v>1624</v>
      </c>
      <c r="I282" t="s">
        <v>2064</v>
      </c>
      <c r="J282" t="s">
        <v>2187</v>
      </c>
      <c r="K282">
        <v>11691</v>
      </c>
      <c r="L282" t="s">
        <v>2224</v>
      </c>
      <c r="M282" t="s">
        <v>2226</v>
      </c>
      <c r="N282" t="s">
        <v>2349</v>
      </c>
      <c r="O282" t="s">
        <v>2533</v>
      </c>
      <c r="P282" t="s">
        <v>2558</v>
      </c>
      <c r="R282" t="s">
        <v>2569</v>
      </c>
      <c r="S282" t="s">
        <v>2225</v>
      </c>
      <c r="U282" t="s">
        <v>2578</v>
      </c>
      <c r="V282" t="s">
        <v>2589</v>
      </c>
      <c r="W282" t="s">
        <v>164</v>
      </c>
      <c r="X282">
        <v>1400</v>
      </c>
      <c r="Y282" t="s">
        <v>2603</v>
      </c>
      <c r="Z282" t="s">
        <v>2612</v>
      </c>
      <c r="AB282" t="s">
        <v>2888</v>
      </c>
      <c r="AD282" t="s">
        <v>3666</v>
      </c>
      <c r="AE282">
        <v>462</v>
      </c>
      <c r="AF282" t="s">
        <v>4101</v>
      </c>
      <c r="AG282" t="s">
        <v>4112</v>
      </c>
      <c r="AH282">
        <v>35</v>
      </c>
      <c r="AI282">
        <v>1</v>
      </c>
      <c r="AJ282">
        <v>0</v>
      </c>
      <c r="AK282">
        <v>78.78</v>
      </c>
      <c r="AN282" t="s">
        <v>4126</v>
      </c>
      <c r="AO282">
        <v>9840</v>
      </c>
      <c r="AU282">
        <v>23.91</v>
      </c>
      <c r="AV282" t="s">
        <v>163</v>
      </c>
      <c r="AW282" t="s">
        <v>93</v>
      </c>
      <c r="AX282" t="s">
        <v>4266</v>
      </c>
      <c r="AY282" t="s">
        <v>2224</v>
      </c>
      <c r="AZ282" t="s">
        <v>2224</v>
      </c>
    </row>
    <row r="283" spans="1:52">
      <c r="A283" s="1">
        <f>HYPERLINK("https://lsnyc.legalserver.org/matter/dynamic-profile/view/1906917","19-1906917")</f>
        <v>0</v>
      </c>
      <c r="B283" t="s">
        <v>70</v>
      </c>
      <c r="C283" t="s">
        <v>154</v>
      </c>
      <c r="D283" t="s">
        <v>181</v>
      </c>
      <c r="E283" t="s">
        <v>247</v>
      </c>
      <c r="F283" t="s">
        <v>362</v>
      </c>
      <c r="G283" t="s">
        <v>1058</v>
      </c>
      <c r="H283" t="s">
        <v>1625</v>
      </c>
      <c r="I283" t="s">
        <v>2065</v>
      </c>
      <c r="J283" t="s">
        <v>2194</v>
      </c>
      <c r="K283">
        <v>10452</v>
      </c>
      <c r="L283" t="s">
        <v>2224</v>
      </c>
      <c r="M283" t="s">
        <v>2226</v>
      </c>
      <c r="O283" t="s">
        <v>2238</v>
      </c>
      <c r="P283" t="s">
        <v>2561</v>
      </c>
      <c r="Q283" t="s">
        <v>2566</v>
      </c>
      <c r="R283" t="s">
        <v>2569</v>
      </c>
      <c r="S283" t="s">
        <v>2225</v>
      </c>
      <c r="U283" t="s">
        <v>2578</v>
      </c>
      <c r="W283" t="s">
        <v>183</v>
      </c>
      <c r="X283">
        <v>422.23</v>
      </c>
      <c r="Y283" t="s">
        <v>2605</v>
      </c>
      <c r="Z283" t="s">
        <v>2614</v>
      </c>
      <c r="AA283" t="s">
        <v>2629</v>
      </c>
      <c r="AB283" t="s">
        <v>2889</v>
      </c>
      <c r="AD283" t="s">
        <v>3667</v>
      </c>
      <c r="AE283">
        <v>60</v>
      </c>
      <c r="AF283" t="s">
        <v>4110</v>
      </c>
      <c r="AG283" t="s">
        <v>4116</v>
      </c>
      <c r="AH283">
        <v>0</v>
      </c>
      <c r="AI283">
        <v>1</v>
      </c>
      <c r="AJ283">
        <v>0</v>
      </c>
      <c r="AK283">
        <v>79.06999999999999</v>
      </c>
      <c r="AN283" t="s">
        <v>4127</v>
      </c>
      <c r="AO283">
        <v>9876</v>
      </c>
      <c r="AU283">
        <v>1.4</v>
      </c>
      <c r="AV283" t="s">
        <v>247</v>
      </c>
      <c r="AW283" t="s">
        <v>70</v>
      </c>
      <c r="AX283" t="s">
        <v>4266</v>
      </c>
      <c r="AY283" t="s">
        <v>2224</v>
      </c>
      <c r="AZ283" t="s">
        <v>2224</v>
      </c>
    </row>
    <row r="284" spans="1:52">
      <c r="A284" s="1">
        <f>HYPERLINK("https://lsnyc.legalserver.org/matter/dynamic-profile/view/1904367","19-1904367")</f>
        <v>0</v>
      </c>
      <c r="B284" t="s">
        <v>86</v>
      </c>
      <c r="C284" t="s">
        <v>155</v>
      </c>
      <c r="D284" t="s">
        <v>228</v>
      </c>
      <c r="F284" t="s">
        <v>515</v>
      </c>
      <c r="G284" t="s">
        <v>1059</v>
      </c>
      <c r="H284" t="s">
        <v>1626</v>
      </c>
      <c r="I284">
        <v>6</v>
      </c>
      <c r="J284" t="s">
        <v>2196</v>
      </c>
      <c r="K284">
        <v>10033</v>
      </c>
      <c r="L284" t="s">
        <v>2224</v>
      </c>
      <c r="M284" t="s">
        <v>2226</v>
      </c>
      <c r="O284" t="s">
        <v>2546</v>
      </c>
      <c r="P284" t="s">
        <v>2558</v>
      </c>
      <c r="R284" t="s">
        <v>2569</v>
      </c>
      <c r="S284" t="s">
        <v>2225</v>
      </c>
      <c r="U284" t="s">
        <v>2578</v>
      </c>
      <c r="W284" t="s">
        <v>228</v>
      </c>
      <c r="X284">
        <v>163</v>
      </c>
      <c r="Y284" t="s">
        <v>2607</v>
      </c>
      <c r="Z284" t="s">
        <v>2613</v>
      </c>
      <c r="AB284" t="s">
        <v>2890</v>
      </c>
      <c r="AD284" t="s">
        <v>3668</v>
      </c>
      <c r="AE284">
        <v>36</v>
      </c>
      <c r="AF284" t="s">
        <v>4099</v>
      </c>
      <c r="AG284" t="s">
        <v>4112</v>
      </c>
      <c r="AH284">
        <v>22</v>
      </c>
      <c r="AI284">
        <v>1</v>
      </c>
      <c r="AJ284">
        <v>0</v>
      </c>
      <c r="AK284">
        <v>79.55</v>
      </c>
      <c r="AN284" t="s">
        <v>4127</v>
      </c>
      <c r="AO284">
        <v>9936</v>
      </c>
      <c r="AU284">
        <v>5.55</v>
      </c>
      <c r="AV284" t="s">
        <v>275</v>
      </c>
      <c r="AW284" t="s">
        <v>80</v>
      </c>
      <c r="AX284" t="s">
        <v>4266</v>
      </c>
      <c r="AY284" t="s">
        <v>2224</v>
      </c>
      <c r="AZ284" t="s">
        <v>2224</v>
      </c>
    </row>
    <row r="285" spans="1:52">
      <c r="A285" s="1">
        <f>HYPERLINK("https://lsnyc.legalserver.org/matter/dynamic-profile/view/1904190","19-1904190")</f>
        <v>0</v>
      </c>
      <c r="B285" t="s">
        <v>88</v>
      </c>
      <c r="C285" t="s">
        <v>155</v>
      </c>
      <c r="D285" t="s">
        <v>175</v>
      </c>
      <c r="F285" t="s">
        <v>516</v>
      </c>
      <c r="G285" t="s">
        <v>1010</v>
      </c>
      <c r="H285" t="s">
        <v>1504</v>
      </c>
      <c r="I285">
        <v>309</v>
      </c>
      <c r="J285" t="s">
        <v>2196</v>
      </c>
      <c r="K285">
        <v>10029</v>
      </c>
      <c r="L285" t="s">
        <v>2224</v>
      </c>
      <c r="M285" t="s">
        <v>2226</v>
      </c>
      <c r="O285" t="s">
        <v>2534</v>
      </c>
      <c r="P285" t="s">
        <v>2559</v>
      </c>
      <c r="R285" t="s">
        <v>2569</v>
      </c>
      <c r="S285" t="s">
        <v>2224</v>
      </c>
      <c r="U285" t="s">
        <v>2578</v>
      </c>
      <c r="V285" t="s">
        <v>2588</v>
      </c>
      <c r="W285" t="s">
        <v>160</v>
      </c>
      <c r="X285">
        <v>274</v>
      </c>
      <c r="Y285" t="s">
        <v>2607</v>
      </c>
      <c r="Z285" t="s">
        <v>2609</v>
      </c>
      <c r="AB285" t="s">
        <v>2891</v>
      </c>
      <c r="AD285" t="s">
        <v>3669</v>
      </c>
      <c r="AE285">
        <v>108</v>
      </c>
      <c r="AF285" t="s">
        <v>4104</v>
      </c>
      <c r="AG285" t="s">
        <v>2255</v>
      </c>
      <c r="AH285">
        <v>29</v>
      </c>
      <c r="AI285">
        <v>2</v>
      </c>
      <c r="AJ285">
        <v>0</v>
      </c>
      <c r="AK285">
        <v>79.91</v>
      </c>
      <c r="AN285" t="s">
        <v>4126</v>
      </c>
      <c r="AO285">
        <v>13512</v>
      </c>
      <c r="AU285">
        <v>0.2</v>
      </c>
      <c r="AV285" t="s">
        <v>179</v>
      </c>
      <c r="AW285" t="s">
        <v>4237</v>
      </c>
      <c r="AX285" t="s">
        <v>4266</v>
      </c>
      <c r="AY285" t="s">
        <v>2226</v>
      </c>
      <c r="AZ285" t="s">
        <v>2226</v>
      </c>
    </row>
    <row r="286" spans="1:52">
      <c r="A286" s="1">
        <f>HYPERLINK("https://lsnyc.legalserver.org/matter/dynamic-profile/view/1910942","19-1910942")</f>
        <v>0</v>
      </c>
      <c r="B286" t="s">
        <v>126</v>
      </c>
      <c r="C286" t="s">
        <v>155</v>
      </c>
      <c r="D286" t="s">
        <v>166</v>
      </c>
      <c r="F286" t="s">
        <v>517</v>
      </c>
      <c r="G286" t="s">
        <v>1060</v>
      </c>
      <c r="H286" t="s">
        <v>1627</v>
      </c>
      <c r="I286" t="s">
        <v>1976</v>
      </c>
      <c r="J286" t="s">
        <v>2196</v>
      </c>
      <c r="K286">
        <v>10034</v>
      </c>
      <c r="L286" t="s">
        <v>2224</v>
      </c>
      <c r="M286" t="s">
        <v>2226</v>
      </c>
      <c r="P286" t="s">
        <v>2559</v>
      </c>
      <c r="R286" t="s">
        <v>2569</v>
      </c>
      <c r="S286" t="s">
        <v>2225</v>
      </c>
      <c r="U286" t="s">
        <v>2578</v>
      </c>
      <c r="W286" t="s">
        <v>166</v>
      </c>
      <c r="X286">
        <v>919.16</v>
      </c>
      <c r="Y286" t="s">
        <v>2607</v>
      </c>
      <c r="Z286" t="s">
        <v>2617</v>
      </c>
      <c r="AB286" t="s">
        <v>2892</v>
      </c>
      <c r="AD286" t="s">
        <v>3670</v>
      </c>
      <c r="AE286">
        <v>74</v>
      </c>
      <c r="AF286" t="s">
        <v>4099</v>
      </c>
      <c r="AG286" t="s">
        <v>2255</v>
      </c>
      <c r="AH286">
        <v>29</v>
      </c>
      <c r="AI286">
        <v>2</v>
      </c>
      <c r="AJ286">
        <v>0</v>
      </c>
      <c r="AK286">
        <v>79.95</v>
      </c>
      <c r="AN286" t="s">
        <v>4126</v>
      </c>
      <c r="AO286">
        <v>13520</v>
      </c>
      <c r="AU286">
        <v>14.8</v>
      </c>
      <c r="AV286" t="s">
        <v>188</v>
      </c>
      <c r="AW286" t="s">
        <v>80</v>
      </c>
      <c r="AX286" t="s">
        <v>4266</v>
      </c>
      <c r="AY286" t="s">
        <v>2226</v>
      </c>
      <c r="AZ286" t="s">
        <v>2226</v>
      </c>
    </row>
    <row r="287" spans="1:52">
      <c r="A287" s="1">
        <f>HYPERLINK("https://lsnyc.legalserver.org/matter/dynamic-profile/view/1907979","19-1907979")</f>
        <v>0</v>
      </c>
      <c r="B287" t="s">
        <v>65</v>
      </c>
      <c r="C287" t="s">
        <v>154</v>
      </c>
      <c r="D287" t="s">
        <v>184</v>
      </c>
      <c r="E287" t="s">
        <v>216</v>
      </c>
      <c r="F287" t="s">
        <v>518</v>
      </c>
      <c r="G287" t="s">
        <v>990</v>
      </c>
      <c r="H287" t="s">
        <v>1628</v>
      </c>
      <c r="I287" t="s">
        <v>2066</v>
      </c>
      <c r="J287" t="s">
        <v>2192</v>
      </c>
      <c r="K287">
        <v>11225</v>
      </c>
      <c r="L287" t="s">
        <v>2224</v>
      </c>
      <c r="M287" t="s">
        <v>2226</v>
      </c>
      <c r="N287" t="s">
        <v>2350</v>
      </c>
      <c r="O287" t="s">
        <v>2533</v>
      </c>
      <c r="P287" t="s">
        <v>2556</v>
      </c>
      <c r="Q287" t="s">
        <v>2563</v>
      </c>
      <c r="R287" t="s">
        <v>2569</v>
      </c>
      <c r="S287" t="s">
        <v>2225</v>
      </c>
      <c r="U287" t="s">
        <v>2578</v>
      </c>
      <c r="V287" t="s">
        <v>2589</v>
      </c>
      <c r="W287" t="s">
        <v>184</v>
      </c>
      <c r="X287">
        <v>800</v>
      </c>
      <c r="Y287" t="s">
        <v>2604</v>
      </c>
      <c r="Z287" t="s">
        <v>2618</v>
      </c>
      <c r="AA287" t="s">
        <v>2626</v>
      </c>
      <c r="AB287" t="s">
        <v>2893</v>
      </c>
      <c r="AC287" t="s">
        <v>2513</v>
      </c>
      <c r="AD287" t="s">
        <v>3671</v>
      </c>
      <c r="AE287">
        <v>3</v>
      </c>
      <c r="AF287" t="s">
        <v>2518</v>
      </c>
      <c r="AG287" t="s">
        <v>2255</v>
      </c>
      <c r="AH287">
        <v>5</v>
      </c>
      <c r="AI287">
        <v>1</v>
      </c>
      <c r="AJ287">
        <v>0</v>
      </c>
      <c r="AK287">
        <v>80.51000000000001</v>
      </c>
      <c r="AN287" t="s">
        <v>4126</v>
      </c>
      <c r="AO287">
        <v>10056</v>
      </c>
      <c r="AU287">
        <v>0.6</v>
      </c>
      <c r="AV287" t="s">
        <v>184</v>
      </c>
      <c r="AW287" t="s">
        <v>4239</v>
      </c>
      <c r="AX287" t="s">
        <v>4266</v>
      </c>
      <c r="AY287" t="s">
        <v>2226</v>
      </c>
      <c r="AZ287" t="s">
        <v>2225</v>
      </c>
    </row>
    <row r="288" spans="1:52">
      <c r="A288" s="1">
        <f>HYPERLINK("https://lsnyc.legalserver.org/matter/dynamic-profile/view/1903507","19-1903507")</f>
        <v>0</v>
      </c>
      <c r="B288" t="s">
        <v>127</v>
      </c>
      <c r="C288" t="s">
        <v>154</v>
      </c>
      <c r="D288" t="s">
        <v>246</v>
      </c>
      <c r="E288" t="s">
        <v>194</v>
      </c>
      <c r="F288" t="s">
        <v>519</v>
      </c>
      <c r="G288" t="s">
        <v>1061</v>
      </c>
      <c r="H288" t="s">
        <v>1629</v>
      </c>
      <c r="I288">
        <v>402</v>
      </c>
      <c r="J288" t="s">
        <v>2192</v>
      </c>
      <c r="K288">
        <v>11212</v>
      </c>
      <c r="L288" t="s">
        <v>2224</v>
      </c>
      <c r="M288" t="s">
        <v>2226</v>
      </c>
      <c r="N288" t="s">
        <v>2238</v>
      </c>
      <c r="O288" t="s">
        <v>2238</v>
      </c>
      <c r="P288" t="s">
        <v>2556</v>
      </c>
      <c r="Q288" t="s">
        <v>2563</v>
      </c>
      <c r="R288" t="s">
        <v>2569</v>
      </c>
      <c r="S288" t="s">
        <v>2225</v>
      </c>
      <c r="U288" t="s">
        <v>2578</v>
      </c>
      <c r="W288" t="s">
        <v>254</v>
      </c>
      <c r="X288">
        <v>336</v>
      </c>
      <c r="Y288" t="s">
        <v>2604</v>
      </c>
      <c r="Z288" t="s">
        <v>2611</v>
      </c>
      <c r="AA288" t="s">
        <v>2626</v>
      </c>
      <c r="AB288" t="s">
        <v>2894</v>
      </c>
      <c r="AD288" t="s">
        <v>3672</v>
      </c>
      <c r="AE288">
        <v>161</v>
      </c>
      <c r="AF288" t="s">
        <v>4103</v>
      </c>
      <c r="AG288" t="s">
        <v>4115</v>
      </c>
      <c r="AH288">
        <v>2</v>
      </c>
      <c r="AI288">
        <v>1</v>
      </c>
      <c r="AJ288">
        <v>0</v>
      </c>
      <c r="AK288">
        <v>80.7</v>
      </c>
      <c r="AN288" t="s">
        <v>4126</v>
      </c>
      <c r="AO288">
        <v>10080</v>
      </c>
      <c r="AU288">
        <v>2</v>
      </c>
      <c r="AV288" t="s">
        <v>267</v>
      </c>
      <c r="AW288" t="s">
        <v>4236</v>
      </c>
      <c r="AX288" t="s">
        <v>4266</v>
      </c>
      <c r="AY288" t="s">
        <v>2226</v>
      </c>
      <c r="AZ288" t="s">
        <v>2225</v>
      </c>
    </row>
    <row r="289" spans="1:52">
      <c r="A289" s="1">
        <f>HYPERLINK("https://lsnyc.legalserver.org/matter/dynamic-profile/view/1907759","19-1907759")</f>
        <v>0</v>
      </c>
      <c r="B289" t="s">
        <v>82</v>
      </c>
      <c r="C289" t="s">
        <v>155</v>
      </c>
      <c r="D289" t="s">
        <v>183</v>
      </c>
      <c r="F289" t="s">
        <v>520</v>
      </c>
      <c r="G289" t="s">
        <v>1062</v>
      </c>
      <c r="H289" t="s">
        <v>1450</v>
      </c>
      <c r="I289" t="s">
        <v>2067</v>
      </c>
      <c r="J289" t="s">
        <v>2192</v>
      </c>
      <c r="K289">
        <v>11212</v>
      </c>
      <c r="L289" t="s">
        <v>2224</v>
      </c>
      <c r="M289" t="s">
        <v>2226</v>
      </c>
      <c r="N289" t="s">
        <v>2255</v>
      </c>
      <c r="O289" t="s">
        <v>2539</v>
      </c>
      <c r="P289" t="s">
        <v>2561</v>
      </c>
      <c r="R289" t="s">
        <v>2569</v>
      </c>
      <c r="S289" t="s">
        <v>2224</v>
      </c>
      <c r="U289" t="s">
        <v>2578</v>
      </c>
      <c r="V289" t="s">
        <v>2588</v>
      </c>
      <c r="W289" t="s">
        <v>173</v>
      </c>
      <c r="X289">
        <v>594.1799999999999</v>
      </c>
      <c r="Y289" t="s">
        <v>2604</v>
      </c>
      <c r="Z289" t="s">
        <v>2614</v>
      </c>
      <c r="AB289" t="s">
        <v>2895</v>
      </c>
      <c r="AD289" t="s">
        <v>3673</v>
      </c>
      <c r="AE289">
        <v>96</v>
      </c>
      <c r="AF289" t="s">
        <v>4099</v>
      </c>
      <c r="AG289" t="s">
        <v>4116</v>
      </c>
      <c r="AH289">
        <v>35</v>
      </c>
      <c r="AI289">
        <v>1</v>
      </c>
      <c r="AJ289">
        <v>0</v>
      </c>
      <c r="AK289">
        <v>80.7</v>
      </c>
      <c r="AN289" t="s">
        <v>4126</v>
      </c>
      <c r="AO289">
        <v>10080</v>
      </c>
      <c r="AU289">
        <v>96.90000000000001</v>
      </c>
      <c r="AV289" t="s">
        <v>218</v>
      </c>
      <c r="AW289" t="s">
        <v>127</v>
      </c>
      <c r="AX289" t="s">
        <v>4266</v>
      </c>
      <c r="AY289" t="s">
        <v>2224</v>
      </c>
      <c r="AZ289" t="s">
        <v>2224</v>
      </c>
    </row>
    <row r="290" spans="1:52">
      <c r="A290" s="1">
        <f>HYPERLINK("https://lsnyc.legalserver.org/matter/dynamic-profile/view/1912952","19-1912952")</f>
        <v>0</v>
      </c>
      <c r="B290" t="s">
        <v>93</v>
      </c>
      <c r="C290" t="s">
        <v>155</v>
      </c>
      <c r="D290" t="s">
        <v>168</v>
      </c>
      <c r="F290" t="s">
        <v>521</v>
      </c>
      <c r="G290" t="s">
        <v>1063</v>
      </c>
      <c r="H290" t="s">
        <v>1630</v>
      </c>
      <c r="I290" t="s">
        <v>1947</v>
      </c>
      <c r="J290" t="s">
        <v>2191</v>
      </c>
      <c r="K290">
        <v>11368</v>
      </c>
      <c r="L290" t="s">
        <v>2224</v>
      </c>
      <c r="M290" t="s">
        <v>2226</v>
      </c>
      <c r="N290" t="s">
        <v>2351</v>
      </c>
      <c r="O290" t="s">
        <v>2533</v>
      </c>
      <c r="P290" t="s">
        <v>2559</v>
      </c>
      <c r="R290" t="s">
        <v>2569</v>
      </c>
      <c r="S290" t="s">
        <v>2225</v>
      </c>
      <c r="U290" t="s">
        <v>2578</v>
      </c>
      <c r="W290" t="s">
        <v>168</v>
      </c>
      <c r="X290">
        <v>2000</v>
      </c>
      <c r="Y290" t="s">
        <v>2603</v>
      </c>
      <c r="Z290" t="s">
        <v>2618</v>
      </c>
      <c r="AB290" t="s">
        <v>2896</v>
      </c>
      <c r="AD290" t="s">
        <v>3419</v>
      </c>
      <c r="AE290">
        <v>2</v>
      </c>
      <c r="AF290" t="s">
        <v>2518</v>
      </c>
      <c r="AG290" t="s">
        <v>2255</v>
      </c>
      <c r="AH290">
        <v>2</v>
      </c>
      <c r="AI290">
        <v>2</v>
      </c>
      <c r="AJ290">
        <v>2</v>
      </c>
      <c r="AK290">
        <v>80.78</v>
      </c>
      <c r="AN290" t="s">
        <v>4127</v>
      </c>
      <c r="AO290">
        <v>20800</v>
      </c>
      <c r="AU290">
        <v>0.6</v>
      </c>
      <c r="AV290" t="s">
        <v>241</v>
      </c>
      <c r="AW290" t="s">
        <v>4224</v>
      </c>
      <c r="AX290" t="s">
        <v>4266</v>
      </c>
      <c r="AY290" t="s">
        <v>2226</v>
      </c>
      <c r="AZ290" t="s">
        <v>2226</v>
      </c>
    </row>
    <row r="291" spans="1:52">
      <c r="A291" s="1">
        <f>HYPERLINK("https://lsnyc.legalserver.org/matter/dynamic-profile/view/1904660","19-1904660")</f>
        <v>0</v>
      </c>
      <c r="B291" t="s">
        <v>128</v>
      </c>
      <c r="C291" t="s">
        <v>154</v>
      </c>
      <c r="D291" t="s">
        <v>192</v>
      </c>
      <c r="E291" t="s">
        <v>185</v>
      </c>
      <c r="F291" t="s">
        <v>335</v>
      </c>
      <c r="G291" t="s">
        <v>1064</v>
      </c>
      <c r="H291" t="s">
        <v>1631</v>
      </c>
      <c r="I291" t="s">
        <v>2068</v>
      </c>
      <c r="J291" t="s">
        <v>2196</v>
      </c>
      <c r="K291">
        <v>10030</v>
      </c>
      <c r="L291" t="s">
        <v>2224</v>
      </c>
      <c r="M291" t="s">
        <v>2226</v>
      </c>
      <c r="N291" t="s">
        <v>2352</v>
      </c>
      <c r="O291" t="s">
        <v>2533</v>
      </c>
      <c r="P291" t="s">
        <v>2556</v>
      </c>
      <c r="Q291" t="s">
        <v>2563</v>
      </c>
      <c r="R291" t="s">
        <v>2569</v>
      </c>
      <c r="S291" t="s">
        <v>2225</v>
      </c>
      <c r="U291" t="s">
        <v>2578</v>
      </c>
      <c r="V291" t="s">
        <v>2588</v>
      </c>
      <c r="W291" t="s">
        <v>192</v>
      </c>
      <c r="X291">
        <v>0</v>
      </c>
      <c r="Y291" t="s">
        <v>2607</v>
      </c>
      <c r="Z291" t="s">
        <v>2608</v>
      </c>
      <c r="AA291" t="s">
        <v>2626</v>
      </c>
      <c r="AB291" t="s">
        <v>2897</v>
      </c>
      <c r="AD291" t="s">
        <v>3674</v>
      </c>
      <c r="AE291">
        <v>18</v>
      </c>
      <c r="AF291" t="s">
        <v>4099</v>
      </c>
      <c r="AG291" t="s">
        <v>2255</v>
      </c>
      <c r="AH291">
        <v>8</v>
      </c>
      <c r="AI291">
        <v>1</v>
      </c>
      <c r="AJ291">
        <v>0</v>
      </c>
      <c r="AK291">
        <v>80.90000000000001</v>
      </c>
      <c r="AN291" t="s">
        <v>4126</v>
      </c>
      <c r="AO291">
        <v>10104</v>
      </c>
      <c r="AU291">
        <v>1.75</v>
      </c>
      <c r="AV291" t="s">
        <v>220</v>
      </c>
      <c r="AW291" t="s">
        <v>4237</v>
      </c>
      <c r="AX291" t="s">
        <v>4266</v>
      </c>
      <c r="AY291" t="s">
        <v>2226</v>
      </c>
      <c r="AZ291" t="s">
        <v>2225</v>
      </c>
    </row>
    <row r="292" spans="1:52">
      <c r="A292" s="1">
        <f>HYPERLINK("https://lsnyc.legalserver.org/matter/dynamic-profile/view/1910916","19-1910916")</f>
        <v>0</v>
      </c>
      <c r="B292" t="s">
        <v>58</v>
      </c>
      <c r="C292" t="s">
        <v>155</v>
      </c>
      <c r="D292" t="s">
        <v>166</v>
      </c>
      <c r="F292" t="s">
        <v>522</v>
      </c>
      <c r="G292" t="s">
        <v>1065</v>
      </c>
      <c r="H292" t="s">
        <v>1632</v>
      </c>
      <c r="I292" t="s">
        <v>2069</v>
      </c>
      <c r="J292" t="s">
        <v>2192</v>
      </c>
      <c r="K292">
        <v>11220</v>
      </c>
      <c r="L292" t="s">
        <v>2224</v>
      </c>
      <c r="M292" t="s">
        <v>2226</v>
      </c>
      <c r="O292" t="s">
        <v>2534</v>
      </c>
      <c r="P292" t="s">
        <v>2558</v>
      </c>
      <c r="R292" t="s">
        <v>2569</v>
      </c>
      <c r="S292" t="s">
        <v>2225</v>
      </c>
      <c r="U292" t="s">
        <v>2578</v>
      </c>
      <c r="V292" t="s">
        <v>2590</v>
      </c>
      <c r="W292" t="s">
        <v>170</v>
      </c>
      <c r="X292">
        <v>0</v>
      </c>
      <c r="Y292" t="s">
        <v>2604</v>
      </c>
      <c r="Z292" t="s">
        <v>2618</v>
      </c>
      <c r="AB292" t="s">
        <v>2898</v>
      </c>
      <c r="AD292" t="s">
        <v>3675</v>
      </c>
      <c r="AE292">
        <v>6</v>
      </c>
      <c r="AF292" t="s">
        <v>4099</v>
      </c>
      <c r="AH292">
        <v>66</v>
      </c>
      <c r="AI292">
        <v>1</v>
      </c>
      <c r="AJ292">
        <v>0</v>
      </c>
      <c r="AK292">
        <v>81.18000000000001</v>
      </c>
      <c r="AN292" t="s">
        <v>4126</v>
      </c>
      <c r="AO292">
        <v>10140</v>
      </c>
      <c r="AU292">
        <v>41.7</v>
      </c>
      <c r="AV292" t="s">
        <v>157</v>
      </c>
      <c r="AW292" t="s">
        <v>58</v>
      </c>
      <c r="AX292" t="s">
        <v>4266</v>
      </c>
      <c r="AY292" t="s">
        <v>2226</v>
      </c>
      <c r="AZ292" t="s">
        <v>2226</v>
      </c>
    </row>
    <row r="293" spans="1:52">
      <c r="A293" s="1">
        <f>HYPERLINK("https://lsnyc.legalserver.org/matter/dynamic-profile/view/1906773","19-1906773")</f>
        <v>0</v>
      </c>
      <c r="B293" t="s">
        <v>86</v>
      </c>
      <c r="C293" t="s">
        <v>154</v>
      </c>
      <c r="D293" t="s">
        <v>187</v>
      </c>
      <c r="E293" t="s">
        <v>187</v>
      </c>
      <c r="F293" t="s">
        <v>523</v>
      </c>
      <c r="G293" t="s">
        <v>1066</v>
      </c>
      <c r="H293" t="s">
        <v>1633</v>
      </c>
      <c r="I293" t="s">
        <v>2070</v>
      </c>
      <c r="J293" t="s">
        <v>2196</v>
      </c>
      <c r="K293">
        <v>10033</v>
      </c>
      <c r="L293" t="s">
        <v>2224</v>
      </c>
      <c r="M293" t="s">
        <v>2226</v>
      </c>
      <c r="N293" t="s">
        <v>2353</v>
      </c>
      <c r="O293" t="s">
        <v>2536</v>
      </c>
      <c r="P293" t="s">
        <v>2556</v>
      </c>
      <c r="Q293" t="s">
        <v>2563</v>
      </c>
      <c r="R293" t="s">
        <v>2569</v>
      </c>
      <c r="S293" t="s">
        <v>2225</v>
      </c>
      <c r="U293" t="s">
        <v>2578</v>
      </c>
      <c r="W293" t="s">
        <v>187</v>
      </c>
      <c r="X293">
        <v>474.35</v>
      </c>
      <c r="Y293" t="s">
        <v>2607</v>
      </c>
      <c r="Z293" t="s">
        <v>2617</v>
      </c>
      <c r="AA293" t="s">
        <v>2626</v>
      </c>
      <c r="AB293" t="s">
        <v>2899</v>
      </c>
      <c r="AD293" t="s">
        <v>3676</v>
      </c>
      <c r="AE293">
        <v>54</v>
      </c>
      <c r="AF293" t="s">
        <v>4099</v>
      </c>
      <c r="AG293" t="s">
        <v>4116</v>
      </c>
      <c r="AH293">
        <v>24</v>
      </c>
      <c r="AI293">
        <v>1</v>
      </c>
      <c r="AJ293">
        <v>0</v>
      </c>
      <c r="AK293">
        <v>81.67</v>
      </c>
      <c r="AN293" t="s">
        <v>4127</v>
      </c>
      <c r="AO293">
        <v>10200</v>
      </c>
      <c r="AU293">
        <v>1</v>
      </c>
      <c r="AV293" t="s">
        <v>187</v>
      </c>
      <c r="AW293" t="s">
        <v>80</v>
      </c>
      <c r="AX293" t="s">
        <v>4266</v>
      </c>
      <c r="AY293" t="s">
        <v>2226</v>
      </c>
      <c r="AZ293" t="s">
        <v>2225</v>
      </c>
    </row>
    <row r="294" spans="1:52">
      <c r="A294" s="1">
        <f>HYPERLINK("https://lsnyc.legalserver.org/matter/dynamic-profile/view/1903827","19-1903827")</f>
        <v>0</v>
      </c>
      <c r="B294" t="s">
        <v>73</v>
      </c>
      <c r="C294" t="s">
        <v>154</v>
      </c>
      <c r="D294" t="s">
        <v>201</v>
      </c>
      <c r="E294" t="s">
        <v>183</v>
      </c>
      <c r="F294" t="s">
        <v>524</v>
      </c>
      <c r="G294" t="s">
        <v>1067</v>
      </c>
      <c r="H294" t="s">
        <v>1634</v>
      </c>
      <c r="I294" t="s">
        <v>2011</v>
      </c>
      <c r="J294" t="s">
        <v>2195</v>
      </c>
      <c r="K294">
        <v>10301</v>
      </c>
      <c r="L294" t="s">
        <v>2224</v>
      </c>
      <c r="M294" t="s">
        <v>2226</v>
      </c>
      <c r="N294" t="s">
        <v>2354</v>
      </c>
      <c r="O294" t="s">
        <v>2535</v>
      </c>
      <c r="P294" t="s">
        <v>2558</v>
      </c>
      <c r="Q294" t="s">
        <v>2564</v>
      </c>
      <c r="R294" t="s">
        <v>2569</v>
      </c>
      <c r="S294" t="s">
        <v>2225</v>
      </c>
      <c r="U294" t="s">
        <v>2578</v>
      </c>
      <c r="V294" t="s">
        <v>2588</v>
      </c>
      <c r="W294" t="s">
        <v>201</v>
      </c>
      <c r="X294">
        <v>1250</v>
      </c>
      <c r="Y294" t="s">
        <v>2606</v>
      </c>
      <c r="Z294" t="s">
        <v>2608</v>
      </c>
      <c r="AA294" t="s">
        <v>2628</v>
      </c>
      <c r="AB294" t="s">
        <v>2900</v>
      </c>
      <c r="AD294" t="s">
        <v>3677</v>
      </c>
      <c r="AE294">
        <v>48</v>
      </c>
      <c r="AF294" t="s">
        <v>4098</v>
      </c>
      <c r="AG294" t="s">
        <v>2255</v>
      </c>
      <c r="AH294">
        <v>4</v>
      </c>
      <c r="AI294">
        <v>2</v>
      </c>
      <c r="AJ294">
        <v>2</v>
      </c>
      <c r="AK294">
        <v>81.79000000000001</v>
      </c>
      <c r="AN294" t="s">
        <v>4126</v>
      </c>
      <c r="AO294">
        <v>21060</v>
      </c>
      <c r="AQ294" t="s">
        <v>4177</v>
      </c>
      <c r="AR294" t="s">
        <v>4186</v>
      </c>
      <c r="AS294" t="s">
        <v>4188</v>
      </c>
      <c r="AT294" t="s">
        <v>4209</v>
      </c>
      <c r="AU294">
        <v>19.75</v>
      </c>
      <c r="AV294" t="s">
        <v>289</v>
      </c>
      <c r="AW294" t="s">
        <v>4230</v>
      </c>
      <c r="AX294" t="s">
        <v>4266</v>
      </c>
      <c r="AY294" t="s">
        <v>2224</v>
      </c>
      <c r="AZ294" t="s">
        <v>2224</v>
      </c>
    </row>
    <row r="295" spans="1:52">
      <c r="A295" s="1">
        <f>HYPERLINK("https://lsnyc.legalserver.org/matter/dynamic-profile/view/1911811","19-1911811")</f>
        <v>0</v>
      </c>
      <c r="B295" t="s">
        <v>98</v>
      </c>
      <c r="C295" t="s">
        <v>155</v>
      </c>
      <c r="D295" t="s">
        <v>165</v>
      </c>
      <c r="F295" t="s">
        <v>362</v>
      </c>
      <c r="G295" t="s">
        <v>1068</v>
      </c>
      <c r="H295" t="s">
        <v>1635</v>
      </c>
      <c r="I295" t="s">
        <v>2018</v>
      </c>
      <c r="J295" t="s">
        <v>2196</v>
      </c>
      <c r="K295">
        <v>10040</v>
      </c>
      <c r="L295" t="s">
        <v>2224</v>
      </c>
      <c r="M295" t="s">
        <v>2226</v>
      </c>
      <c r="P295" t="s">
        <v>2559</v>
      </c>
      <c r="R295" t="s">
        <v>2569</v>
      </c>
      <c r="S295" t="s">
        <v>2225</v>
      </c>
      <c r="U295" t="s">
        <v>2578</v>
      </c>
      <c r="W295" t="s">
        <v>165</v>
      </c>
      <c r="X295">
        <v>177</v>
      </c>
      <c r="Y295" t="s">
        <v>2607</v>
      </c>
      <c r="Z295" t="s">
        <v>2613</v>
      </c>
      <c r="AB295" t="s">
        <v>2901</v>
      </c>
      <c r="AD295" t="s">
        <v>3678</v>
      </c>
      <c r="AE295">
        <v>26</v>
      </c>
      <c r="AF295" t="s">
        <v>4099</v>
      </c>
      <c r="AG295" t="s">
        <v>4112</v>
      </c>
      <c r="AH295">
        <v>47</v>
      </c>
      <c r="AI295">
        <v>1</v>
      </c>
      <c r="AJ295">
        <v>0</v>
      </c>
      <c r="AK295">
        <v>81.95</v>
      </c>
      <c r="AN295" t="s">
        <v>4127</v>
      </c>
      <c r="AO295">
        <v>10236</v>
      </c>
      <c r="AU295">
        <v>1.8</v>
      </c>
      <c r="AV295" t="s">
        <v>241</v>
      </c>
      <c r="AW295" t="s">
        <v>80</v>
      </c>
      <c r="AX295" t="s">
        <v>4266</v>
      </c>
      <c r="AY295" t="s">
        <v>2226</v>
      </c>
      <c r="AZ295" t="s">
        <v>2226</v>
      </c>
    </row>
    <row r="296" spans="1:52">
      <c r="A296" s="1">
        <f>HYPERLINK("https://lsnyc.legalserver.org/matter/dynamic-profile/view/1909825","19-1909825")</f>
        <v>0</v>
      </c>
      <c r="B296" t="s">
        <v>74</v>
      </c>
      <c r="C296" t="s">
        <v>154</v>
      </c>
      <c r="D296" t="s">
        <v>196</v>
      </c>
      <c r="E296" t="s">
        <v>178</v>
      </c>
      <c r="F296" t="s">
        <v>525</v>
      </c>
      <c r="G296" t="s">
        <v>1069</v>
      </c>
      <c r="H296" t="s">
        <v>1636</v>
      </c>
      <c r="J296" t="s">
        <v>2196</v>
      </c>
      <c r="K296">
        <v>10033</v>
      </c>
      <c r="L296" t="s">
        <v>2224</v>
      </c>
      <c r="M296" t="s">
        <v>2226</v>
      </c>
      <c r="O296" t="s">
        <v>2238</v>
      </c>
      <c r="P296" t="s">
        <v>2556</v>
      </c>
      <c r="Q296" t="s">
        <v>2563</v>
      </c>
      <c r="R296" t="s">
        <v>2569</v>
      </c>
      <c r="S296" t="s">
        <v>2225</v>
      </c>
      <c r="U296" t="s">
        <v>2578</v>
      </c>
      <c r="W296" t="s">
        <v>196</v>
      </c>
      <c r="X296">
        <v>1069.67</v>
      </c>
      <c r="Y296" t="s">
        <v>2607</v>
      </c>
      <c r="Z296" t="s">
        <v>2617</v>
      </c>
      <c r="AA296" t="s">
        <v>2626</v>
      </c>
      <c r="AB296" t="s">
        <v>2902</v>
      </c>
      <c r="AD296" t="s">
        <v>3679</v>
      </c>
      <c r="AE296">
        <v>19</v>
      </c>
      <c r="AF296" t="s">
        <v>4099</v>
      </c>
      <c r="AG296" t="s">
        <v>4116</v>
      </c>
      <c r="AH296">
        <v>36</v>
      </c>
      <c r="AI296">
        <v>2</v>
      </c>
      <c r="AJ296">
        <v>0</v>
      </c>
      <c r="AK296">
        <v>82.03</v>
      </c>
      <c r="AN296" t="s">
        <v>4127</v>
      </c>
      <c r="AO296">
        <v>13872</v>
      </c>
      <c r="AU296">
        <v>1</v>
      </c>
      <c r="AV296" t="s">
        <v>196</v>
      </c>
      <c r="AW296" t="s">
        <v>80</v>
      </c>
      <c r="AX296" t="s">
        <v>4266</v>
      </c>
      <c r="AY296" t="s">
        <v>2226</v>
      </c>
      <c r="AZ296" t="s">
        <v>2225</v>
      </c>
    </row>
    <row r="297" spans="1:52">
      <c r="A297" s="1">
        <f>HYPERLINK("https://lsnyc.legalserver.org/matter/dynamic-profile/view/1910583","19-1910583")</f>
        <v>0</v>
      </c>
      <c r="B297" t="s">
        <v>79</v>
      </c>
      <c r="C297" t="s">
        <v>155</v>
      </c>
      <c r="D297" t="s">
        <v>156</v>
      </c>
      <c r="F297" t="s">
        <v>526</v>
      </c>
      <c r="G297" t="s">
        <v>1070</v>
      </c>
      <c r="H297" t="s">
        <v>1637</v>
      </c>
      <c r="I297" t="s">
        <v>2036</v>
      </c>
      <c r="J297" t="s">
        <v>2196</v>
      </c>
      <c r="K297">
        <v>10029</v>
      </c>
      <c r="L297" t="s">
        <v>2224</v>
      </c>
      <c r="M297" t="s">
        <v>2226</v>
      </c>
      <c r="O297" t="s">
        <v>2238</v>
      </c>
      <c r="P297" t="s">
        <v>2557</v>
      </c>
      <c r="R297" t="s">
        <v>2569</v>
      </c>
      <c r="S297" t="s">
        <v>2225</v>
      </c>
      <c r="U297" t="s">
        <v>2578</v>
      </c>
      <c r="V297" t="s">
        <v>2588</v>
      </c>
      <c r="W297" t="s">
        <v>268</v>
      </c>
      <c r="X297">
        <v>1414.03</v>
      </c>
      <c r="Y297" t="s">
        <v>2607</v>
      </c>
      <c r="Z297" t="s">
        <v>2609</v>
      </c>
      <c r="AB297" t="s">
        <v>2903</v>
      </c>
      <c r="AD297" t="s">
        <v>3680</v>
      </c>
      <c r="AE297">
        <v>14</v>
      </c>
      <c r="AF297" t="s">
        <v>4099</v>
      </c>
      <c r="AG297" t="s">
        <v>4116</v>
      </c>
      <c r="AH297">
        <v>4</v>
      </c>
      <c r="AI297">
        <v>1</v>
      </c>
      <c r="AJ297">
        <v>0</v>
      </c>
      <c r="AK297">
        <v>82.34</v>
      </c>
      <c r="AN297" t="s">
        <v>4126</v>
      </c>
      <c r="AO297">
        <v>10284</v>
      </c>
      <c r="AU297">
        <v>0.25</v>
      </c>
      <c r="AV297" t="s">
        <v>275</v>
      </c>
      <c r="AW297" t="s">
        <v>4237</v>
      </c>
      <c r="AX297" t="s">
        <v>4266</v>
      </c>
      <c r="AY297" t="s">
        <v>2226</v>
      </c>
      <c r="AZ297" t="s">
        <v>2226</v>
      </c>
    </row>
    <row r="298" spans="1:52">
      <c r="A298" s="1">
        <f>HYPERLINK("https://lsnyc.legalserver.org/matter/dynamic-profile/view/1908679","19-1908679")</f>
        <v>0</v>
      </c>
      <c r="B298" t="s">
        <v>55</v>
      </c>
      <c r="C298" t="s">
        <v>155</v>
      </c>
      <c r="D298" t="s">
        <v>171</v>
      </c>
      <c r="F298" t="s">
        <v>494</v>
      </c>
      <c r="G298" t="s">
        <v>1071</v>
      </c>
      <c r="H298" t="s">
        <v>1638</v>
      </c>
      <c r="J298" t="s">
        <v>2190</v>
      </c>
      <c r="K298">
        <v>11416</v>
      </c>
      <c r="L298" t="s">
        <v>2224</v>
      </c>
      <c r="M298" t="s">
        <v>2226</v>
      </c>
      <c r="O298" t="s">
        <v>2238</v>
      </c>
      <c r="P298" t="s">
        <v>2556</v>
      </c>
      <c r="R298" t="s">
        <v>2570</v>
      </c>
      <c r="S298" t="s">
        <v>2225</v>
      </c>
      <c r="U298" t="s">
        <v>2578</v>
      </c>
      <c r="V298" t="s">
        <v>2588</v>
      </c>
      <c r="W298" t="s">
        <v>177</v>
      </c>
      <c r="X298">
        <v>880</v>
      </c>
      <c r="Y298" t="s">
        <v>2603</v>
      </c>
      <c r="Z298" t="s">
        <v>2610</v>
      </c>
      <c r="AB298" t="s">
        <v>2904</v>
      </c>
      <c r="AD298" t="s">
        <v>3681</v>
      </c>
      <c r="AE298">
        <v>1</v>
      </c>
      <c r="AF298" t="s">
        <v>4098</v>
      </c>
      <c r="AG298" t="s">
        <v>2255</v>
      </c>
      <c r="AH298">
        <v>20</v>
      </c>
      <c r="AI298">
        <v>3</v>
      </c>
      <c r="AJ298">
        <v>0</v>
      </c>
      <c r="AK298">
        <v>82.36</v>
      </c>
      <c r="AL298" t="s">
        <v>4121</v>
      </c>
      <c r="AM298" t="s">
        <v>4123</v>
      </c>
      <c r="AN298" t="s">
        <v>4126</v>
      </c>
      <c r="AO298">
        <v>17568</v>
      </c>
      <c r="AU298">
        <v>1.6</v>
      </c>
      <c r="AV298" t="s">
        <v>199</v>
      </c>
      <c r="AW298" t="s">
        <v>55</v>
      </c>
      <c r="AX298" t="s">
        <v>4266</v>
      </c>
      <c r="AY298" t="s">
        <v>2226</v>
      </c>
      <c r="AZ298" t="s">
        <v>2226</v>
      </c>
    </row>
    <row r="299" spans="1:52">
      <c r="A299" s="1">
        <f>HYPERLINK("https://lsnyc.legalserver.org/matter/dynamic-profile/view/1913103","19-1913103")</f>
        <v>0</v>
      </c>
      <c r="B299" t="s">
        <v>76</v>
      </c>
      <c r="C299" t="s">
        <v>155</v>
      </c>
      <c r="D299" t="s">
        <v>163</v>
      </c>
      <c r="F299" t="s">
        <v>324</v>
      </c>
      <c r="G299" t="s">
        <v>1072</v>
      </c>
      <c r="H299" t="s">
        <v>1639</v>
      </c>
      <c r="I299" t="s">
        <v>2071</v>
      </c>
      <c r="J299" t="s">
        <v>2196</v>
      </c>
      <c r="K299">
        <v>10034</v>
      </c>
      <c r="L299" t="s">
        <v>2224</v>
      </c>
      <c r="M299" t="s">
        <v>2226</v>
      </c>
      <c r="P299" t="s">
        <v>2559</v>
      </c>
      <c r="R299" t="s">
        <v>2569</v>
      </c>
      <c r="S299" t="s">
        <v>2225</v>
      </c>
      <c r="U299" t="s">
        <v>2578</v>
      </c>
      <c r="W299" t="s">
        <v>163</v>
      </c>
      <c r="X299">
        <v>236</v>
      </c>
      <c r="Y299" t="s">
        <v>2607</v>
      </c>
      <c r="Z299" t="s">
        <v>2613</v>
      </c>
      <c r="AB299" t="s">
        <v>2905</v>
      </c>
      <c r="AE299">
        <v>1167</v>
      </c>
      <c r="AF299" t="s">
        <v>4099</v>
      </c>
      <c r="AG299" t="s">
        <v>4112</v>
      </c>
      <c r="AH299">
        <v>14</v>
      </c>
      <c r="AI299">
        <v>1</v>
      </c>
      <c r="AJ299">
        <v>0</v>
      </c>
      <c r="AK299">
        <v>82.43000000000001</v>
      </c>
      <c r="AN299" t="s">
        <v>4126</v>
      </c>
      <c r="AO299">
        <v>10296</v>
      </c>
      <c r="AU299">
        <v>0</v>
      </c>
      <c r="AW299" t="s">
        <v>80</v>
      </c>
      <c r="AX299" t="s">
        <v>4266</v>
      </c>
      <c r="AY299" t="s">
        <v>2226</v>
      </c>
      <c r="AZ299" t="s">
        <v>2226</v>
      </c>
    </row>
    <row r="300" spans="1:52">
      <c r="A300" s="1">
        <f>HYPERLINK("https://lsnyc.legalserver.org/matter/dynamic-profile/view/1910486","19-1910486")</f>
        <v>0</v>
      </c>
      <c r="B300" t="s">
        <v>104</v>
      </c>
      <c r="C300" t="s">
        <v>154</v>
      </c>
      <c r="D300" t="s">
        <v>178</v>
      </c>
      <c r="E300" t="s">
        <v>178</v>
      </c>
      <c r="F300" t="s">
        <v>527</v>
      </c>
      <c r="G300" t="s">
        <v>1073</v>
      </c>
      <c r="H300" t="s">
        <v>1640</v>
      </c>
      <c r="I300" t="s">
        <v>2072</v>
      </c>
      <c r="J300" t="s">
        <v>2196</v>
      </c>
      <c r="K300">
        <v>10032</v>
      </c>
      <c r="L300" t="s">
        <v>2224</v>
      </c>
      <c r="M300" t="s">
        <v>2226</v>
      </c>
      <c r="O300" t="s">
        <v>2238</v>
      </c>
      <c r="P300" t="s">
        <v>2561</v>
      </c>
      <c r="Q300" t="s">
        <v>2566</v>
      </c>
      <c r="R300" t="s">
        <v>2569</v>
      </c>
      <c r="S300" t="s">
        <v>2225</v>
      </c>
      <c r="U300" t="s">
        <v>2578</v>
      </c>
      <c r="W300" t="s">
        <v>178</v>
      </c>
      <c r="X300">
        <v>1132</v>
      </c>
      <c r="Y300" t="s">
        <v>2607</v>
      </c>
      <c r="Z300" t="s">
        <v>2613</v>
      </c>
      <c r="AA300" t="s">
        <v>2629</v>
      </c>
      <c r="AB300" t="s">
        <v>2906</v>
      </c>
      <c r="AD300" t="s">
        <v>3682</v>
      </c>
      <c r="AE300">
        <v>14</v>
      </c>
      <c r="AF300" t="s">
        <v>4099</v>
      </c>
      <c r="AG300" t="s">
        <v>4116</v>
      </c>
      <c r="AH300">
        <v>16</v>
      </c>
      <c r="AI300">
        <v>1</v>
      </c>
      <c r="AJ300">
        <v>0</v>
      </c>
      <c r="AK300">
        <v>82.43000000000001</v>
      </c>
      <c r="AN300" t="s">
        <v>4126</v>
      </c>
      <c r="AO300">
        <v>10296</v>
      </c>
      <c r="AU300">
        <v>0.1</v>
      </c>
      <c r="AV300" t="s">
        <v>178</v>
      </c>
      <c r="AW300" t="s">
        <v>80</v>
      </c>
      <c r="AX300" t="s">
        <v>4266</v>
      </c>
      <c r="AY300" t="s">
        <v>2226</v>
      </c>
      <c r="AZ300" t="s">
        <v>2225</v>
      </c>
    </row>
    <row r="301" spans="1:52">
      <c r="A301" s="1">
        <f>HYPERLINK("https://lsnyc.legalserver.org/matter/dynamic-profile/view/1911980","19-1911980")</f>
        <v>0</v>
      </c>
      <c r="B301" t="s">
        <v>87</v>
      </c>
      <c r="C301" t="s">
        <v>155</v>
      </c>
      <c r="D301" t="s">
        <v>197</v>
      </c>
      <c r="F301" t="s">
        <v>528</v>
      </c>
      <c r="G301" t="s">
        <v>1074</v>
      </c>
      <c r="H301" t="s">
        <v>1641</v>
      </c>
      <c r="I301" t="s">
        <v>2073</v>
      </c>
      <c r="J301" t="s">
        <v>2196</v>
      </c>
      <c r="K301">
        <v>10037</v>
      </c>
      <c r="L301" t="s">
        <v>2224</v>
      </c>
      <c r="M301" t="s">
        <v>2226</v>
      </c>
      <c r="N301" t="s">
        <v>2355</v>
      </c>
      <c r="O301" t="s">
        <v>2535</v>
      </c>
      <c r="P301" t="s">
        <v>2556</v>
      </c>
      <c r="R301" t="s">
        <v>2569</v>
      </c>
      <c r="S301" t="s">
        <v>2225</v>
      </c>
      <c r="U301" t="s">
        <v>2578</v>
      </c>
      <c r="V301" t="s">
        <v>2588</v>
      </c>
      <c r="W301" t="s">
        <v>225</v>
      </c>
      <c r="X301">
        <v>2100</v>
      </c>
      <c r="Y301" t="s">
        <v>2607</v>
      </c>
      <c r="Z301" t="s">
        <v>2609</v>
      </c>
      <c r="AB301" t="s">
        <v>2907</v>
      </c>
      <c r="AC301" t="s">
        <v>3416</v>
      </c>
      <c r="AD301" t="s">
        <v>3683</v>
      </c>
      <c r="AE301">
        <v>771</v>
      </c>
      <c r="AF301" t="s">
        <v>4099</v>
      </c>
      <c r="AG301" t="s">
        <v>2255</v>
      </c>
      <c r="AH301">
        <v>1</v>
      </c>
      <c r="AI301">
        <v>1</v>
      </c>
      <c r="AJ301">
        <v>0</v>
      </c>
      <c r="AK301">
        <v>82.63</v>
      </c>
      <c r="AN301" t="s">
        <v>4126</v>
      </c>
      <c r="AO301">
        <v>10320</v>
      </c>
      <c r="AU301">
        <v>0</v>
      </c>
      <c r="AW301" t="s">
        <v>4237</v>
      </c>
      <c r="AX301" t="s">
        <v>4266</v>
      </c>
      <c r="AY301" t="s">
        <v>2226</v>
      </c>
      <c r="AZ301" t="s">
        <v>2226</v>
      </c>
    </row>
    <row r="302" spans="1:52">
      <c r="A302" s="1">
        <f>HYPERLINK("https://lsnyc.legalserver.org/matter/dynamic-profile/view/1908375","19-1908375")</f>
        <v>0</v>
      </c>
      <c r="B302" t="s">
        <v>89</v>
      </c>
      <c r="C302" t="s">
        <v>155</v>
      </c>
      <c r="D302" t="s">
        <v>234</v>
      </c>
      <c r="F302" t="s">
        <v>529</v>
      </c>
      <c r="G302" t="s">
        <v>1010</v>
      </c>
      <c r="H302" t="s">
        <v>1642</v>
      </c>
      <c r="I302" t="s">
        <v>2074</v>
      </c>
      <c r="J302" t="s">
        <v>2204</v>
      </c>
      <c r="K302">
        <v>11377</v>
      </c>
      <c r="L302" t="s">
        <v>2224</v>
      </c>
      <c r="M302" t="s">
        <v>2226</v>
      </c>
      <c r="N302" t="s">
        <v>2356</v>
      </c>
      <c r="O302" t="s">
        <v>2537</v>
      </c>
      <c r="P302" t="s">
        <v>2560</v>
      </c>
      <c r="R302" t="s">
        <v>2569</v>
      </c>
      <c r="S302" t="s">
        <v>2224</v>
      </c>
      <c r="U302" t="s">
        <v>2578</v>
      </c>
      <c r="W302" t="s">
        <v>234</v>
      </c>
      <c r="X302">
        <v>1382</v>
      </c>
      <c r="Y302" t="s">
        <v>2603</v>
      </c>
      <c r="Z302" t="s">
        <v>2608</v>
      </c>
      <c r="AB302" t="s">
        <v>2908</v>
      </c>
      <c r="AD302" t="s">
        <v>3684</v>
      </c>
      <c r="AE302">
        <v>67</v>
      </c>
      <c r="AF302" t="s">
        <v>4099</v>
      </c>
      <c r="AG302" t="s">
        <v>2255</v>
      </c>
      <c r="AH302">
        <v>19</v>
      </c>
      <c r="AI302">
        <v>2</v>
      </c>
      <c r="AJ302">
        <v>0</v>
      </c>
      <c r="AK302">
        <v>82.79000000000001</v>
      </c>
      <c r="AN302" t="s">
        <v>4127</v>
      </c>
      <c r="AO302">
        <v>14000</v>
      </c>
      <c r="AU302">
        <v>0.4</v>
      </c>
      <c r="AV302" t="s">
        <v>234</v>
      </c>
      <c r="AW302" t="s">
        <v>4224</v>
      </c>
      <c r="AX302" t="s">
        <v>4266</v>
      </c>
      <c r="AY302" t="s">
        <v>2224</v>
      </c>
      <c r="AZ302" t="s">
        <v>2224</v>
      </c>
    </row>
    <row r="303" spans="1:52">
      <c r="A303" s="1">
        <f>HYPERLINK("https://lsnyc.legalserver.org/matter/dynamic-profile/view/1907812","19-1907812")</f>
        <v>0</v>
      </c>
      <c r="B303" t="s">
        <v>62</v>
      </c>
      <c r="C303" t="s">
        <v>154</v>
      </c>
      <c r="D303" t="s">
        <v>247</v>
      </c>
      <c r="E303" t="s">
        <v>241</v>
      </c>
      <c r="F303" t="s">
        <v>530</v>
      </c>
      <c r="G303" t="s">
        <v>1075</v>
      </c>
      <c r="H303" t="s">
        <v>1643</v>
      </c>
      <c r="I303">
        <v>426</v>
      </c>
      <c r="J303" t="s">
        <v>2192</v>
      </c>
      <c r="K303">
        <v>11208</v>
      </c>
      <c r="L303" t="s">
        <v>2224</v>
      </c>
      <c r="M303" t="s">
        <v>2226</v>
      </c>
      <c r="N303" t="s">
        <v>2357</v>
      </c>
      <c r="O303" t="s">
        <v>2535</v>
      </c>
      <c r="P303" t="s">
        <v>2557</v>
      </c>
      <c r="Q303" t="s">
        <v>2566</v>
      </c>
      <c r="R303" t="s">
        <v>2569</v>
      </c>
      <c r="S303" t="s">
        <v>2225</v>
      </c>
      <c r="U303" t="s">
        <v>2579</v>
      </c>
      <c r="V303" t="s">
        <v>2590</v>
      </c>
      <c r="W303" t="s">
        <v>183</v>
      </c>
      <c r="X303">
        <v>208</v>
      </c>
      <c r="Y303" t="s">
        <v>2604</v>
      </c>
      <c r="Z303" t="s">
        <v>2619</v>
      </c>
      <c r="AA303" t="s">
        <v>2636</v>
      </c>
      <c r="AB303" t="s">
        <v>2909</v>
      </c>
      <c r="AC303" t="s">
        <v>2244</v>
      </c>
      <c r="AD303" t="s">
        <v>3685</v>
      </c>
      <c r="AE303">
        <v>40</v>
      </c>
      <c r="AF303" t="s">
        <v>4104</v>
      </c>
      <c r="AG303" t="s">
        <v>4112</v>
      </c>
      <c r="AH303">
        <v>11</v>
      </c>
      <c r="AI303">
        <v>1</v>
      </c>
      <c r="AJ303">
        <v>0</v>
      </c>
      <c r="AK303">
        <v>83.2</v>
      </c>
      <c r="AN303" t="s">
        <v>4126</v>
      </c>
      <c r="AO303">
        <v>10392</v>
      </c>
      <c r="AP303" t="s">
        <v>4152</v>
      </c>
      <c r="AU303">
        <v>13.5</v>
      </c>
      <c r="AV303" t="s">
        <v>241</v>
      </c>
      <c r="AW303" t="s">
        <v>4226</v>
      </c>
      <c r="AX303" t="s">
        <v>4266</v>
      </c>
      <c r="AY303" t="s">
        <v>2226</v>
      </c>
      <c r="AZ303" t="s">
        <v>2225</v>
      </c>
    </row>
    <row r="304" spans="1:52">
      <c r="A304" s="1">
        <f>HYPERLINK("https://lsnyc.legalserver.org/matter/dynamic-profile/view/1910678","19-1910678")</f>
        <v>0</v>
      </c>
      <c r="B304" t="s">
        <v>60</v>
      </c>
      <c r="C304" t="s">
        <v>154</v>
      </c>
      <c r="D304" t="s">
        <v>156</v>
      </c>
      <c r="E304" t="s">
        <v>188</v>
      </c>
      <c r="F304" t="s">
        <v>531</v>
      </c>
      <c r="G304" t="s">
        <v>1076</v>
      </c>
      <c r="H304" t="s">
        <v>1644</v>
      </c>
      <c r="J304" t="s">
        <v>2192</v>
      </c>
      <c r="K304">
        <v>11207</v>
      </c>
      <c r="L304" t="s">
        <v>2224</v>
      </c>
      <c r="M304" t="s">
        <v>2226</v>
      </c>
      <c r="N304" t="s">
        <v>2238</v>
      </c>
      <c r="O304" t="s">
        <v>2541</v>
      </c>
      <c r="P304" t="s">
        <v>2556</v>
      </c>
      <c r="Q304" t="s">
        <v>2563</v>
      </c>
      <c r="R304" t="s">
        <v>2569</v>
      </c>
      <c r="S304" t="s">
        <v>2225</v>
      </c>
      <c r="U304" t="s">
        <v>2578</v>
      </c>
      <c r="W304" t="s">
        <v>156</v>
      </c>
      <c r="X304">
        <v>680</v>
      </c>
      <c r="Y304" t="s">
        <v>2604</v>
      </c>
      <c r="Z304" t="s">
        <v>2613</v>
      </c>
      <c r="AA304" t="s">
        <v>2626</v>
      </c>
      <c r="AB304" t="s">
        <v>2910</v>
      </c>
      <c r="AC304" t="s">
        <v>3417</v>
      </c>
      <c r="AD304" t="s">
        <v>3686</v>
      </c>
      <c r="AE304">
        <v>3</v>
      </c>
      <c r="AF304" t="s">
        <v>2518</v>
      </c>
      <c r="AG304" t="s">
        <v>4116</v>
      </c>
      <c r="AH304">
        <v>34</v>
      </c>
      <c r="AI304">
        <v>1</v>
      </c>
      <c r="AJ304">
        <v>0</v>
      </c>
      <c r="AK304">
        <v>83.23</v>
      </c>
      <c r="AN304" t="s">
        <v>4127</v>
      </c>
      <c r="AO304">
        <v>10396</v>
      </c>
      <c r="AU304">
        <v>0.9</v>
      </c>
      <c r="AV304" t="s">
        <v>179</v>
      </c>
      <c r="AW304" t="s">
        <v>4226</v>
      </c>
      <c r="AX304" t="s">
        <v>4266</v>
      </c>
      <c r="AY304" t="s">
        <v>2226</v>
      </c>
      <c r="AZ304" t="s">
        <v>2225</v>
      </c>
    </row>
    <row r="305" spans="1:52">
      <c r="A305" s="1">
        <f>HYPERLINK("https://lsnyc.legalserver.org/matter/dynamic-profile/view/1909340","19-1909340")</f>
        <v>0</v>
      </c>
      <c r="B305" t="s">
        <v>90</v>
      </c>
      <c r="C305" t="s">
        <v>155</v>
      </c>
      <c r="D305" t="s">
        <v>167</v>
      </c>
      <c r="F305" t="s">
        <v>532</v>
      </c>
      <c r="G305" t="s">
        <v>1077</v>
      </c>
      <c r="H305" t="s">
        <v>1645</v>
      </c>
      <c r="I305" t="s">
        <v>2075</v>
      </c>
      <c r="J305" t="s">
        <v>2196</v>
      </c>
      <c r="K305">
        <v>10033</v>
      </c>
      <c r="L305" t="s">
        <v>2224</v>
      </c>
      <c r="M305" t="s">
        <v>2226</v>
      </c>
      <c r="P305" t="s">
        <v>2559</v>
      </c>
      <c r="R305" t="s">
        <v>2569</v>
      </c>
      <c r="S305" t="s">
        <v>2225</v>
      </c>
      <c r="U305" t="s">
        <v>2578</v>
      </c>
      <c r="W305" t="s">
        <v>167</v>
      </c>
      <c r="X305">
        <v>1235</v>
      </c>
      <c r="Y305" t="s">
        <v>2607</v>
      </c>
      <c r="Z305" t="s">
        <v>2617</v>
      </c>
      <c r="AB305" t="s">
        <v>2911</v>
      </c>
      <c r="AD305" t="s">
        <v>3687</v>
      </c>
      <c r="AE305">
        <v>0</v>
      </c>
      <c r="AF305" t="s">
        <v>4099</v>
      </c>
      <c r="AG305" t="s">
        <v>2255</v>
      </c>
      <c r="AH305">
        <v>18</v>
      </c>
      <c r="AI305">
        <v>1</v>
      </c>
      <c r="AJ305">
        <v>0</v>
      </c>
      <c r="AK305">
        <v>83.27</v>
      </c>
      <c r="AN305" t="s">
        <v>4127</v>
      </c>
      <c r="AO305">
        <v>10400</v>
      </c>
      <c r="AU305">
        <v>20.7</v>
      </c>
      <c r="AV305" t="s">
        <v>163</v>
      </c>
      <c r="AW305" t="s">
        <v>80</v>
      </c>
      <c r="AX305" t="s">
        <v>4266</v>
      </c>
      <c r="AY305" t="s">
        <v>2226</v>
      </c>
      <c r="AZ305" t="s">
        <v>2226</v>
      </c>
    </row>
    <row r="306" spans="1:52">
      <c r="A306" s="1">
        <f>HYPERLINK("https://lsnyc.legalserver.org/matter/dynamic-profile/view/1905950","19-1905950")</f>
        <v>0</v>
      </c>
      <c r="B306" t="s">
        <v>111</v>
      </c>
      <c r="C306" t="s">
        <v>154</v>
      </c>
      <c r="D306" t="s">
        <v>223</v>
      </c>
      <c r="E306" t="s">
        <v>200</v>
      </c>
      <c r="F306" t="s">
        <v>533</v>
      </c>
      <c r="G306" t="s">
        <v>1078</v>
      </c>
      <c r="H306" t="s">
        <v>1646</v>
      </c>
      <c r="I306" t="s">
        <v>1960</v>
      </c>
      <c r="J306" t="s">
        <v>2196</v>
      </c>
      <c r="K306">
        <v>10035</v>
      </c>
      <c r="L306" t="s">
        <v>2224</v>
      </c>
      <c r="M306" t="s">
        <v>2226</v>
      </c>
      <c r="N306" t="s">
        <v>2358</v>
      </c>
      <c r="O306" t="s">
        <v>2535</v>
      </c>
      <c r="P306" t="s">
        <v>2556</v>
      </c>
      <c r="Q306" t="s">
        <v>2563</v>
      </c>
      <c r="R306" t="s">
        <v>2569</v>
      </c>
      <c r="S306" t="s">
        <v>2225</v>
      </c>
      <c r="U306" t="s">
        <v>2578</v>
      </c>
      <c r="V306" t="s">
        <v>2591</v>
      </c>
      <c r="W306" t="s">
        <v>223</v>
      </c>
      <c r="X306">
        <v>1587</v>
      </c>
      <c r="Y306" t="s">
        <v>2607</v>
      </c>
      <c r="Z306" t="s">
        <v>2618</v>
      </c>
      <c r="AA306" t="s">
        <v>2626</v>
      </c>
      <c r="AB306" t="s">
        <v>2912</v>
      </c>
      <c r="AC306" t="s">
        <v>3418</v>
      </c>
      <c r="AD306" t="s">
        <v>3688</v>
      </c>
      <c r="AE306">
        <v>24</v>
      </c>
      <c r="AF306" t="s">
        <v>4104</v>
      </c>
      <c r="AG306" t="s">
        <v>2255</v>
      </c>
      <c r="AH306">
        <v>5</v>
      </c>
      <c r="AI306">
        <v>1</v>
      </c>
      <c r="AJ306">
        <v>0</v>
      </c>
      <c r="AK306">
        <v>83.39</v>
      </c>
      <c r="AN306" t="s">
        <v>4126</v>
      </c>
      <c r="AO306">
        <v>10416</v>
      </c>
      <c r="AU306">
        <v>0.1</v>
      </c>
      <c r="AV306" t="s">
        <v>223</v>
      </c>
      <c r="AW306" t="s">
        <v>4259</v>
      </c>
      <c r="AX306" t="s">
        <v>4267</v>
      </c>
      <c r="AY306" t="s">
        <v>2226</v>
      </c>
      <c r="AZ306" t="s">
        <v>2225</v>
      </c>
    </row>
    <row r="307" spans="1:52">
      <c r="A307" s="1">
        <f>HYPERLINK("https://lsnyc.legalserver.org/matter/dynamic-profile/view/1907707","19-1907707")</f>
        <v>0</v>
      </c>
      <c r="B307" t="s">
        <v>89</v>
      </c>
      <c r="C307" t="s">
        <v>155</v>
      </c>
      <c r="D307" t="s">
        <v>221</v>
      </c>
      <c r="F307" t="s">
        <v>362</v>
      </c>
      <c r="G307" t="s">
        <v>907</v>
      </c>
      <c r="H307" t="s">
        <v>1647</v>
      </c>
      <c r="I307" t="s">
        <v>1949</v>
      </c>
      <c r="J307" t="s">
        <v>2204</v>
      </c>
      <c r="K307">
        <v>11377</v>
      </c>
      <c r="L307" t="s">
        <v>2224</v>
      </c>
      <c r="M307" t="s">
        <v>2226</v>
      </c>
      <c r="O307" t="s">
        <v>2537</v>
      </c>
      <c r="P307" t="s">
        <v>2560</v>
      </c>
      <c r="R307" t="s">
        <v>2569</v>
      </c>
      <c r="S307" t="s">
        <v>2224</v>
      </c>
      <c r="U307" t="s">
        <v>2578</v>
      </c>
      <c r="W307" t="s">
        <v>221</v>
      </c>
      <c r="X307">
        <v>1102</v>
      </c>
      <c r="Y307" t="s">
        <v>2603</v>
      </c>
      <c r="Z307" t="s">
        <v>2614</v>
      </c>
      <c r="AB307" t="s">
        <v>2913</v>
      </c>
      <c r="AD307" t="s">
        <v>3689</v>
      </c>
      <c r="AE307">
        <v>234</v>
      </c>
      <c r="AF307" t="s">
        <v>2518</v>
      </c>
      <c r="AG307" t="s">
        <v>4112</v>
      </c>
      <c r="AH307">
        <v>40</v>
      </c>
      <c r="AI307">
        <v>2</v>
      </c>
      <c r="AJ307">
        <v>0</v>
      </c>
      <c r="AK307">
        <v>83.52</v>
      </c>
      <c r="AN307" t="s">
        <v>4127</v>
      </c>
      <c r="AO307">
        <v>14124</v>
      </c>
      <c r="AU307">
        <v>0.01</v>
      </c>
      <c r="AV307" t="s">
        <v>167</v>
      </c>
      <c r="AW307" t="s">
        <v>4224</v>
      </c>
      <c r="AX307" t="s">
        <v>4266</v>
      </c>
      <c r="AY307" t="s">
        <v>2224</v>
      </c>
      <c r="AZ307" t="s">
        <v>2224</v>
      </c>
    </row>
    <row r="308" spans="1:52">
      <c r="A308" s="1">
        <f>HYPERLINK("https://lsnyc.legalserver.org/matter/dynamic-profile/view/1904277","19-1904277")</f>
        <v>0</v>
      </c>
      <c r="B308" t="s">
        <v>107</v>
      </c>
      <c r="C308" t="s">
        <v>154</v>
      </c>
      <c r="D308" t="s">
        <v>158</v>
      </c>
      <c r="E308" t="s">
        <v>272</v>
      </c>
      <c r="F308" t="s">
        <v>534</v>
      </c>
      <c r="G308" t="s">
        <v>1079</v>
      </c>
      <c r="H308" t="s">
        <v>1648</v>
      </c>
      <c r="I308" t="s">
        <v>2011</v>
      </c>
      <c r="J308" t="s">
        <v>2194</v>
      </c>
      <c r="K308">
        <v>10460</v>
      </c>
      <c r="L308" t="s">
        <v>2224</v>
      </c>
      <c r="M308" t="s">
        <v>2226</v>
      </c>
      <c r="N308" t="s">
        <v>2359</v>
      </c>
      <c r="O308" t="s">
        <v>2535</v>
      </c>
      <c r="P308" t="s">
        <v>2561</v>
      </c>
      <c r="Q308" t="s">
        <v>2566</v>
      </c>
      <c r="R308" t="s">
        <v>2569</v>
      </c>
      <c r="S308" t="s">
        <v>2225</v>
      </c>
      <c r="U308" t="s">
        <v>2578</v>
      </c>
      <c r="W308" t="s">
        <v>228</v>
      </c>
      <c r="X308">
        <v>1723.03</v>
      </c>
      <c r="Y308" t="s">
        <v>2605</v>
      </c>
      <c r="Z308" t="s">
        <v>2613</v>
      </c>
      <c r="AA308" t="s">
        <v>2630</v>
      </c>
      <c r="AB308" t="s">
        <v>2914</v>
      </c>
      <c r="AD308" t="s">
        <v>3690</v>
      </c>
      <c r="AE308">
        <v>200</v>
      </c>
      <c r="AF308" t="s">
        <v>4102</v>
      </c>
      <c r="AG308" t="s">
        <v>4112</v>
      </c>
      <c r="AH308">
        <v>3</v>
      </c>
      <c r="AI308">
        <v>2</v>
      </c>
      <c r="AJ308">
        <v>0</v>
      </c>
      <c r="AK308">
        <v>83.73999999999999</v>
      </c>
      <c r="AN308" t="s">
        <v>4126</v>
      </c>
      <c r="AO308">
        <v>14160</v>
      </c>
      <c r="AU308">
        <v>2.3</v>
      </c>
      <c r="AV308" t="s">
        <v>237</v>
      </c>
      <c r="AW308" t="s">
        <v>4243</v>
      </c>
      <c r="AX308" t="s">
        <v>4266</v>
      </c>
      <c r="AY308" t="s">
        <v>2224</v>
      </c>
      <c r="AZ308" t="s">
        <v>2224</v>
      </c>
    </row>
    <row r="309" spans="1:52">
      <c r="A309" s="1">
        <f>HYPERLINK("https://lsnyc.legalserver.org/matter/dynamic-profile/view/1903921","19-1903921")</f>
        <v>0</v>
      </c>
      <c r="B309" t="s">
        <v>103</v>
      </c>
      <c r="C309" t="s">
        <v>155</v>
      </c>
      <c r="D309" t="s">
        <v>201</v>
      </c>
      <c r="F309" t="s">
        <v>535</v>
      </c>
      <c r="G309" t="s">
        <v>1080</v>
      </c>
      <c r="H309" t="s">
        <v>1649</v>
      </c>
      <c r="I309" t="s">
        <v>1966</v>
      </c>
      <c r="J309" t="s">
        <v>2190</v>
      </c>
      <c r="K309">
        <v>11416</v>
      </c>
      <c r="L309" t="s">
        <v>2224</v>
      </c>
      <c r="M309" t="s">
        <v>2226</v>
      </c>
      <c r="N309" t="s">
        <v>2360</v>
      </c>
      <c r="O309" t="s">
        <v>2533</v>
      </c>
      <c r="P309" t="s">
        <v>2556</v>
      </c>
      <c r="R309" t="s">
        <v>2569</v>
      </c>
      <c r="S309" t="s">
        <v>2225</v>
      </c>
      <c r="U309" t="s">
        <v>2578</v>
      </c>
      <c r="V309" t="s">
        <v>2588</v>
      </c>
      <c r="W309" t="s">
        <v>216</v>
      </c>
      <c r="X309">
        <v>2110</v>
      </c>
      <c r="Y309" t="s">
        <v>2603</v>
      </c>
      <c r="AB309" t="s">
        <v>2915</v>
      </c>
      <c r="AD309" t="s">
        <v>3691</v>
      </c>
      <c r="AE309">
        <v>3</v>
      </c>
      <c r="AF309" t="s">
        <v>4098</v>
      </c>
      <c r="AG309" t="s">
        <v>4112</v>
      </c>
      <c r="AH309">
        <v>2</v>
      </c>
      <c r="AI309">
        <v>1</v>
      </c>
      <c r="AJ309">
        <v>3</v>
      </c>
      <c r="AK309">
        <v>84.01000000000001</v>
      </c>
      <c r="AN309" t="s">
        <v>4126</v>
      </c>
      <c r="AO309">
        <v>21632</v>
      </c>
      <c r="AU309">
        <v>1.15</v>
      </c>
      <c r="AV309" t="s">
        <v>195</v>
      </c>
      <c r="AW309" t="s">
        <v>103</v>
      </c>
      <c r="AX309" t="s">
        <v>4266</v>
      </c>
      <c r="AY309" t="s">
        <v>2224</v>
      </c>
      <c r="AZ309" t="s">
        <v>2224</v>
      </c>
    </row>
    <row r="310" spans="1:52">
      <c r="A310" s="1">
        <f>HYPERLINK("https://lsnyc.legalserver.org/matter/dynamic-profile/view/1904423","19-1904423")</f>
        <v>0</v>
      </c>
      <c r="B310" t="s">
        <v>105</v>
      </c>
      <c r="C310" t="s">
        <v>155</v>
      </c>
      <c r="D310" t="s">
        <v>210</v>
      </c>
      <c r="F310" t="s">
        <v>536</v>
      </c>
      <c r="G310" t="s">
        <v>1081</v>
      </c>
      <c r="H310" t="s">
        <v>1542</v>
      </c>
      <c r="I310">
        <v>513</v>
      </c>
      <c r="J310" t="s">
        <v>2195</v>
      </c>
      <c r="K310">
        <v>10304</v>
      </c>
      <c r="L310" t="s">
        <v>2224</v>
      </c>
      <c r="M310" t="s">
        <v>2226</v>
      </c>
      <c r="N310" t="s">
        <v>2361</v>
      </c>
      <c r="O310" t="s">
        <v>2535</v>
      </c>
      <c r="P310" t="s">
        <v>2558</v>
      </c>
      <c r="R310" t="s">
        <v>2569</v>
      </c>
      <c r="S310" t="s">
        <v>2225</v>
      </c>
      <c r="U310" t="s">
        <v>2578</v>
      </c>
      <c r="V310" t="s">
        <v>2588</v>
      </c>
      <c r="W310" t="s">
        <v>210</v>
      </c>
      <c r="X310">
        <v>1202.3</v>
      </c>
      <c r="Y310" t="s">
        <v>2606</v>
      </c>
      <c r="Z310" t="s">
        <v>2612</v>
      </c>
      <c r="AB310" t="s">
        <v>2916</v>
      </c>
      <c r="AD310" t="s">
        <v>3692</v>
      </c>
      <c r="AE310">
        <v>105</v>
      </c>
      <c r="AF310" t="s">
        <v>4099</v>
      </c>
      <c r="AG310" t="s">
        <v>4115</v>
      </c>
      <c r="AH310">
        <v>8</v>
      </c>
      <c r="AI310">
        <v>1</v>
      </c>
      <c r="AJ310">
        <v>0</v>
      </c>
      <c r="AK310">
        <v>84.36</v>
      </c>
      <c r="AN310" t="s">
        <v>4126</v>
      </c>
      <c r="AO310">
        <v>10536</v>
      </c>
      <c r="AU310">
        <v>9.699999999999999</v>
      </c>
      <c r="AV310" t="s">
        <v>218</v>
      </c>
      <c r="AW310" t="s">
        <v>4230</v>
      </c>
      <c r="AX310" t="s">
        <v>4266</v>
      </c>
      <c r="AY310" t="s">
        <v>2224</v>
      </c>
      <c r="AZ310" t="s">
        <v>2224</v>
      </c>
    </row>
    <row r="311" spans="1:52">
      <c r="A311" s="1">
        <f>HYPERLINK("https://lsnyc.legalserver.org/matter/dynamic-profile/view/1907747","19-1907747")</f>
        <v>0</v>
      </c>
      <c r="B311" t="s">
        <v>65</v>
      </c>
      <c r="C311" t="s">
        <v>155</v>
      </c>
      <c r="D311" t="s">
        <v>183</v>
      </c>
      <c r="F311" t="s">
        <v>395</v>
      </c>
      <c r="G311" t="s">
        <v>1082</v>
      </c>
      <c r="H311" t="s">
        <v>1650</v>
      </c>
      <c r="I311" t="s">
        <v>2076</v>
      </c>
      <c r="J311" t="s">
        <v>2192</v>
      </c>
      <c r="K311">
        <v>11219</v>
      </c>
      <c r="L311" t="s">
        <v>2224</v>
      </c>
      <c r="M311" t="s">
        <v>2226</v>
      </c>
      <c r="N311" t="s">
        <v>2362</v>
      </c>
      <c r="O311" t="s">
        <v>2535</v>
      </c>
      <c r="P311" t="s">
        <v>2558</v>
      </c>
      <c r="R311" t="s">
        <v>2569</v>
      </c>
      <c r="S311" t="s">
        <v>2225</v>
      </c>
      <c r="U311" t="s">
        <v>2578</v>
      </c>
      <c r="V311" t="s">
        <v>2588</v>
      </c>
      <c r="W311" t="s">
        <v>190</v>
      </c>
      <c r="X311">
        <v>900</v>
      </c>
      <c r="Y311" t="s">
        <v>2604</v>
      </c>
      <c r="Z311" t="s">
        <v>2613</v>
      </c>
      <c r="AB311" t="s">
        <v>2917</v>
      </c>
      <c r="AD311" t="s">
        <v>3693</v>
      </c>
      <c r="AE311">
        <v>6</v>
      </c>
      <c r="AF311" t="s">
        <v>4099</v>
      </c>
      <c r="AG311" t="s">
        <v>2255</v>
      </c>
      <c r="AH311">
        <v>10</v>
      </c>
      <c r="AI311">
        <v>3</v>
      </c>
      <c r="AJ311">
        <v>0</v>
      </c>
      <c r="AK311">
        <v>84.39</v>
      </c>
      <c r="AN311" t="s">
        <v>4127</v>
      </c>
      <c r="AO311">
        <v>18000</v>
      </c>
      <c r="AU311">
        <v>13.4</v>
      </c>
      <c r="AV311" t="s">
        <v>168</v>
      </c>
      <c r="AW311" t="s">
        <v>127</v>
      </c>
      <c r="AX311" t="s">
        <v>4266</v>
      </c>
      <c r="AY311" t="s">
        <v>2224</v>
      </c>
      <c r="AZ311" t="s">
        <v>2224</v>
      </c>
    </row>
    <row r="312" spans="1:52">
      <c r="A312" s="1">
        <f>HYPERLINK("https://lsnyc.legalserver.org/matter/dynamic-profile/view/1909838","19-1909838")</f>
        <v>0</v>
      </c>
      <c r="B312" t="s">
        <v>74</v>
      </c>
      <c r="C312" t="s">
        <v>155</v>
      </c>
      <c r="D312" t="s">
        <v>196</v>
      </c>
      <c r="F312" t="s">
        <v>504</v>
      </c>
      <c r="G312" t="s">
        <v>1083</v>
      </c>
      <c r="H312" t="s">
        <v>1651</v>
      </c>
      <c r="J312" t="s">
        <v>2196</v>
      </c>
      <c r="K312">
        <v>10034</v>
      </c>
      <c r="L312" t="s">
        <v>2224</v>
      </c>
      <c r="M312" t="s">
        <v>2226</v>
      </c>
      <c r="P312" t="s">
        <v>2559</v>
      </c>
      <c r="R312" t="s">
        <v>2569</v>
      </c>
      <c r="S312" t="s">
        <v>2225</v>
      </c>
      <c r="T312" t="s">
        <v>2574</v>
      </c>
      <c r="U312" t="s">
        <v>2578</v>
      </c>
      <c r="W312" t="s">
        <v>196</v>
      </c>
      <c r="X312">
        <v>1700</v>
      </c>
      <c r="Y312" t="s">
        <v>2607</v>
      </c>
      <c r="Z312" t="s">
        <v>2623</v>
      </c>
      <c r="AB312" t="s">
        <v>2918</v>
      </c>
      <c r="AD312" t="s">
        <v>3694</v>
      </c>
      <c r="AE312">
        <v>24</v>
      </c>
      <c r="AF312" t="s">
        <v>4099</v>
      </c>
      <c r="AG312" t="s">
        <v>4115</v>
      </c>
      <c r="AH312">
        <v>1</v>
      </c>
      <c r="AI312">
        <v>1</v>
      </c>
      <c r="AJ312">
        <v>0</v>
      </c>
      <c r="AK312">
        <v>84.64</v>
      </c>
      <c r="AN312" t="s">
        <v>4126</v>
      </c>
      <c r="AO312">
        <v>10572</v>
      </c>
      <c r="AU312">
        <v>25.95</v>
      </c>
      <c r="AV312" t="s">
        <v>199</v>
      </c>
      <c r="AW312" t="s">
        <v>80</v>
      </c>
      <c r="AX312" t="s">
        <v>4266</v>
      </c>
      <c r="AY312" t="s">
        <v>2226</v>
      </c>
      <c r="AZ312" t="s">
        <v>2226</v>
      </c>
    </row>
    <row r="313" spans="1:52">
      <c r="A313" s="1">
        <f>HYPERLINK("https://lsnyc.legalserver.org/matter/dynamic-profile/view/1880321","18-1880321")</f>
        <v>0</v>
      </c>
      <c r="B313" t="s">
        <v>118</v>
      </c>
      <c r="C313" t="s">
        <v>154</v>
      </c>
      <c r="D313" t="s">
        <v>248</v>
      </c>
      <c r="E313" t="s">
        <v>184</v>
      </c>
      <c r="F313" t="s">
        <v>537</v>
      </c>
      <c r="G313" t="s">
        <v>1084</v>
      </c>
      <c r="H313" t="s">
        <v>1652</v>
      </c>
      <c r="I313" t="s">
        <v>2077</v>
      </c>
      <c r="J313" t="s">
        <v>2192</v>
      </c>
      <c r="K313">
        <v>11208</v>
      </c>
      <c r="L313" t="s">
        <v>2224</v>
      </c>
      <c r="M313" t="s">
        <v>2226</v>
      </c>
      <c r="N313" t="s">
        <v>2363</v>
      </c>
      <c r="O313" t="s">
        <v>2535</v>
      </c>
      <c r="P313" t="s">
        <v>2558</v>
      </c>
      <c r="Q313" t="s">
        <v>2564</v>
      </c>
      <c r="R313" t="s">
        <v>2569</v>
      </c>
      <c r="S313" t="s">
        <v>2225</v>
      </c>
      <c r="U313" t="s">
        <v>2578</v>
      </c>
      <c r="V313" t="s">
        <v>2588</v>
      </c>
      <c r="W313" t="s">
        <v>274</v>
      </c>
      <c r="X313">
        <v>0</v>
      </c>
      <c r="Y313" t="s">
        <v>2604</v>
      </c>
      <c r="Z313" t="s">
        <v>2613</v>
      </c>
      <c r="AA313" t="s">
        <v>2628</v>
      </c>
      <c r="AB313" t="s">
        <v>2919</v>
      </c>
      <c r="AD313" t="s">
        <v>3695</v>
      </c>
      <c r="AE313">
        <v>294</v>
      </c>
      <c r="AF313" t="s">
        <v>4103</v>
      </c>
      <c r="AG313" t="s">
        <v>4115</v>
      </c>
      <c r="AH313">
        <v>5</v>
      </c>
      <c r="AI313">
        <v>1</v>
      </c>
      <c r="AJ313">
        <v>0</v>
      </c>
      <c r="AK313">
        <v>84.70999999999999</v>
      </c>
      <c r="AN313" t="s">
        <v>4126</v>
      </c>
      <c r="AO313">
        <v>10284</v>
      </c>
      <c r="AQ313" t="s">
        <v>4177</v>
      </c>
      <c r="AR313" t="s">
        <v>4183</v>
      </c>
      <c r="AS313" t="s">
        <v>4188</v>
      </c>
      <c r="AT313" t="s">
        <v>4210</v>
      </c>
      <c r="AU313">
        <v>18.3</v>
      </c>
      <c r="AV313" t="s">
        <v>184</v>
      </c>
      <c r="AW313" t="s">
        <v>4246</v>
      </c>
      <c r="AX313" t="s">
        <v>4266</v>
      </c>
      <c r="AY313" t="s">
        <v>2224</v>
      </c>
      <c r="AZ313" t="s">
        <v>2224</v>
      </c>
    </row>
    <row r="314" spans="1:52">
      <c r="A314" s="1">
        <f>HYPERLINK("https://lsnyc.legalserver.org/matter/dynamic-profile/view/1908891","19-1908891")</f>
        <v>0</v>
      </c>
      <c r="B314" t="s">
        <v>93</v>
      </c>
      <c r="C314" t="s">
        <v>154</v>
      </c>
      <c r="D314" t="s">
        <v>235</v>
      </c>
      <c r="E314" t="s">
        <v>281</v>
      </c>
      <c r="F314" t="s">
        <v>456</v>
      </c>
      <c r="G314" t="s">
        <v>1085</v>
      </c>
      <c r="H314" t="s">
        <v>1653</v>
      </c>
      <c r="I314" t="s">
        <v>2078</v>
      </c>
      <c r="J314" t="s">
        <v>2199</v>
      </c>
      <c r="K314">
        <v>11367</v>
      </c>
      <c r="L314" t="s">
        <v>2224</v>
      </c>
      <c r="M314" t="s">
        <v>2226</v>
      </c>
      <c r="O314" t="s">
        <v>2534</v>
      </c>
      <c r="P314" t="s">
        <v>2561</v>
      </c>
      <c r="Q314" t="s">
        <v>2566</v>
      </c>
      <c r="R314" t="s">
        <v>2569</v>
      </c>
      <c r="S314" t="s">
        <v>2225</v>
      </c>
      <c r="U314" t="s">
        <v>2578</v>
      </c>
      <c r="V314" t="s">
        <v>2588</v>
      </c>
      <c r="W314" t="s">
        <v>281</v>
      </c>
      <c r="X314">
        <v>1063</v>
      </c>
      <c r="Y314" t="s">
        <v>2603</v>
      </c>
      <c r="Z314" t="s">
        <v>2625</v>
      </c>
      <c r="AA314" t="s">
        <v>2629</v>
      </c>
      <c r="AB314" t="s">
        <v>2920</v>
      </c>
      <c r="AC314" t="s">
        <v>3419</v>
      </c>
      <c r="AD314" t="s">
        <v>3696</v>
      </c>
      <c r="AE314">
        <v>12</v>
      </c>
      <c r="AF314" t="s">
        <v>4110</v>
      </c>
      <c r="AG314" t="s">
        <v>4116</v>
      </c>
      <c r="AH314">
        <v>30</v>
      </c>
      <c r="AI314">
        <v>2</v>
      </c>
      <c r="AJ314">
        <v>0</v>
      </c>
      <c r="AK314">
        <v>85.16</v>
      </c>
      <c r="AN314" t="s">
        <v>4127</v>
      </c>
      <c r="AO314">
        <v>14400</v>
      </c>
      <c r="AU314">
        <v>1.85</v>
      </c>
      <c r="AV314" t="s">
        <v>281</v>
      </c>
      <c r="AW314" t="s">
        <v>4249</v>
      </c>
      <c r="AX314" t="s">
        <v>4266</v>
      </c>
      <c r="AY314" t="s">
        <v>2224</v>
      </c>
      <c r="AZ314" t="s">
        <v>2224</v>
      </c>
    </row>
    <row r="315" spans="1:52">
      <c r="A315" s="1">
        <f>HYPERLINK("https://lsnyc.legalserver.org/matter/dynamic-profile/view/1905689","19-1905689")</f>
        <v>0</v>
      </c>
      <c r="B315" t="s">
        <v>66</v>
      </c>
      <c r="C315" t="s">
        <v>155</v>
      </c>
      <c r="D315" t="s">
        <v>221</v>
      </c>
      <c r="F315" t="s">
        <v>538</v>
      </c>
      <c r="G315" t="s">
        <v>1086</v>
      </c>
      <c r="H315" t="s">
        <v>1525</v>
      </c>
      <c r="I315" t="s">
        <v>2070</v>
      </c>
      <c r="J315" t="s">
        <v>2192</v>
      </c>
      <c r="K315">
        <v>11226</v>
      </c>
      <c r="L315" t="s">
        <v>2224</v>
      </c>
      <c r="M315" t="s">
        <v>2226</v>
      </c>
      <c r="O315" t="s">
        <v>2537</v>
      </c>
      <c r="P315" t="s">
        <v>2560</v>
      </c>
      <c r="R315" t="s">
        <v>2569</v>
      </c>
      <c r="S315" t="s">
        <v>2224</v>
      </c>
      <c r="U315" t="s">
        <v>2578</v>
      </c>
      <c r="W315" t="s">
        <v>172</v>
      </c>
      <c r="X315">
        <v>0</v>
      </c>
      <c r="Y315" t="s">
        <v>2604</v>
      </c>
      <c r="AB315" t="s">
        <v>2921</v>
      </c>
      <c r="AD315" t="s">
        <v>3697</v>
      </c>
      <c r="AE315">
        <v>36</v>
      </c>
      <c r="AF315" t="s">
        <v>4099</v>
      </c>
      <c r="AH315">
        <v>0</v>
      </c>
      <c r="AI315">
        <v>2</v>
      </c>
      <c r="AJ315">
        <v>0</v>
      </c>
      <c r="AK315">
        <v>85.16</v>
      </c>
      <c r="AN315" t="s">
        <v>4126</v>
      </c>
      <c r="AO315">
        <v>14400</v>
      </c>
      <c r="AU315">
        <v>1.7</v>
      </c>
      <c r="AV315" t="s">
        <v>218</v>
      </c>
      <c r="AW315" t="s">
        <v>124</v>
      </c>
      <c r="AY315" t="s">
        <v>2226</v>
      </c>
      <c r="AZ315" t="s">
        <v>2226</v>
      </c>
    </row>
    <row r="316" spans="1:52">
      <c r="A316" s="1">
        <f>HYPERLINK("https://lsnyc.legalserver.org/matter/dynamic-profile/view/1909659","19-1909659")</f>
        <v>0</v>
      </c>
      <c r="B316" t="s">
        <v>105</v>
      </c>
      <c r="C316" t="s">
        <v>155</v>
      </c>
      <c r="D316" t="s">
        <v>196</v>
      </c>
      <c r="F316" t="s">
        <v>539</v>
      </c>
      <c r="G316" t="s">
        <v>1087</v>
      </c>
      <c r="H316" t="s">
        <v>1654</v>
      </c>
      <c r="J316" t="s">
        <v>2195</v>
      </c>
      <c r="K316">
        <v>10301</v>
      </c>
      <c r="L316" t="s">
        <v>2224</v>
      </c>
      <c r="M316" t="s">
        <v>2226</v>
      </c>
      <c r="N316" t="s">
        <v>2364</v>
      </c>
      <c r="P316" t="s">
        <v>2558</v>
      </c>
      <c r="R316" t="s">
        <v>2569</v>
      </c>
      <c r="S316" t="s">
        <v>2225</v>
      </c>
      <c r="U316" t="s">
        <v>2578</v>
      </c>
      <c r="V316" t="s">
        <v>2588</v>
      </c>
      <c r="W316" t="s">
        <v>196</v>
      </c>
      <c r="X316">
        <v>1200</v>
      </c>
      <c r="Y316" t="s">
        <v>2606</v>
      </c>
      <c r="Z316" t="s">
        <v>2624</v>
      </c>
      <c r="AB316" t="s">
        <v>2922</v>
      </c>
      <c r="AD316" t="s">
        <v>3698</v>
      </c>
      <c r="AE316">
        <v>2</v>
      </c>
      <c r="AF316" t="s">
        <v>4098</v>
      </c>
      <c r="AG316" t="s">
        <v>2255</v>
      </c>
      <c r="AH316">
        <v>23</v>
      </c>
      <c r="AI316">
        <v>1</v>
      </c>
      <c r="AJ316">
        <v>1</v>
      </c>
      <c r="AK316">
        <v>85.16</v>
      </c>
      <c r="AN316" t="s">
        <v>4126</v>
      </c>
      <c r="AO316">
        <v>14400</v>
      </c>
      <c r="AU316">
        <v>3.55</v>
      </c>
      <c r="AV316" t="s">
        <v>165</v>
      </c>
      <c r="AW316" t="s">
        <v>4230</v>
      </c>
      <c r="AX316" t="s">
        <v>4266</v>
      </c>
      <c r="AY316" t="s">
        <v>2224</v>
      </c>
      <c r="AZ316" t="s">
        <v>2224</v>
      </c>
    </row>
    <row r="317" spans="1:52">
      <c r="A317" s="1">
        <f>HYPERLINK("https://lsnyc.legalserver.org/matter/dynamic-profile/view/1907664","19-1907664")</f>
        <v>0</v>
      </c>
      <c r="B317" t="s">
        <v>66</v>
      </c>
      <c r="C317" t="s">
        <v>155</v>
      </c>
      <c r="D317" t="s">
        <v>221</v>
      </c>
      <c r="F317" t="s">
        <v>540</v>
      </c>
      <c r="G317" t="s">
        <v>522</v>
      </c>
      <c r="H317" t="s">
        <v>1525</v>
      </c>
      <c r="I317" t="s">
        <v>2040</v>
      </c>
      <c r="J317" t="s">
        <v>2192</v>
      </c>
      <c r="K317">
        <v>11226</v>
      </c>
      <c r="L317" t="s">
        <v>2224</v>
      </c>
      <c r="M317" t="s">
        <v>2226</v>
      </c>
      <c r="O317" t="s">
        <v>2537</v>
      </c>
      <c r="P317" t="s">
        <v>2560</v>
      </c>
      <c r="R317" t="s">
        <v>2569</v>
      </c>
      <c r="S317" t="s">
        <v>2224</v>
      </c>
      <c r="U317" t="s">
        <v>2578</v>
      </c>
      <c r="W317" t="s">
        <v>221</v>
      </c>
      <c r="X317">
        <v>0</v>
      </c>
      <c r="Y317" t="s">
        <v>2604</v>
      </c>
      <c r="AB317" t="s">
        <v>2923</v>
      </c>
      <c r="AD317" t="s">
        <v>3699</v>
      </c>
      <c r="AE317">
        <v>36</v>
      </c>
      <c r="AF317" t="s">
        <v>4099</v>
      </c>
      <c r="AH317">
        <v>0</v>
      </c>
      <c r="AI317">
        <v>3</v>
      </c>
      <c r="AJ317">
        <v>0</v>
      </c>
      <c r="AK317">
        <v>85.33</v>
      </c>
      <c r="AN317" t="s">
        <v>4134</v>
      </c>
      <c r="AO317">
        <v>18200</v>
      </c>
      <c r="AP317" t="s">
        <v>4153</v>
      </c>
      <c r="AU317">
        <v>0.2</v>
      </c>
      <c r="AV317" t="s">
        <v>221</v>
      </c>
      <c r="AW317" t="s">
        <v>124</v>
      </c>
      <c r="AX317" t="s">
        <v>4266</v>
      </c>
      <c r="AY317" t="s">
        <v>2226</v>
      </c>
      <c r="AZ317" t="s">
        <v>2226</v>
      </c>
    </row>
    <row r="318" spans="1:52">
      <c r="A318" s="1">
        <f>HYPERLINK("https://lsnyc.legalserver.org/matter/dynamic-profile/view/1906862","19-1906862")</f>
        <v>0</v>
      </c>
      <c r="B318" t="s">
        <v>112</v>
      </c>
      <c r="C318" t="s">
        <v>155</v>
      </c>
      <c r="D318" t="s">
        <v>237</v>
      </c>
      <c r="F318" t="s">
        <v>541</v>
      </c>
      <c r="G318" t="s">
        <v>1088</v>
      </c>
      <c r="H318" t="s">
        <v>1655</v>
      </c>
      <c r="I318" t="s">
        <v>2079</v>
      </c>
      <c r="J318" t="s">
        <v>2195</v>
      </c>
      <c r="K318">
        <v>10301</v>
      </c>
      <c r="L318" t="s">
        <v>2224</v>
      </c>
      <c r="M318" t="s">
        <v>2226</v>
      </c>
      <c r="N318" t="s">
        <v>2365</v>
      </c>
      <c r="O318" t="s">
        <v>2535</v>
      </c>
      <c r="P318" t="s">
        <v>2558</v>
      </c>
      <c r="R318" t="s">
        <v>2569</v>
      </c>
      <c r="S318" t="s">
        <v>2225</v>
      </c>
      <c r="U318" t="s">
        <v>2578</v>
      </c>
      <c r="V318" t="s">
        <v>2588</v>
      </c>
      <c r="W318" t="s">
        <v>237</v>
      </c>
      <c r="X318">
        <v>0</v>
      </c>
      <c r="Y318" t="s">
        <v>2606</v>
      </c>
      <c r="Z318" t="s">
        <v>2613</v>
      </c>
      <c r="AB318" t="s">
        <v>2924</v>
      </c>
      <c r="AD318" t="s">
        <v>3700</v>
      </c>
      <c r="AE318">
        <v>454</v>
      </c>
      <c r="AG318" t="s">
        <v>2255</v>
      </c>
      <c r="AH318">
        <v>-1</v>
      </c>
      <c r="AI318">
        <v>1</v>
      </c>
      <c r="AJ318">
        <v>2</v>
      </c>
      <c r="AK318">
        <v>85.33</v>
      </c>
      <c r="AN318" t="s">
        <v>4135</v>
      </c>
      <c r="AO318">
        <v>18200</v>
      </c>
      <c r="AU318">
        <v>14.55</v>
      </c>
      <c r="AV318" t="s">
        <v>168</v>
      </c>
      <c r="AW318" t="s">
        <v>4230</v>
      </c>
      <c r="AX318" t="s">
        <v>4266</v>
      </c>
      <c r="AY318" t="s">
        <v>2224</v>
      </c>
      <c r="AZ318" t="s">
        <v>2224</v>
      </c>
    </row>
    <row r="319" spans="1:52">
      <c r="A319" s="1">
        <f>HYPERLINK("https://lsnyc.legalserver.org/matter/dynamic-profile/view/1904298","19-1904298")</f>
        <v>0</v>
      </c>
      <c r="B319" t="s">
        <v>59</v>
      </c>
      <c r="C319" t="s">
        <v>155</v>
      </c>
      <c r="D319" t="s">
        <v>158</v>
      </c>
      <c r="F319" t="s">
        <v>501</v>
      </c>
      <c r="G319" t="s">
        <v>1089</v>
      </c>
      <c r="H319" t="s">
        <v>1656</v>
      </c>
      <c r="I319" t="s">
        <v>2080</v>
      </c>
      <c r="J319" t="s">
        <v>2192</v>
      </c>
      <c r="K319">
        <v>11213</v>
      </c>
      <c r="L319" t="s">
        <v>2224</v>
      </c>
      <c r="M319" t="s">
        <v>2226</v>
      </c>
      <c r="N319" t="s">
        <v>2366</v>
      </c>
      <c r="O319" t="s">
        <v>2533</v>
      </c>
      <c r="P319" t="s">
        <v>2558</v>
      </c>
      <c r="R319" t="s">
        <v>2569</v>
      </c>
      <c r="S319" t="s">
        <v>2225</v>
      </c>
      <c r="U319" t="s">
        <v>2578</v>
      </c>
      <c r="V319" t="s">
        <v>2588</v>
      </c>
      <c r="W319" t="s">
        <v>175</v>
      </c>
      <c r="X319">
        <v>300</v>
      </c>
      <c r="Y319" t="s">
        <v>2604</v>
      </c>
      <c r="Z319" t="s">
        <v>2614</v>
      </c>
      <c r="AB319" t="s">
        <v>2925</v>
      </c>
      <c r="AC319" t="s">
        <v>2513</v>
      </c>
      <c r="AD319" t="s">
        <v>3701</v>
      </c>
      <c r="AE319">
        <v>34</v>
      </c>
      <c r="AF319" t="s">
        <v>4110</v>
      </c>
      <c r="AG319" t="s">
        <v>2255</v>
      </c>
      <c r="AH319">
        <v>44</v>
      </c>
      <c r="AI319">
        <v>1</v>
      </c>
      <c r="AJ319">
        <v>0</v>
      </c>
      <c r="AK319">
        <v>86.47</v>
      </c>
      <c r="AN319" t="s">
        <v>4126</v>
      </c>
      <c r="AO319">
        <v>10800</v>
      </c>
      <c r="AU319">
        <v>37.6</v>
      </c>
      <c r="AV319" t="s">
        <v>188</v>
      </c>
      <c r="AW319" t="s">
        <v>4226</v>
      </c>
      <c r="AX319" t="s">
        <v>4266</v>
      </c>
      <c r="AY319" t="s">
        <v>2224</v>
      </c>
      <c r="AZ319" t="s">
        <v>2224</v>
      </c>
    </row>
    <row r="320" spans="1:52">
      <c r="A320" s="1">
        <f>HYPERLINK("https://lsnyc.legalserver.org/matter/dynamic-profile/view/1899388","19-1899388")</f>
        <v>0</v>
      </c>
      <c r="B320" t="s">
        <v>112</v>
      </c>
      <c r="C320" t="s">
        <v>154</v>
      </c>
      <c r="D320" t="s">
        <v>249</v>
      </c>
      <c r="E320" t="s">
        <v>221</v>
      </c>
      <c r="F320" t="s">
        <v>542</v>
      </c>
      <c r="G320" t="s">
        <v>940</v>
      </c>
      <c r="H320" t="s">
        <v>1657</v>
      </c>
      <c r="I320" t="s">
        <v>1966</v>
      </c>
      <c r="J320" t="s">
        <v>2195</v>
      </c>
      <c r="K320">
        <v>10301</v>
      </c>
      <c r="L320" t="s">
        <v>2224</v>
      </c>
      <c r="M320" t="s">
        <v>2226</v>
      </c>
      <c r="O320" t="s">
        <v>2533</v>
      </c>
      <c r="P320" t="s">
        <v>2556</v>
      </c>
      <c r="Q320" t="s">
        <v>2563</v>
      </c>
      <c r="R320" t="s">
        <v>2569</v>
      </c>
      <c r="S320" t="s">
        <v>2225</v>
      </c>
      <c r="U320" t="s">
        <v>2578</v>
      </c>
      <c r="V320" t="s">
        <v>2588</v>
      </c>
      <c r="W320" t="s">
        <v>244</v>
      </c>
      <c r="X320">
        <v>433</v>
      </c>
      <c r="Y320" t="s">
        <v>2606</v>
      </c>
      <c r="Z320" t="s">
        <v>2613</v>
      </c>
      <c r="AA320" t="s">
        <v>2626</v>
      </c>
      <c r="AB320" t="s">
        <v>2926</v>
      </c>
      <c r="AD320" t="s">
        <v>3702</v>
      </c>
      <c r="AE320">
        <v>2</v>
      </c>
      <c r="AF320" t="s">
        <v>4098</v>
      </c>
      <c r="AG320" t="s">
        <v>2255</v>
      </c>
      <c r="AH320">
        <v>1</v>
      </c>
      <c r="AI320">
        <v>1</v>
      </c>
      <c r="AJ320">
        <v>2</v>
      </c>
      <c r="AK320">
        <v>86.75</v>
      </c>
      <c r="AN320" t="s">
        <v>4126</v>
      </c>
      <c r="AO320">
        <v>18504</v>
      </c>
      <c r="AQ320" t="s">
        <v>4178</v>
      </c>
      <c r="AR320" t="s">
        <v>4181</v>
      </c>
      <c r="AS320" t="s">
        <v>4189</v>
      </c>
      <c r="AT320" t="s">
        <v>4211</v>
      </c>
      <c r="AU320">
        <v>0.2</v>
      </c>
      <c r="AV320" t="s">
        <v>244</v>
      </c>
      <c r="AW320" t="s">
        <v>4230</v>
      </c>
      <c r="AX320" t="s">
        <v>4266</v>
      </c>
      <c r="AY320" t="s">
        <v>2224</v>
      </c>
      <c r="AZ320" t="s">
        <v>2224</v>
      </c>
    </row>
    <row r="321" spans="1:52">
      <c r="A321" s="1">
        <f>HYPERLINK("https://lsnyc.legalserver.org/matter/dynamic-profile/view/1906841","19-1906841")</f>
        <v>0</v>
      </c>
      <c r="B321" t="s">
        <v>111</v>
      </c>
      <c r="C321" t="s">
        <v>154</v>
      </c>
      <c r="D321" t="s">
        <v>237</v>
      </c>
      <c r="E321" t="s">
        <v>200</v>
      </c>
      <c r="F321" t="s">
        <v>543</v>
      </c>
      <c r="G321" t="s">
        <v>1090</v>
      </c>
      <c r="H321" t="s">
        <v>1658</v>
      </c>
      <c r="I321" t="s">
        <v>1972</v>
      </c>
      <c r="J321" t="s">
        <v>2196</v>
      </c>
      <c r="K321">
        <v>10039</v>
      </c>
      <c r="L321" t="s">
        <v>2224</v>
      </c>
      <c r="M321" t="s">
        <v>2226</v>
      </c>
      <c r="N321" t="s">
        <v>2367</v>
      </c>
      <c r="O321" t="s">
        <v>2533</v>
      </c>
      <c r="P321" t="s">
        <v>2556</v>
      </c>
      <c r="Q321" t="s">
        <v>2563</v>
      </c>
      <c r="R321" t="s">
        <v>2569</v>
      </c>
      <c r="S321" t="s">
        <v>2225</v>
      </c>
      <c r="U321" t="s">
        <v>2578</v>
      </c>
      <c r="W321" t="s">
        <v>237</v>
      </c>
      <c r="X321">
        <v>500.88</v>
      </c>
      <c r="Y321" t="s">
        <v>2607</v>
      </c>
      <c r="Z321" t="s">
        <v>2608</v>
      </c>
      <c r="AA321" t="s">
        <v>2626</v>
      </c>
      <c r="AB321" t="s">
        <v>2927</v>
      </c>
      <c r="AC321" t="s">
        <v>3420</v>
      </c>
      <c r="AD321" t="s">
        <v>3703</v>
      </c>
      <c r="AE321">
        <v>10</v>
      </c>
      <c r="AF321" t="s">
        <v>4099</v>
      </c>
      <c r="AG321" t="s">
        <v>2255</v>
      </c>
      <c r="AH321">
        <v>2</v>
      </c>
      <c r="AI321">
        <v>1</v>
      </c>
      <c r="AJ321">
        <v>0</v>
      </c>
      <c r="AK321">
        <v>87.53</v>
      </c>
      <c r="AN321" t="s">
        <v>4126</v>
      </c>
      <c r="AO321">
        <v>10932</v>
      </c>
      <c r="AU321">
        <v>0</v>
      </c>
      <c r="AV321" t="s">
        <v>156</v>
      </c>
      <c r="AW321" t="s">
        <v>4238</v>
      </c>
      <c r="AX321" t="s">
        <v>4267</v>
      </c>
      <c r="AY321" t="s">
        <v>2226</v>
      </c>
      <c r="AZ321" t="s">
        <v>2225</v>
      </c>
    </row>
    <row r="322" spans="1:52">
      <c r="A322" s="1">
        <f>HYPERLINK("https://lsnyc.legalserver.org/matter/dynamic-profile/view/1905115","19-1905115")</f>
        <v>0</v>
      </c>
      <c r="B322" t="s">
        <v>68</v>
      </c>
      <c r="C322" t="s">
        <v>155</v>
      </c>
      <c r="D322" t="s">
        <v>180</v>
      </c>
      <c r="F322" t="s">
        <v>544</v>
      </c>
      <c r="G322" t="s">
        <v>1091</v>
      </c>
      <c r="H322" t="s">
        <v>1659</v>
      </c>
      <c r="I322" t="s">
        <v>2081</v>
      </c>
      <c r="J322" t="s">
        <v>2192</v>
      </c>
      <c r="K322">
        <v>11220</v>
      </c>
      <c r="L322" t="s">
        <v>2224</v>
      </c>
      <c r="M322" t="s">
        <v>2226</v>
      </c>
      <c r="P322" t="s">
        <v>2558</v>
      </c>
      <c r="R322" t="s">
        <v>2569</v>
      </c>
      <c r="S322" t="s">
        <v>2224</v>
      </c>
      <c r="U322" t="s">
        <v>2578</v>
      </c>
      <c r="W322" t="s">
        <v>210</v>
      </c>
      <c r="X322">
        <v>0</v>
      </c>
      <c r="Y322" t="s">
        <v>2604</v>
      </c>
      <c r="AB322" t="s">
        <v>2928</v>
      </c>
      <c r="AD322" t="s">
        <v>3704</v>
      </c>
      <c r="AE322">
        <v>54</v>
      </c>
      <c r="AG322" t="s">
        <v>4116</v>
      </c>
      <c r="AH322">
        <v>0</v>
      </c>
      <c r="AI322">
        <v>3</v>
      </c>
      <c r="AJ322">
        <v>0</v>
      </c>
      <c r="AK322">
        <v>88.05</v>
      </c>
      <c r="AN322" t="s">
        <v>4126</v>
      </c>
      <c r="AO322">
        <v>18780</v>
      </c>
      <c r="AU322">
        <v>61.45</v>
      </c>
      <c r="AV322" t="s">
        <v>4221</v>
      </c>
      <c r="AW322" t="s">
        <v>124</v>
      </c>
      <c r="AY322" t="s">
        <v>2224</v>
      </c>
      <c r="AZ322" t="s">
        <v>2224</v>
      </c>
    </row>
    <row r="323" spans="1:52">
      <c r="A323" s="1">
        <f>HYPERLINK("https://lsnyc.legalserver.org/matter/dynamic-profile/view/1909431","19-1909431")</f>
        <v>0</v>
      </c>
      <c r="B323" t="s">
        <v>55</v>
      </c>
      <c r="C323" t="s">
        <v>155</v>
      </c>
      <c r="D323" t="s">
        <v>194</v>
      </c>
      <c r="F323" t="s">
        <v>545</v>
      </c>
      <c r="G323" t="s">
        <v>987</v>
      </c>
      <c r="H323" t="s">
        <v>1660</v>
      </c>
      <c r="I323" t="s">
        <v>2000</v>
      </c>
      <c r="J323" t="s">
        <v>2202</v>
      </c>
      <c r="K323">
        <v>11101</v>
      </c>
      <c r="L323" t="s">
        <v>2224</v>
      </c>
      <c r="M323" t="s">
        <v>2226</v>
      </c>
      <c r="N323" t="s">
        <v>2368</v>
      </c>
      <c r="O323" t="s">
        <v>2537</v>
      </c>
      <c r="P323" t="s">
        <v>2561</v>
      </c>
      <c r="R323" t="s">
        <v>2569</v>
      </c>
      <c r="S323" t="s">
        <v>2225</v>
      </c>
      <c r="U323" t="s">
        <v>2578</v>
      </c>
      <c r="W323" t="s">
        <v>194</v>
      </c>
      <c r="X323">
        <v>0</v>
      </c>
      <c r="Y323" t="s">
        <v>2603</v>
      </c>
      <c r="AB323" t="s">
        <v>2812</v>
      </c>
      <c r="AD323" t="s">
        <v>3705</v>
      </c>
      <c r="AE323">
        <v>45</v>
      </c>
      <c r="AH323">
        <v>0</v>
      </c>
      <c r="AI323">
        <v>2</v>
      </c>
      <c r="AJ323">
        <v>0</v>
      </c>
      <c r="AK323">
        <v>88.7</v>
      </c>
      <c r="AN323" t="s">
        <v>4126</v>
      </c>
      <c r="AO323">
        <v>15000</v>
      </c>
      <c r="AU323">
        <v>0.9</v>
      </c>
      <c r="AV323" t="s">
        <v>194</v>
      </c>
      <c r="AW323" t="s">
        <v>4224</v>
      </c>
      <c r="AX323" t="s">
        <v>4266</v>
      </c>
      <c r="AY323" t="s">
        <v>2224</v>
      </c>
      <c r="AZ323" t="s">
        <v>2224</v>
      </c>
    </row>
    <row r="324" spans="1:52">
      <c r="A324" s="1">
        <f>HYPERLINK("https://lsnyc.legalserver.org/matter/dynamic-profile/view/1898572","19-1898572")</f>
        <v>0</v>
      </c>
      <c r="B324" t="s">
        <v>103</v>
      </c>
      <c r="C324" t="s">
        <v>155</v>
      </c>
      <c r="D324" t="s">
        <v>250</v>
      </c>
      <c r="F324" t="s">
        <v>546</v>
      </c>
      <c r="G324" t="s">
        <v>1092</v>
      </c>
      <c r="H324" t="s">
        <v>1661</v>
      </c>
      <c r="J324" t="s">
        <v>2188</v>
      </c>
      <c r="K324">
        <v>11436</v>
      </c>
      <c r="L324" t="s">
        <v>2224</v>
      </c>
      <c r="M324" t="s">
        <v>2224</v>
      </c>
      <c r="N324" t="s">
        <v>2369</v>
      </c>
      <c r="O324" t="s">
        <v>2533</v>
      </c>
      <c r="P324" t="s">
        <v>2556</v>
      </c>
      <c r="R324" t="s">
        <v>2569</v>
      </c>
      <c r="S324" t="s">
        <v>2225</v>
      </c>
      <c r="U324" t="s">
        <v>2578</v>
      </c>
      <c r="V324" t="s">
        <v>2587</v>
      </c>
      <c r="W324" t="s">
        <v>216</v>
      </c>
      <c r="X324">
        <v>1800</v>
      </c>
      <c r="Y324" t="s">
        <v>2603</v>
      </c>
      <c r="Z324" t="s">
        <v>2608</v>
      </c>
      <c r="AB324" t="s">
        <v>2929</v>
      </c>
      <c r="AD324" t="s">
        <v>3706</v>
      </c>
      <c r="AE324">
        <v>3</v>
      </c>
      <c r="AF324" t="s">
        <v>4107</v>
      </c>
      <c r="AG324" t="s">
        <v>2255</v>
      </c>
      <c r="AH324">
        <v>1</v>
      </c>
      <c r="AI324">
        <v>1</v>
      </c>
      <c r="AJ324">
        <v>2</v>
      </c>
      <c r="AK324">
        <v>89.08</v>
      </c>
      <c r="AO324">
        <v>19000</v>
      </c>
      <c r="AU324">
        <v>0.95</v>
      </c>
      <c r="AV324" t="s">
        <v>195</v>
      </c>
      <c r="AW324" t="s">
        <v>103</v>
      </c>
      <c r="AX324" t="s">
        <v>4266</v>
      </c>
      <c r="AY324" t="s">
        <v>2224</v>
      </c>
      <c r="AZ324" t="s">
        <v>2224</v>
      </c>
    </row>
    <row r="325" spans="1:52">
      <c r="A325" s="1">
        <f>HYPERLINK("https://lsnyc.legalserver.org/matter/dynamic-profile/view/1904398","19-1904398")</f>
        <v>0</v>
      </c>
      <c r="B325" t="s">
        <v>81</v>
      </c>
      <c r="C325" t="s">
        <v>154</v>
      </c>
      <c r="D325" t="s">
        <v>228</v>
      </c>
      <c r="E325" t="s">
        <v>228</v>
      </c>
      <c r="F325" t="s">
        <v>547</v>
      </c>
      <c r="G325" t="s">
        <v>849</v>
      </c>
      <c r="H325" t="s">
        <v>1662</v>
      </c>
      <c r="I325" t="s">
        <v>2027</v>
      </c>
      <c r="J325" t="s">
        <v>2192</v>
      </c>
      <c r="K325">
        <v>11212</v>
      </c>
      <c r="L325" t="s">
        <v>2224</v>
      </c>
      <c r="M325" t="s">
        <v>2226</v>
      </c>
      <c r="N325" t="s">
        <v>2255</v>
      </c>
      <c r="O325" t="s">
        <v>2238</v>
      </c>
      <c r="P325" t="s">
        <v>2561</v>
      </c>
      <c r="Q325" t="s">
        <v>2566</v>
      </c>
      <c r="R325" t="s">
        <v>2569</v>
      </c>
      <c r="S325" t="s">
        <v>2224</v>
      </c>
      <c r="U325" t="s">
        <v>2578</v>
      </c>
      <c r="V325" t="s">
        <v>2588</v>
      </c>
      <c r="W325" t="s">
        <v>201</v>
      </c>
      <c r="X325">
        <v>755</v>
      </c>
      <c r="Y325" t="s">
        <v>2604</v>
      </c>
      <c r="Z325" t="s">
        <v>2611</v>
      </c>
      <c r="AA325" t="s">
        <v>2637</v>
      </c>
      <c r="AB325" t="s">
        <v>2876</v>
      </c>
      <c r="AC325" t="s">
        <v>2255</v>
      </c>
      <c r="AD325" t="s">
        <v>3707</v>
      </c>
      <c r="AE325">
        <v>32</v>
      </c>
      <c r="AF325" t="s">
        <v>4099</v>
      </c>
      <c r="AG325" t="s">
        <v>2255</v>
      </c>
      <c r="AH325">
        <v>30</v>
      </c>
      <c r="AI325">
        <v>2</v>
      </c>
      <c r="AJ325">
        <v>0</v>
      </c>
      <c r="AK325">
        <v>89.13</v>
      </c>
      <c r="AN325" t="s">
        <v>4126</v>
      </c>
      <c r="AO325">
        <v>15072</v>
      </c>
      <c r="AU325">
        <v>1.5</v>
      </c>
      <c r="AV325" t="s">
        <v>201</v>
      </c>
      <c r="AW325" t="s">
        <v>4226</v>
      </c>
      <c r="AX325" t="s">
        <v>4266</v>
      </c>
      <c r="AY325" t="s">
        <v>2224</v>
      </c>
      <c r="AZ325" t="s">
        <v>2224</v>
      </c>
    </row>
    <row r="326" spans="1:52">
      <c r="A326" s="1">
        <f>HYPERLINK("https://lsnyc.legalserver.org/matter/dynamic-profile/view/1908992","19-1908992")</f>
        <v>0</v>
      </c>
      <c r="B326" t="s">
        <v>70</v>
      </c>
      <c r="C326" t="s">
        <v>154</v>
      </c>
      <c r="D326" t="s">
        <v>235</v>
      </c>
      <c r="E326" t="s">
        <v>263</v>
      </c>
      <c r="F326" t="s">
        <v>496</v>
      </c>
      <c r="G326" t="s">
        <v>1093</v>
      </c>
      <c r="H326" t="s">
        <v>1663</v>
      </c>
      <c r="I326" t="s">
        <v>1966</v>
      </c>
      <c r="J326" t="s">
        <v>2194</v>
      </c>
      <c r="K326">
        <v>10457</v>
      </c>
      <c r="L326" t="s">
        <v>2224</v>
      </c>
      <c r="M326" t="s">
        <v>2226</v>
      </c>
      <c r="O326" t="s">
        <v>2238</v>
      </c>
      <c r="P326" t="s">
        <v>2561</v>
      </c>
      <c r="Q326" t="s">
        <v>2563</v>
      </c>
      <c r="R326" t="s">
        <v>2569</v>
      </c>
      <c r="S326" t="s">
        <v>2225</v>
      </c>
      <c r="U326" t="s">
        <v>2578</v>
      </c>
      <c r="W326" t="s">
        <v>214</v>
      </c>
      <c r="X326">
        <v>2268</v>
      </c>
      <c r="Y326" t="s">
        <v>2605</v>
      </c>
      <c r="Z326" t="s">
        <v>2614</v>
      </c>
      <c r="AA326" t="s">
        <v>2626</v>
      </c>
      <c r="AB326" t="s">
        <v>2930</v>
      </c>
      <c r="AD326" t="s">
        <v>3708</v>
      </c>
      <c r="AE326">
        <v>3</v>
      </c>
      <c r="AF326" t="s">
        <v>4098</v>
      </c>
      <c r="AG326" t="s">
        <v>4112</v>
      </c>
      <c r="AH326">
        <v>1</v>
      </c>
      <c r="AI326">
        <v>1</v>
      </c>
      <c r="AJ326">
        <v>0</v>
      </c>
      <c r="AK326">
        <v>89.45</v>
      </c>
      <c r="AN326" t="s">
        <v>4127</v>
      </c>
      <c r="AO326">
        <v>11172</v>
      </c>
      <c r="AU326">
        <v>3.5</v>
      </c>
      <c r="AV326" t="s">
        <v>263</v>
      </c>
      <c r="AW326" t="s">
        <v>70</v>
      </c>
      <c r="AX326" t="s">
        <v>4266</v>
      </c>
      <c r="AY326" t="s">
        <v>2224</v>
      </c>
      <c r="AZ326" t="s">
        <v>2224</v>
      </c>
    </row>
    <row r="327" spans="1:52">
      <c r="A327" s="1">
        <f>HYPERLINK("https://lsnyc.legalserver.org/matter/dynamic-profile/view/1907026","19-1907026")</f>
        <v>0</v>
      </c>
      <c r="B327" t="s">
        <v>90</v>
      </c>
      <c r="C327" t="s">
        <v>155</v>
      </c>
      <c r="D327" t="s">
        <v>193</v>
      </c>
      <c r="F327" t="s">
        <v>456</v>
      </c>
      <c r="G327" t="s">
        <v>1094</v>
      </c>
      <c r="H327" t="s">
        <v>1664</v>
      </c>
      <c r="I327">
        <v>21</v>
      </c>
      <c r="J327" t="s">
        <v>2196</v>
      </c>
      <c r="K327">
        <v>10034</v>
      </c>
      <c r="L327" t="s">
        <v>2224</v>
      </c>
      <c r="M327" t="s">
        <v>2226</v>
      </c>
      <c r="N327" t="s">
        <v>2370</v>
      </c>
      <c r="O327" t="s">
        <v>2535</v>
      </c>
      <c r="P327" t="s">
        <v>2561</v>
      </c>
      <c r="R327" t="s">
        <v>2569</v>
      </c>
      <c r="S327" t="s">
        <v>2225</v>
      </c>
      <c r="U327" t="s">
        <v>2578</v>
      </c>
      <c r="W327" t="s">
        <v>183</v>
      </c>
      <c r="X327">
        <v>1717</v>
      </c>
      <c r="Y327" t="s">
        <v>2607</v>
      </c>
      <c r="Z327" t="s">
        <v>2618</v>
      </c>
      <c r="AB327" t="s">
        <v>2931</v>
      </c>
      <c r="AC327" t="s">
        <v>3421</v>
      </c>
      <c r="AD327" t="s">
        <v>3709</v>
      </c>
      <c r="AE327">
        <v>27</v>
      </c>
      <c r="AF327" t="s">
        <v>4099</v>
      </c>
      <c r="AG327" t="s">
        <v>2255</v>
      </c>
      <c r="AH327">
        <v>1</v>
      </c>
      <c r="AI327">
        <v>2</v>
      </c>
      <c r="AJ327">
        <v>1</v>
      </c>
      <c r="AK327">
        <v>89.45</v>
      </c>
      <c r="AN327" t="s">
        <v>4127</v>
      </c>
      <c r="AO327">
        <v>19080</v>
      </c>
      <c r="AU327">
        <v>4.85</v>
      </c>
      <c r="AV327" t="s">
        <v>189</v>
      </c>
      <c r="AW327" t="s">
        <v>4246</v>
      </c>
      <c r="AX327" t="s">
        <v>4267</v>
      </c>
      <c r="AY327" t="s">
        <v>2226</v>
      </c>
      <c r="AZ327" t="s">
        <v>2226</v>
      </c>
    </row>
    <row r="328" spans="1:52">
      <c r="A328" s="1">
        <f>HYPERLINK("https://lsnyc.legalserver.org/matter/dynamic-profile/view/1906897","19-1906897")</f>
        <v>0</v>
      </c>
      <c r="B328" t="s">
        <v>126</v>
      </c>
      <c r="C328" t="s">
        <v>154</v>
      </c>
      <c r="D328" t="s">
        <v>181</v>
      </c>
      <c r="E328" t="s">
        <v>211</v>
      </c>
      <c r="F328" t="s">
        <v>548</v>
      </c>
      <c r="G328" t="s">
        <v>1095</v>
      </c>
      <c r="H328" t="s">
        <v>1665</v>
      </c>
      <c r="I328" t="s">
        <v>1999</v>
      </c>
      <c r="J328" t="s">
        <v>2196</v>
      </c>
      <c r="K328">
        <v>10002</v>
      </c>
      <c r="L328" t="s">
        <v>2224</v>
      </c>
      <c r="M328" t="s">
        <v>2226</v>
      </c>
      <c r="O328" t="s">
        <v>2238</v>
      </c>
      <c r="P328" t="s">
        <v>2556</v>
      </c>
      <c r="Q328" t="s">
        <v>2563</v>
      </c>
      <c r="R328" t="s">
        <v>2569</v>
      </c>
      <c r="S328" t="s">
        <v>2225</v>
      </c>
      <c r="U328" t="s">
        <v>2578</v>
      </c>
      <c r="W328" t="s">
        <v>181</v>
      </c>
      <c r="X328">
        <v>947</v>
      </c>
      <c r="Y328" t="s">
        <v>2607</v>
      </c>
      <c r="Z328" t="s">
        <v>2609</v>
      </c>
      <c r="AA328" t="s">
        <v>2626</v>
      </c>
      <c r="AB328" t="s">
        <v>2932</v>
      </c>
      <c r="AD328" t="s">
        <v>3710</v>
      </c>
      <c r="AE328">
        <v>11</v>
      </c>
      <c r="AF328" t="s">
        <v>4099</v>
      </c>
      <c r="AG328" t="s">
        <v>4119</v>
      </c>
      <c r="AH328">
        <v>1</v>
      </c>
      <c r="AI328">
        <v>1</v>
      </c>
      <c r="AJ328">
        <v>0</v>
      </c>
      <c r="AK328">
        <v>89.93000000000001</v>
      </c>
      <c r="AN328" t="s">
        <v>4136</v>
      </c>
      <c r="AO328">
        <v>11232</v>
      </c>
      <c r="AU328">
        <v>2.4</v>
      </c>
      <c r="AV328" t="s">
        <v>184</v>
      </c>
      <c r="AW328" t="s">
        <v>4259</v>
      </c>
      <c r="AX328" t="s">
        <v>4266</v>
      </c>
      <c r="AY328" t="s">
        <v>2226</v>
      </c>
      <c r="AZ328" t="s">
        <v>2225</v>
      </c>
    </row>
    <row r="329" spans="1:52">
      <c r="A329" s="1">
        <f>HYPERLINK("https://lsnyc.legalserver.org/matter/dynamic-profile/view/1907469","19-1907469")</f>
        <v>0</v>
      </c>
      <c r="B329" t="s">
        <v>68</v>
      </c>
      <c r="C329" t="s">
        <v>155</v>
      </c>
      <c r="D329" t="s">
        <v>162</v>
      </c>
      <c r="F329" t="s">
        <v>549</v>
      </c>
      <c r="G329" t="s">
        <v>1096</v>
      </c>
      <c r="H329" t="s">
        <v>1422</v>
      </c>
      <c r="I329" t="s">
        <v>2082</v>
      </c>
      <c r="J329" t="s">
        <v>2192</v>
      </c>
      <c r="K329">
        <v>11225</v>
      </c>
      <c r="L329" t="s">
        <v>2224</v>
      </c>
      <c r="M329" t="s">
        <v>2226</v>
      </c>
      <c r="O329" t="s">
        <v>2539</v>
      </c>
      <c r="P329" t="s">
        <v>2557</v>
      </c>
      <c r="R329" t="s">
        <v>2569</v>
      </c>
      <c r="S329" t="s">
        <v>2224</v>
      </c>
      <c r="T329" t="s">
        <v>2571</v>
      </c>
      <c r="U329" t="s">
        <v>2578</v>
      </c>
      <c r="W329" t="s">
        <v>162</v>
      </c>
      <c r="X329">
        <v>0</v>
      </c>
      <c r="Y329" t="s">
        <v>2604</v>
      </c>
      <c r="AB329" t="s">
        <v>2933</v>
      </c>
      <c r="AE329">
        <v>46</v>
      </c>
      <c r="AH329">
        <v>0</v>
      </c>
      <c r="AI329">
        <v>3</v>
      </c>
      <c r="AJ329">
        <v>0</v>
      </c>
      <c r="AK329">
        <v>90.01000000000001</v>
      </c>
      <c r="AN329" t="s">
        <v>4126</v>
      </c>
      <c r="AO329">
        <v>19200</v>
      </c>
      <c r="AU329">
        <v>0</v>
      </c>
      <c r="AW329" t="s">
        <v>153</v>
      </c>
      <c r="AX329" t="s">
        <v>4266</v>
      </c>
      <c r="AY329" t="s">
        <v>2226</v>
      </c>
      <c r="AZ329" t="s">
        <v>2226</v>
      </c>
    </row>
    <row r="330" spans="1:52">
      <c r="A330" s="1">
        <f>HYPERLINK("https://lsnyc.legalserver.org/matter/dynamic-profile/view/1912442","19-1912442")</f>
        <v>0</v>
      </c>
      <c r="B330" t="s">
        <v>53</v>
      </c>
      <c r="C330" t="s">
        <v>155</v>
      </c>
      <c r="D330" t="s">
        <v>230</v>
      </c>
      <c r="F330" t="s">
        <v>550</v>
      </c>
      <c r="G330" t="s">
        <v>1097</v>
      </c>
      <c r="H330" t="s">
        <v>1397</v>
      </c>
      <c r="I330" t="s">
        <v>1967</v>
      </c>
      <c r="J330" t="s">
        <v>2187</v>
      </c>
      <c r="K330">
        <v>11691</v>
      </c>
      <c r="L330" t="s">
        <v>2224</v>
      </c>
      <c r="M330" t="s">
        <v>2226</v>
      </c>
      <c r="O330" t="s">
        <v>2534</v>
      </c>
      <c r="P330" t="s">
        <v>2558</v>
      </c>
      <c r="R330" t="s">
        <v>2569</v>
      </c>
      <c r="S330" t="s">
        <v>2225</v>
      </c>
      <c r="U330" t="s">
        <v>2578</v>
      </c>
      <c r="W330" t="s">
        <v>230</v>
      </c>
      <c r="X330">
        <v>675</v>
      </c>
      <c r="Y330" t="s">
        <v>2603</v>
      </c>
      <c r="Z330" t="s">
        <v>2609</v>
      </c>
      <c r="AB330" t="s">
        <v>2934</v>
      </c>
      <c r="AD330" t="s">
        <v>3711</v>
      </c>
      <c r="AE330">
        <v>43</v>
      </c>
      <c r="AF330" t="s">
        <v>4099</v>
      </c>
      <c r="AG330" t="s">
        <v>2255</v>
      </c>
      <c r="AH330">
        <v>8</v>
      </c>
      <c r="AI330">
        <v>1</v>
      </c>
      <c r="AJ330">
        <v>0</v>
      </c>
      <c r="AK330">
        <v>91.27</v>
      </c>
      <c r="AN330" t="s">
        <v>4126</v>
      </c>
      <c r="AO330">
        <v>11400</v>
      </c>
      <c r="AU330">
        <v>0.4</v>
      </c>
      <c r="AV330" t="s">
        <v>230</v>
      </c>
      <c r="AW330" t="s">
        <v>4224</v>
      </c>
      <c r="AX330" t="s">
        <v>4266</v>
      </c>
      <c r="AY330" t="s">
        <v>2224</v>
      </c>
      <c r="AZ330" t="s">
        <v>2224</v>
      </c>
    </row>
    <row r="331" spans="1:52">
      <c r="A331" s="1">
        <f>HYPERLINK("https://lsnyc.legalserver.org/matter/dynamic-profile/view/1906355","19-1906355")</f>
        <v>0</v>
      </c>
      <c r="B331" t="s">
        <v>120</v>
      </c>
      <c r="C331" t="s">
        <v>155</v>
      </c>
      <c r="D331" t="s">
        <v>195</v>
      </c>
      <c r="F331" t="s">
        <v>551</v>
      </c>
      <c r="G331" t="s">
        <v>941</v>
      </c>
      <c r="H331" t="s">
        <v>1666</v>
      </c>
      <c r="I331">
        <v>3</v>
      </c>
      <c r="J331" t="s">
        <v>2195</v>
      </c>
      <c r="K331">
        <v>10301</v>
      </c>
      <c r="L331" t="s">
        <v>2224</v>
      </c>
      <c r="M331" t="s">
        <v>2226</v>
      </c>
      <c r="N331" t="s">
        <v>2371</v>
      </c>
      <c r="O331" t="s">
        <v>2533</v>
      </c>
      <c r="P331" t="s">
        <v>2558</v>
      </c>
      <c r="R331" t="s">
        <v>2569</v>
      </c>
      <c r="S331" t="s">
        <v>2225</v>
      </c>
      <c r="U331" t="s">
        <v>2578</v>
      </c>
      <c r="V331" t="s">
        <v>2588</v>
      </c>
      <c r="W331" t="s">
        <v>244</v>
      </c>
      <c r="X331">
        <v>675</v>
      </c>
      <c r="Y331" t="s">
        <v>2606</v>
      </c>
      <c r="Z331" t="s">
        <v>2618</v>
      </c>
      <c r="AB331" t="s">
        <v>2935</v>
      </c>
      <c r="AD331" t="s">
        <v>3712</v>
      </c>
      <c r="AE331">
        <v>2</v>
      </c>
      <c r="AF331" t="s">
        <v>4098</v>
      </c>
      <c r="AG331" t="s">
        <v>2255</v>
      </c>
      <c r="AH331">
        <v>-1</v>
      </c>
      <c r="AI331">
        <v>2</v>
      </c>
      <c r="AJ331">
        <v>1</v>
      </c>
      <c r="AK331">
        <v>91.42</v>
      </c>
      <c r="AN331" t="s">
        <v>4126</v>
      </c>
      <c r="AO331">
        <v>19500</v>
      </c>
      <c r="AU331">
        <v>15.3</v>
      </c>
      <c r="AV331" t="s">
        <v>165</v>
      </c>
      <c r="AW331" t="s">
        <v>4230</v>
      </c>
      <c r="AX331" t="s">
        <v>4266</v>
      </c>
      <c r="AY331" t="s">
        <v>2224</v>
      </c>
      <c r="AZ331" t="s">
        <v>2224</v>
      </c>
    </row>
    <row r="332" spans="1:52">
      <c r="A332" s="1">
        <f>HYPERLINK("https://lsnyc.legalserver.org/matter/dynamic-profile/view/1910702","19-1910702")</f>
        <v>0</v>
      </c>
      <c r="B332" t="s">
        <v>89</v>
      </c>
      <c r="C332" t="s">
        <v>155</v>
      </c>
      <c r="D332" t="s">
        <v>200</v>
      </c>
      <c r="F332" t="s">
        <v>552</v>
      </c>
      <c r="G332" t="s">
        <v>484</v>
      </c>
      <c r="H332" t="s">
        <v>1667</v>
      </c>
      <c r="I332" t="s">
        <v>1947</v>
      </c>
      <c r="J332" t="s">
        <v>2199</v>
      </c>
      <c r="K332">
        <v>11355</v>
      </c>
      <c r="L332" t="s">
        <v>2224</v>
      </c>
      <c r="M332" t="s">
        <v>2226</v>
      </c>
      <c r="N332" t="s">
        <v>2372</v>
      </c>
      <c r="O332" t="s">
        <v>2533</v>
      </c>
      <c r="P332" t="s">
        <v>2556</v>
      </c>
      <c r="R332" t="s">
        <v>2569</v>
      </c>
      <c r="S332" t="s">
        <v>2225</v>
      </c>
      <c r="U332" t="s">
        <v>2578</v>
      </c>
      <c r="W332" t="s">
        <v>200</v>
      </c>
      <c r="X332">
        <v>1500</v>
      </c>
      <c r="Y332" t="s">
        <v>2603</v>
      </c>
      <c r="Z332" t="s">
        <v>2608</v>
      </c>
      <c r="AB332" t="s">
        <v>2936</v>
      </c>
      <c r="AD332" t="s">
        <v>3713</v>
      </c>
      <c r="AE332">
        <v>2</v>
      </c>
      <c r="AF332" t="s">
        <v>2518</v>
      </c>
      <c r="AG332" t="s">
        <v>2255</v>
      </c>
      <c r="AH332">
        <v>19</v>
      </c>
      <c r="AI332">
        <v>3</v>
      </c>
      <c r="AJ332">
        <v>0</v>
      </c>
      <c r="AK332">
        <v>92.17</v>
      </c>
      <c r="AN332" t="s">
        <v>4126</v>
      </c>
      <c r="AO332">
        <v>19660</v>
      </c>
      <c r="AU332">
        <v>1.4</v>
      </c>
      <c r="AV332" t="s">
        <v>200</v>
      </c>
      <c r="AW332" t="s">
        <v>4224</v>
      </c>
      <c r="AX332" t="s">
        <v>4266</v>
      </c>
      <c r="AY332" t="s">
        <v>2226</v>
      </c>
      <c r="AZ332" t="s">
        <v>2226</v>
      </c>
    </row>
    <row r="333" spans="1:52">
      <c r="A333" s="1">
        <f>HYPERLINK("https://lsnyc.legalserver.org/matter/dynamic-profile/view/1910958","19-1910958")</f>
        <v>0</v>
      </c>
      <c r="B333" t="s">
        <v>65</v>
      </c>
      <c r="C333" t="s">
        <v>155</v>
      </c>
      <c r="D333" t="s">
        <v>166</v>
      </c>
      <c r="F333" t="s">
        <v>553</v>
      </c>
      <c r="G333" t="s">
        <v>1098</v>
      </c>
      <c r="H333" t="s">
        <v>1668</v>
      </c>
      <c r="J333" t="s">
        <v>2192</v>
      </c>
      <c r="K333">
        <v>11208</v>
      </c>
      <c r="L333" t="s">
        <v>2224</v>
      </c>
      <c r="M333" t="s">
        <v>2226</v>
      </c>
      <c r="N333" t="s">
        <v>2373</v>
      </c>
      <c r="O333" t="s">
        <v>2535</v>
      </c>
      <c r="P333" t="s">
        <v>2559</v>
      </c>
      <c r="R333" t="s">
        <v>2569</v>
      </c>
      <c r="S333" t="s">
        <v>2225</v>
      </c>
      <c r="U333" t="s">
        <v>2578</v>
      </c>
      <c r="V333" t="s">
        <v>2588</v>
      </c>
      <c r="W333" t="s">
        <v>156</v>
      </c>
      <c r="X333">
        <v>1600</v>
      </c>
      <c r="Y333" t="s">
        <v>2604</v>
      </c>
      <c r="Z333" t="s">
        <v>2618</v>
      </c>
      <c r="AB333" t="s">
        <v>2937</v>
      </c>
      <c r="AC333" t="s">
        <v>3422</v>
      </c>
      <c r="AD333" t="s">
        <v>3714</v>
      </c>
      <c r="AE333">
        <v>2</v>
      </c>
      <c r="AF333" t="s">
        <v>4098</v>
      </c>
      <c r="AG333" t="s">
        <v>2255</v>
      </c>
      <c r="AH333">
        <v>0</v>
      </c>
      <c r="AI333">
        <v>2</v>
      </c>
      <c r="AJ333">
        <v>0</v>
      </c>
      <c r="AK333">
        <v>92.25</v>
      </c>
      <c r="AN333" t="s">
        <v>4127</v>
      </c>
      <c r="AO333">
        <v>15600</v>
      </c>
      <c r="AU333">
        <v>3.1</v>
      </c>
      <c r="AV333" t="s">
        <v>218</v>
      </c>
      <c r="AW333" t="s">
        <v>4226</v>
      </c>
      <c r="AX333" t="s">
        <v>4267</v>
      </c>
      <c r="AY333" t="s">
        <v>2224</v>
      </c>
      <c r="AZ333" t="s">
        <v>2224</v>
      </c>
    </row>
    <row r="334" spans="1:52">
      <c r="A334" s="1">
        <f>HYPERLINK("https://lsnyc.legalserver.org/matter/dynamic-profile/view/1910130","19-1910130")</f>
        <v>0</v>
      </c>
      <c r="B334" t="s">
        <v>70</v>
      </c>
      <c r="C334" t="s">
        <v>154</v>
      </c>
      <c r="D334" t="s">
        <v>211</v>
      </c>
      <c r="E334" t="s">
        <v>263</v>
      </c>
      <c r="F334" t="s">
        <v>554</v>
      </c>
      <c r="G334" t="s">
        <v>1099</v>
      </c>
      <c r="H334" t="s">
        <v>1669</v>
      </c>
      <c r="I334" t="s">
        <v>2083</v>
      </c>
      <c r="J334" t="s">
        <v>2194</v>
      </c>
      <c r="K334">
        <v>10452</v>
      </c>
      <c r="L334" t="s">
        <v>2224</v>
      </c>
      <c r="M334" t="s">
        <v>2226</v>
      </c>
      <c r="O334" t="s">
        <v>2238</v>
      </c>
      <c r="P334" t="s">
        <v>2556</v>
      </c>
      <c r="Q334" t="s">
        <v>2563</v>
      </c>
      <c r="R334" t="s">
        <v>2569</v>
      </c>
      <c r="S334" t="s">
        <v>2225</v>
      </c>
      <c r="U334" t="s">
        <v>2578</v>
      </c>
      <c r="W334" t="s">
        <v>214</v>
      </c>
      <c r="X334">
        <v>640</v>
      </c>
      <c r="Y334" t="s">
        <v>2605</v>
      </c>
      <c r="Z334" t="s">
        <v>2614</v>
      </c>
      <c r="AA334" t="s">
        <v>2626</v>
      </c>
      <c r="AB334" t="s">
        <v>2938</v>
      </c>
      <c r="AE334">
        <v>59</v>
      </c>
      <c r="AF334" t="s">
        <v>4111</v>
      </c>
      <c r="AG334" t="s">
        <v>2255</v>
      </c>
      <c r="AH334">
        <v>1</v>
      </c>
      <c r="AI334">
        <v>1</v>
      </c>
      <c r="AJ334">
        <v>1</v>
      </c>
      <c r="AK334">
        <v>92.25</v>
      </c>
      <c r="AN334" t="s">
        <v>4127</v>
      </c>
      <c r="AO334">
        <v>15600</v>
      </c>
      <c r="AU334">
        <v>1.6</v>
      </c>
      <c r="AV334" t="s">
        <v>263</v>
      </c>
      <c r="AW334" t="s">
        <v>70</v>
      </c>
      <c r="AX334" t="s">
        <v>4266</v>
      </c>
      <c r="AY334" t="s">
        <v>2226</v>
      </c>
      <c r="AZ334" t="s">
        <v>2225</v>
      </c>
    </row>
    <row r="335" spans="1:52">
      <c r="A335" s="1">
        <f>HYPERLINK("https://lsnyc.legalserver.org/matter/dynamic-profile/view/1908656","19-1908656")</f>
        <v>0</v>
      </c>
      <c r="B335" t="s">
        <v>87</v>
      </c>
      <c r="C335" t="s">
        <v>155</v>
      </c>
      <c r="D335" t="s">
        <v>171</v>
      </c>
      <c r="F335" t="s">
        <v>555</v>
      </c>
      <c r="G335" t="s">
        <v>1100</v>
      </c>
      <c r="H335" t="s">
        <v>1520</v>
      </c>
      <c r="I335" t="s">
        <v>2084</v>
      </c>
      <c r="J335" t="s">
        <v>2196</v>
      </c>
      <c r="K335">
        <v>10035</v>
      </c>
      <c r="L335" t="s">
        <v>2224</v>
      </c>
      <c r="M335" t="s">
        <v>2226</v>
      </c>
      <c r="O335" t="s">
        <v>2534</v>
      </c>
      <c r="P335" t="s">
        <v>2561</v>
      </c>
      <c r="R335" t="s">
        <v>2569</v>
      </c>
      <c r="S335" t="s">
        <v>2224</v>
      </c>
      <c r="U335" t="s">
        <v>2578</v>
      </c>
      <c r="V335" t="s">
        <v>2588</v>
      </c>
      <c r="W335" t="s">
        <v>171</v>
      </c>
      <c r="X335">
        <v>1883.38</v>
      </c>
      <c r="Y335" t="s">
        <v>2607</v>
      </c>
      <c r="Z335" t="s">
        <v>2609</v>
      </c>
      <c r="AB335" t="s">
        <v>2939</v>
      </c>
      <c r="AD335" t="s">
        <v>3715</v>
      </c>
      <c r="AE335">
        <v>72</v>
      </c>
      <c r="AF335" t="s">
        <v>4099</v>
      </c>
      <c r="AG335" t="s">
        <v>4112</v>
      </c>
      <c r="AH335">
        <v>36</v>
      </c>
      <c r="AI335">
        <v>1</v>
      </c>
      <c r="AJ335">
        <v>0</v>
      </c>
      <c r="AK335">
        <v>92.52</v>
      </c>
      <c r="AN335" t="s">
        <v>4126</v>
      </c>
      <c r="AO335">
        <v>11556</v>
      </c>
      <c r="AU335">
        <v>6.5</v>
      </c>
      <c r="AV335" t="s">
        <v>247</v>
      </c>
      <c r="AW335" t="s">
        <v>4237</v>
      </c>
      <c r="AX335" t="s">
        <v>4266</v>
      </c>
      <c r="AY335" t="s">
        <v>2224</v>
      </c>
      <c r="AZ335" t="s">
        <v>2224</v>
      </c>
    </row>
    <row r="336" spans="1:52">
      <c r="A336" s="1">
        <f>HYPERLINK("https://lsnyc.legalserver.org/matter/dynamic-profile/view/1912268","19-1912268")</f>
        <v>0</v>
      </c>
      <c r="B336" t="s">
        <v>76</v>
      </c>
      <c r="C336" t="s">
        <v>155</v>
      </c>
      <c r="D336" t="s">
        <v>199</v>
      </c>
      <c r="F336" t="s">
        <v>556</v>
      </c>
      <c r="G336" t="s">
        <v>1101</v>
      </c>
      <c r="H336" t="s">
        <v>1537</v>
      </c>
      <c r="I336">
        <v>1</v>
      </c>
      <c r="J336" t="s">
        <v>2196</v>
      </c>
      <c r="K336">
        <v>10033</v>
      </c>
      <c r="L336" t="s">
        <v>2224</v>
      </c>
      <c r="M336" t="s">
        <v>2226</v>
      </c>
      <c r="O336" t="s">
        <v>2551</v>
      </c>
      <c r="P336" t="s">
        <v>2558</v>
      </c>
      <c r="R336" t="s">
        <v>2569</v>
      </c>
      <c r="S336" t="s">
        <v>2225</v>
      </c>
      <c r="U336" t="s">
        <v>2578</v>
      </c>
      <c r="W336" t="s">
        <v>199</v>
      </c>
      <c r="X336">
        <v>0</v>
      </c>
      <c r="Y336" t="s">
        <v>2607</v>
      </c>
      <c r="Z336" t="s">
        <v>2613</v>
      </c>
      <c r="AB336" t="s">
        <v>2940</v>
      </c>
      <c r="AD336" t="s">
        <v>3716</v>
      </c>
      <c r="AE336">
        <v>20</v>
      </c>
      <c r="AG336" t="s">
        <v>4116</v>
      </c>
      <c r="AH336">
        <v>29</v>
      </c>
      <c r="AI336">
        <v>2</v>
      </c>
      <c r="AJ336">
        <v>0</v>
      </c>
      <c r="AK336">
        <v>92.54000000000001</v>
      </c>
      <c r="AN336" t="s">
        <v>4127</v>
      </c>
      <c r="AO336">
        <v>15648</v>
      </c>
      <c r="AU336">
        <v>0</v>
      </c>
      <c r="AW336" t="s">
        <v>80</v>
      </c>
      <c r="AX336" t="s">
        <v>4266</v>
      </c>
      <c r="AY336" t="s">
        <v>2226</v>
      </c>
      <c r="AZ336" t="s">
        <v>2226</v>
      </c>
    </row>
    <row r="337" spans="1:52">
      <c r="A337" s="1">
        <f>HYPERLINK("https://lsnyc.legalserver.org/matter/dynamic-profile/view/1909027","19-1909027")</f>
        <v>0</v>
      </c>
      <c r="B337" t="s">
        <v>76</v>
      </c>
      <c r="C337" t="s">
        <v>155</v>
      </c>
      <c r="D337" t="s">
        <v>212</v>
      </c>
      <c r="F337" t="s">
        <v>556</v>
      </c>
      <c r="G337" t="s">
        <v>1101</v>
      </c>
      <c r="H337" t="s">
        <v>1537</v>
      </c>
      <c r="I337">
        <v>1</v>
      </c>
      <c r="J337" t="s">
        <v>2196</v>
      </c>
      <c r="K337">
        <v>10033</v>
      </c>
      <c r="L337" t="s">
        <v>2224</v>
      </c>
      <c r="M337" t="s">
        <v>2226</v>
      </c>
      <c r="P337" t="s">
        <v>2559</v>
      </c>
      <c r="R337" t="s">
        <v>2569</v>
      </c>
      <c r="S337" t="s">
        <v>2224</v>
      </c>
      <c r="U337" t="s">
        <v>2578</v>
      </c>
      <c r="W337" t="s">
        <v>212</v>
      </c>
      <c r="X337">
        <v>0</v>
      </c>
      <c r="Y337" t="s">
        <v>2607</v>
      </c>
      <c r="Z337" t="s">
        <v>2613</v>
      </c>
      <c r="AB337" t="s">
        <v>2940</v>
      </c>
      <c r="AD337" t="s">
        <v>3716</v>
      </c>
      <c r="AE337">
        <v>20</v>
      </c>
      <c r="AF337" t="s">
        <v>4099</v>
      </c>
      <c r="AG337" t="s">
        <v>4116</v>
      </c>
      <c r="AH337">
        <v>2</v>
      </c>
      <c r="AI337">
        <v>2</v>
      </c>
      <c r="AJ337">
        <v>0</v>
      </c>
      <c r="AK337">
        <v>92.54000000000001</v>
      </c>
      <c r="AN337" t="s">
        <v>4127</v>
      </c>
      <c r="AO337">
        <v>15648</v>
      </c>
      <c r="AU337">
        <v>0</v>
      </c>
      <c r="AW337" t="s">
        <v>80</v>
      </c>
      <c r="AX337" t="s">
        <v>4266</v>
      </c>
      <c r="AY337" t="s">
        <v>2226</v>
      </c>
      <c r="AZ337" t="s">
        <v>2226</v>
      </c>
    </row>
    <row r="338" spans="1:52">
      <c r="A338" s="1">
        <f>HYPERLINK("https://lsnyc.legalserver.org/matter/dynamic-profile/view/1909476","19-1909476")</f>
        <v>0</v>
      </c>
      <c r="B338" t="s">
        <v>129</v>
      </c>
      <c r="C338" t="s">
        <v>155</v>
      </c>
      <c r="D338" t="s">
        <v>178</v>
      </c>
      <c r="F338" t="s">
        <v>557</v>
      </c>
      <c r="G338" t="s">
        <v>1102</v>
      </c>
      <c r="H338" t="s">
        <v>1670</v>
      </c>
      <c r="I338" t="s">
        <v>2085</v>
      </c>
      <c r="J338" t="s">
        <v>2195</v>
      </c>
      <c r="K338">
        <v>10304</v>
      </c>
      <c r="L338" t="s">
        <v>2225</v>
      </c>
      <c r="M338" t="s">
        <v>2226</v>
      </c>
      <c r="N338" t="s">
        <v>2374</v>
      </c>
      <c r="O338" t="s">
        <v>2533</v>
      </c>
      <c r="R338" t="s">
        <v>2569</v>
      </c>
      <c r="S338" t="s">
        <v>2225</v>
      </c>
      <c r="U338" t="s">
        <v>2578</v>
      </c>
      <c r="V338" t="s">
        <v>2588</v>
      </c>
      <c r="W338" t="s">
        <v>257</v>
      </c>
      <c r="X338">
        <v>500</v>
      </c>
      <c r="Y338" t="s">
        <v>2606</v>
      </c>
      <c r="Z338" t="s">
        <v>2611</v>
      </c>
      <c r="AB338" t="s">
        <v>2941</v>
      </c>
      <c r="AD338" t="s">
        <v>3717</v>
      </c>
      <c r="AE338">
        <v>0</v>
      </c>
      <c r="AF338" t="s">
        <v>2518</v>
      </c>
      <c r="AH338">
        <v>1</v>
      </c>
      <c r="AI338">
        <v>2</v>
      </c>
      <c r="AJ338">
        <v>0</v>
      </c>
      <c r="AK338">
        <v>92.61</v>
      </c>
      <c r="AN338" t="s">
        <v>4127</v>
      </c>
      <c r="AO338">
        <v>15660</v>
      </c>
      <c r="AU338">
        <v>7.4</v>
      </c>
      <c r="AV338" t="s">
        <v>241</v>
      </c>
      <c r="AW338" t="s">
        <v>4230</v>
      </c>
      <c r="AY338" t="s">
        <v>2226</v>
      </c>
      <c r="AZ338" t="s">
        <v>2226</v>
      </c>
    </row>
    <row r="339" spans="1:52">
      <c r="A339" s="1">
        <f>HYPERLINK("https://lsnyc.legalserver.org/matter/dynamic-profile/view/1905354","19-1905354")</f>
        <v>0</v>
      </c>
      <c r="B339" t="s">
        <v>130</v>
      </c>
      <c r="C339" t="s">
        <v>155</v>
      </c>
      <c r="D339" t="s">
        <v>205</v>
      </c>
      <c r="F339" t="s">
        <v>558</v>
      </c>
      <c r="G339" t="s">
        <v>965</v>
      </c>
      <c r="H339" t="s">
        <v>1671</v>
      </c>
      <c r="I339" t="s">
        <v>2086</v>
      </c>
      <c r="J339" t="s">
        <v>2194</v>
      </c>
      <c r="K339">
        <v>10459</v>
      </c>
      <c r="L339" t="s">
        <v>2224</v>
      </c>
      <c r="M339" t="s">
        <v>2226</v>
      </c>
      <c r="N339" t="s">
        <v>2375</v>
      </c>
      <c r="O339" t="s">
        <v>2533</v>
      </c>
      <c r="P339" t="s">
        <v>2558</v>
      </c>
      <c r="R339" t="s">
        <v>2569</v>
      </c>
      <c r="U339" t="s">
        <v>2578</v>
      </c>
      <c r="W339" t="s">
        <v>216</v>
      </c>
      <c r="X339">
        <v>833</v>
      </c>
      <c r="Y339" t="s">
        <v>2605</v>
      </c>
      <c r="Z339" t="s">
        <v>2611</v>
      </c>
      <c r="AB339" t="s">
        <v>2942</v>
      </c>
      <c r="AC339" t="s">
        <v>3423</v>
      </c>
      <c r="AD339" t="s">
        <v>3718</v>
      </c>
      <c r="AE339">
        <v>67</v>
      </c>
      <c r="AF339" t="s">
        <v>4099</v>
      </c>
      <c r="AG339" t="s">
        <v>2255</v>
      </c>
      <c r="AH339">
        <v>14</v>
      </c>
      <c r="AI339">
        <v>3</v>
      </c>
      <c r="AJ339">
        <v>0</v>
      </c>
      <c r="AK339">
        <v>92.70999999999999</v>
      </c>
      <c r="AN339" t="s">
        <v>4127</v>
      </c>
      <c r="AO339">
        <v>19776</v>
      </c>
      <c r="AU339">
        <v>23</v>
      </c>
      <c r="AV339" t="s">
        <v>204</v>
      </c>
      <c r="AW339" t="s">
        <v>4254</v>
      </c>
      <c r="AX339" t="s">
        <v>4267</v>
      </c>
      <c r="AY339" t="s">
        <v>2226</v>
      </c>
      <c r="AZ339" t="s">
        <v>2226</v>
      </c>
    </row>
    <row r="340" spans="1:52">
      <c r="A340" s="1">
        <f>HYPERLINK("https://lsnyc.legalserver.org/matter/dynamic-profile/view/1905129","19-1905129")</f>
        <v>0</v>
      </c>
      <c r="B340" t="s">
        <v>66</v>
      </c>
      <c r="C340" t="s">
        <v>155</v>
      </c>
      <c r="D340" t="s">
        <v>180</v>
      </c>
      <c r="F340" t="s">
        <v>559</v>
      </c>
      <c r="G340" t="s">
        <v>1103</v>
      </c>
      <c r="H340" t="s">
        <v>1672</v>
      </c>
      <c r="I340" t="s">
        <v>2087</v>
      </c>
      <c r="J340" t="s">
        <v>2192</v>
      </c>
      <c r="K340">
        <v>11218</v>
      </c>
      <c r="L340" t="s">
        <v>2224</v>
      </c>
      <c r="M340" t="s">
        <v>2226</v>
      </c>
      <c r="N340" t="s">
        <v>2376</v>
      </c>
      <c r="O340" t="s">
        <v>2533</v>
      </c>
      <c r="P340" t="s">
        <v>2558</v>
      </c>
      <c r="R340" t="s">
        <v>2569</v>
      </c>
      <c r="S340" t="s">
        <v>2225</v>
      </c>
      <c r="U340" t="s">
        <v>2578</v>
      </c>
      <c r="V340" t="s">
        <v>2588</v>
      </c>
      <c r="W340" t="s">
        <v>2594</v>
      </c>
      <c r="X340">
        <v>1627</v>
      </c>
      <c r="Y340" t="s">
        <v>2604</v>
      </c>
      <c r="Z340" t="s">
        <v>2613</v>
      </c>
      <c r="AB340" t="s">
        <v>2943</v>
      </c>
      <c r="AD340" t="s">
        <v>3719</v>
      </c>
      <c r="AE340">
        <v>6</v>
      </c>
      <c r="AF340" t="s">
        <v>4098</v>
      </c>
      <c r="AH340">
        <v>13</v>
      </c>
      <c r="AI340">
        <v>1</v>
      </c>
      <c r="AJ340">
        <v>0</v>
      </c>
      <c r="AK340">
        <v>93</v>
      </c>
      <c r="AN340" t="s">
        <v>4126</v>
      </c>
      <c r="AO340">
        <v>11616</v>
      </c>
      <c r="AU340">
        <v>75.90000000000001</v>
      </c>
      <c r="AV340" t="s">
        <v>188</v>
      </c>
      <c r="AW340" t="s">
        <v>4254</v>
      </c>
      <c r="AX340" t="s">
        <v>4266</v>
      </c>
      <c r="AY340" t="s">
        <v>2224</v>
      </c>
      <c r="AZ340" t="s">
        <v>2224</v>
      </c>
    </row>
    <row r="341" spans="1:52">
      <c r="A341" s="1">
        <f>HYPERLINK("https://lsnyc.legalserver.org/matter/dynamic-profile/view/1907790","19-1907790")</f>
        <v>0</v>
      </c>
      <c r="B341" t="s">
        <v>81</v>
      </c>
      <c r="C341" t="s">
        <v>155</v>
      </c>
      <c r="D341" t="s">
        <v>183</v>
      </c>
      <c r="F341" t="s">
        <v>560</v>
      </c>
      <c r="G341" t="s">
        <v>1104</v>
      </c>
      <c r="H341" t="s">
        <v>1450</v>
      </c>
      <c r="I341" t="s">
        <v>2088</v>
      </c>
      <c r="J341" t="s">
        <v>2192</v>
      </c>
      <c r="K341">
        <v>11212</v>
      </c>
      <c r="L341" t="s">
        <v>2224</v>
      </c>
      <c r="M341" t="s">
        <v>2226</v>
      </c>
      <c r="N341" t="s">
        <v>2255</v>
      </c>
      <c r="O341" t="s">
        <v>2539</v>
      </c>
      <c r="P341" t="s">
        <v>2561</v>
      </c>
      <c r="R341" t="s">
        <v>2569</v>
      </c>
      <c r="S341" t="s">
        <v>2224</v>
      </c>
      <c r="U341" t="s">
        <v>2578</v>
      </c>
      <c r="V341" t="s">
        <v>2588</v>
      </c>
      <c r="W341" t="s">
        <v>173</v>
      </c>
      <c r="X341">
        <v>164.4</v>
      </c>
      <c r="Y341" t="s">
        <v>2604</v>
      </c>
      <c r="Z341" t="s">
        <v>2614</v>
      </c>
      <c r="AB341" t="s">
        <v>2944</v>
      </c>
      <c r="AD341" t="s">
        <v>3720</v>
      </c>
      <c r="AE341">
        <v>96</v>
      </c>
      <c r="AF341" t="s">
        <v>4099</v>
      </c>
      <c r="AG341" t="s">
        <v>2611</v>
      </c>
      <c r="AH341">
        <v>10</v>
      </c>
      <c r="AI341">
        <v>1</v>
      </c>
      <c r="AJ341">
        <v>0</v>
      </c>
      <c r="AK341">
        <v>93.09999999999999</v>
      </c>
      <c r="AN341" t="s">
        <v>4126</v>
      </c>
      <c r="AO341">
        <v>11628</v>
      </c>
      <c r="AU341">
        <v>0.08</v>
      </c>
      <c r="AV341" t="s">
        <v>272</v>
      </c>
      <c r="AW341" t="s">
        <v>127</v>
      </c>
      <c r="AX341" t="s">
        <v>4266</v>
      </c>
      <c r="AY341" t="s">
        <v>2224</v>
      </c>
      <c r="AZ341" t="s">
        <v>2224</v>
      </c>
    </row>
    <row r="342" spans="1:52">
      <c r="A342" s="1">
        <f>HYPERLINK("https://lsnyc.legalserver.org/matter/dynamic-profile/view/1907453","19-1907453")</f>
        <v>0</v>
      </c>
      <c r="B342" t="s">
        <v>131</v>
      </c>
      <c r="C342" t="s">
        <v>155</v>
      </c>
      <c r="D342" t="s">
        <v>162</v>
      </c>
      <c r="F342" t="s">
        <v>561</v>
      </c>
      <c r="G342" t="s">
        <v>1105</v>
      </c>
      <c r="H342" t="s">
        <v>1673</v>
      </c>
      <c r="I342" t="s">
        <v>1994</v>
      </c>
      <c r="J342" t="s">
        <v>2214</v>
      </c>
      <c r="K342">
        <v>11421</v>
      </c>
      <c r="L342" t="s">
        <v>2224</v>
      </c>
      <c r="M342" t="s">
        <v>2226</v>
      </c>
      <c r="N342" t="s">
        <v>2377</v>
      </c>
      <c r="O342" t="s">
        <v>2533</v>
      </c>
      <c r="P342" t="s">
        <v>2558</v>
      </c>
      <c r="R342" t="s">
        <v>2569</v>
      </c>
      <c r="S342" t="s">
        <v>2225</v>
      </c>
      <c r="U342" t="s">
        <v>2578</v>
      </c>
      <c r="V342" t="s">
        <v>2591</v>
      </c>
      <c r="W342" t="s">
        <v>162</v>
      </c>
      <c r="X342">
        <v>1800</v>
      </c>
      <c r="Y342" t="s">
        <v>2603</v>
      </c>
      <c r="Z342" t="s">
        <v>2608</v>
      </c>
      <c r="AB342" t="s">
        <v>2945</v>
      </c>
      <c r="AD342" t="s">
        <v>3721</v>
      </c>
      <c r="AE342">
        <v>2</v>
      </c>
      <c r="AF342" t="s">
        <v>2518</v>
      </c>
      <c r="AG342" t="s">
        <v>2255</v>
      </c>
      <c r="AH342">
        <v>8</v>
      </c>
      <c r="AI342">
        <v>1</v>
      </c>
      <c r="AJ342">
        <v>3</v>
      </c>
      <c r="AK342">
        <v>93.2</v>
      </c>
      <c r="AN342" t="s">
        <v>4126</v>
      </c>
      <c r="AO342">
        <v>24000</v>
      </c>
      <c r="AU342">
        <v>29.25</v>
      </c>
      <c r="AV342" t="s">
        <v>222</v>
      </c>
      <c r="AW342" t="s">
        <v>4224</v>
      </c>
      <c r="AX342" t="s">
        <v>4266</v>
      </c>
      <c r="AY342" t="s">
        <v>2224</v>
      </c>
      <c r="AZ342" t="s">
        <v>2224</v>
      </c>
    </row>
    <row r="343" spans="1:52">
      <c r="A343" s="1">
        <f>HYPERLINK("https://lsnyc.legalserver.org/matter/dynamic-profile/view/1909614","19-1909614")</f>
        <v>0</v>
      </c>
      <c r="B343" t="s">
        <v>78</v>
      </c>
      <c r="C343" t="s">
        <v>155</v>
      </c>
      <c r="D343" t="s">
        <v>242</v>
      </c>
      <c r="F343" t="s">
        <v>562</v>
      </c>
      <c r="G343" t="s">
        <v>1106</v>
      </c>
      <c r="H343" t="s">
        <v>1674</v>
      </c>
      <c r="J343" t="s">
        <v>2196</v>
      </c>
      <c r="K343">
        <v>10033</v>
      </c>
      <c r="L343" t="s">
        <v>2224</v>
      </c>
      <c r="M343" t="s">
        <v>2226</v>
      </c>
      <c r="P343" t="s">
        <v>2559</v>
      </c>
      <c r="R343" t="s">
        <v>2569</v>
      </c>
      <c r="S343" t="s">
        <v>2225</v>
      </c>
      <c r="U343" t="s">
        <v>2578</v>
      </c>
      <c r="W343" t="s">
        <v>242</v>
      </c>
      <c r="X343">
        <v>370</v>
      </c>
      <c r="Y343" t="s">
        <v>2607</v>
      </c>
      <c r="Z343" t="s">
        <v>2617</v>
      </c>
      <c r="AB343" t="s">
        <v>2946</v>
      </c>
      <c r="AD343" t="s">
        <v>3722</v>
      </c>
      <c r="AE343">
        <v>43</v>
      </c>
      <c r="AF343" t="s">
        <v>4110</v>
      </c>
      <c r="AG343" t="s">
        <v>2255</v>
      </c>
      <c r="AH343">
        <v>30</v>
      </c>
      <c r="AI343">
        <v>4</v>
      </c>
      <c r="AJ343">
        <v>0</v>
      </c>
      <c r="AK343">
        <v>93.2</v>
      </c>
      <c r="AN343" t="s">
        <v>4127</v>
      </c>
      <c r="AO343">
        <v>23998</v>
      </c>
      <c r="AU343">
        <v>0</v>
      </c>
      <c r="AW343" t="s">
        <v>80</v>
      </c>
      <c r="AX343" t="s">
        <v>4266</v>
      </c>
      <c r="AY343" t="s">
        <v>2226</v>
      </c>
      <c r="AZ343" t="s">
        <v>2226</v>
      </c>
    </row>
    <row r="344" spans="1:52">
      <c r="A344" s="1">
        <f>HYPERLINK("https://lsnyc.legalserver.org/matter/dynamic-profile/view/1907462","19-1907462")</f>
        <v>0</v>
      </c>
      <c r="B344" t="s">
        <v>103</v>
      </c>
      <c r="C344" t="s">
        <v>155</v>
      </c>
      <c r="D344" t="s">
        <v>162</v>
      </c>
      <c r="F344" t="s">
        <v>563</v>
      </c>
      <c r="G344" t="s">
        <v>1107</v>
      </c>
      <c r="H344" t="s">
        <v>1675</v>
      </c>
      <c r="J344" t="s">
        <v>2198</v>
      </c>
      <c r="K344">
        <v>11429</v>
      </c>
      <c r="L344" t="s">
        <v>2224</v>
      </c>
      <c r="M344" t="s">
        <v>2226</v>
      </c>
      <c r="N344" t="s">
        <v>2378</v>
      </c>
      <c r="O344" t="s">
        <v>2533</v>
      </c>
      <c r="P344" t="s">
        <v>2556</v>
      </c>
      <c r="R344" t="s">
        <v>2569</v>
      </c>
      <c r="S344" t="s">
        <v>2225</v>
      </c>
      <c r="U344" t="s">
        <v>2578</v>
      </c>
      <c r="V344" t="s">
        <v>2591</v>
      </c>
      <c r="W344" t="s">
        <v>162</v>
      </c>
      <c r="X344">
        <v>450</v>
      </c>
      <c r="Y344" t="s">
        <v>2603</v>
      </c>
      <c r="Z344" t="s">
        <v>2608</v>
      </c>
      <c r="AB344" t="s">
        <v>2947</v>
      </c>
      <c r="AD344" t="s">
        <v>3419</v>
      </c>
      <c r="AE344">
        <v>2</v>
      </c>
      <c r="AF344" t="s">
        <v>2518</v>
      </c>
      <c r="AG344" t="s">
        <v>2255</v>
      </c>
      <c r="AH344">
        <v>2</v>
      </c>
      <c r="AI344">
        <v>1</v>
      </c>
      <c r="AJ344">
        <v>2</v>
      </c>
      <c r="AK344">
        <v>93.76000000000001</v>
      </c>
      <c r="AN344" t="s">
        <v>4126</v>
      </c>
      <c r="AO344">
        <v>20000</v>
      </c>
      <c r="AU344">
        <v>2.45</v>
      </c>
      <c r="AV344" t="s">
        <v>171</v>
      </c>
      <c r="AW344" t="s">
        <v>4224</v>
      </c>
      <c r="AX344" t="s">
        <v>4266</v>
      </c>
      <c r="AY344" t="s">
        <v>2224</v>
      </c>
      <c r="AZ344" t="s">
        <v>2224</v>
      </c>
    </row>
    <row r="345" spans="1:52">
      <c r="A345" s="1">
        <f>HYPERLINK("https://lsnyc.legalserver.org/matter/dynamic-profile/view/1906488","19-1906488")</f>
        <v>0</v>
      </c>
      <c r="B345" t="s">
        <v>52</v>
      </c>
      <c r="C345" t="s">
        <v>154</v>
      </c>
      <c r="D345" t="s">
        <v>244</v>
      </c>
      <c r="E345" t="s">
        <v>170</v>
      </c>
      <c r="F345" t="s">
        <v>564</v>
      </c>
      <c r="G345" t="s">
        <v>1108</v>
      </c>
      <c r="H345" t="s">
        <v>1676</v>
      </c>
      <c r="I345" t="s">
        <v>2089</v>
      </c>
      <c r="J345" t="s">
        <v>2199</v>
      </c>
      <c r="K345">
        <v>11355</v>
      </c>
      <c r="L345" t="s">
        <v>2224</v>
      </c>
      <c r="M345" t="s">
        <v>2226</v>
      </c>
      <c r="N345" t="s">
        <v>2244</v>
      </c>
      <c r="O345" t="s">
        <v>2238</v>
      </c>
      <c r="P345" t="s">
        <v>2561</v>
      </c>
      <c r="Q345" t="s">
        <v>2566</v>
      </c>
      <c r="R345" t="s">
        <v>2569</v>
      </c>
      <c r="S345" t="s">
        <v>2225</v>
      </c>
      <c r="U345" t="s">
        <v>2578</v>
      </c>
      <c r="V345" t="s">
        <v>2588</v>
      </c>
      <c r="W345" t="s">
        <v>244</v>
      </c>
      <c r="X345">
        <v>1750</v>
      </c>
      <c r="Y345" t="s">
        <v>2603</v>
      </c>
      <c r="Z345" t="s">
        <v>2615</v>
      </c>
      <c r="AA345" t="s">
        <v>2629</v>
      </c>
      <c r="AB345" t="s">
        <v>2948</v>
      </c>
      <c r="AC345" t="s">
        <v>2255</v>
      </c>
      <c r="AD345" t="s">
        <v>3723</v>
      </c>
      <c r="AE345">
        <v>146</v>
      </c>
      <c r="AF345" t="s">
        <v>4099</v>
      </c>
      <c r="AG345" t="s">
        <v>2255</v>
      </c>
      <c r="AH345">
        <v>4</v>
      </c>
      <c r="AI345">
        <v>2</v>
      </c>
      <c r="AJ345">
        <v>1</v>
      </c>
      <c r="AK345">
        <v>93.76000000000001</v>
      </c>
      <c r="AN345" t="s">
        <v>4137</v>
      </c>
      <c r="AO345">
        <v>20000</v>
      </c>
      <c r="AR345" t="s">
        <v>2611</v>
      </c>
      <c r="AT345" t="s">
        <v>4212</v>
      </c>
      <c r="AU345">
        <v>3.85</v>
      </c>
      <c r="AV345" t="s">
        <v>229</v>
      </c>
      <c r="AW345" t="s">
        <v>4260</v>
      </c>
      <c r="AX345" t="s">
        <v>4266</v>
      </c>
      <c r="AY345" t="s">
        <v>2224</v>
      </c>
      <c r="AZ345" t="s">
        <v>2224</v>
      </c>
    </row>
    <row r="346" spans="1:52">
      <c r="A346" s="1">
        <f>HYPERLINK("https://lsnyc.legalserver.org/matter/dynamic-profile/view/1909273","19-1909273")</f>
        <v>0</v>
      </c>
      <c r="B346" t="s">
        <v>124</v>
      </c>
      <c r="C346" t="s">
        <v>155</v>
      </c>
      <c r="D346" t="s">
        <v>167</v>
      </c>
      <c r="F346" t="s">
        <v>449</v>
      </c>
      <c r="G346" t="s">
        <v>1109</v>
      </c>
      <c r="H346" t="s">
        <v>1677</v>
      </c>
      <c r="J346" t="s">
        <v>2192</v>
      </c>
      <c r="K346">
        <v>11217</v>
      </c>
      <c r="L346" t="s">
        <v>2224</v>
      </c>
      <c r="M346" t="s">
        <v>2226</v>
      </c>
      <c r="O346" t="s">
        <v>2539</v>
      </c>
      <c r="P346" t="s">
        <v>2557</v>
      </c>
      <c r="R346" t="s">
        <v>2569</v>
      </c>
      <c r="U346" t="s">
        <v>2578</v>
      </c>
      <c r="W346" t="s">
        <v>167</v>
      </c>
      <c r="X346">
        <v>0</v>
      </c>
      <c r="Y346" t="s">
        <v>2604</v>
      </c>
      <c r="AB346" t="s">
        <v>2949</v>
      </c>
      <c r="AD346" t="s">
        <v>3724</v>
      </c>
      <c r="AE346">
        <v>20</v>
      </c>
      <c r="AH346">
        <v>0</v>
      </c>
      <c r="AI346">
        <v>2</v>
      </c>
      <c r="AJ346">
        <v>1</v>
      </c>
      <c r="AK346">
        <v>93.76000000000001</v>
      </c>
      <c r="AN346" t="s">
        <v>4138</v>
      </c>
      <c r="AO346">
        <v>20000</v>
      </c>
      <c r="AU346">
        <v>2.1</v>
      </c>
      <c r="AV346" t="s">
        <v>168</v>
      </c>
      <c r="AW346" t="s">
        <v>153</v>
      </c>
      <c r="AX346" t="s">
        <v>4266</v>
      </c>
      <c r="AY346" t="s">
        <v>2226</v>
      </c>
      <c r="AZ346" t="s">
        <v>2226</v>
      </c>
    </row>
    <row r="347" spans="1:52">
      <c r="A347" s="1">
        <f>HYPERLINK("https://lsnyc.legalserver.org/matter/dynamic-profile/view/1907958","19-1907958")</f>
        <v>0</v>
      </c>
      <c r="B347" t="s">
        <v>113</v>
      </c>
      <c r="C347" t="s">
        <v>155</v>
      </c>
      <c r="D347" t="s">
        <v>184</v>
      </c>
      <c r="F347" t="s">
        <v>449</v>
      </c>
      <c r="G347" t="s">
        <v>1109</v>
      </c>
      <c r="H347" t="s">
        <v>1677</v>
      </c>
      <c r="J347" t="s">
        <v>2192</v>
      </c>
      <c r="K347">
        <v>11217</v>
      </c>
      <c r="L347" t="s">
        <v>2224</v>
      </c>
      <c r="M347" t="s">
        <v>2226</v>
      </c>
      <c r="N347" t="s">
        <v>2379</v>
      </c>
      <c r="O347" t="s">
        <v>2535</v>
      </c>
      <c r="P347" t="s">
        <v>2558</v>
      </c>
      <c r="R347" t="s">
        <v>2569</v>
      </c>
      <c r="U347" t="s">
        <v>2578</v>
      </c>
      <c r="W347" t="s">
        <v>184</v>
      </c>
      <c r="X347">
        <v>1739.1</v>
      </c>
      <c r="Y347" t="s">
        <v>2604</v>
      </c>
      <c r="Z347" t="s">
        <v>2613</v>
      </c>
      <c r="AB347" t="s">
        <v>2949</v>
      </c>
      <c r="AD347" t="s">
        <v>3724</v>
      </c>
      <c r="AE347">
        <v>20</v>
      </c>
      <c r="AF347" t="s">
        <v>4099</v>
      </c>
      <c r="AG347" t="s">
        <v>2255</v>
      </c>
      <c r="AH347">
        <v>22</v>
      </c>
      <c r="AI347">
        <v>3</v>
      </c>
      <c r="AJ347">
        <v>0</v>
      </c>
      <c r="AK347">
        <v>93.76000000000001</v>
      </c>
      <c r="AN347" t="s">
        <v>4138</v>
      </c>
      <c r="AO347">
        <v>20000</v>
      </c>
      <c r="AU347">
        <v>8.800000000000001</v>
      </c>
      <c r="AV347" t="s">
        <v>197</v>
      </c>
      <c r="AW347" t="s">
        <v>4246</v>
      </c>
      <c r="AX347" t="s">
        <v>4266</v>
      </c>
      <c r="AY347" t="s">
        <v>2226</v>
      </c>
      <c r="AZ347" t="s">
        <v>2226</v>
      </c>
    </row>
    <row r="348" spans="1:52">
      <c r="A348" s="1">
        <f>HYPERLINK("https://lsnyc.legalserver.org/matter/dynamic-profile/view/1902677","19-1902677")</f>
        <v>0</v>
      </c>
      <c r="B348" t="s">
        <v>60</v>
      </c>
      <c r="C348" t="s">
        <v>155</v>
      </c>
      <c r="D348" t="s">
        <v>251</v>
      </c>
      <c r="F348" t="s">
        <v>494</v>
      </c>
      <c r="G348" t="s">
        <v>1110</v>
      </c>
      <c r="H348" t="s">
        <v>1678</v>
      </c>
      <c r="I348" t="s">
        <v>2090</v>
      </c>
      <c r="J348" t="s">
        <v>2192</v>
      </c>
      <c r="K348">
        <v>11213</v>
      </c>
      <c r="L348" t="s">
        <v>2224</v>
      </c>
      <c r="M348" t="s">
        <v>2226</v>
      </c>
      <c r="N348" t="s">
        <v>2380</v>
      </c>
      <c r="O348" t="s">
        <v>2533</v>
      </c>
      <c r="R348" t="s">
        <v>2569</v>
      </c>
      <c r="S348" t="s">
        <v>2225</v>
      </c>
      <c r="U348" t="s">
        <v>2578</v>
      </c>
      <c r="V348" t="s">
        <v>2588</v>
      </c>
      <c r="W348" t="s">
        <v>201</v>
      </c>
      <c r="X348">
        <v>831</v>
      </c>
      <c r="Y348" t="s">
        <v>2604</v>
      </c>
      <c r="Z348" t="s">
        <v>2608</v>
      </c>
      <c r="AB348" t="s">
        <v>2950</v>
      </c>
      <c r="AC348" t="s">
        <v>2255</v>
      </c>
      <c r="AD348" t="s">
        <v>3725</v>
      </c>
      <c r="AE348">
        <v>200</v>
      </c>
      <c r="AF348" t="s">
        <v>4099</v>
      </c>
      <c r="AG348" t="s">
        <v>2255</v>
      </c>
      <c r="AH348">
        <v>16</v>
      </c>
      <c r="AI348">
        <v>3</v>
      </c>
      <c r="AJ348">
        <v>0</v>
      </c>
      <c r="AK348">
        <v>93.76000000000001</v>
      </c>
      <c r="AN348" t="s">
        <v>4126</v>
      </c>
      <c r="AO348">
        <v>20000</v>
      </c>
      <c r="AU348">
        <v>5</v>
      </c>
      <c r="AV348" t="s">
        <v>197</v>
      </c>
      <c r="AW348" t="s">
        <v>4226</v>
      </c>
      <c r="AX348" t="s">
        <v>4266</v>
      </c>
      <c r="AY348" t="s">
        <v>2224</v>
      </c>
      <c r="AZ348" t="s">
        <v>2224</v>
      </c>
    </row>
    <row r="349" spans="1:52">
      <c r="A349" s="1">
        <f>HYPERLINK("https://lsnyc.legalserver.org/matter/dynamic-profile/view/1911547","19-1911547")</f>
        <v>0</v>
      </c>
      <c r="B349" t="s">
        <v>104</v>
      </c>
      <c r="C349" t="s">
        <v>155</v>
      </c>
      <c r="D349" t="s">
        <v>179</v>
      </c>
      <c r="F349" t="s">
        <v>531</v>
      </c>
      <c r="G349" t="s">
        <v>1111</v>
      </c>
      <c r="H349" t="s">
        <v>1550</v>
      </c>
      <c r="I349" t="s">
        <v>2008</v>
      </c>
      <c r="J349" t="s">
        <v>2196</v>
      </c>
      <c r="K349">
        <v>10040</v>
      </c>
      <c r="L349" t="s">
        <v>2224</v>
      </c>
      <c r="M349" t="s">
        <v>2226</v>
      </c>
      <c r="O349" t="s">
        <v>2546</v>
      </c>
      <c r="P349" t="s">
        <v>2558</v>
      </c>
      <c r="R349" t="s">
        <v>2569</v>
      </c>
      <c r="S349" t="s">
        <v>2224</v>
      </c>
      <c r="U349" t="s">
        <v>2578</v>
      </c>
      <c r="W349" t="s">
        <v>179</v>
      </c>
      <c r="X349">
        <v>952</v>
      </c>
      <c r="Y349" t="s">
        <v>2607</v>
      </c>
      <c r="Z349" t="s">
        <v>2613</v>
      </c>
      <c r="AB349" t="s">
        <v>2951</v>
      </c>
      <c r="AD349" t="s">
        <v>3726</v>
      </c>
      <c r="AE349">
        <v>44</v>
      </c>
      <c r="AF349" t="s">
        <v>4099</v>
      </c>
      <c r="AG349" t="s">
        <v>2255</v>
      </c>
      <c r="AH349">
        <v>24</v>
      </c>
      <c r="AI349">
        <v>2</v>
      </c>
      <c r="AJ349">
        <v>1</v>
      </c>
      <c r="AK349">
        <v>93.76000000000001</v>
      </c>
      <c r="AN349" t="s">
        <v>4127</v>
      </c>
      <c r="AO349">
        <v>20000</v>
      </c>
      <c r="AU349">
        <v>0.1</v>
      </c>
      <c r="AV349" t="s">
        <v>197</v>
      </c>
      <c r="AW349" t="s">
        <v>80</v>
      </c>
      <c r="AX349" t="s">
        <v>4266</v>
      </c>
      <c r="AY349" t="s">
        <v>2226</v>
      </c>
      <c r="AZ349" t="s">
        <v>2226</v>
      </c>
    </row>
    <row r="350" spans="1:52">
      <c r="A350" s="1">
        <f>HYPERLINK("https://lsnyc.legalserver.org/matter/dynamic-profile/view/1912334","19-1912334")</f>
        <v>0</v>
      </c>
      <c r="B350" t="s">
        <v>104</v>
      </c>
      <c r="C350" t="s">
        <v>155</v>
      </c>
      <c r="D350" t="s">
        <v>169</v>
      </c>
      <c r="F350" t="s">
        <v>531</v>
      </c>
      <c r="G350" t="s">
        <v>1111</v>
      </c>
      <c r="H350" t="s">
        <v>1550</v>
      </c>
      <c r="I350" t="s">
        <v>2008</v>
      </c>
      <c r="J350" t="s">
        <v>2196</v>
      </c>
      <c r="K350">
        <v>10040</v>
      </c>
      <c r="L350" t="s">
        <v>2224</v>
      </c>
      <c r="M350" t="s">
        <v>2226</v>
      </c>
      <c r="O350" t="s">
        <v>2537</v>
      </c>
      <c r="P350" t="s">
        <v>2558</v>
      </c>
      <c r="R350" t="s">
        <v>2569</v>
      </c>
      <c r="S350" t="s">
        <v>2224</v>
      </c>
      <c r="U350" t="s">
        <v>2578</v>
      </c>
      <c r="W350" t="s">
        <v>169</v>
      </c>
      <c r="X350">
        <v>952</v>
      </c>
      <c r="Y350" t="s">
        <v>2607</v>
      </c>
      <c r="Z350" t="s">
        <v>2613</v>
      </c>
      <c r="AB350" t="s">
        <v>2951</v>
      </c>
      <c r="AD350" t="s">
        <v>3726</v>
      </c>
      <c r="AE350">
        <v>44</v>
      </c>
      <c r="AF350" t="s">
        <v>4099</v>
      </c>
      <c r="AG350" t="s">
        <v>2255</v>
      </c>
      <c r="AH350">
        <v>24</v>
      </c>
      <c r="AI350">
        <v>2</v>
      </c>
      <c r="AJ350">
        <v>1</v>
      </c>
      <c r="AK350">
        <v>93.76000000000001</v>
      </c>
      <c r="AN350" t="s">
        <v>4127</v>
      </c>
      <c r="AO350">
        <v>20000</v>
      </c>
      <c r="AU350">
        <v>0</v>
      </c>
      <c r="AW350" t="s">
        <v>80</v>
      </c>
      <c r="AX350" t="s">
        <v>4266</v>
      </c>
      <c r="AY350" t="s">
        <v>2226</v>
      </c>
      <c r="AZ350" t="s">
        <v>2226</v>
      </c>
    </row>
    <row r="351" spans="1:52">
      <c r="A351" s="1">
        <f>HYPERLINK("https://lsnyc.legalserver.org/matter/dynamic-profile/view/1913071","19-1913071")</f>
        <v>0</v>
      </c>
      <c r="B351" t="s">
        <v>104</v>
      </c>
      <c r="C351" t="s">
        <v>155</v>
      </c>
      <c r="D351" t="s">
        <v>241</v>
      </c>
      <c r="F351" t="s">
        <v>531</v>
      </c>
      <c r="G351" t="s">
        <v>1111</v>
      </c>
      <c r="H351" t="s">
        <v>1550</v>
      </c>
      <c r="I351" t="s">
        <v>2008</v>
      </c>
      <c r="J351" t="s">
        <v>2196</v>
      </c>
      <c r="K351">
        <v>10040</v>
      </c>
      <c r="L351" t="s">
        <v>2224</v>
      </c>
      <c r="M351" t="s">
        <v>2226</v>
      </c>
      <c r="O351" t="s">
        <v>2537</v>
      </c>
      <c r="P351" t="s">
        <v>2558</v>
      </c>
      <c r="R351" t="s">
        <v>2569</v>
      </c>
      <c r="S351" t="s">
        <v>2224</v>
      </c>
      <c r="U351" t="s">
        <v>2578</v>
      </c>
      <c r="W351" t="s">
        <v>241</v>
      </c>
      <c r="X351">
        <v>952</v>
      </c>
      <c r="Y351" t="s">
        <v>2607</v>
      </c>
      <c r="Z351" t="s">
        <v>2613</v>
      </c>
      <c r="AB351" t="s">
        <v>2951</v>
      </c>
      <c r="AD351" t="s">
        <v>3726</v>
      </c>
      <c r="AE351">
        <v>44</v>
      </c>
      <c r="AF351" t="s">
        <v>4099</v>
      </c>
      <c r="AG351" t="s">
        <v>2255</v>
      </c>
      <c r="AH351">
        <v>25</v>
      </c>
      <c r="AI351">
        <v>2</v>
      </c>
      <c r="AJ351">
        <v>1</v>
      </c>
      <c r="AK351">
        <v>93.76000000000001</v>
      </c>
      <c r="AN351" t="s">
        <v>4127</v>
      </c>
      <c r="AO351">
        <v>20000</v>
      </c>
      <c r="AU351">
        <v>0</v>
      </c>
      <c r="AW351" t="s">
        <v>80</v>
      </c>
      <c r="AX351" t="s">
        <v>4266</v>
      </c>
      <c r="AY351" t="s">
        <v>2226</v>
      </c>
      <c r="AZ351" t="s">
        <v>2226</v>
      </c>
    </row>
    <row r="352" spans="1:52">
      <c r="A352" s="1">
        <f>HYPERLINK("https://lsnyc.legalserver.org/matter/dynamic-profile/view/1904907","19-1904907")</f>
        <v>0</v>
      </c>
      <c r="B352" t="s">
        <v>55</v>
      </c>
      <c r="C352" t="s">
        <v>154</v>
      </c>
      <c r="D352" t="s">
        <v>210</v>
      </c>
      <c r="E352" t="s">
        <v>242</v>
      </c>
      <c r="F352" t="s">
        <v>458</v>
      </c>
      <c r="G352" t="s">
        <v>947</v>
      </c>
      <c r="H352" t="s">
        <v>1556</v>
      </c>
      <c r="I352">
        <v>2</v>
      </c>
      <c r="J352" t="s">
        <v>2209</v>
      </c>
      <c r="K352">
        <v>11693</v>
      </c>
      <c r="L352" t="s">
        <v>2224</v>
      </c>
      <c r="M352" t="s">
        <v>2226</v>
      </c>
      <c r="N352" t="s">
        <v>2314</v>
      </c>
      <c r="O352" t="s">
        <v>2533</v>
      </c>
      <c r="P352" t="s">
        <v>2556</v>
      </c>
      <c r="Q352" t="s">
        <v>2563</v>
      </c>
      <c r="R352" t="s">
        <v>2569</v>
      </c>
      <c r="S352" t="s">
        <v>2225</v>
      </c>
      <c r="U352" t="s">
        <v>2578</v>
      </c>
      <c r="V352" t="s">
        <v>2588</v>
      </c>
      <c r="W352" t="s">
        <v>242</v>
      </c>
      <c r="X352">
        <v>2022</v>
      </c>
      <c r="Y352" t="s">
        <v>2603</v>
      </c>
      <c r="Z352" t="s">
        <v>2608</v>
      </c>
      <c r="AA352" t="s">
        <v>2626</v>
      </c>
      <c r="AB352" t="s">
        <v>2810</v>
      </c>
      <c r="AC352" t="s">
        <v>3424</v>
      </c>
      <c r="AD352" t="s">
        <v>3727</v>
      </c>
      <c r="AE352">
        <v>2</v>
      </c>
      <c r="AF352" t="s">
        <v>4098</v>
      </c>
      <c r="AG352" t="s">
        <v>4112</v>
      </c>
      <c r="AH352">
        <v>5</v>
      </c>
      <c r="AI352">
        <v>2</v>
      </c>
      <c r="AJ352">
        <v>6</v>
      </c>
      <c r="AK352">
        <v>93.98999999999999</v>
      </c>
      <c r="AN352" t="s">
        <v>4126</v>
      </c>
      <c r="AO352">
        <v>40821.98</v>
      </c>
      <c r="AU352">
        <v>2</v>
      </c>
      <c r="AV352" t="s">
        <v>242</v>
      </c>
      <c r="AW352" t="s">
        <v>4224</v>
      </c>
      <c r="AX352" t="s">
        <v>4266</v>
      </c>
      <c r="AY352" t="s">
        <v>2224</v>
      </c>
      <c r="AZ352" t="s">
        <v>2224</v>
      </c>
    </row>
    <row r="353" spans="1:52">
      <c r="A353" s="1">
        <f>HYPERLINK("https://lsnyc.legalserver.org/matter/dynamic-profile/view/1911546","19-1911546")</f>
        <v>0</v>
      </c>
      <c r="B353" t="s">
        <v>77</v>
      </c>
      <c r="C353" t="s">
        <v>155</v>
      </c>
      <c r="D353" t="s">
        <v>179</v>
      </c>
      <c r="F353" t="s">
        <v>565</v>
      </c>
      <c r="G353" t="s">
        <v>1112</v>
      </c>
      <c r="H353" t="s">
        <v>1679</v>
      </c>
      <c r="I353" t="s">
        <v>2091</v>
      </c>
      <c r="J353" t="s">
        <v>2196</v>
      </c>
      <c r="K353">
        <v>10035</v>
      </c>
      <c r="L353" t="s">
        <v>2224</v>
      </c>
      <c r="M353" t="s">
        <v>2226</v>
      </c>
      <c r="N353" t="s">
        <v>2381</v>
      </c>
      <c r="O353" t="s">
        <v>2535</v>
      </c>
      <c r="P353" t="s">
        <v>2559</v>
      </c>
      <c r="R353" t="s">
        <v>2569</v>
      </c>
      <c r="S353" t="s">
        <v>2225</v>
      </c>
      <c r="U353" t="s">
        <v>2578</v>
      </c>
      <c r="V353" t="s">
        <v>2588</v>
      </c>
      <c r="W353" t="s">
        <v>204</v>
      </c>
      <c r="X353">
        <v>811</v>
      </c>
      <c r="Y353" t="s">
        <v>2607</v>
      </c>
      <c r="Z353" t="s">
        <v>2611</v>
      </c>
      <c r="AB353" t="s">
        <v>2952</v>
      </c>
      <c r="AD353" t="s">
        <v>3728</v>
      </c>
      <c r="AE353">
        <v>90</v>
      </c>
      <c r="AF353" t="s">
        <v>4104</v>
      </c>
      <c r="AG353" t="s">
        <v>4112</v>
      </c>
      <c r="AH353">
        <v>5</v>
      </c>
      <c r="AI353">
        <v>2</v>
      </c>
      <c r="AJ353">
        <v>3</v>
      </c>
      <c r="AK353">
        <v>94.13</v>
      </c>
      <c r="AN353" t="s">
        <v>4126</v>
      </c>
      <c r="AO353">
        <v>28400</v>
      </c>
      <c r="AU353">
        <v>0.5</v>
      </c>
      <c r="AV353" t="s">
        <v>179</v>
      </c>
      <c r="AW353" t="s">
        <v>4258</v>
      </c>
      <c r="AX353" t="s">
        <v>4266</v>
      </c>
      <c r="AY353" t="s">
        <v>2226</v>
      </c>
      <c r="AZ353" t="s">
        <v>2226</v>
      </c>
    </row>
    <row r="354" spans="1:52">
      <c r="A354" s="1">
        <f>HYPERLINK("https://lsnyc.legalserver.org/matter/dynamic-profile/view/1908658","19-1908658")</f>
        <v>0</v>
      </c>
      <c r="B354" t="s">
        <v>119</v>
      </c>
      <c r="C354" t="s">
        <v>155</v>
      </c>
      <c r="D354" t="s">
        <v>171</v>
      </c>
      <c r="F354" t="s">
        <v>566</v>
      </c>
      <c r="G354" t="s">
        <v>1113</v>
      </c>
      <c r="H354" t="s">
        <v>1680</v>
      </c>
      <c r="I354">
        <v>314</v>
      </c>
      <c r="J354" t="s">
        <v>2199</v>
      </c>
      <c r="K354">
        <v>11354</v>
      </c>
      <c r="L354" t="s">
        <v>2224</v>
      </c>
      <c r="M354" t="s">
        <v>2226</v>
      </c>
      <c r="N354" t="s">
        <v>2382</v>
      </c>
      <c r="O354" t="s">
        <v>2535</v>
      </c>
      <c r="P354" t="s">
        <v>2558</v>
      </c>
      <c r="R354" t="s">
        <v>2569</v>
      </c>
      <c r="S354" t="s">
        <v>2225</v>
      </c>
      <c r="U354" t="s">
        <v>2578</v>
      </c>
      <c r="V354" t="s">
        <v>2588</v>
      </c>
      <c r="W354" t="s">
        <v>171</v>
      </c>
      <c r="X354">
        <v>1150.87</v>
      </c>
      <c r="Y354" t="s">
        <v>2603</v>
      </c>
      <c r="Z354" t="s">
        <v>2620</v>
      </c>
      <c r="AB354" t="s">
        <v>2953</v>
      </c>
      <c r="AD354" t="s">
        <v>3729</v>
      </c>
      <c r="AE354">
        <v>79</v>
      </c>
      <c r="AF354" t="s">
        <v>4099</v>
      </c>
      <c r="AG354" t="s">
        <v>4116</v>
      </c>
      <c r="AH354">
        <v>30</v>
      </c>
      <c r="AI354">
        <v>1</v>
      </c>
      <c r="AJ354">
        <v>0</v>
      </c>
      <c r="AK354">
        <v>94.83</v>
      </c>
      <c r="AN354" t="s">
        <v>4139</v>
      </c>
      <c r="AO354">
        <v>11844</v>
      </c>
      <c r="AU354">
        <v>4.55</v>
      </c>
      <c r="AV354" t="s">
        <v>169</v>
      </c>
      <c r="AW354" t="s">
        <v>4260</v>
      </c>
      <c r="AY354" t="s">
        <v>2226</v>
      </c>
      <c r="AZ354" t="s">
        <v>2226</v>
      </c>
    </row>
    <row r="355" spans="1:52">
      <c r="A355" s="1">
        <f>HYPERLINK("https://lsnyc.legalserver.org/matter/dynamic-profile/view/1908659","19-1908659")</f>
        <v>0</v>
      </c>
      <c r="B355" t="s">
        <v>86</v>
      </c>
      <c r="C355" t="s">
        <v>154</v>
      </c>
      <c r="D355" t="s">
        <v>171</v>
      </c>
      <c r="E355" t="s">
        <v>189</v>
      </c>
      <c r="F355" t="s">
        <v>468</v>
      </c>
      <c r="G355" t="s">
        <v>1014</v>
      </c>
      <c r="H355" t="s">
        <v>1681</v>
      </c>
      <c r="I355" t="s">
        <v>2027</v>
      </c>
      <c r="J355" t="s">
        <v>2196</v>
      </c>
      <c r="K355">
        <v>10032</v>
      </c>
      <c r="L355" t="s">
        <v>2224</v>
      </c>
      <c r="M355" t="s">
        <v>2226</v>
      </c>
      <c r="N355" t="s">
        <v>2383</v>
      </c>
      <c r="P355" t="s">
        <v>2556</v>
      </c>
      <c r="Q355" t="s">
        <v>2563</v>
      </c>
      <c r="R355" t="s">
        <v>2569</v>
      </c>
      <c r="S355" t="s">
        <v>2225</v>
      </c>
      <c r="U355" t="s">
        <v>2578</v>
      </c>
      <c r="W355" t="s">
        <v>171</v>
      </c>
      <c r="X355">
        <v>199.43</v>
      </c>
      <c r="Y355" t="s">
        <v>2607</v>
      </c>
      <c r="Z355" t="s">
        <v>2617</v>
      </c>
      <c r="AA355" t="s">
        <v>2626</v>
      </c>
      <c r="AB355" t="s">
        <v>2954</v>
      </c>
      <c r="AD355" t="s">
        <v>3730</v>
      </c>
      <c r="AE355">
        <v>45</v>
      </c>
      <c r="AF355" t="s">
        <v>4099</v>
      </c>
      <c r="AG355" t="s">
        <v>4116</v>
      </c>
      <c r="AH355">
        <v>60</v>
      </c>
      <c r="AI355">
        <v>2</v>
      </c>
      <c r="AJ355">
        <v>0</v>
      </c>
      <c r="AK355">
        <v>94.95</v>
      </c>
      <c r="AN355" t="s">
        <v>4127</v>
      </c>
      <c r="AO355">
        <v>16056</v>
      </c>
      <c r="AU355">
        <v>0.5</v>
      </c>
      <c r="AV355" t="s">
        <v>189</v>
      </c>
      <c r="AW355" t="s">
        <v>80</v>
      </c>
      <c r="AX355" t="s">
        <v>4266</v>
      </c>
      <c r="AY355" t="s">
        <v>2226</v>
      </c>
      <c r="AZ355" t="s">
        <v>2225</v>
      </c>
    </row>
    <row r="356" spans="1:52">
      <c r="A356" s="1">
        <f>HYPERLINK("https://lsnyc.legalserver.org/matter/dynamic-profile/view/1911785","19-1911785")</f>
        <v>0</v>
      </c>
      <c r="B356" t="s">
        <v>98</v>
      </c>
      <c r="C356" t="s">
        <v>155</v>
      </c>
      <c r="D356" t="s">
        <v>165</v>
      </c>
      <c r="F356" t="s">
        <v>567</v>
      </c>
      <c r="G356" t="s">
        <v>1114</v>
      </c>
      <c r="H356" t="s">
        <v>1682</v>
      </c>
      <c r="I356">
        <v>46</v>
      </c>
      <c r="J356" t="s">
        <v>2196</v>
      </c>
      <c r="K356">
        <v>10033</v>
      </c>
      <c r="L356" t="s">
        <v>2224</v>
      </c>
      <c r="M356" t="s">
        <v>2226</v>
      </c>
      <c r="P356" t="s">
        <v>2559</v>
      </c>
      <c r="R356" t="s">
        <v>2569</v>
      </c>
      <c r="S356" t="s">
        <v>2225</v>
      </c>
      <c r="U356" t="s">
        <v>2578</v>
      </c>
      <c r="W356" t="s">
        <v>165</v>
      </c>
      <c r="X356">
        <v>724.4</v>
      </c>
      <c r="Y356" t="s">
        <v>2607</v>
      </c>
      <c r="Z356" t="s">
        <v>2617</v>
      </c>
      <c r="AB356" t="s">
        <v>2955</v>
      </c>
      <c r="AC356" t="s">
        <v>3425</v>
      </c>
      <c r="AD356" t="s">
        <v>3731</v>
      </c>
      <c r="AE356">
        <v>56</v>
      </c>
      <c r="AF356" t="s">
        <v>4099</v>
      </c>
      <c r="AG356" t="s">
        <v>2255</v>
      </c>
      <c r="AH356">
        <v>48</v>
      </c>
      <c r="AI356">
        <v>1</v>
      </c>
      <c r="AJ356">
        <v>0</v>
      </c>
      <c r="AK356">
        <v>95.12</v>
      </c>
      <c r="AN356" t="s">
        <v>4126</v>
      </c>
      <c r="AO356">
        <v>11880</v>
      </c>
      <c r="AU356">
        <v>2</v>
      </c>
      <c r="AV356" t="s">
        <v>165</v>
      </c>
      <c r="AW356" t="s">
        <v>80</v>
      </c>
      <c r="AX356" t="s">
        <v>4266</v>
      </c>
      <c r="AY356" t="s">
        <v>2226</v>
      </c>
      <c r="AZ356" t="s">
        <v>2226</v>
      </c>
    </row>
    <row r="357" spans="1:52">
      <c r="A357" s="1">
        <f>HYPERLINK("https://lsnyc.legalserver.org/matter/dynamic-profile/view/1903654","19-1903654")</f>
        <v>0</v>
      </c>
      <c r="B357" t="s">
        <v>65</v>
      </c>
      <c r="C357" t="s">
        <v>155</v>
      </c>
      <c r="D357" t="s">
        <v>252</v>
      </c>
      <c r="F357" t="s">
        <v>568</v>
      </c>
      <c r="G357" t="s">
        <v>1115</v>
      </c>
      <c r="H357" t="s">
        <v>1683</v>
      </c>
      <c r="I357" t="s">
        <v>1972</v>
      </c>
      <c r="J357" t="s">
        <v>2192</v>
      </c>
      <c r="K357">
        <v>11225</v>
      </c>
      <c r="L357" t="s">
        <v>2224</v>
      </c>
      <c r="M357" t="s">
        <v>2226</v>
      </c>
      <c r="N357" t="s">
        <v>2384</v>
      </c>
      <c r="O357" t="s">
        <v>2535</v>
      </c>
      <c r="P357" t="s">
        <v>2558</v>
      </c>
      <c r="R357" t="s">
        <v>2569</v>
      </c>
      <c r="S357" t="s">
        <v>2225</v>
      </c>
      <c r="U357" t="s">
        <v>2578</v>
      </c>
      <c r="V357" t="s">
        <v>2591</v>
      </c>
      <c r="W357" t="s">
        <v>228</v>
      </c>
      <c r="X357">
        <v>678</v>
      </c>
      <c r="Y357" t="s">
        <v>2604</v>
      </c>
      <c r="Z357" t="s">
        <v>2613</v>
      </c>
      <c r="AB357" t="s">
        <v>2956</v>
      </c>
      <c r="AC357" t="s">
        <v>2255</v>
      </c>
      <c r="AD357" t="s">
        <v>3732</v>
      </c>
      <c r="AE357">
        <v>26</v>
      </c>
      <c r="AF357" t="s">
        <v>4099</v>
      </c>
      <c r="AG357" t="s">
        <v>4114</v>
      </c>
      <c r="AH357">
        <v>19</v>
      </c>
      <c r="AI357">
        <v>2</v>
      </c>
      <c r="AJ357">
        <v>3</v>
      </c>
      <c r="AK357">
        <v>95.66</v>
      </c>
      <c r="AM357" t="s">
        <v>4124</v>
      </c>
      <c r="AN357" t="s">
        <v>4126</v>
      </c>
      <c r="AO357">
        <v>28860</v>
      </c>
      <c r="AU357">
        <v>2.8</v>
      </c>
      <c r="AV357" t="s">
        <v>165</v>
      </c>
      <c r="AW357" t="s">
        <v>4226</v>
      </c>
      <c r="AX357" t="s">
        <v>4266</v>
      </c>
      <c r="AY357" t="s">
        <v>2226</v>
      </c>
      <c r="AZ357" t="s">
        <v>2226</v>
      </c>
    </row>
    <row r="358" spans="1:52">
      <c r="A358" s="1">
        <f>HYPERLINK("https://lsnyc.legalserver.org/matter/dynamic-profile/view/1905676","19-1905676")</f>
        <v>0</v>
      </c>
      <c r="B358" t="s">
        <v>66</v>
      </c>
      <c r="C358" t="s">
        <v>155</v>
      </c>
      <c r="D358" t="s">
        <v>172</v>
      </c>
      <c r="F358" t="s">
        <v>444</v>
      </c>
      <c r="G358" t="s">
        <v>803</v>
      </c>
      <c r="H358" t="s">
        <v>1525</v>
      </c>
      <c r="I358" t="s">
        <v>1992</v>
      </c>
      <c r="J358" t="s">
        <v>2192</v>
      </c>
      <c r="K358">
        <v>11226</v>
      </c>
      <c r="L358" t="s">
        <v>2224</v>
      </c>
      <c r="M358" t="s">
        <v>2226</v>
      </c>
      <c r="O358" t="s">
        <v>2537</v>
      </c>
      <c r="P358" t="s">
        <v>2560</v>
      </c>
      <c r="R358" t="s">
        <v>2569</v>
      </c>
      <c r="S358" t="s">
        <v>2224</v>
      </c>
      <c r="T358" t="s">
        <v>2571</v>
      </c>
      <c r="U358" t="s">
        <v>2578</v>
      </c>
      <c r="W358" t="s">
        <v>172</v>
      </c>
      <c r="X358">
        <v>0</v>
      </c>
      <c r="Y358" t="s">
        <v>2604</v>
      </c>
      <c r="AB358" t="s">
        <v>2957</v>
      </c>
      <c r="AD358" t="s">
        <v>3733</v>
      </c>
      <c r="AE358">
        <v>36</v>
      </c>
      <c r="AF358" t="s">
        <v>4099</v>
      </c>
      <c r="AH358">
        <v>0</v>
      </c>
      <c r="AI358">
        <v>1</v>
      </c>
      <c r="AJ358">
        <v>0</v>
      </c>
      <c r="AK358">
        <v>96.08</v>
      </c>
      <c r="AN358" t="s">
        <v>4132</v>
      </c>
      <c r="AO358">
        <v>12000</v>
      </c>
      <c r="AU358">
        <v>0.2</v>
      </c>
      <c r="AV358" t="s">
        <v>172</v>
      </c>
      <c r="AW358" t="s">
        <v>124</v>
      </c>
      <c r="AY358" t="s">
        <v>2226</v>
      </c>
      <c r="AZ358" t="s">
        <v>2226</v>
      </c>
    </row>
    <row r="359" spans="1:52">
      <c r="A359" s="1">
        <f>HYPERLINK("https://lsnyc.legalserver.org/matter/dynamic-profile/view/1894553","19-1894553")</f>
        <v>0</v>
      </c>
      <c r="B359" t="s">
        <v>67</v>
      </c>
      <c r="C359" t="s">
        <v>155</v>
      </c>
      <c r="D359" t="s">
        <v>214</v>
      </c>
      <c r="F359" t="s">
        <v>569</v>
      </c>
      <c r="G359" t="s">
        <v>369</v>
      </c>
      <c r="H359" t="s">
        <v>1498</v>
      </c>
      <c r="I359" t="s">
        <v>1965</v>
      </c>
      <c r="J359" t="s">
        <v>2192</v>
      </c>
      <c r="K359">
        <v>11225</v>
      </c>
      <c r="L359" t="s">
        <v>2224</v>
      </c>
      <c r="M359" t="s">
        <v>2226</v>
      </c>
      <c r="P359" t="s">
        <v>2560</v>
      </c>
      <c r="R359" t="s">
        <v>2569</v>
      </c>
      <c r="S359" t="s">
        <v>2224</v>
      </c>
      <c r="U359" t="s">
        <v>2578</v>
      </c>
      <c r="W359" t="s">
        <v>211</v>
      </c>
      <c r="X359">
        <v>0</v>
      </c>
      <c r="Y359" t="s">
        <v>2604</v>
      </c>
      <c r="AB359" t="s">
        <v>2958</v>
      </c>
      <c r="AD359" t="s">
        <v>3734</v>
      </c>
      <c r="AE359">
        <v>11</v>
      </c>
      <c r="AH359">
        <v>0</v>
      </c>
      <c r="AI359">
        <v>1</v>
      </c>
      <c r="AJ359">
        <v>0</v>
      </c>
      <c r="AK359">
        <v>96.08</v>
      </c>
      <c r="AN359" t="s">
        <v>4126</v>
      </c>
      <c r="AO359">
        <v>12000</v>
      </c>
      <c r="AU359">
        <v>0.3</v>
      </c>
      <c r="AV359" t="s">
        <v>199</v>
      </c>
      <c r="AW359" t="s">
        <v>153</v>
      </c>
      <c r="AX359" t="s">
        <v>4266</v>
      </c>
      <c r="AY359" t="s">
        <v>2224</v>
      </c>
      <c r="AZ359" t="s">
        <v>2224</v>
      </c>
    </row>
    <row r="360" spans="1:52">
      <c r="A360" s="1">
        <f>HYPERLINK("https://lsnyc.legalserver.org/matter/dynamic-profile/view/1912486","19-1912486")</f>
        <v>0</v>
      </c>
      <c r="B360" t="s">
        <v>57</v>
      </c>
      <c r="C360" t="s">
        <v>155</v>
      </c>
      <c r="D360" t="s">
        <v>230</v>
      </c>
      <c r="F360" t="s">
        <v>570</v>
      </c>
      <c r="G360" t="s">
        <v>1116</v>
      </c>
      <c r="H360" t="s">
        <v>1582</v>
      </c>
      <c r="I360" t="s">
        <v>1957</v>
      </c>
      <c r="J360" t="s">
        <v>2192</v>
      </c>
      <c r="K360">
        <v>11210</v>
      </c>
      <c r="L360" t="s">
        <v>2224</v>
      </c>
      <c r="M360" t="s">
        <v>2226</v>
      </c>
      <c r="O360" t="s">
        <v>2539</v>
      </c>
      <c r="P360" t="s">
        <v>2557</v>
      </c>
      <c r="R360" t="s">
        <v>2569</v>
      </c>
      <c r="S360" t="s">
        <v>2225</v>
      </c>
      <c r="U360" t="s">
        <v>2578</v>
      </c>
      <c r="W360" t="s">
        <v>230</v>
      </c>
      <c r="X360">
        <v>0</v>
      </c>
      <c r="Y360" t="s">
        <v>2604</v>
      </c>
      <c r="AB360" t="s">
        <v>2959</v>
      </c>
      <c r="AD360" t="s">
        <v>3735</v>
      </c>
      <c r="AE360">
        <v>65</v>
      </c>
      <c r="AH360">
        <v>14</v>
      </c>
      <c r="AI360">
        <v>1</v>
      </c>
      <c r="AJ360">
        <v>0</v>
      </c>
      <c r="AK360">
        <v>96.08</v>
      </c>
      <c r="AN360" t="s">
        <v>4126</v>
      </c>
      <c r="AO360">
        <v>12000</v>
      </c>
      <c r="AU360">
        <v>0</v>
      </c>
      <c r="AW360" t="s">
        <v>153</v>
      </c>
      <c r="AX360" t="s">
        <v>4266</v>
      </c>
      <c r="AY360" t="s">
        <v>2224</v>
      </c>
      <c r="AZ360" t="s">
        <v>2224</v>
      </c>
    </row>
    <row r="361" spans="1:52">
      <c r="A361" s="1">
        <f>HYPERLINK("https://lsnyc.legalserver.org/matter/dynamic-profile/view/1912850","19-1912850")</f>
        <v>0</v>
      </c>
      <c r="B361" t="s">
        <v>70</v>
      </c>
      <c r="C361" t="s">
        <v>155</v>
      </c>
      <c r="D361" t="s">
        <v>204</v>
      </c>
      <c r="F361" t="s">
        <v>571</v>
      </c>
      <c r="G361" t="s">
        <v>1117</v>
      </c>
      <c r="H361" t="s">
        <v>1684</v>
      </c>
      <c r="J361" t="s">
        <v>2194</v>
      </c>
      <c r="K361">
        <v>10452</v>
      </c>
      <c r="L361" t="s">
        <v>2224</v>
      </c>
      <c r="M361" t="s">
        <v>2226</v>
      </c>
      <c r="O361" t="s">
        <v>2238</v>
      </c>
      <c r="P361" t="s">
        <v>2556</v>
      </c>
      <c r="R361" t="s">
        <v>2569</v>
      </c>
      <c r="S361" t="s">
        <v>2225</v>
      </c>
      <c r="U361" t="s">
        <v>2578</v>
      </c>
      <c r="W361" t="s">
        <v>218</v>
      </c>
      <c r="X361">
        <v>286</v>
      </c>
      <c r="Y361" t="s">
        <v>2605</v>
      </c>
      <c r="Z361" t="s">
        <v>2614</v>
      </c>
      <c r="AB361" t="s">
        <v>2960</v>
      </c>
      <c r="AD361" t="s">
        <v>3736</v>
      </c>
      <c r="AE361">
        <v>79</v>
      </c>
      <c r="AF361" t="s">
        <v>4100</v>
      </c>
      <c r="AG361" t="s">
        <v>4112</v>
      </c>
      <c r="AH361">
        <v>8</v>
      </c>
      <c r="AI361">
        <v>1</v>
      </c>
      <c r="AJ361">
        <v>0</v>
      </c>
      <c r="AK361">
        <v>96.08</v>
      </c>
      <c r="AN361" t="s">
        <v>4127</v>
      </c>
      <c r="AO361">
        <v>12000</v>
      </c>
      <c r="AU361">
        <v>1.5</v>
      </c>
      <c r="AV361" t="s">
        <v>188</v>
      </c>
      <c r="AW361" t="s">
        <v>70</v>
      </c>
      <c r="AX361" t="s">
        <v>4266</v>
      </c>
      <c r="AY361" t="s">
        <v>2226</v>
      </c>
      <c r="AZ361" t="s">
        <v>2225</v>
      </c>
    </row>
    <row r="362" spans="1:52">
      <c r="A362" s="1">
        <f>HYPERLINK("https://lsnyc.legalserver.org/matter/dynamic-profile/view/1904712","19-1904712")</f>
        <v>0</v>
      </c>
      <c r="B362" t="s">
        <v>78</v>
      </c>
      <c r="C362" t="s">
        <v>155</v>
      </c>
      <c r="D362" t="s">
        <v>192</v>
      </c>
      <c r="F362" t="s">
        <v>341</v>
      </c>
      <c r="G362" t="s">
        <v>988</v>
      </c>
      <c r="H362" t="s">
        <v>1443</v>
      </c>
      <c r="I362">
        <v>44</v>
      </c>
      <c r="J362" t="s">
        <v>2196</v>
      </c>
      <c r="K362">
        <v>10034</v>
      </c>
      <c r="L362" t="s">
        <v>2224</v>
      </c>
      <c r="M362" t="s">
        <v>2226</v>
      </c>
      <c r="P362" t="s">
        <v>2559</v>
      </c>
      <c r="R362" t="s">
        <v>2569</v>
      </c>
      <c r="S362" t="s">
        <v>2224</v>
      </c>
      <c r="U362" t="s">
        <v>2578</v>
      </c>
      <c r="W362" t="s">
        <v>192</v>
      </c>
      <c r="X362">
        <v>1180.21</v>
      </c>
      <c r="Y362" t="s">
        <v>2607</v>
      </c>
      <c r="Z362" t="s">
        <v>2617</v>
      </c>
      <c r="AB362" t="s">
        <v>2961</v>
      </c>
      <c r="AE362">
        <v>25</v>
      </c>
      <c r="AF362" t="s">
        <v>4099</v>
      </c>
      <c r="AG362" t="s">
        <v>2255</v>
      </c>
      <c r="AH362">
        <v>14</v>
      </c>
      <c r="AI362">
        <v>2</v>
      </c>
      <c r="AJ362">
        <v>3</v>
      </c>
      <c r="AK362">
        <v>96.12</v>
      </c>
      <c r="AN362" t="s">
        <v>4127</v>
      </c>
      <c r="AO362">
        <v>29000</v>
      </c>
      <c r="AU362">
        <v>0</v>
      </c>
      <c r="AW362" t="s">
        <v>80</v>
      </c>
      <c r="AX362" t="s">
        <v>4266</v>
      </c>
      <c r="AY362" t="s">
        <v>2226</v>
      </c>
      <c r="AZ362" t="s">
        <v>2226</v>
      </c>
    </row>
    <row r="363" spans="1:52">
      <c r="A363" s="1">
        <f>HYPERLINK("https://lsnyc.legalserver.org/matter/dynamic-profile/view/1906981","19-1906981")</f>
        <v>0</v>
      </c>
      <c r="B363" t="s">
        <v>105</v>
      </c>
      <c r="C363" t="s">
        <v>154</v>
      </c>
      <c r="D363" t="s">
        <v>176</v>
      </c>
      <c r="E363" t="s">
        <v>263</v>
      </c>
      <c r="F363" t="s">
        <v>572</v>
      </c>
      <c r="G363" t="s">
        <v>1118</v>
      </c>
      <c r="H363" t="s">
        <v>1685</v>
      </c>
      <c r="J363" t="s">
        <v>2195</v>
      </c>
      <c r="K363">
        <v>10304</v>
      </c>
      <c r="L363" t="s">
        <v>2224</v>
      </c>
      <c r="M363" t="s">
        <v>2226</v>
      </c>
      <c r="N363" t="s">
        <v>2237</v>
      </c>
      <c r="O363" t="s">
        <v>2238</v>
      </c>
      <c r="P363" t="s">
        <v>2561</v>
      </c>
      <c r="Q363" t="s">
        <v>2566</v>
      </c>
      <c r="R363" t="s">
        <v>2569</v>
      </c>
      <c r="S363" t="s">
        <v>2225</v>
      </c>
      <c r="U363" t="s">
        <v>2578</v>
      </c>
      <c r="V363" t="s">
        <v>2588</v>
      </c>
      <c r="W363" t="s">
        <v>176</v>
      </c>
      <c r="X363">
        <v>1750</v>
      </c>
      <c r="Y363" t="s">
        <v>2606</v>
      </c>
      <c r="Z363" t="s">
        <v>2608</v>
      </c>
      <c r="AA363" t="s">
        <v>2626</v>
      </c>
      <c r="AB363" t="s">
        <v>2962</v>
      </c>
      <c r="AD363" t="s">
        <v>3737</v>
      </c>
      <c r="AE363">
        <v>1</v>
      </c>
      <c r="AF363" t="s">
        <v>4098</v>
      </c>
      <c r="AG363" t="s">
        <v>2255</v>
      </c>
      <c r="AH363">
        <v>5</v>
      </c>
      <c r="AI363">
        <v>2</v>
      </c>
      <c r="AJ363">
        <v>2</v>
      </c>
      <c r="AK363">
        <v>96.33</v>
      </c>
      <c r="AN363" t="s">
        <v>4126</v>
      </c>
      <c r="AO363">
        <v>24804</v>
      </c>
      <c r="AU363">
        <v>1.65</v>
      </c>
      <c r="AV363" t="s">
        <v>263</v>
      </c>
      <c r="AW363" t="s">
        <v>4230</v>
      </c>
      <c r="AX363" t="s">
        <v>4266</v>
      </c>
      <c r="AY363" t="s">
        <v>2224</v>
      </c>
      <c r="AZ363" t="s">
        <v>2224</v>
      </c>
    </row>
    <row r="364" spans="1:52">
      <c r="A364" s="1">
        <f>HYPERLINK("https://lsnyc.legalserver.org/matter/dynamic-profile/view/1907318","19-1907318")</f>
        <v>0</v>
      </c>
      <c r="B364" t="s">
        <v>55</v>
      </c>
      <c r="C364" t="s">
        <v>155</v>
      </c>
      <c r="D364" t="s">
        <v>185</v>
      </c>
      <c r="F364" t="s">
        <v>362</v>
      </c>
      <c r="G364" t="s">
        <v>966</v>
      </c>
      <c r="H364" t="s">
        <v>1686</v>
      </c>
      <c r="I364" t="s">
        <v>2022</v>
      </c>
      <c r="J364" t="s">
        <v>2215</v>
      </c>
      <c r="K364">
        <v>11385</v>
      </c>
      <c r="L364" t="s">
        <v>2224</v>
      </c>
      <c r="M364" t="s">
        <v>2226</v>
      </c>
      <c r="N364" t="s">
        <v>2385</v>
      </c>
      <c r="O364" t="s">
        <v>2544</v>
      </c>
      <c r="P364" t="s">
        <v>2561</v>
      </c>
      <c r="R364" t="s">
        <v>2570</v>
      </c>
      <c r="S364" t="s">
        <v>2225</v>
      </c>
      <c r="U364" t="s">
        <v>2578</v>
      </c>
      <c r="V364" t="s">
        <v>2589</v>
      </c>
      <c r="W364" t="s">
        <v>185</v>
      </c>
      <c r="X364">
        <v>1734</v>
      </c>
      <c r="Y364" t="s">
        <v>2603</v>
      </c>
      <c r="Z364" t="s">
        <v>2610</v>
      </c>
      <c r="AB364" t="s">
        <v>2963</v>
      </c>
      <c r="AD364" t="s">
        <v>3419</v>
      </c>
      <c r="AE364">
        <v>6</v>
      </c>
      <c r="AF364" t="s">
        <v>4099</v>
      </c>
      <c r="AG364" t="s">
        <v>2255</v>
      </c>
      <c r="AH364">
        <v>4</v>
      </c>
      <c r="AI364">
        <v>1</v>
      </c>
      <c r="AJ364">
        <v>3</v>
      </c>
      <c r="AK364">
        <v>96.93000000000001</v>
      </c>
      <c r="AL364" t="s">
        <v>4121</v>
      </c>
      <c r="AM364" t="s">
        <v>4123</v>
      </c>
      <c r="AN364" t="s">
        <v>4127</v>
      </c>
      <c r="AO364">
        <v>24960</v>
      </c>
      <c r="AU364">
        <v>2.2</v>
      </c>
      <c r="AV364" t="s">
        <v>241</v>
      </c>
      <c r="AW364" t="s">
        <v>55</v>
      </c>
      <c r="AX364" t="s">
        <v>4266</v>
      </c>
      <c r="AY364" t="s">
        <v>2224</v>
      </c>
      <c r="AZ364" t="s">
        <v>2224</v>
      </c>
    </row>
    <row r="365" spans="1:52">
      <c r="A365" s="1">
        <f>HYPERLINK("https://lsnyc.legalserver.org/matter/dynamic-profile/view/1906286","19-1906286")</f>
        <v>0</v>
      </c>
      <c r="B365" t="s">
        <v>66</v>
      </c>
      <c r="C365" t="s">
        <v>155</v>
      </c>
      <c r="D365" t="s">
        <v>220</v>
      </c>
      <c r="F365" t="s">
        <v>573</v>
      </c>
      <c r="G365" t="s">
        <v>1119</v>
      </c>
      <c r="H365" t="s">
        <v>1687</v>
      </c>
      <c r="I365" t="s">
        <v>1979</v>
      </c>
      <c r="J365" t="s">
        <v>2192</v>
      </c>
      <c r="K365">
        <v>11226</v>
      </c>
      <c r="L365" t="s">
        <v>2224</v>
      </c>
      <c r="M365" t="s">
        <v>2226</v>
      </c>
      <c r="N365" t="s">
        <v>2386</v>
      </c>
      <c r="O365" t="s">
        <v>2537</v>
      </c>
      <c r="P365" t="s">
        <v>2557</v>
      </c>
      <c r="R365" t="s">
        <v>2569</v>
      </c>
      <c r="S365" t="s">
        <v>2225</v>
      </c>
      <c r="U365" t="s">
        <v>2578</v>
      </c>
      <c r="W365" t="s">
        <v>220</v>
      </c>
      <c r="X365">
        <v>1024.45</v>
      </c>
      <c r="Y365" t="s">
        <v>2604</v>
      </c>
      <c r="AB365" t="s">
        <v>2964</v>
      </c>
      <c r="AE365">
        <v>27</v>
      </c>
      <c r="AF365" t="s">
        <v>4099</v>
      </c>
      <c r="AH365">
        <v>23</v>
      </c>
      <c r="AI365">
        <v>4</v>
      </c>
      <c r="AJ365">
        <v>0</v>
      </c>
      <c r="AK365">
        <v>97.09</v>
      </c>
      <c r="AN365" t="s">
        <v>4126</v>
      </c>
      <c r="AO365">
        <v>25000</v>
      </c>
      <c r="AU365">
        <v>0.6</v>
      </c>
      <c r="AV365" t="s">
        <v>187</v>
      </c>
      <c r="AW365" t="s">
        <v>124</v>
      </c>
      <c r="AX365" t="s">
        <v>4266</v>
      </c>
      <c r="AY365" t="s">
        <v>2224</v>
      </c>
      <c r="AZ365" t="s">
        <v>2224</v>
      </c>
    </row>
    <row r="366" spans="1:52">
      <c r="A366" s="1">
        <f>HYPERLINK("https://lsnyc.legalserver.org/matter/dynamic-profile/view/1906180","19-1906180")</f>
        <v>0</v>
      </c>
      <c r="B366" t="s">
        <v>89</v>
      </c>
      <c r="C366" t="s">
        <v>155</v>
      </c>
      <c r="D366" t="s">
        <v>164</v>
      </c>
      <c r="F366" t="s">
        <v>428</v>
      </c>
      <c r="G366" t="s">
        <v>1120</v>
      </c>
      <c r="H366" t="s">
        <v>1688</v>
      </c>
      <c r="J366" t="s">
        <v>2188</v>
      </c>
      <c r="K366">
        <v>11435</v>
      </c>
      <c r="L366" t="s">
        <v>2224</v>
      </c>
      <c r="M366" t="s">
        <v>2226</v>
      </c>
      <c r="N366" t="s">
        <v>2387</v>
      </c>
      <c r="O366" t="s">
        <v>2533</v>
      </c>
      <c r="P366" t="s">
        <v>2556</v>
      </c>
      <c r="R366" t="s">
        <v>2569</v>
      </c>
      <c r="S366" t="s">
        <v>2225</v>
      </c>
      <c r="U366" t="s">
        <v>2578</v>
      </c>
      <c r="V366" t="s">
        <v>2588</v>
      </c>
      <c r="W366" t="s">
        <v>164</v>
      </c>
      <c r="X366">
        <v>3100</v>
      </c>
      <c r="Y366" t="s">
        <v>2603</v>
      </c>
      <c r="Z366" t="s">
        <v>2608</v>
      </c>
      <c r="AB366" t="s">
        <v>2965</v>
      </c>
      <c r="AD366" t="s">
        <v>3738</v>
      </c>
      <c r="AE366">
        <v>1</v>
      </c>
      <c r="AF366" t="s">
        <v>2518</v>
      </c>
      <c r="AG366" t="s">
        <v>2255</v>
      </c>
      <c r="AH366">
        <v>-1</v>
      </c>
      <c r="AI366">
        <v>4</v>
      </c>
      <c r="AJ366">
        <v>3</v>
      </c>
      <c r="AK366">
        <v>97.26000000000001</v>
      </c>
      <c r="AN366" t="s">
        <v>4126</v>
      </c>
      <c r="AO366">
        <v>37940</v>
      </c>
      <c r="AU366">
        <v>1.4</v>
      </c>
      <c r="AV366" t="s">
        <v>293</v>
      </c>
      <c r="AW366" t="s">
        <v>4224</v>
      </c>
      <c r="AX366" t="s">
        <v>4266</v>
      </c>
      <c r="AY366" t="s">
        <v>2226</v>
      </c>
      <c r="AZ366" t="s">
        <v>2225</v>
      </c>
    </row>
    <row r="367" spans="1:52">
      <c r="A367" s="1">
        <f>HYPERLINK("https://lsnyc.legalserver.org/matter/dynamic-profile/view/1902841","19-1902841")</f>
        <v>0</v>
      </c>
      <c r="B367" t="s">
        <v>132</v>
      </c>
      <c r="C367" t="s">
        <v>155</v>
      </c>
      <c r="D367" t="s">
        <v>253</v>
      </c>
      <c r="F367" t="s">
        <v>574</v>
      </c>
      <c r="G367" t="s">
        <v>1121</v>
      </c>
      <c r="H367" t="s">
        <v>1689</v>
      </c>
      <c r="I367" t="s">
        <v>1960</v>
      </c>
      <c r="J367" t="s">
        <v>2194</v>
      </c>
      <c r="K367">
        <v>10452</v>
      </c>
      <c r="L367" t="s">
        <v>2224</v>
      </c>
      <c r="M367" t="s">
        <v>2226</v>
      </c>
      <c r="N367" t="s">
        <v>2388</v>
      </c>
      <c r="O367" t="s">
        <v>2535</v>
      </c>
      <c r="P367" t="s">
        <v>2558</v>
      </c>
      <c r="R367" t="s">
        <v>2569</v>
      </c>
      <c r="S367" t="s">
        <v>2225</v>
      </c>
      <c r="U367" t="s">
        <v>2578</v>
      </c>
      <c r="W367" t="s">
        <v>254</v>
      </c>
      <c r="X367">
        <v>950</v>
      </c>
      <c r="Y367" t="s">
        <v>2605</v>
      </c>
      <c r="Z367" t="s">
        <v>2614</v>
      </c>
      <c r="AB367" t="s">
        <v>2966</v>
      </c>
      <c r="AD367" t="s">
        <v>3739</v>
      </c>
      <c r="AE367">
        <v>9</v>
      </c>
      <c r="AF367" t="s">
        <v>4099</v>
      </c>
      <c r="AG367" t="s">
        <v>2255</v>
      </c>
      <c r="AH367">
        <v>4</v>
      </c>
      <c r="AI367">
        <v>1</v>
      </c>
      <c r="AJ367">
        <v>2</v>
      </c>
      <c r="AK367">
        <v>97.27</v>
      </c>
      <c r="AN367" t="s">
        <v>4126</v>
      </c>
      <c r="AO367">
        <v>20748</v>
      </c>
      <c r="AU367">
        <v>4</v>
      </c>
      <c r="AV367" t="s">
        <v>185</v>
      </c>
      <c r="AW367" t="s">
        <v>4255</v>
      </c>
      <c r="AX367" t="s">
        <v>4266</v>
      </c>
      <c r="AY367" t="s">
        <v>2224</v>
      </c>
      <c r="AZ367" t="s">
        <v>2224</v>
      </c>
    </row>
    <row r="368" spans="1:52">
      <c r="A368" s="1">
        <f>HYPERLINK("https://lsnyc.legalserver.org/matter/dynamic-profile/view/1910547","19-1910547")</f>
        <v>0</v>
      </c>
      <c r="B368" t="s">
        <v>66</v>
      </c>
      <c r="C368" t="s">
        <v>155</v>
      </c>
      <c r="D368" t="s">
        <v>170</v>
      </c>
      <c r="F368" t="s">
        <v>575</v>
      </c>
      <c r="G368" t="s">
        <v>1082</v>
      </c>
      <c r="H368" t="s">
        <v>1690</v>
      </c>
      <c r="I368" t="s">
        <v>1979</v>
      </c>
      <c r="J368" t="s">
        <v>2192</v>
      </c>
      <c r="K368">
        <v>11231</v>
      </c>
      <c r="L368" t="s">
        <v>2224</v>
      </c>
      <c r="M368" t="s">
        <v>2226</v>
      </c>
      <c r="O368" t="s">
        <v>2535</v>
      </c>
      <c r="P368" t="s">
        <v>2557</v>
      </c>
      <c r="R368" t="s">
        <v>2569</v>
      </c>
      <c r="S368" t="s">
        <v>2225</v>
      </c>
      <c r="U368" t="s">
        <v>2578</v>
      </c>
      <c r="V368" t="s">
        <v>2588</v>
      </c>
      <c r="W368" t="s">
        <v>170</v>
      </c>
      <c r="X368">
        <v>787.48</v>
      </c>
      <c r="Y368" t="s">
        <v>2604</v>
      </c>
      <c r="Z368" t="s">
        <v>2613</v>
      </c>
      <c r="AB368" t="s">
        <v>2967</v>
      </c>
      <c r="AD368" t="s">
        <v>3740</v>
      </c>
      <c r="AE368">
        <v>9</v>
      </c>
      <c r="AF368" t="s">
        <v>4099</v>
      </c>
      <c r="AG368" t="s">
        <v>2611</v>
      </c>
      <c r="AH368">
        <v>21</v>
      </c>
      <c r="AI368">
        <v>2</v>
      </c>
      <c r="AJ368">
        <v>0</v>
      </c>
      <c r="AK368">
        <v>97.76000000000001</v>
      </c>
      <c r="AN368" t="s">
        <v>4126</v>
      </c>
      <c r="AO368">
        <v>16532</v>
      </c>
      <c r="AU368">
        <v>5.6</v>
      </c>
      <c r="AV368" t="s">
        <v>218</v>
      </c>
      <c r="AW368" t="s">
        <v>66</v>
      </c>
      <c r="AX368" t="s">
        <v>4266</v>
      </c>
      <c r="AY368" t="s">
        <v>2226</v>
      </c>
      <c r="AZ368" t="s">
        <v>2226</v>
      </c>
    </row>
    <row r="369" spans="1:52">
      <c r="A369" s="1">
        <f>HYPERLINK("https://lsnyc.legalserver.org/matter/dynamic-profile/view/1908599","19-1908599")</f>
        <v>0</v>
      </c>
      <c r="B369" t="s">
        <v>60</v>
      </c>
      <c r="C369" t="s">
        <v>154</v>
      </c>
      <c r="D369" t="s">
        <v>216</v>
      </c>
      <c r="E369" t="s">
        <v>170</v>
      </c>
      <c r="F369" t="s">
        <v>576</v>
      </c>
      <c r="G369" t="s">
        <v>510</v>
      </c>
      <c r="H369" t="s">
        <v>1415</v>
      </c>
      <c r="I369" t="s">
        <v>2075</v>
      </c>
      <c r="J369" t="s">
        <v>2192</v>
      </c>
      <c r="K369">
        <v>11233</v>
      </c>
      <c r="L369" t="s">
        <v>2224</v>
      </c>
      <c r="M369" t="s">
        <v>2226</v>
      </c>
      <c r="N369" t="s">
        <v>2389</v>
      </c>
      <c r="O369" t="s">
        <v>2535</v>
      </c>
      <c r="P369" t="s">
        <v>2556</v>
      </c>
      <c r="Q369" t="s">
        <v>2563</v>
      </c>
      <c r="R369" t="s">
        <v>2569</v>
      </c>
      <c r="S369" t="s">
        <v>2225</v>
      </c>
      <c r="U369" t="s">
        <v>2578</v>
      </c>
      <c r="V369" t="s">
        <v>2588</v>
      </c>
      <c r="W369" t="s">
        <v>216</v>
      </c>
      <c r="X369">
        <v>827.8200000000001</v>
      </c>
      <c r="Y369" t="s">
        <v>2604</v>
      </c>
      <c r="Z369" t="s">
        <v>2613</v>
      </c>
      <c r="AA369" t="s">
        <v>2626</v>
      </c>
      <c r="AB369" t="s">
        <v>2968</v>
      </c>
      <c r="AC369">
        <v>32751364</v>
      </c>
      <c r="AD369" t="s">
        <v>3741</v>
      </c>
      <c r="AE369">
        <v>359</v>
      </c>
      <c r="AF369" t="s">
        <v>4099</v>
      </c>
      <c r="AG369" t="s">
        <v>4114</v>
      </c>
      <c r="AH369">
        <v>24</v>
      </c>
      <c r="AI369">
        <v>2</v>
      </c>
      <c r="AJ369">
        <v>0</v>
      </c>
      <c r="AK369">
        <v>97.98</v>
      </c>
      <c r="AN369" t="s">
        <v>4126</v>
      </c>
      <c r="AO369">
        <v>16568.3</v>
      </c>
      <c r="AU369">
        <v>1.4</v>
      </c>
      <c r="AV369" t="s">
        <v>167</v>
      </c>
      <c r="AW369" t="s">
        <v>4226</v>
      </c>
      <c r="AX369" t="s">
        <v>4266</v>
      </c>
      <c r="AY369" t="s">
        <v>2224</v>
      </c>
      <c r="AZ369" t="s">
        <v>2224</v>
      </c>
    </row>
    <row r="370" spans="1:52">
      <c r="A370" s="1">
        <f>HYPERLINK("https://lsnyc.legalserver.org/matter/dynamic-profile/view/1910604","19-1910604")</f>
        <v>0</v>
      </c>
      <c r="B370" t="s">
        <v>66</v>
      </c>
      <c r="C370" t="s">
        <v>155</v>
      </c>
      <c r="D370" t="s">
        <v>156</v>
      </c>
      <c r="F370" t="s">
        <v>577</v>
      </c>
      <c r="G370" t="s">
        <v>853</v>
      </c>
      <c r="H370" t="s">
        <v>1421</v>
      </c>
      <c r="I370" t="s">
        <v>1989</v>
      </c>
      <c r="J370" t="s">
        <v>2192</v>
      </c>
      <c r="K370">
        <v>11226</v>
      </c>
      <c r="L370" t="s">
        <v>2224</v>
      </c>
      <c r="M370" t="s">
        <v>2226</v>
      </c>
      <c r="O370" t="s">
        <v>2534</v>
      </c>
      <c r="P370" t="s">
        <v>2558</v>
      </c>
      <c r="R370" t="s">
        <v>2569</v>
      </c>
      <c r="S370" t="s">
        <v>2224</v>
      </c>
      <c r="U370" t="s">
        <v>2578</v>
      </c>
      <c r="V370" t="s">
        <v>2588</v>
      </c>
      <c r="W370" t="s">
        <v>156</v>
      </c>
      <c r="X370">
        <v>2100</v>
      </c>
      <c r="Y370" t="s">
        <v>2604</v>
      </c>
      <c r="Z370" t="s">
        <v>2614</v>
      </c>
      <c r="AB370" t="s">
        <v>2969</v>
      </c>
      <c r="AE370">
        <v>16</v>
      </c>
      <c r="AF370" t="s">
        <v>4099</v>
      </c>
      <c r="AG370" t="s">
        <v>2611</v>
      </c>
      <c r="AH370">
        <v>-1</v>
      </c>
      <c r="AI370">
        <v>3</v>
      </c>
      <c r="AJ370">
        <v>3</v>
      </c>
      <c r="AK370">
        <v>98.38</v>
      </c>
      <c r="AN370" t="s">
        <v>4126</v>
      </c>
      <c r="AO370">
        <v>34028</v>
      </c>
      <c r="AU370">
        <v>0.7</v>
      </c>
      <c r="AV370" t="s">
        <v>261</v>
      </c>
      <c r="AW370" t="s">
        <v>66</v>
      </c>
      <c r="AX370" t="s">
        <v>4266</v>
      </c>
      <c r="AY370" t="s">
        <v>2224</v>
      </c>
      <c r="AZ370" t="s">
        <v>2224</v>
      </c>
    </row>
    <row r="371" spans="1:52">
      <c r="A371" s="1">
        <f>HYPERLINK("https://lsnyc.legalserver.org/matter/dynamic-profile/view/1910617","19-1910617")</f>
        <v>0</v>
      </c>
      <c r="B371" t="s">
        <v>66</v>
      </c>
      <c r="C371" t="s">
        <v>155</v>
      </c>
      <c r="D371" t="s">
        <v>156</v>
      </c>
      <c r="F371" t="s">
        <v>577</v>
      </c>
      <c r="G371" t="s">
        <v>853</v>
      </c>
      <c r="H371" t="s">
        <v>1421</v>
      </c>
      <c r="I371" t="s">
        <v>1989</v>
      </c>
      <c r="J371" t="s">
        <v>2192</v>
      </c>
      <c r="K371">
        <v>11226</v>
      </c>
      <c r="L371" t="s">
        <v>2224</v>
      </c>
      <c r="M371" t="s">
        <v>2226</v>
      </c>
      <c r="O371" t="s">
        <v>2534</v>
      </c>
      <c r="P371" t="s">
        <v>2558</v>
      </c>
      <c r="R371" t="s">
        <v>2569</v>
      </c>
      <c r="S371" t="s">
        <v>2224</v>
      </c>
      <c r="U371" t="s">
        <v>2578</v>
      </c>
      <c r="V371" t="s">
        <v>2588</v>
      </c>
      <c r="W371" t="s">
        <v>156</v>
      </c>
      <c r="X371">
        <v>2100</v>
      </c>
      <c r="Y371" t="s">
        <v>2604</v>
      </c>
      <c r="Z371" t="s">
        <v>2614</v>
      </c>
      <c r="AB371" t="s">
        <v>2969</v>
      </c>
      <c r="AE371">
        <v>16</v>
      </c>
      <c r="AF371" t="s">
        <v>4099</v>
      </c>
      <c r="AG371" t="s">
        <v>2611</v>
      </c>
      <c r="AH371">
        <v>-1</v>
      </c>
      <c r="AI371">
        <v>3</v>
      </c>
      <c r="AJ371">
        <v>3</v>
      </c>
      <c r="AK371">
        <v>98.38</v>
      </c>
      <c r="AN371" t="s">
        <v>4126</v>
      </c>
      <c r="AO371">
        <v>34028</v>
      </c>
      <c r="AU371">
        <v>0</v>
      </c>
      <c r="AW371" t="s">
        <v>66</v>
      </c>
      <c r="AX371" t="s">
        <v>4266</v>
      </c>
      <c r="AY371" t="s">
        <v>2224</v>
      </c>
      <c r="AZ371" t="s">
        <v>2224</v>
      </c>
    </row>
    <row r="372" spans="1:52">
      <c r="A372" s="1">
        <f>HYPERLINK("https://lsnyc.legalserver.org/matter/dynamic-profile/view/1906143","19-1906143")</f>
        <v>0</v>
      </c>
      <c r="B372" t="s">
        <v>55</v>
      </c>
      <c r="C372" t="s">
        <v>155</v>
      </c>
      <c r="D372" t="s">
        <v>223</v>
      </c>
      <c r="F372" t="s">
        <v>578</v>
      </c>
      <c r="G372" t="s">
        <v>1122</v>
      </c>
      <c r="H372" t="s">
        <v>1691</v>
      </c>
      <c r="I372" t="s">
        <v>2092</v>
      </c>
      <c r="J372" t="s">
        <v>2189</v>
      </c>
      <c r="K372">
        <v>11420</v>
      </c>
      <c r="L372" t="s">
        <v>2224</v>
      </c>
      <c r="M372" t="s">
        <v>2226</v>
      </c>
      <c r="N372" t="s">
        <v>2390</v>
      </c>
      <c r="O372" t="s">
        <v>2533</v>
      </c>
      <c r="P372" t="s">
        <v>2556</v>
      </c>
      <c r="R372" t="s">
        <v>2570</v>
      </c>
      <c r="S372" t="s">
        <v>2225</v>
      </c>
      <c r="U372" t="s">
        <v>2578</v>
      </c>
      <c r="V372" t="s">
        <v>2588</v>
      </c>
      <c r="W372" t="s">
        <v>223</v>
      </c>
      <c r="X372">
        <v>0.01</v>
      </c>
      <c r="Y372" t="s">
        <v>2603</v>
      </c>
      <c r="Z372" t="s">
        <v>2610</v>
      </c>
      <c r="AB372" t="s">
        <v>2970</v>
      </c>
      <c r="AD372" t="s">
        <v>3742</v>
      </c>
      <c r="AE372">
        <v>2</v>
      </c>
      <c r="AF372" t="s">
        <v>4098</v>
      </c>
      <c r="AG372" t="s">
        <v>2255</v>
      </c>
      <c r="AH372">
        <v>2</v>
      </c>
      <c r="AI372">
        <v>2</v>
      </c>
      <c r="AJ372">
        <v>0</v>
      </c>
      <c r="AK372">
        <v>98.40000000000001</v>
      </c>
      <c r="AL372" t="s">
        <v>4121</v>
      </c>
      <c r="AM372" t="s">
        <v>4123</v>
      </c>
      <c r="AN372" t="s">
        <v>4127</v>
      </c>
      <c r="AO372">
        <v>16640</v>
      </c>
      <c r="AU372">
        <v>3.56</v>
      </c>
      <c r="AV372" t="s">
        <v>221</v>
      </c>
      <c r="AW372" t="s">
        <v>55</v>
      </c>
      <c r="AX372" t="s">
        <v>4266</v>
      </c>
      <c r="AY372" t="s">
        <v>2226</v>
      </c>
      <c r="AZ372" t="s">
        <v>2226</v>
      </c>
    </row>
    <row r="373" spans="1:52">
      <c r="A373" s="1">
        <f>HYPERLINK("https://lsnyc.legalserver.org/matter/dynamic-profile/view/1906165","19-1906165")</f>
        <v>0</v>
      </c>
      <c r="B373" t="s">
        <v>60</v>
      </c>
      <c r="C373" t="s">
        <v>155</v>
      </c>
      <c r="D373" t="s">
        <v>164</v>
      </c>
      <c r="F373" t="s">
        <v>579</v>
      </c>
      <c r="G373" t="s">
        <v>1047</v>
      </c>
      <c r="H373" t="s">
        <v>1692</v>
      </c>
      <c r="I373" t="s">
        <v>2093</v>
      </c>
      <c r="J373" t="s">
        <v>2192</v>
      </c>
      <c r="K373">
        <v>11233</v>
      </c>
      <c r="L373" t="s">
        <v>2224</v>
      </c>
      <c r="M373" t="s">
        <v>2226</v>
      </c>
      <c r="N373" t="s">
        <v>2391</v>
      </c>
      <c r="O373" t="s">
        <v>2535</v>
      </c>
      <c r="P373" t="s">
        <v>2558</v>
      </c>
      <c r="R373" t="s">
        <v>2569</v>
      </c>
      <c r="S373" t="s">
        <v>2225</v>
      </c>
      <c r="U373" t="s">
        <v>2578</v>
      </c>
      <c r="V373" t="s">
        <v>2587</v>
      </c>
      <c r="W373" t="s">
        <v>190</v>
      </c>
      <c r="X373">
        <v>2100</v>
      </c>
      <c r="Y373" t="s">
        <v>2604</v>
      </c>
      <c r="Z373" t="s">
        <v>2611</v>
      </c>
      <c r="AB373" t="s">
        <v>2971</v>
      </c>
      <c r="AC373">
        <v>6659617</v>
      </c>
      <c r="AD373" t="s">
        <v>3743</v>
      </c>
      <c r="AE373">
        <v>287</v>
      </c>
      <c r="AF373" t="s">
        <v>4099</v>
      </c>
      <c r="AG373" t="s">
        <v>4112</v>
      </c>
      <c r="AH373">
        <v>3</v>
      </c>
      <c r="AI373">
        <v>1</v>
      </c>
      <c r="AJ373">
        <v>0</v>
      </c>
      <c r="AK373">
        <v>98.8</v>
      </c>
      <c r="AN373" t="s">
        <v>4126</v>
      </c>
      <c r="AO373">
        <v>12340</v>
      </c>
      <c r="AU373">
        <v>6.7</v>
      </c>
      <c r="AV373" t="s">
        <v>188</v>
      </c>
      <c r="AW373" t="s">
        <v>4227</v>
      </c>
      <c r="AX373" t="s">
        <v>4266</v>
      </c>
      <c r="AY373" t="s">
        <v>2224</v>
      </c>
      <c r="AZ373" t="s">
        <v>2224</v>
      </c>
    </row>
    <row r="374" spans="1:52">
      <c r="A374" s="1">
        <f>HYPERLINK("https://lsnyc.legalserver.org/matter/dynamic-profile/view/1907582","19-1907582")</f>
        <v>0</v>
      </c>
      <c r="B374" t="s">
        <v>74</v>
      </c>
      <c r="C374" t="s">
        <v>155</v>
      </c>
      <c r="D374" t="s">
        <v>190</v>
      </c>
      <c r="F374" t="s">
        <v>302</v>
      </c>
      <c r="G374" t="s">
        <v>1123</v>
      </c>
      <c r="H374" t="s">
        <v>1693</v>
      </c>
      <c r="I374" t="s">
        <v>1989</v>
      </c>
      <c r="J374" t="s">
        <v>2196</v>
      </c>
      <c r="K374">
        <v>10034</v>
      </c>
      <c r="L374" t="s">
        <v>2224</v>
      </c>
      <c r="M374" t="s">
        <v>2226</v>
      </c>
      <c r="O374" t="s">
        <v>2536</v>
      </c>
      <c r="P374" t="s">
        <v>2561</v>
      </c>
      <c r="R374" t="s">
        <v>2569</v>
      </c>
      <c r="S374" t="s">
        <v>2225</v>
      </c>
      <c r="U374" t="s">
        <v>2578</v>
      </c>
      <c r="W374" t="s">
        <v>190</v>
      </c>
      <c r="X374">
        <v>857.51</v>
      </c>
      <c r="Y374" t="s">
        <v>2607</v>
      </c>
      <c r="Z374" t="s">
        <v>2615</v>
      </c>
      <c r="AB374" t="s">
        <v>2972</v>
      </c>
      <c r="AD374" t="s">
        <v>3744</v>
      </c>
      <c r="AE374">
        <v>22</v>
      </c>
      <c r="AF374" t="s">
        <v>4099</v>
      </c>
      <c r="AG374" t="s">
        <v>2255</v>
      </c>
      <c r="AH374">
        <v>41</v>
      </c>
      <c r="AI374">
        <v>1</v>
      </c>
      <c r="AJ374">
        <v>0</v>
      </c>
      <c r="AK374">
        <v>98.95999999999999</v>
      </c>
      <c r="AN374" t="s">
        <v>4127</v>
      </c>
      <c r="AO374">
        <v>12360</v>
      </c>
      <c r="AU374">
        <v>9.199999999999999</v>
      </c>
      <c r="AV374" t="s">
        <v>245</v>
      </c>
      <c r="AW374" t="s">
        <v>80</v>
      </c>
      <c r="AX374" t="s">
        <v>4266</v>
      </c>
      <c r="AY374" t="s">
        <v>2224</v>
      </c>
      <c r="AZ374" t="s">
        <v>2224</v>
      </c>
    </row>
    <row r="375" spans="1:52">
      <c r="A375" s="1">
        <f>HYPERLINK("https://lsnyc.legalserver.org/matter/dynamic-profile/view/1903749","19-1903749")</f>
        <v>0</v>
      </c>
      <c r="B375" t="s">
        <v>68</v>
      </c>
      <c r="C375" t="s">
        <v>155</v>
      </c>
      <c r="D375" t="s">
        <v>254</v>
      </c>
      <c r="F375" t="s">
        <v>580</v>
      </c>
      <c r="G375" t="s">
        <v>1124</v>
      </c>
      <c r="H375" t="s">
        <v>1659</v>
      </c>
      <c r="I375" t="s">
        <v>1977</v>
      </c>
      <c r="J375" t="s">
        <v>2192</v>
      </c>
      <c r="K375">
        <v>11220</v>
      </c>
      <c r="L375" t="s">
        <v>2224</v>
      </c>
      <c r="M375" t="s">
        <v>2226</v>
      </c>
      <c r="O375" t="s">
        <v>2534</v>
      </c>
      <c r="P375" t="s">
        <v>2558</v>
      </c>
      <c r="R375" t="s">
        <v>2569</v>
      </c>
      <c r="S375" t="s">
        <v>2224</v>
      </c>
      <c r="T375" t="s">
        <v>2571</v>
      </c>
      <c r="U375" t="s">
        <v>2578</v>
      </c>
      <c r="W375" t="s">
        <v>254</v>
      </c>
      <c r="X375">
        <v>1375</v>
      </c>
      <c r="Y375" t="s">
        <v>2604</v>
      </c>
      <c r="AB375" t="s">
        <v>2973</v>
      </c>
      <c r="AD375" t="s">
        <v>3745</v>
      </c>
      <c r="AE375">
        <v>54</v>
      </c>
      <c r="AH375">
        <v>16</v>
      </c>
      <c r="AI375">
        <v>2</v>
      </c>
      <c r="AJ375">
        <v>0</v>
      </c>
      <c r="AK375">
        <v>99.34999999999999</v>
      </c>
      <c r="AN375" t="s">
        <v>4126</v>
      </c>
      <c r="AO375">
        <v>16800</v>
      </c>
      <c r="AU375">
        <v>0.7</v>
      </c>
      <c r="AV375" t="s">
        <v>175</v>
      </c>
      <c r="AW375" t="s">
        <v>153</v>
      </c>
      <c r="AX375" t="s">
        <v>4266</v>
      </c>
      <c r="AY375" t="s">
        <v>2224</v>
      </c>
      <c r="AZ375" t="s">
        <v>2224</v>
      </c>
    </row>
    <row r="376" spans="1:52">
      <c r="A376" s="1">
        <f>HYPERLINK("https://lsnyc.legalserver.org/matter/dynamic-profile/view/1905201","19-1905201")</f>
        <v>0</v>
      </c>
      <c r="B376" t="s">
        <v>84</v>
      </c>
      <c r="C376" t="s">
        <v>155</v>
      </c>
      <c r="D376" t="s">
        <v>198</v>
      </c>
      <c r="F376" t="s">
        <v>306</v>
      </c>
      <c r="G376" t="s">
        <v>536</v>
      </c>
      <c r="H376" t="s">
        <v>1516</v>
      </c>
      <c r="I376" t="s">
        <v>2070</v>
      </c>
      <c r="J376" t="s">
        <v>2194</v>
      </c>
      <c r="K376">
        <v>10453</v>
      </c>
      <c r="L376" t="s">
        <v>2224</v>
      </c>
      <c r="M376" t="s">
        <v>2226</v>
      </c>
      <c r="N376" t="s">
        <v>2292</v>
      </c>
      <c r="O376" t="s">
        <v>2537</v>
      </c>
      <c r="P376" t="s">
        <v>2560</v>
      </c>
      <c r="R376" t="s">
        <v>2569</v>
      </c>
      <c r="S376" t="s">
        <v>2224</v>
      </c>
      <c r="U376" t="s">
        <v>2578</v>
      </c>
      <c r="W376" t="s">
        <v>2597</v>
      </c>
      <c r="X376">
        <v>880.27</v>
      </c>
      <c r="Y376" t="s">
        <v>2605</v>
      </c>
      <c r="Z376" t="s">
        <v>2614</v>
      </c>
      <c r="AB376" t="s">
        <v>2974</v>
      </c>
      <c r="AD376" t="s">
        <v>3746</v>
      </c>
      <c r="AE376">
        <v>170</v>
      </c>
      <c r="AF376" t="s">
        <v>4099</v>
      </c>
      <c r="AG376" t="s">
        <v>2255</v>
      </c>
      <c r="AH376">
        <v>20</v>
      </c>
      <c r="AI376">
        <v>2</v>
      </c>
      <c r="AJ376">
        <v>4</v>
      </c>
      <c r="AK376">
        <v>99.43000000000001</v>
      </c>
      <c r="AN376" t="s">
        <v>4126</v>
      </c>
      <c r="AO376">
        <v>34392</v>
      </c>
      <c r="AU376">
        <v>0</v>
      </c>
      <c r="AW376" t="s">
        <v>4255</v>
      </c>
      <c r="AX376" t="s">
        <v>4266</v>
      </c>
      <c r="AY376" t="s">
        <v>2226</v>
      </c>
      <c r="AZ376" t="s">
        <v>2226</v>
      </c>
    </row>
    <row r="377" spans="1:52">
      <c r="A377" s="1">
        <f>HYPERLINK("https://lsnyc.legalserver.org/matter/dynamic-profile/view/1905991","19-1905991")</f>
        <v>0</v>
      </c>
      <c r="B377" t="s">
        <v>63</v>
      </c>
      <c r="C377" t="s">
        <v>155</v>
      </c>
      <c r="D377" t="s">
        <v>223</v>
      </c>
      <c r="F377" t="s">
        <v>581</v>
      </c>
      <c r="G377" t="s">
        <v>452</v>
      </c>
      <c r="H377" t="s">
        <v>1410</v>
      </c>
      <c r="I377" t="s">
        <v>2094</v>
      </c>
      <c r="J377" t="s">
        <v>2192</v>
      </c>
      <c r="K377">
        <v>11233</v>
      </c>
      <c r="L377" t="s">
        <v>2224</v>
      </c>
      <c r="M377" t="s">
        <v>2226</v>
      </c>
      <c r="N377" t="s">
        <v>2244</v>
      </c>
      <c r="O377" t="s">
        <v>2539</v>
      </c>
      <c r="P377" t="s">
        <v>2561</v>
      </c>
      <c r="R377" t="s">
        <v>2569</v>
      </c>
      <c r="S377" t="s">
        <v>2225</v>
      </c>
      <c r="U377" t="s">
        <v>2578</v>
      </c>
      <c r="V377" t="s">
        <v>2588</v>
      </c>
      <c r="W377" t="s">
        <v>254</v>
      </c>
      <c r="X377">
        <v>1200</v>
      </c>
      <c r="Y377" t="s">
        <v>2604</v>
      </c>
      <c r="AB377" t="s">
        <v>2975</v>
      </c>
      <c r="AC377" t="s">
        <v>2244</v>
      </c>
      <c r="AE377">
        <v>359</v>
      </c>
      <c r="AF377" t="s">
        <v>4099</v>
      </c>
      <c r="AG377" t="s">
        <v>2255</v>
      </c>
      <c r="AH377">
        <v>26</v>
      </c>
      <c r="AI377">
        <v>4</v>
      </c>
      <c r="AJ377">
        <v>1</v>
      </c>
      <c r="AK377">
        <v>99.44</v>
      </c>
      <c r="AN377" t="s">
        <v>4126</v>
      </c>
      <c r="AO377">
        <v>30000</v>
      </c>
      <c r="AP377" t="s">
        <v>4144</v>
      </c>
      <c r="AU377">
        <v>0</v>
      </c>
      <c r="AW377" t="s">
        <v>4226</v>
      </c>
      <c r="AX377" t="s">
        <v>4266</v>
      </c>
      <c r="AY377" t="s">
        <v>2224</v>
      </c>
      <c r="AZ377" t="s">
        <v>2224</v>
      </c>
    </row>
    <row r="378" spans="1:52">
      <c r="A378" s="1">
        <f>HYPERLINK("https://lsnyc.legalserver.org/matter/dynamic-profile/view/1911553","19-1911553")</f>
        <v>0</v>
      </c>
      <c r="B378" t="s">
        <v>104</v>
      </c>
      <c r="C378" t="s">
        <v>155</v>
      </c>
      <c r="D378" t="s">
        <v>179</v>
      </c>
      <c r="F378" t="s">
        <v>582</v>
      </c>
      <c r="G378" t="s">
        <v>1125</v>
      </c>
      <c r="H378" t="s">
        <v>1550</v>
      </c>
      <c r="I378" t="s">
        <v>1976</v>
      </c>
      <c r="J378" t="s">
        <v>2196</v>
      </c>
      <c r="K378">
        <v>10040</v>
      </c>
      <c r="L378" t="s">
        <v>2224</v>
      </c>
      <c r="M378" t="s">
        <v>2226</v>
      </c>
      <c r="O378" t="s">
        <v>2546</v>
      </c>
      <c r="P378" t="s">
        <v>2558</v>
      </c>
      <c r="R378" t="s">
        <v>2569</v>
      </c>
      <c r="S378" t="s">
        <v>2224</v>
      </c>
      <c r="U378" t="s">
        <v>2578</v>
      </c>
      <c r="W378" t="s">
        <v>179</v>
      </c>
      <c r="X378">
        <v>211</v>
      </c>
      <c r="Y378" t="s">
        <v>2607</v>
      </c>
      <c r="Z378" t="s">
        <v>2613</v>
      </c>
      <c r="AB378" t="s">
        <v>2950</v>
      </c>
      <c r="AD378" t="s">
        <v>3747</v>
      </c>
      <c r="AE378">
        <v>44</v>
      </c>
      <c r="AF378" t="s">
        <v>4099</v>
      </c>
      <c r="AG378" t="s">
        <v>4112</v>
      </c>
      <c r="AH378">
        <v>24</v>
      </c>
      <c r="AI378">
        <v>1</v>
      </c>
      <c r="AJ378">
        <v>0</v>
      </c>
      <c r="AK378">
        <v>100.39</v>
      </c>
      <c r="AN378" t="s">
        <v>4127</v>
      </c>
      <c r="AO378">
        <v>12539</v>
      </c>
      <c r="AU378">
        <v>0.1</v>
      </c>
      <c r="AV378" t="s">
        <v>197</v>
      </c>
      <c r="AW378" t="s">
        <v>80</v>
      </c>
      <c r="AX378" t="s">
        <v>4266</v>
      </c>
      <c r="AY378" t="s">
        <v>2226</v>
      </c>
      <c r="AZ378" t="s">
        <v>2226</v>
      </c>
    </row>
    <row r="379" spans="1:52">
      <c r="A379" s="1">
        <f>HYPERLINK("https://lsnyc.legalserver.org/matter/dynamic-profile/view/1912405","19-1912405")</f>
        <v>0</v>
      </c>
      <c r="B379" t="s">
        <v>104</v>
      </c>
      <c r="C379" t="s">
        <v>155</v>
      </c>
      <c r="D379" t="s">
        <v>230</v>
      </c>
      <c r="F379" t="s">
        <v>582</v>
      </c>
      <c r="G379" t="s">
        <v>1125</v>
      </c>
      <c r="H379" t="s">
        <v>1550</v>
      </c>
      <c r="I379" t="s">
        <v>1976</v>
      </c>
      <c r="J379" t="s">
        <v>2196</v>
      </c>
      <c r="K379">
        <v>10040</v>
      </c>
      <c r="L379" t="s">
        <v>2224</v>
      </c>
      <c r="M379" t="s">
        <v>2226</v>
      </c>
      <c r="O379" t="s">
        <v>2537</v>
      </c>
      <c r="P379" t="s">
        <v>2558</v>
      </c>
      <c r="R379" t="s">
        <v>2569</v>
      </c>
      <c r="S379" t="s">
        <v>2224</v>
      </c>
      <c r="U379" t="s">
        <v>2578</v>
      </c>
      <c r="W379" t="s">
        <v>230</v>
      </c>
      <c r="X379">
        <v>211</v>
      </c>
      <c r="Y379" t="s">
        <v>2607</v>
      </c>
      <c r="Z379" t="s">
        <v>2613</v>
      </c>
      <c r="AB379" t="s">
        <v>2950</v>
      </c>
      <c r="AD379" t="s">
        <v>3747</v>
      </c>
      <c r="AE379">
        <v>44</v>
      </c>
      <c r="AF379" t="s">
        <v>4099</v>
      </c>
      <c r="AG379" t="s">
        <v>4112</v>
      </c>
      <c r="AH379">
        <v>24</v>
      </c>
      <c r="AI379">
        <v>1</v>
      </c>
      <c r="AJ379">
        <v>0</v>
      </c>
      <c r="AK379">
        <v>100.39</v>
      </c>
      <c r="AN379" t="s">
        <v>4127</v>
      </c>
      <c r="AO379">
        <v>12539</v>
      </c>
      <c r="AU379">
        <v>0</v>
      </c>
      <c r="AW379" t="s">
        <v>80</v>
      </c>
      <c r="AX379" t="s">
        <v>4266</v>
      </c>
      <c r="AY379" t="s">
        <v>2226</v>
      </c>
      <c r="AZ379" t="s">
        <v>2226</v>
      </c>
    </row>
    <row r="380" spans="1:52">
      <c r="A380" s="1">
        <f>HYPERLINK("https://lsnyc.legalserver.org/matter/dynamic-profile/view/1912938","19-1912938")</f>
        <v>0</v>
      </c>
      <c r="B380" t="s">
        <v>104</v>
      </c>
      <c r="C380" t="s">
        <v>155</v>
      </c>
      <c r="D380" t="s">
        <v>168</v>
      </c>
      <c r="F380" t="s">
        <v>582</v>
      </c>
      <c r="G380" t="s">
        <v>1125</v>
      </c>
      <c r="H380" t="s">
        <v>1550</v>
      </c>
      <c r="I380" t="s">
        <v>1976</v>
      </c>
      <c r="J380" t="s">
        <v>2196</v>
      </c>
      <c r="K380">
        <v>10040</v>
      </c>
      <c r="L380" t="s">
        <v>2224</v>
      </c>
      <c r="M380" t="s">
        <v>2226</v>
      </c>
      <c r="O380" t="s">
        <v>2537</v>
      </c>
      <c r="P380" t="s">
        <v>2558</v>
      </c>
      <c r="R380" t="s">
        <v>2569</v>
      </c>
      <c r="S380" t="s">
        <v>2224</v>
      </c>
      <c r="U380" t="s">
        <v>2578</v>
      </c>
      <c r="W380" t="s">
        <v>168</v>
      </c>
      <c r="X380">
        <v>211</v>
      </c>
      <c r="Y380" t="s">
        <v>2607</v>
      </c>
      <c r="Z380" t="s">
        <v>2613</v>
      </c>
      <c r="AB380" t="s">
        <v>2950</v>
      </c>
      <c r="AD380" t="s">
        <v>3747</v>
      </c>
      <c r="AE380">
        <v>44</v>
      </c>
      <c r="AF380" t="s">
        <v>4099</v>
      </c>
      <c r="AG380" t="s">
        <v>4112</v>
      </c>
      <c r="AH380">
        <v>24</v>
      </c>
      <c r="AI380">
        <v>1</v>
      </c>
      <c r="AJ380">
        <v>0</v>
      </c>
      <c r="AK380">
        <v>100.39</v>
      </c>
      <c r="AN380" t="s">
        <v>4127</v>
      </c>
      <c r="AO380">
        <v>12539</v>
      </c>
      <c r="AU380">
        <v>0</v>
      </c>
      <c r="AW380" t="s">
        <v>80</v>
      </c>
      <c r="AX380" t="s">
        <v>4266</v>
      </c>
      <c r="AY380" t="s">
        <v>2226</v>
      </c>
      <c r="AZ380" t="s">
        <v>2226</v>
      </c>
    </row>
    <row r="381" spans="1:52">
      <c r="A381" s="1">
        <f>HYPERLINK("https://lsnyc.legalserver.org/matter/dynamic-profile/view/1901147","19-1901147")</f>
        <v>0</v>
      </c>
      <c r="B381" t="s">
        <v>57</v>
      </c>
      <c r="C381" t="s">
        <v>155</v>
      </c>
      <c r="D381" t="s">
        <v>255</v>
      </c>
      <c r="F381" t="s">
        <v>583</v>
      </c>
      <c r="G381" t="s">
        <v>1121</v>
      </c>
      <c r="H381" t="s">
        <v>1694</v>
      </c>
      <c r="I381" t="s">
        <v>1958</v>
      </c>
      <c r="J381" t="s">
        <v>2192</v>
      </c>
      <c r="K381">
        <v>11215</v>
      </c>
      <c r="L381" t="s">
        <v>2224</v>
      </c>
      <c r="M381" t="s">
        <v>2226</v>
      </c>
      <c r="O381" t="s">
        <v>2539</v>
      </c>
      <c r="P381" t="s">
        <v>2557</v>
      </c>
      <c r="R381" t="s">
        <v>2569</v>
      </c>
      <c r="S381" t="s">
        <v>2225</v>
      </c>
      <c r="U381" t="s">
        <v>2578</v>
      </c>
      <c r="W381" t="s">
        <v>191</v>
      </c>
      <c r="X381">
        <v>985</v>
      </c>
      <c r="Y381" t="s">
        <v>2604</v>
      </c>
      <c r="Z381" t="s">
        <v>2621</v>
      </c>
      <c r="AB381" t="s">
        <v>2976</v>
      </c>
      <c r="AD381" t="s">
        <v>3748</v>
      </c>
      <c r="AE381">
        <v>8</v>
      </c>
      <c r="AF381" t="s">
        <v>4099</v>
      </c>
      <c r="AG381" t="s">
        <v>4116</v>
      </c>
      <c r="AH381">
        <v>39</v>
      </c>
      <c r="AI381">
        <v>1</v>
      </c>
      <c r="AJ381">
        <v>0</v>
      </c>
      <c r="AK381">
        <v>100.4</v>
      </c>
      <c r="AN381" t="s">
        <v>4126</v>
      </c>
      <c r="AO381">
        <v>12540</v>
      </c>
      <c r="AU381">
        <v>14.6</v>
      </c>
      <c r="AV381" t="s">
        <v>185</v>
      </c>
      <c r="AW381" t="s">
        <v>4243</v>
      </c>
      <c r="AX381" t="s">
        <v>4266</v>
      </c>
      <c r="AY381" t="s">
        <v>2226</v>
      </c>
      <c r="AZ381" t="s">
        <v>2226</v>
      </c>
    </row>
    <row r="382" spans="1:52">
      <c r="A382" s="1">
        <f>HYPERLINK("https://lsnyc.legalserver.org/matter/dynamic-profile/view/1910459","19-1910459")</f>
        <v>0</v>
      </c>
      <c r="B382" t="s">
        <v>87</v>
      </c>
      <c r="C382" t="s">
        <v>155</v>
      </c>
      <c r="D382" t="s">
        <v>178</v>
      </c>
      <c r="F382" t="s">
        <v>475</v>
      </c>
      <c r="G382" t="s">
        <v>1126</v>
      </c>
      <c r="H382" t="s">
        <v>1695</v>
      </c>
      <c r="I382" t="s">
        <v>2095</v>
      </c>
      <c r="J382" t="s">
        <v>2196</v>
      </c>
      <c r="K382">
        <v>10035</v>
      </c>
      <c r="L382" t="s">
        <v>2224</v>
      </c>
      <c r="M382" t="s">
        <v>2226</v>
      </c>
      <c r="N382" t="s">
        <v>2392</v>
      </c>
      <c r="O382" t="s">
        <v>2533</v>
      </c>
      <c r="P382" t="s">
        <v>2558</v>
      </c>
      <c r="R382" t="s">
        <v>2569</v>
      </c>
      <c r="S382" t="s">
        <v>2225</v>
      </c>
      <c r="U382" t="s">
        <v>2578</v>
      </c>
      <c r="V382" t="s">
        <v>2588</v>
      </c>
      <c r="W382" t="s">
        <v>257</v>
      </c>
      <c r="X382">
        <v>650</v>
      </c>
      <c r="Y382" t="s">
        <v>2607</v>
      </c>
      <c r="Z382" t="s">
        <v>2613</v>
      </c>
      <c r="AB382" t="s">
        <v>2977</v>
      </c>
      <c r="AD382" t="s">
        <v>3749</v>
      </c>
      <c r="AE382">
        <v>30</v>
      </c>
      <c r="AF382" t="s">
        <v>2518</v>
      </c>
      <c r="AG382" t="s">
        <v>2255</v>
      </c>
      <c r="AH382">
        <v>22</v>
      </c>
      <c r="AI382">
        <v>2</v>
      </c>
      <c r="AJ382">
        <v>2</v>
      </c>
      <c r="AK382">
        <v>100.58</v>
      </c>
      <c r="AN382" t="s">
        <v>4126</v>
      </c>
      <c r="AO382">
        <v>25900</v>
      </c>
      <c r="AU382">
        <v>0.75</v>
      </c>
      <c r="AV382" t="s">
        <v>268</v>
      </c>
      <c r="AW382" t="s">
        <v>4237</v>
      </c>
      <c r="AX382" t="s">
        <v>4266</v>
      </c>
      <c r="AY382" t="s">
        <v>2224</v>
      </c>
      <c r="AZ382" t="s">
        <v>2224</v>
      </c>
    </row>
    <row r="383" spans="1:52">
      <c r="A383" s="1">
        <f>HYPERLINK("https://lsnyc.legalserver.org/matter/dynamic-profile/view/1908666","19-1908666")</f>
        <v>0</v>
      </c>
      <c r="B383" t="s">
        <v>89</v>
      </c>
      <c r="C383" t="s">
        <v>155</v>
      </c>
      <c r="D383" t="s">
        <v>171</v>
      </c>
      <c r="F383" t="s">
        <v>584</v>
      </c>
      <c r="G383" t="s">
        <v>1127</v>
      </c>
      <c r="H383" t="s">
        <v>1642</v>
      </c>
      <c r="I383" t="s">
        <v>2018</v>
      </c>
      <c r="J383" t="s">
        <v>2204</v>
      </c>
      <c r="K383">
        <v>11377</v>
      </c>
      <c r="L383" t="s">
        <v>2224</v>
      </c>
      <c r="M383" t="s">
        <v>2226</v>
      </c>
      <c r="N383" t="s">
        <v>2356</v>
      </c>
      <c r="O383" t="s">
        <v>2537</v>
      </c>
      <c r="P383" t="s">
        <v>2560</v>
      </c>
      <c r="R383" t="s">
        <v>2569</v>
      </c>
      <c r="S383" t="s">
        <v>2224</v>
      </c>
      <c r="U383" t="s">
        <v>2578</v>
      </c>
      <c r="W383" t="s">
        <v>171</v>
      </c>
      <c r="X383">
        <v>1541.52</v>
      </c>
      <c r="Y383" t="s">
        <v>2603</v>
      </c>
      <c r="Z383" t="s">
        <v>2614</v>
      </c>
      <c r="AB383" t="s">
        <v>2978</v>
      </c>
      <c r="AD383" t="s">
        <v>3419</v>
      </c>
      <c r="AE383">
        <v>67</v>
      </c>
      <c r="AF383" t="s">
        <v>4099</v>
      </c>
      <c r="AG383" t="s">
        <v>2255</v>
      </c>
      <c r="AH383">
        <v>14</v>
      </c>
      <c r="AI383">
        <v>3</v>
      </c>
      <c r="AJ383">
        <v>1</v>
      </c>
      <c r="AK383">
        <v>100.97</v>
      </c>
      <c r="AN383" t="s">
        <v>4127</v>
      </c>
      <c r="AO383">
        <v>26000</v>
      </c>
      <c r="AU383">
        <v>0.3</v>
      </c>
      <c r="AV383" t="s">
        <v>171</v>
      </c>
      <c r="AW383" t="s">
        <v>4224</v>
      </c>
      <c r="AX383" t="s">
        <v>4266</v>
      </c>
      <c r="AY383" t="s">
        <v>2224</v>
      </c>
      <c r="AZ383" t="s">
        <v>2224</v>
      </c>
    </row>
    <row r="384" spans="1:52">
      <c r="A384" s="1">
        <f>HYPERLINK("https://lsnyc.legalserver.org/matter/dynamic-profile/view/1905681","19-1905681")</f>
        <v>0</v>
      </c>
      <c r="B384" t="s">
        <v>66</v>
      </c>
      <c r="C384" t="s">
        <v>155</v>
      </c>
      <c r="D384" t="s">
        <v>172</v>
      </c>
      <c r="F384" t="s">
        <v>585</v>
      </c>
      <c r="G384" t="s">
        <v>1128</v>
      </c>
      <c r="H384" t="s">
        <v>1525</v>
      </c>
      <c r="I384" t="s">
        <v>2096</v>
      </c>
      <c r="J384" t="s">
        <v>2192</v>
      </c>
      <c r="K384">
        <v>11226</v>
      </c>
      <c r="L384" t="s">
        <v>2224</v>
      </c>
      <c r="M384" t="s">
        <v>2226</v>
      </c>
      <c r="O384" t="s">
        <v>2537</v>
      </c>
      <c r="P384" t="s">
        <v>2560</v>
      </c>
      <c r="R384" t="s">
        <v>2569</v>
      </c>
      <c r="S384" t="s">
        <v>2224</v>
      </c>
      <c r="U384" t="s">
        <v>2578</v>
      </c>
      <c r="W384" t="s">
        <v>172</v>
      </c>
      <c r="X384">
        <v>0</v>
      </c>
      <c r="Y384" t="s">
        <v>2604</v>
      </c>
      <c r="AB384" t="s">
        <v>2979</v>
      </c>
      <c r="AD384" t="s">
        <v>3750</v>
      </c>
      <c r="AE384">
        <v>36</v>
      </c>
      <c r="AF384" t="s">
        <v>4099</v>
      </c>
      <c r="AH384">
        <v>0</v>
      </c>
      <c r="AI384">
        <v>4</v>
      </c>
      <c r="AJ384">
        <v>0</v>
      </c>
      <c r="AK384">
        <v>100.97</v>
      </c>
      <c r="AN384" t="s">
        <v>4127</v>
      </c>
      <c r="AO384">
        <v>26000</v>
      </c>
      <c r="AU384">
        <v>0.2</v>
      </c>
      <c r="AV384" t="s">
        <v>172</v>
      </c>
      <c r="AW384" t="s">
        <v>124</v>
      </c>
      <c r="AY384" t="s">
        <v>2226</v>
      </c>
      <c r="AZ384" t="s">
        <v>2226</v>
      </c>
    </row>
    <row r="385" spans="1:52">
      <c r="A385" s="1">
        <f>HYPERLINK("https://lsnyc.legalserver.org/matter/dynamic-profile/view/1908088","19-1908088")</f>
        <v>0</v>
      </c>
      <c r="B385" t="s">
        <v>133</v>
      </c>
      <c r="C385" t="s">
        <v>154</v>
      </c>
      <c r="D385" t="s">
        <v>206</v>
      </c>
      <c r="E385" t="s">
        <v>235</v>
      </c>
      <c r="F385" t="s">
        <v>586</v>
      </c>
      <c r="G385" t="s">
        <v>1129</v>
      </c>
      <c r="H385" t="s">
        <v>1696</v>
      </c>
      <c r="I385" t="s">
        <v>2097</v>
      </c>
      <c r="J385" t="s">
        <v>2192</v>
      </c>
      <c r="K385">
        <v>11208</v>
      </c>
      <c r="L385" t="s">
        <v>2224</v>
      </c>
      <c r="M385" t="s">
        <v>2226</v>
      </c>
      <c r="O385" t="s">
        <v>2535</v>
      </c>
      <c r="P385" t="s">
        <v>2556</v>
      </c>
      <c r="Q385" t="s">
        <v>2563</v>
      </c>
      <c r="R385" t="s">
        <v>2569</v>
      </c>
      <c r="U385" t="s">
        <v>2578</v>
      </c>
      <c r="W385" t="s">
        <v>184</v>
      </c>
      <c r="X385">
        <v>0</v>
      </c>
      <c r="Y385" t="s">
        <v>2604</v>
      </c>
      <c r="Z385" t="s">
        <v>2608</v>
      </c>
      <c r="AA385" t="s">
        <v>2626</v>
      </c>
      <c r="AB385" t="s">
        <v>2980</v>
      </c>
      <c r="AD385" t="s">
        <v>3751</v>
      </c>
      <c r="AE385">
        <v>1444</v>
      </c>
      <c r="AH385">
        <v>0</v>
      </c>
      <c r="AI385">
        <v>2</v>
      </c>
      <c r="AJ385">
        <v>2</v>
      </c>
      <c r="AK385">
        <v>100.97</v>
      </c>
      <c r="AN385" t="s">
        <v>4128</v>
      </c>
      <c r="AO385">
        <v>26000</v>
      </c>
      <c r="AU385">
        <v>0.2</v>
      </c>
      <c r="AV385" t="s">
        <v>289</v>
      </c>
      <c r="AW385" t="s">
        <v>4235</v>
      </c>
      <c r="AX385" t="s">
        <v>4266</v>
      </c>
      <c r="AY385" t="s">
        <v>2226</v>
      </c>
      <c r="AZ385" t="s">
        <v>2226</v>
      </c>
    </row>
    <row r="386" spans="1:52">
      <c r="A386" s="1">
        <f>HYPERLINK("https://lsnyc.legalserver.org/matter/dynamic-profile/view/1908569","19-1908569")</f>
        <v>0</v>
      </c>
      <c r="B386" t="s">
        <v>76</v>
      </c>
      <c r="C386" t="s">
        <v>154</v>
      </c>
      <c r="D386" t="s">
        <v>240</v>
      </c>
      <c r="E386" t="s">
        <v>197</v>
      </c>
      <c r="F386" t="s">
        <v>569</v>
      </c>
      <c r="G386" t="s">
        <v>1130</v>
      </c>
      <c r="H386" t="s">
        <v>1697</v>
      </c>
      <c r="I386" t="s">
        <v>1946</v>
      </c>
      <c r="J386" t="s">
        <v>2196</v>
      </c>
      <c r="K386">
        <v>10032</v>
      </c>
      <c r="L386" t="s">
        <v>2224</v>
      </c>
      <c r="M386" t="s">
        <v>2226</v>
      </c>
      <c r="O386" t="s">
        <v>2238</v>
      </c>
      <c r="P386" t="s">
        <v>2556</v>
      </c>
      <c r="Q386" t="s">
        <v>2563</v>
      </c>
      <c r="R386" t="s">
        <v>2569</v>
      </c>
      <c r="S386" t="s">
        <v>2225</v>
      </c>
      <c r="U386" t="s">
        <v>2578</v>
      </c>
      <c r="W386" t="s">
        <v>240</v>
      </c>
      <c r="X386">
        <v>606.5599999999999</v>
      </c>
      <c r="Y386" t="s">
        <v>2607</v>
      </c>
      <c r="Z386" t="s">
        <v>2609</v>
      </c>
      <c r="AA386" t="s">
        <v>2626</v>
      </c>
      <c r="AB386" t="s">
        <v>2981</v>
      </c>
      <c r="AD386" t="s">
        <v>3752</v>
      </c>
      <c r="AE386">
        <v>202</v>
      </c>
      <c r="AF386" t="s">
        <v>4099</v>
      </c>
      <c r="AG386" t="s">
        <v>4116</v>
      </c>
      <c r="AH386">
        <v>7</v>
      </c>
      <c r="AI386">
        <v>1</v>
      </c>
      <c r="AJ386">
        <v>0</v>
      </c>
      <c r="AK386">
        <v>101.07</v>
      </c>
      <c r="AN386" t="s">
        <v>4126</v>
      </c>
      <c r="AO386">
        <v>12624</v>
      </c>
      <c r="AU386">
        <v>2.52</v>
      </c>
      <c r="AV386" t="s">
        <v>174</v>
      </c>
      <c r="AW386" t="s">
        <v>4238</v>
      </c>
      <c r="AX386" t="s">
        <v>4266</v>
      </c>
      <c r="AY386" t="s">
        <v>2226</v>
      </c>
      <c r="AZ386" t="s">
        <v>2225</v>
      </c>
    </row>
    <row r="387" spans="1:52">
      <c r="A387" s="1">
        <f>HYPERLINK("https://lsnyc.legalserver.org/matter/dynamic-profile/view/1906128","19-1906128")</f>
        <v>0</v>
      </c>
      <c r="B387" t="s">
        <v>93</v>
      </c>
      <c r="C387" t="s">
        <v>154</v>
      </c>
      <c r="D387" t="s">
        <v>173</v>
      </c>
      <c r="E387" t="s">
        <v>187</v>
      </c>
      <c r="F387" t="s">
        <v>587</v>
      </c>
      <c r="G387" t="s">
        <v>1131</v>
      </c>
      <c r="H387" t="s">
        <v>1698</v>
      </c>
      <c r="I387" t="s">
        <v>1998</v>
      </c>
      <c r="J387" t="s">
        <v>2199</v>
      </c>
      <c r="K387">
        <v>11354</v>
      </c>
      <c r="L387" t="s">
        <v>2224</v>
      </c>
      <c r="M387" t="s">
        <v>2226</v>
      </c>
      <c r="N387" t="s">
        <v>2228</v>
      </c>
      <c r="O387" t="s">
        <v>2536</v>
      </c>
      <c r="P387" t="s">
        <v>2556</v>
      </c>
      <c r="Q387" t="s">
        <v>2563</v>
      </c>
      <c r="R387" t="s">
        <v>2569</v>
      </c>
      <c r="S387" t="s">
        <v>2225</v>
      </c>
      <c r="U387" t="s">
        <v>2578</v>
      </c>
      <c r="V387" t="s">
        <v>2588</v>
      </c>
      <c r="W387" t="s">
        <v>187</v>
      </c>
      <c r="X387">
        <v>1050</v>
      </c>
      <c r="Y387" t="s">
        <v>2603</v>
      </c>
      <c r="Z387" t="s">
        <v>2617</v>
      </c>
      <c r="AA387" t="s">
        <v>2626</v>
      </c>
      <c r="AB387" t="s">
        <v>2982</v>
      </c>
      <c r="AC387" t="s">
        <v>3419</v>
      </c>
      <c r="AD387" t="s">
        <v>3753</v>
      </c>
      <c r="AE387">
        <v>10</v>
      </c>
      <c r="AF387" t="s">
        <v>4099</v>
      </c>
      <c r="AG387" t="s">
        <v>2255</v>
      </c>
      <c r="AH387">
        <v>1</v>
      </c>
      <c r="AI387">
        <v>2</v>
      </c>
      <c r="AJ387">
        <v>0</v>
      </c>
      <c r="AK387">
        <v>102.11</v>
      </c>
      <c r="AN387" t="s">
        <v>4126</v>
      </c>
      <c r="AO387">
        <v>17267.52</v>
      </c>
      <c r="AU387">
        <v>2.4</v>
      </c>
      <c r="AV387" t="s">
        <v>187</v>
      </c>
      <c r="AW387" t="s">
        <v>4243</v>
      </c>
      <c r="AX387" t="s">
        <v>4266</v>
      </c>
      <c r="AY387" t="s">
        <v>2224</v>
      </c>
      <c r="AZ387" t="s">
        <v>2224</v>
      </c>
    </row>
    <row r="388" spans="1:52">
      <c r="A388" s="1">
        <f>HYPERLINK("https://lsnyc.legalserver.org/matter/dynamic-profile/view/1911337","19-1911337")</f>
        <v>0</v>
      </c>
      <c r="B388" t="s">
        <v>105</v>
      </c>
      <c r="C388" t="s">
        <v>155</v>
      </c>
      <c r="D388" t="s">
        <v>245</v>
      </c>
      <c r="F388" t="s">
        <v>438</v>
      </c>
      <c r="G388" t="s">
        <v>1132</v>
      </c>
      <c r="H388" t="s">
        <v>1699</v>
      </c>
      <c r="I388" t="s">
        <v>2098</v>
      </c>
      <c r="J388" t="s">
        <v>2195</v>
      </c>
      <c r="K388">
        <v>10304</v>
      </c>
      <c r="L388" t="s">
        <v>2224</v>
      </c>
      <c r="M388" t="s">
        <v>2226</v>
      </c>
      <c r="N388" t="s">
        <v>2393</v>
      </c>
      <c r="O388" t="s">
        <v>2535</v>
      </c>
      <c r="P388" t="s">
        <v>2561</v>
      </c>
      <c r="R388" t="s">
        <v>2569</v>
      </c>
      <c r="S388" t="s">
        <v>2225</v>
      </c>
      <c r="U388" t="s">
        <v>2578</v>
      </c>
      <c r="W388" t="s">
        <v>245</v>
      </c>
      <c r="X388">
        <v>0</v>
      </c>
      <c r="Y388" t="s">
        <v>2606</v>
      </c>
      <c r="Z388" t="s">
        <v>2613</v>
      </c>
      <c r="AB388" t="s">
        <v>2983</v>
      </c>
      <c r="AD388" t="s">
        <v>3754</v>
      </c>
      <c r="AE388">
        <v>2</v>
      </c>
      <c r="AF388" t="s">
        <v>4098</v>
      </c>
      <c r="AG388" t="s">
        <v>2255</v>
      </c>
      <c r="AH388">
        <v>-1</v>
      </c>
      <c r="AI388">
        <v>2</v>
      </c>
      <c r="AJ388">
        <v>1</v>
      </c>
      <c r="AK388">
        <v>102.39</v>
      </c>
      <c r="AN388" t="s">
        <v>4126</v>
      </c>
      <c r="AO388">
        <v>21840</v>
      </c>
      <c r="AU388">
        <v>1.1</v>
      </c>
      <c r="AV388" t="s">
        <v>163</v>
      </c>
      <c r="AW388" t="s">
        <v>105</v>
      </c>
      <c r="AX388" t="s">
        <v>4266</v>
      </c>
      <c r="AY388" t="s">
        <v>2226</v>
      </c>
      <c r="AZ388" t="s">
        <v>2226</v>
      </c>
    </row>
    <row r="389" spans="1:52">
      <c r="A389" s="1">
        <f>HYPERLINK("https://lsnyc.legalserver.org/matter/dynamic-profile/view/1901630","19-1901630")</f>
        <v>0</v>
      </c>
      <c r="B389" t="s">
        <v>89</v>
      </c>
      <c r="C389" t="s">
        <v>155</v>
      </c>
      <c r="D389" t="s">
        <v>256</v>
      </c>
      <c r="F389" t="s">
        <v>588</v>
      </c>
      <c r="G389" t="s">
        <v>1133</v>
      </c>
      <c r="H389" t="s">
        <v>1700</v>
      </c>
      <c r="I389" t="s">
        <v>2099</v>
      </c>
      <c r="J389" t="s">
        <v>2191</v>
      </c>
      <c r="K389">
        <v>11368</v>
      </c>
      <c r="L389" t="s">
        <v>2224</v>
      </c>
      <c r="M389" t="s">
        <v>2226</v>
      </c>
      <c r="N389" t="s">
        <v>2394</v>
      </c>
      <c r="O389" t="s">
        <v>2533</v>
      </c>
      <c r="P389" t="s">
        <v>2556</v>
      </c>
      <c r="R389" t="s">
        <v>2569</v>
      </c>
      <c r="S389" t="s">
        <v>2225</v>
      </c>
      <c r="U389" t="s">
        <v>2578</v>
      </c>
      <c r="V389" t="s">
        <v>2588</v>
      </c>
      <c r="W389" t="s">
        <v>267</v>
      </c>
      <c r="X389">
        <v>1800</v>
      </c>
      <c r="Y389" t="s">
        <v>2603</v>
      </c>
      <c r="Z389" t="s">
        <v>2608</v>
      </c>
      <c r="AB389" t="s">
        <v>2984</v>
      </c>
      <c r="AC389" t="s">
        <v>3426</v>
      </c>
      <c r="AD389" t="s">
        <v>3755</v>
      </c>
      <c r="AE389">
        <v>3</v>
      </c>
      <c r="AF389" t="s">
        <v>2518</v>
      </c>
      <c r="AG389" t="s">
        <v>2255</v>
      </c>
      <c r="AH389">
        <v>21</v>
      </c>
      <c r="AI389">
        <v>2</v>
      </c>
      <c r="AJ389">
        <v>2</v>
      </c>
      <c r="AK389">
        <v>102.52</v>
      </c>
      <c r="AN389" t="s">
        <v>4127</v>
      </c>
      <c r="AO389">
        <v>26400</v>
      </c>
      <c r="AU389">
        <v>0.52</v>
      </c>
      <c r="AV389" t="s">
        <v>293</v>
      </c>
      <c r="AW389" t="s">
        <v>4223</v>
      </c>
      <c r="AX389" t="s">
        <v>4266</v>
      </c>
      <c r="AY389" t="s">
        <v>2226</v>
      </c>
      <c r="AZ389" t="s">
        <v>2225</v>
      </c>
    </row>
    <row r="390" spans="1:52">
      <c r="A390" s="1">
        <f>HYPERLINK("https://lsnyc.legalserver.org/matter/dynamic-profile/view/1908353","19-1908353")</f>
        <v>0</v>
      </c>
      <c r="B390" t="s">
        <v>87</v>
      </c>
      <c r="C390" t="s">
        <v>155</v>
      </c>
      <c r="D390" t="s">
        <v>234</v>
      </c>
      <c r="F390" t="s">
        <v>589</v>
      </c>
      <c r="G390" t="s">
        <v>1134</v>
      </c>
      <c r="H390" t="s">
        <v>1701</v>
      </c>
      <c r="I390" t="s">
        <v>2100</v>
      </c>
      <c r="J390" t="s">
        <v>2196</v>
      </c>
      <c r="K390">
        <v>10029</v>
      </c>
      <c r="L390" t="s">
        <v>2224</v>
      </c>
      <c r="M390" t="s">
        <v>2226</v>
      </c>
      <c r="O390" t="s">
        <v>2238</v>
      </c>
      <c r="P390" t="s">
        <v>2561</v>
      </c>
      <c r="R390" t="s">
        <v>2569</v>
      </c>
      <c r="S390" t="s">
        <v>2225</v>
      </c>
      <c r="U390" t="s">
        <v>2578</v>
      </c>
      <c r="V390" t="s">
        <v>2588</v>
      </c>
      <c r="W390" t="s">
        <v>191</v>
      </c>
      <c r="X390">
        <v>4169</v>
      </c>
      <c r="Y390" t="s">
        <v>2607</v>
      </c>
      <c r="Z390" t="s">
        <v>2613</v>
      </c>
      <c r="AB390" t="s">
        <v>2985</v>
      </c>
      <c r="AC390">
        <v>43832149</v>
      </c>
      <c r="AD390" t="s">
        <v>3756</v>
      </c>
      <c r="AE390">
        <v>323</v>
      </c>
      <c r="AF390" t="s">
        <v>2518</v>
      </c>
      <c r="AG390" t="s">
        <v>4112</v>
      </c>
      <c r="AH390">
        <v>36</v>
      </c>
      <c r="AI390">
        <v>3</v>
      </c>
      <c r="AJ390">
        <v>1</v>
      </c>
      <c r="AK390">
        <v>102.9</v>
      </c>
      <c r="AN390" t="s">
        <v>4126</v>
      </c>
      <c r="AO390">
        <v>26496</v>
      </c>
      <c r="AU390">
        <v>0.1</v>
      </c>
      <c r="AV390" t="s">
        <v>183</v>
      </c>
      <c r="AW390" t="s">
        <v>4237</v>
      </c>
      <c r="AX390" t="s">
        <v>4266</v>
      </c>
      <c r="AY390" t="s">
        <v>2224</v>
      </c>
      <c r="AZ390" t="s">
        <v>2224</v>
      </c>
    </row>
    <row r="391" spans="1:52">
      <c r="A391" s="1">
        <f>HYPERLINK("https://lsnyc.legalserver.org/matter/dynamic-profile/view/1908313","19-1908313")</f>
        <v>0</v>
      </c>
      <c r="B391" t="s">
        <v>65</v>
      </c>
      <c r="C391" t="s">
        <v>155</v>
      </c>
      <c r="D391" t="s">
        <v>177</v>
      </c>
      <c r="F391" t="s">
        <v>324</v>
      </c>
      <c r="G391" t="s">
        <v>1135</v>
      </c>
      <c r="H391" t="s">
        <v>1415</v>
      </c>
      <c r="I391" t="s">
        <v>2101</v>
      </c>
      <c r="J391" t="s">
        <v>2192</v>
      </c>
      <c r="K391">
        <v>11233</v>
      </c>
      <c r="L391" t="s">
        <v>2224</v>
      </c>
      <c r="M391" t="s">
        <v>2226</v>
      </c>
      <c r="N391" t="s">
        <v>2395</v>
      </c>
      <c r="O391" t="s">
        <v>2535</v>
      </c>
      <c r="P391" t="s">
        <v>2558</v>
      </c>
      <c r="R391" t="s">
        <v>2569</v>
      </c>
      <c r="S391" t="s">
        <v>2225</v>
      </c>
      <c r="U391" t="s">
        <v>2578</v>
      </c>
      <c r="V391" t="s">
        <v>2588</v>
      </c>
      <c r="W391" t="s">
        <v>177</v>
      </c>
      <c r="X391">
        <v>955.08</v>
      </c>
      <c r="Y391" t="s">
        <v>2604</v>
      </c>
      <c r="Z391" t="s">
        <v>2613</v>
      </c>
      <c r="AB391" t="s">
        <v>2986</v>
      </c>
      <c r="AC391">
        <v>6004868123</v>
      </c>
      <c r="AD391" t="s">
        <v>3757</v>
      </c>
      <c r="AE391">
        <v>359</v>
      </c>
      <c r="AF391" t="s">
        <v>4099</v>
      </c>
      <c r="AG391" t="s">
        <v>2255</v>
      </c>
      <c r="AH391">
        <v>16</v>
      </c>
      <c r="AI391">
        <v>1</v>
      </c>
      <c r="AJ391">
        <v>0</v>
      </c>
      <c r="AK391">
        <v>104.08</v>
      </c>
      <c r="AN391" t="s">
        <v>4126</v>
      </c>
      <c r="AO391">
        <v>13000</v>
      </c>
      <c r="AU391">
        <v>8.199999999999999</v>
      </c>
      <c r="AV391" t="s">
        <v>280</v>
      </c>
      <c r="AW391" t="s">
        <v>4226</v>
      </c>
      <c r="AX391" t="s">
        <v>4266</v>
      </c>
      <c r="AY391" t="s">
        <v>2224</v>
      </c>
      <c r="AZ391" t="s">
        <v>2224</v>
      </c>
    </row>
    <row r="392" spans="1:52">
      <c r="A392" s="1">
        <f>HYPERLINK("https://lsnyc.legalserver.org/matter/dynamic-profile/view/1909752","19-1909752")</f>
        <v>0</v>
      </c>
      <c r="B392" t="s">
        <v>76</v>
      </c>
      <c r="C392" t="s">
        <v>154</v>
      </c>
      <c r="D392" t="s">
        <v>257</v>
      </c>
      <c r="E392" t="s">
        <v>197</v>
      </c>
      <c r="F392" t="s">
        <v>590</v>
      </c>
      <c r="G392" t="s">
        <v>1136</v>
      </c>
      <c r="H392" t="s">
        <v>1702</v>
      </c>
      <c r="I392">
        <v>33</v>
      </c>
      <c r="J392" t="s">
        <v>2196</v>
      </c>
      <c r="K392">
        <v>10034</v>
      </c>
      <c r="L392" t="s">
        <v>2224</v>
      </c>
      <c r="M392" t="s">
        <v>2226</v>
      </c>
      <c r="P392" t="s">
        <v>2556</v>
      </c>
      <c r="Q392" t="s">
        <v>2563</v>
      </c>
      <c r="R392" t="s">
        <v>2569</v>
      </c>
      <c r="S392" t="s">
        <v>2225</v>
      </c>
      <c r="U392" t="s">
        <v>2578</v>
      </c>
      <c r="W392" t="s">
        <v>214</v>
      </c>
      <c r="X392">
        <v>1600</v>
      </c>
      <c r="Y392" t="s">
        <v>2607</v>
      </c>
      <c r="Z392" t="s">
        <v>2612</v>
      </c>
      <c r="AA392" t="s">
        <v>2626</v>
      </c>
      <c r="AB392" t="s">
        <v>2987</v>
      </c>
      <c r="AD392" t="s">
        <v>3758</v>
      </c>
      <c r="AE392">
        <v>60</v>
      </c>
      <c r="AF392" t="s">
        <v>4099</v>
      </c>
      <c r="AG392" t="s">
        <v>2255</v>
      </c>
      <c r="AH392">
        <v>7</v>
      </c>
      <c r="AI392">
        <v>1</v>
      </c>
      <c r="AJ392">
        <v>0</v>
      </c>
      <c r="AK392">
        <v>104.08</v>
      </c>
      <c r="AN392" t="s">
        <v>4126</v>
      </c>
      <c r="AO392">
        <v>13000</v>
      </c>
      <c r="AU392">
        <v>0.9399999999999999</v>
      </c>
      <c r="AV392" t="s">
        <v>272</v>
      </c>
      <c r="AW392" t="s">
        <v>4231</v>
      </c>
      <c r="AX392" t="s">
        <v>4266</v>
      </c>
      <c r="AY392" t="s">
        <v>2226</v>
      </c>
      <c r="AZ392" t="s">
        <v>2225</v>
      </c>
    </row>
    <row r="393" spans="1:52">
      <c r="A393" s="1">
        <f>HYPERLINK("https://lsnyc.legalserver.org/matter/dynamic-profile/view/1893374","19-1893374")</f>
        <v>0</v>
      </c>
      <c r="B393" t="s">
        <v>96</v>
      </c>
      <c r="C393" t="s">
        <v>154</v>
      </c>
      <c r="D393" t="s">
        <v>258</v>
      </c>
      <c r="E393" t="s">
        <v>294</v>
      </c>
      <c r="F393" t="s">
        <v>591</v>
      </c>
      <c r="G393" t="s">
        <v>692</v>
      </c>
      <c r="H393" t="s">
        <v>1703</v>
      </c>
      <c r="I393" t="s">
        <v>1992</v>
      </c>
      <c r="J393" t="s">
        <v>2192</v>
      </c>
      <c r="K393">
        <v>11212</v>
      </c>
      <c r="L393" t="s">
        <v>2224</v>
      </c>
      <c r="M393" t="s">
        <v>2224</v>
      </c>
      <c r="N393" t="s">
        <v>2228</v>
      </c>
      <c r="O393" t="s">
        <v>2534</v>
      </c>
      <c r="P393" t="s">
        <v>2556</v>
      </c>
      <c r="Q393" t="s">
        <v>2563</v>
      </c>
      <c r="R393" t="s">
        <v>2569</v>
      </c>
      <c r="S393" t="s">
        <v>2224</v>
      </c>
      <c r="U393" t="s">
        <v>2578</v>
      </c>
      <c r="V393" t="s">
        <v>2588</v>
      </c>
      <c r="W393" t="s">
        <v>2598</v>
      </c>
      <c r="X393">
        <v>1643.13</v>
      </c>
      <c r="Y393" t="s">
        <v>2604</v>
      </c>
      <c r="Z393" t="s">
        <v>2614</v>
      </c>
      <c r="AA393" t="s">
        <v>2626</v>
      </c>
      <c r="AB393" t="s">
        <v>2988</v>
      </c>
      <c r="AC393" t="s">
        <v>2255</v>
      </c>
      <c r="AD393" t="s">
        <v>3759</v>
      </c>
      <c r="AE393">
        <v>38</v>
      </c>
      <c r="AF393" t="s">
        <v>4099</v>
      </c>
      <c r="AG393" t="s">
        <v>2255</v>
      </c>
      <c r="AH393">
        <v>9</v>
      </c>
      <c r="AI393">
        <v>4</v>
      </c>
      <c r="AJ393">
        <v>0</v>
      </c>
      <c r="AK393">
        <v>104.85</v>
      </c>
      <c r="AN393" t="s">
        <v>4126</v>
      </c>
      <c r="AO393">
        <v>27000</v>
      </c>
      <c r="AU393">
        <v>0.1</v>
      </c>
      <c r="AV393" t="s">
        <v>294</v>
      </c>
      <c r="AW393" t="s">
        <v>4226</v>
      </c>
      <c r="AX393" t="s">
        <v>4266</v>
      </c>
      <c r="AY393" t="s">
        <v>2224</v>
      </c>
      <c r="AZ393" t="s">
        <v>2224</v>
      </c>
    </row>
    <row r="394" spans="1:52">
      <c r="A394" s="1">
        <f>HYPERLINK("https://lsnyc.legalserver.org/matter/dynamic-profile/view/1904523","19-1904523")</f>
        <v>0</v>
      </c>
      <c r="B394" t="s">
        <v>98</v>
      </c>
      <c r="C394" t="s">
        <v>155</v>
      </c>
      <c r="D394" t="s">
        <v>203</v>
      </c>
      <c r="F394" t="s">
        <v>592</v>
      </c>
      <c r="G394" t="s">
        <v>1137</v>
      </c>
      <c r="H394" t="s">
        <v>1704</v>
      </c>
      <c r="I394">
        <v>31</v>
      </c>
      <c r="J394" t="s">
        <v>2196</v>
      </c>
      <c r="K394">
        <v>10034</v>
      </c>
      <c r="L394" t="s">
        <v>2224</v>
      </c>
      <c r="M394" t="s">
        <v>2226</v>
      </c>
      <c r="O394" t="s">
        <v>2550</v>
      </c>
      <c r="P394" t="s">
        <v>2557</v>
      </c>
      <c r="R394" t="s">
        <v>2569</v>
      </c>
      <c r="S394" t="s">
        <v>2225</v>
      </c>
      <c r="U394" t="s">
        <v>2578</v>
      </c>
      <c r="W394" t="s">
        <v>203</v>
      </c>
      <c r="X394">
        <v>1013.58</v>
      </c>
      <c r="Y394" t="s">
        <v>2607</v>
      </c>
      <c r="Z394" t="s">
        <v>2613</v>
      </c>
      <c r="AB394" t="s">
        <v>2989</v>
      </c>
      <c r="AD394" t="s">
        <v>3760</v>
      </c>
      <c r="AE394">
        <v>25</v>
      </c>
      <c r="AF394" t="s">
        <v>4099</v>
      </c>
      <c r="AG394" t="s">
        <v>4112</v>
      </c>
      <c r="AH394">
        <v>50</v>
      </c>
      <c r="AI394">
        <v>2</v>
      </c>
      <c r="AJ394">
        <v>0</v>
      </c>
      <c r="AK394">
        <v>105.38</v>
      </c>
      <c r="AM394" t="s">
        <v>4124</v>
      </c>
      <c r="AN394" t="s">
        <v>4127</v>
      </c>
      <c r="AO394">
        <v>17820</v>
      </c>
      <c r="AU394">
        <v>6</v>
      </c>
      <c r="AV394" t="s">
        <v>214</v>
      </c>
      <c r="AW394" t="s">
        <v>80</v>
      </c>
      <c r="AX394" t="s">
        <v>4266</v>
      </c>
      <c r="AY394" t="s">
        <v>2224</v>
      </c>
      <c r="AZ394" t="s">
        <v>2224</v>
      </c>
    </row>
    <row r="395" spans="1:52">
      <c r="A395" s="1">
        <f>HYPERLINK("https://lsnyc.legalserver.org/matter/dynamic-profile/view/1905128","19-1905128")</f>
        <v>0</v>
      </c>
      <c r="B395" t="s">
        <v>112</v>
      </c>
      <c r="C395" t="s">
        <v>154</v>
      </c>
      <c r="D395" t="s">
        <v>180</v>
      </c>
      <c r="E395" t="s">
        <v>164</v>
      </c>
      <c r="F395" t="s">
        <v>593</v>
      </c>
      <c r="G395" t="s">
        <v>1138</v>
      </c>
      <c r="H395" t="s">
        <v>1705</v>
      </c>
      <c r="J395" t="s">
        <v>2195</v>
      </c>
      <c r="K395">
        <v>10304</v>
      </c>
      <c r="L395" t="s">
        <v>2224</v>
      </c>
      <c r="M395" t="s">
        <v>2226</v>
      </c>
      <c r="O395" t="s">
        <v>2238</v>
      </c>
      <c r="P395" t="s">
        <v>2556</v>
      </c>
      <c r="Q395" t="s">
        <v>2563</v>
      </c>
      <c r="R395" t="s">
        <v>2570</v>
      </c>
      <c r="S395" t="s">
        <v>2225</v>
      </c>
      <c r="U395" t="s">
        <v>2578</v>
      </c>
      <c r="V395" t="s">
        <v>2588</v>
      </c>
      <c r="W395" t="s">
        <v>180</v>
      </c>
      <c r="X395">
        <v>1831</v>
      </c>
      <c r="Y395" t="s">
        <v>2606</v>
      </c>
      <c r="Z395" t="s">
        <v>2610</v>
      </c>
      <c r="AA395" t="s">
        <v>2626</v>
      </c>
      <c r="AB395" t="s">
        <v>2990</v>
      </c>
      <c r="AD395" t="s">
        <v>3761</v>
      </c>
      <c r="AE395">
        <v>2</v>
      </c>
      <c r="AF395" t="s">
        <v>4098</v>
      </c>
      <c r="AG395" t="s">
        <v>2255</v>
      </c>
      <c r="AH395">
        <v>1</v>
      </c>
      <c r="AI395">
        <v>1</v>
      </c>
      <c r="AJ395">
        <v>0</v>
      </c>
      <c r="AK395">
        <v>105.68</v>
      </c>
      <c r="AL395" t="s">
        <v>4121</v>
      </c>
      <c r="AM395" t="s">
        <v>4123</v>
      </c>
      <c r="AN395" t="s">
        <v>4126</v>
      </c>
      <c r="AO395">
        <v>13200</v>
      </c>
      <c r="AU395">
        <v>1.5</v>
      </c>
      <c r="AV395" t="s">
        <v>180</v>
      </c>
      <c r="AW395" t="s">
        <v>112</v>
      </c>
      <c r="AX395" t="s">
        <v>4266</v>
      </c>
      <c r="AY395" t="s">
        <v>2224</v>
      </c>
      <c r="AZ395" t="s">
        <v>2224</v>
      </c>
    </row>
    <row r="396" spans="1:52">
      <c r="A396" s="1">
        <f>HYPERLINK("https://lsnyc.legalserver.org/matter/dynamic-profile/view/1906385","19-1906385")</f>
        <v>0</v>
      </c>
      <c r="B396" t="s">
        <v>89</v>
      </c>
      <c r="C396" t="s">
        <v>155</v>
      </c>
      <c r="D396" t="s">
        <v>191</v>
      </c>
      <c r="F396" t="s">
        <v>594</v>
      </c>
      <c r="G396" t="s">
        <v>1139</v>
      </c>
      <c r="H396" t="s">
        <v>1706</v>
      </c>
      <c r="I396" t="s">
        <v>2015</v>
      </c>
      <c r="J396" t="s">
        <v>2204</v>
      </c>
      <c r="K396">
        <v>11377</v>
      </c>
      <c r="L396" t="s">
        <v>2224</v>
      </c>
      <c r="M396" t="s">
        <v>2226</v>
      </c>
      <c r="N396" t="s">
        <v>2396</v>
      </c>
      <c r="O396" t="s">
        <v>2533</v>
      </c>
      <c r="P396" t="s">
        <v>2558</v>
      </c>
      <c r="R396" t="s">
        <v>2569</v>
      </c>
      <c r="S396" t="s">
        <v>2225</v>
      </c>
      <c r="U396" t="s">
        <v>2578</v>
      </c>
      <c r="V396" t="s">
        <v>2588</v>
      </c>
      <c r="W396" t="s">
        <v>191</v>
      </c>
      <c r="X396">
        <v>1024</v>
      </c>
      <c r="Y396" t="s">
        <v>2603</v>
      </c>
      <c r="Z396" t="s">
        <v>2608</v>
      </c>
      <c r="AB396" t="s">
        <v>2991</v>
      </c>
      <c r="AD396" t="s">
        <v>3762</v>
      </c>
      <c r="AE396">
        <v>60</v>
      </c>
      <c r="AF396" t="s">
        <v>4099</v>
      </c>
      <c r="AG396" t="s">
        <v>2255</v>
      </c>
      <c r="AH396">
        <v>26</v>
      </c>
      <c r="AI396">
        <v>5</v>
      </c>
      <c r="AJ396">
        <v>1</v>
      </c>
      <c r="AK396">
        <v>105.81</v>
      </c>
      <c r="AN396" t="s">
        <v>4127</v>
      </c>
      <c r="AO396">
        <v>36600</v>
      </c>
      <c r="AU396">
        <v>11.1</v>
      </c>
      <c r="AV396" t="s">
        <v>222</v>
      </c>
      <c r="AW396" t="s">
        <v>4224</v>
      </c>
      <c r="AX396" t="s">
        <v>4266</v>
      </c>
      <c r="AY396" t="s">
        <v>2226</v>
      </c>
      <c r="AZ396" t="s">
        <v>2226</v>
      </c>
    </row>
    <row r="397" spans="1:52">
      <c r="A397" s="1">
        <f>HYPERLINK("https://lsnyc.legalserver.org/matter/dynamic-profile/view/1909640","19-1909640")</f>
        <v>0</v>
      </c>
      <c r="B397" t="s">
        <v>58</v>
      </c>
      <c r="C397" t="s">
        <v>155</v>
      </c>
      <c r="D397" t="s">
        <v>242</v>
      </c>
      <c r="F397" t="s">
        <v>444</v>
      </c>
      <c r="G397" t="s">
        <v>628</v>
      </c>
      <c r="H397" t="s">
        <v>1707</v>
      </c>
      <c r="I397" t="s">
        <v>2085</v>
      </c>
      <c r="J397" t="s">
        <v>2192</v>
      </c>
      <c r="K397">
        <v>11210</v>
      </c>
      <c r="L397" t="s">
        <v>2224</v>
      </c>
      <c r="M397" t="s">
        <v>2226</v>
      </c>
      <c r="N397" t="s">
        <v>2397</v>
      </c>
      <c r="O397" t="s">
        <v>2533</v>
      </c>
      <c r="P397" t="s">
        <v>2561</v>
      </c>
      <c r="R397" t="s">
        <v>2569</v>
      </c>
      <c r="S397" t="s">
        <v>2225</v>
      </c>
      <c r="U397" t="s">
        <v>2578</v>
      </c>
      <c r="V397" t="s">
        <v>2588</v>
      </c>
      <c r="W397" t="s">
        <v>242</v>
      </c>
      <c r="X397">
        <v>1004.5</v>
      </c>
      <c r="Y397" t="s">
        <v>2604</v>
      </c>
      <c r="Z397" t="s">
        <v>2612</v>
      </c>
      <c r="AB397" t="s">
        <v>2992</v>
      </c>
      <c r="AE397">
        <v>4</v>
      </c>
      <c r="AF397" t="s">
        <v>4098</v>
      </c>
      <c r="AG397" t="s">
        <v>2255</v>
      </c>
      <c r="AH397">
        <v>5</v>
      </c>
      <c r="AI397">
        <v>2</v>
      </c>
      <c r="AJ397">
        <v>3</v>
      </c>
      <c r="AK397">
        <v>106.07</v>
      </c>
      <c r="AN397" t="s">
        <v>4132</v>
      </c>
      <c r="AO397">
        <v>32000</v>
      </c>
      <c r="AQ397" t="s">
        <v>4177</v>
      </c>
      <c r="AU397">
        <v>5</v>
      </c>
      <c r="AV397" t="s">
        <v>242</v>
      </c>
      <c r="AW397" t="s">
        <v>58</v>
      </c>
      <c r="AX397" t="s">
        <v>4266</v>
      </c>
      <c r="AY397" t="s">
        <v>2224</v>
      </c>
      <c r="AZ397" t="s">
        <v>2224</v>
      </c>
    </row>
    <row r="398" spans="1:52">
      <c r="A398" s="1">
        <f>HYPERLINK("https://lsnyc.legalserver.org/matter/dynamic-profile/view/1902565","19-1902565")</f>
        <v>0</v>
      </c>
      <c r="B398" t="s">
        <v>74</v>
      </c>
      <c r="C398" t="s">
        <v>155</v>
      </c>
      <c r="D398" t="s">
        <v>259</v>
      </c>
      <c r="F398" t="s">
        <v>595</v>
      </c>
      <c r="G398" t="s">
        <v>1140</v>
      </c>
      <c r="H398" t="s">
        <v>1708</v>
      </c>
      <c r="I398" t="s">
        <v>2040</v>
      </c>
      <c r="J398" t="s">
        <v>2196</v>
      </c>
      <c r="K398">
        <v>10034</v>
      </c>
      <c r="L398" t="s">
        <v>2224</v>
      </c>
      <c r="M398" t="s">
        <v>2226</v>
      </c>
      <c r="O398" t="s">
        <v>2238</v>
      </c>
      <c r="P398" t="s">
        <v>2559</v>
      </c>
      <c r="R398" t="s">
        <v>2569</v>
      </c>
      <c r="S398" t="s">
        <v>2225</v>
      </c>
      <c r="U398" t="s">
        <v>2578</v>
      </c>
      <c r="W398" t="s">
        <v>196</v>
      </c>
      <c r="X398">
        <v>1061</v>
      </c>
      <c r="Y398" t="s">
        <v>2607</v>
      </c>
      <c r="Z398" t="s">
        <v>2617</v>
      </c>
      <c r="AB398" t="s">
        <v>2993</v>
      </c>
      <c r="AD398" t="s">
        <v>3763</v>
      </c>
      <c r="AE398">
        <v>30</v>
      </c>
      <c r="AF398" t="s">
        <v>2518</v>
      </c>
      <c r="AG398" t="s">
        <v>2255</v>
      </c>
      <c r="AH398">
        <v>4</v>
      </c>
      <c r="AI398">
        <v>2</v>
      </c>
      <c r="AJ398">
        <v>0</v>
      </c>
      <c r="AK398">
        <v>106.45</v>
      </c>
      <c r="AN398" t="s">
        <v>4127</v>
      </c>
      <c r="AO398">
        <v>18000</v>
      </c>
      <c r="AU398">
        <v>2</v>
      </c>
      <c r="AV398" t="s">
        <v>196</v>
      </c>
      <c r="AW398" t="s">
        <v>4249</v>
      </c>
      <c r="AX398" t="s">
        <v>4266</v>
      </c>
      <c r="AY398" t="s">
        <v>2226</v>
      </c>
      <c r="AZ398" t="s">
        <v>2226</v>
      </c>
    </row>
    <row r="399" spans="1:52">
      <c r="A399" s="1">
        <f>HYPERLINK("https://lsnyc.legalserver.org/matter/dynamic-profile/view/1912552","19-1912552")</f>
        <v>0</v>
      </c>
      <c r="B399" t="s">
        <v>134</v>
      </c>
      <c r="C399" t="s">
        <v>155</v>
      </c>
      <c r="D399" t="s">
        <v>157</v>
      </c>
      <c r="F399" t="s">
        <v>596</v>
      </c>
      <c r="G399" t="s">
        <v>1025</v>
      </c>
      <c r="H399" t="s">
        <v>1709</v>
      </c>
      <c r="I399">
        <v>6</v>
      </c>
      <c r="J399" t="s">
        <v>2196</v>
      </c>
      <c r="K399">
        <v>10034</v>
      </c>
      <c r="L399" t="s">
        <v>2224</v>
      </c>
      <c r="M399" t="s">
        <v>2226</v>
      </c>
      <c r="O399" t="s">
        <v>2537</v>
      </c>
      <c r="P399" t="s">
        <v>2559</v>
      </c>
      <c r="R399" t="s">
        <v>2569</v>
      </c>
      <c r="S399" t="s">
        <v>2225</v>
      </c>
      <c r="U399" t="s">
        <v>2578</v>
      </c>
      <c r="W399" t="s">
        <v>157</v>
      </c>
      <c r="X399">
        <v>902.13</v>
      </c>
      <c r="Y399" t="s">
        <v>2607</v>
      </c>
      <c r="Z399" t="s">
        <v>2617</v>
      </c>
      <c r="AB399" t="s">
        <v>2994</v>
      </c>
      <c r="AD399" t="s">
        <v>3764</v>
      </c>
      <c r="AE399">
        <v>34</v>
      </c>
      <c r="AF399" t="s">
        <v>4099</v>
      </c>
      <c r="AG399" t="s">
        <v>4116</v>
      </c>
      <c r="AH399">
        <v>24</v>
      </c>
      <c r="AI399">
        <v>1</v>
      </c>
      <c r="AJ399">
        <v>0</v>
      </c>
      <c r="AK399">
        <v>106.84</v>
      </c>
      <c r="AN399" t="s">
        <v>4127</v>
      </c>
      <c r="AO399">
        <v>13344</v>
      </c>
      <c r="AU399">
        <v>1.4</v>
      </c>
      <c r="AV399" t="s">
        <v>204</v>
      </c>
      <c r="AW399" t="s">
        <v>80</v>
      </c>
      <c r="AX399" t="s">
        <v>4266</v>
      </c>
      <c r="AY399" t="s">
        <v>2226</v>
      </c>
      <c r="AZ399" t="s">
        <v>2226</v>
      </c>
    </row>
    <row r="400" spans="1:52">
      <c r="A400" s="1">
        <f>HYPERLINK("https://lsnyc.legalserver.org/matter/dynamic-profile/view/1912435","19-1912435")</f>
        <v>0</v>
      </c>
      <c r="B400" t="s">
        <v>53</v>
      </c>
      <c r="C400" t="s">
        <v>155</v>
      </c>
      <c r="D400" t="s">
        <v>230</v>
      </c>
      <c r="F400" t="s">
        <v>463</v>
      </c>
      <c r="G400" t="s">
        <v>1141</v>
      </c>
      <c r="H400" t="s">
        <v>1397</v>
      </c>
      <c r="I400">
        <v>40</v>
      </c>
      <c r="J400" t="s">
        <v>2187</v>
      </c>
      <c r="K400">
        <v>11691</v>
      </c>
      <c r="L400" t="s">
        <v>2224</v>
      </c>
      <c r="M400" t="s">
        <v>2226</v>
      </c>
      <c r="O400" t="s">
        <v>2534</v>
      </c>
      <c r="P400" t="s">
        <v>2558</v>
      </c>
      <c r="R400" t="s">
        <v>2569</v>
      </c>
      <c r="S400" t="s">
        <v>2224</v>
      </c>
      <c r="U400" t="s">
        <v>2578</v>
      </c>
      <c r="W400" t="s">
        <v>230</v>
      </c>
      <c r="X400">
        <v>660</v>
      </c>
      <c r="Y400" t="s">
        <v>2603</v>
      </c>
      <c r="Z400" t="s">
        <v>2609</v>
      </c>
      <c r="AB400" t="s">
        <v>2995</v>
      </c>
      <c r="AD400" t="s">
        <v>3765</v>
      </c>
      <c r="AE400">
        <v>43</v>
      </c>
      <c r="AF400" t="s">
        <v>4099</v>
      </c>
      <c r="AG400" t="s">
        <v>2255</v>
      </c>
      <c r="AH400">
        <v>40</v>
      </c>
      <c r="AI400">
        <v>2</v>
      </c>
      <c r="AJ400">
        <v>0</v>
      </c>
      <c r="AK400">
        <v>107.23</v>
      </c>
      <c r="AN400" t="s">
        <v>4126</v>
      </c>
      <c r="AO400">
        <v>18132</v>
      </c>
      <c r="AU400">
        <v>0.3</v>
      </c>
      <c r="AV400" t="s">
        <v>230</v>
      </c>
      <c r="AW400" t="s">
        <v>4224</v>
      </c>
      <c r="AX400" t="s">
        <v>4266</v>
      </c>
      <c r="AY400" t="s">
        <v>2224</v>
      </c>
      <c r="AZ400" t="s">
        <v>2224</v>
      </c>
    </row>
    <row r="401" spans="1:52">
      <c r="A401" s="1">
        <f>HYPERLINK("https://lsnyc.legalserver.org/matter/dynamic-profile/view/1903001","19-1903001")</f>
        <v>0</v>
      </c>
      <c r="B401" t="s">
        <v>85</v>
      </c>
      <c r="C401" t="s">
        <v>155</v>
      </c>
      <c r="D401" t="s">
        <v>260</v>
      </c>
      <c r="F401" t="s">
        <v>597</v>
      </c>
      <c r="G401" t="s">
        <v>1079</v>
      </c>
      <c r="H401" t="s">
        <v>1710</v>
      </c>
      <c r="I401" t="s">
        <v>2058</v>
      </c>
      <c r="J401" t="s">
        <v>2192</v>
      </c>
      <c r="K401">
        <v>11212</v>
      </c>
      <c r="L401" t="s">
        <v>2224</v>
      </c>
      <c r="M401" t="s">
        <v>2226</v>
      </c>
      <c r="N401" t="s">
        <v>2398</v>
      </c>
      <c r="O401" t="s">
        <v>2535</v>
      </c>
      <c r="P401" t="s">
        <v>2558</v>
      </c>
      <c r="R401" t="s">
        <v>2569</v>
      </c>
      <c r="S401" t="s">
        <v>2225</v>
      </c>
      <c r="U401" t="s">
        <v>2578</v>
      </c>
      <c r="V401" t="s">
        <v>2588</v>
      </c>
      <c r="W401" t="s">
        <v>191</v>
      </c>
      <c r="X401">
        <v>1534</v>
      </c>
      <c r="Y401" t="s">
        <v>2604</v>
      </c>
      <c r="Z401" t="s">
        <v>2613</v>
      </c>
      <c r="AB401" t="s">
        <v>2996</v>
      </c>
      <c r="AC401">
        <v>9407455</v>
      </c>
      <c r="AD401" t="s">
        <v>3766</v>
      </c>
      <c r="AE401">
        <v>21</v>
      </c>
      <c r="AF401" t="s">
        <v>4099</v>
      </c>
      <c r="AG401" t="s">
        <v>4113</v>
      </c>
      <c r="AH401">
        <v>9</v>
      </c>
      <c r="AI401">
        <v>1</v>
      </c>
      <c r="AJ401">
        <v>2</v>
      </c>
      <c r="AK401">
        <v>107.75</v>
      </c>
      <c r="AN401" t="s">
        <v>4126</v>
      </c>
      <c r="AO401">
        <v>22984.08</v>
      </c>
      <c r="AU401">
        <v>33.8</v>
      </c>
      <c r="AV401" t="s">
        <v>225</v>
      </c>
      <c r="AW401" t="s">
        <v>127</v>
      </c>
      <c r="AX401" t="s">
        <v>4266</v>
      </c>
      <c r="AY401" t="s">
        <v>2224</v>
      </c>
      <c r="AZ401" t="s">
        <v>2224</v>
      </c>
    </row>
    <row r="402" spans="1:52">
      <c r="A402" s="1">
        <f>HYPERLINK("https://lsnyc.legalserver.org/matter/dynamic-profile/view/1907920","19-1907920")</f>
        <v>0</v>
      </c>
      <c r="B402" t="s">
        <v>52</v>
      </c>
      <c r="C402" t="s">
        <v>155</v>
      </c>
      <c r="D402" t="s">
        <v>184</v>
      </c>
      <c r="F402" t="s">
        <v>598</v>
      </c>
      <c r="G402" t="s">
        <v>1067</v>
      </c>
      <c r="H402" t="s">
        <v>1711</v>
      </c>
      <c r="I402" t="s">
        <v>2097</v>
      </c>
      <c r="J402" t="s">
        <v>2216</v>
      </c>
      <c r="K402">
        <v>11694</v>
      </c>
      <c r="L402" t="s">
        <v>2224</v>
      </c>
      <c r="M402" t="s">
        <v>2226</v>
      </c>
      <c r="N402" t="s">
        <v>2399</v>
      </c>
      <c r="O402" t="s">
        <v>2535</v>
      </c>
      <c r="P402" t="s">
        <v>2558</v>
      </c>
      <c r="R402" t="s">
        <v>2569</v>
      </c>
      <c r="S402" t="s">
        <v>2225</v>
      </c>
      <c r="U402" t="s">
        <v>2578</v>
      </c>
      <c r="V402" t="s">
        <v>2588</v>
      </c>
      <c r="W402" t="s">
        <v>184</v>
      </c>
      <c r="X402">
        <v>933.92</v>
      </c>
      <c r="Y402" t="s">
        <v>2603</v>
      </c>
      <c r="Z402" t="s">
        <v>2608</v>
      </c>
      <c r="AB402" t="s">
        <v>2997</v>
      </c>
      <c r="AC402" t="s">
        <v>2255</v>
      </c>
      <c r="AD402" t="s">
        <v>3767</v>
      </c>
      <c r="AE402">
        <v>240</v>
      </c>
      <c r="AF402" t="s">
        <v>4099</v>
      </c>
      <c r="AG402" t="s">
        <v>2255</v>
      </c>
      <c r="AH402">
        <v>12</v>
      </c>
      <c r="AI402">
        <v>1</v>
      </c>
      <c r="AJ402">
        <v>0</v>
      </c>
      <c r="AK402">
        <v>107.8</v>
      </c>
      <c r="AN402" t="s">
        <v>4126</v>
      </c>
      <c r="AO402">
        <v>13464</v>
      </c>
      <c r="AQ402" t="s">
        <v>4176</v>
      </c>
      <c r="AR402" t="s">
        <v>4181</v>
      </c>
      <c r="AS402" t="s">
        <v>4188</v>
      </c>
      <c r="AT402" t="s">
        <v>4213</v>
      </c>
      <c r="AU402">
        <v>18.8</v>
      </c>
      <c r="AV402" t="s">
        <v>245</v>
      </c>
      <c r="AW402" t="s">
        <v>4224</v>
      </c>
      <c r="AX402" t="s">
        <v>4266</v>
      </c>
      <c r="AY402" t="s">
        <v>2224</v>
      </c>
      <c r="AZ402" t="s">
        <v>2224</v>
      </c>
    </row>
    <row r="403" spans="1:52">
      <c r="A403" s="1">
        <f>HYPERLINK("https://lsnyc.legalserver.org/matter/dynamic-profile/view/1913154","19-1913154")</f>
        <v>0</v>
      </c>
      <c r="B403" t="s">
        <v>135</v>
      </c>
      <c r="C403" t="s">
        <v>155</v>
      </c>
      <c r="D403" t="s">
        <v>163</v>
      </c>
      <c r="F403" t="s">
        <v>599</v>
      </c>
      <c r="G403" t="s">
        <v>1142</v>
      </c>
      <c r="H403" t="s">
        <v>1415</v>
      </c>
      <c r="I403" t="s">
        <v>2102</v>
      </c>
      <c r="J403" t="s">
        <v>2192</v>
      </c>
      <c r="K403">
        <v>11233</v>
      </c>
      <c r="L403" t="s">
        <v>2224</v>
      </c>
      <c r="M403" t="s">
        <v>2226</v>
      </c>
      <c r="O403" t="s">
        <v>2238</v>
      </c>
      <c r="P403" t="s">
        <v>2557</v>
      </c>
      <c r="R403" t="s">
        <v>2569</v>
      </c>
      <c r="S403" t="s">
        <v>2225</v>
      </c>
      <c r="U403" t="s">
        <v>2578</v>
      </c>
      <c r="W403" t="s">
        <v>225</v>
      </c>
      <c r="X403">
        <v>967.78</v>
      </c>
      <c r="Y403" t="s">
        <v>2604</v>
      </c>
      <c r="Z403" t="s">
        <v>2613</v>
      </c>
      <c r="AB403" t="s">
        <v>2998</v>
      </c>
      <c r="AC403" t="s">
        <v>3427</v>
      </c>
      <c r="AD403" t="s">
        <v>3768</v>
      </c>
      <c r="AE403">
        <v>359</v>
      </c>
      <c r="AF403" t="s">
        <v>4099</v>
      </c>
      <c r="AH403">
        <v>0</v>
      </c>
      <c r="AI403">
        <v>1</v>
      </c>
      <c r="AJ403">
        <v>2</v>
      </c>
      <c r="AK403">
        <v>108.24</v>
      </c>
      <c r="AN403" t="s">
        <v>4126</v>
      </c>
      <c r="AO403">
        <v>23088</v>
      </c>
      <c r="AU403">
        <v>6.8</v>
      </c>
      <c r="AV403" t="s">
        <v>163</v>
      </c>
      <c r="AW403" t="s">
        <v>135</v>
      </c>
      <c r="AX403" t="s">
        <v>4266</v>
      </c>
      <c r="AY403" t="s">
        <v>2224</v>
      </c>
      <c r="AZ403" t="s">
        <v>2224</v>
      </c>
    </row>
    <row r="404" spans="1:52">
      <c r="A404" s="1">
        <f>HYPERLINK("https://lsnyc.legalserver.org/matter/dynamic-profile/view/1913381","19-1913381")</f>
        <v>0</v>
      </c>
      <c r="B404" t="s">
        <v>88</v>
      </c>
      <c r="C404" t="s">
        <v>155</v>
      </c>
      <c r="D404" t="s">
        <v>218</v>
      </c>
      <c r="F404" t="s">
        <v>495</v>
      </c>
      <c r="G404" t="s">
        <v>1143</v>
      </c>
      <c r="H404" t="s">
        <v>1504</v>
      </c>
      <c r="J404" t="s">
        <v>2196</v>
      </c>
      <c r="K404">
        <v>10029</v>
      </c>
      <c r="L404" t="s">
        <v>2224</v>
      </c>
      <c r="M404" t="s">
        <v>2226</v>
      </c>
      <c r="O404" t="s">
        <v>2534</v>
      </c>
      <c r="P404" t="s">
        <v>2559</v>
      </c>
      <c r="R404" t="s">
        <v>2569</v>
      </c>
      <c r="S404" t="s">
        <v>2224</v>
      </c>
      <c r="U404" t="s">
        <v>2578</v>
      </c>
      <c r="V404" t="s">
        <v>2588</v>
      </c>
      <c r="W404" t="s">
        <v>245</v>
      </c>
      <c r="X404">
        <v>511</v>
      </c>
      <c r="Y404" t="s">
        <v>2607</v>
      </c>
      <c r="Z404" t="s">
        <v>2609</v>
      </c>
      <c r="AB404" t="s">
        <v>2999</v>
      </c>
      <c r="AD404" t="s">
        <v>3769</v>
      </c>
      <c r="AE404">
        <v>108</v>
      </c>
      <c r="AF404" t="s">
        <v>4099</v>
      </c>
      <c r="AG404" t="s">
        <v>2255</v>
      </c>
      <c r="AH404">
        <v>34</v>
      </c>
      <c r="AI404">
        <v>3</v>
      </c>
      <c r="AJ404">
        <v>0</v>
      </c>
      <c r="AK404">
        <v>108.56</v>
      </c>
      <c r="AN404" t="s">
        <v>4127</v>
      </c>
      <c r="AO404">
        <v>23156</v>
      </c>
      <c r="AU404">
        <v>0</v>
      </c>
      <c r="AW404" t="s">
        <v>4237</v>
      </c>
      <c r="AX404" t="s">
        <v>4266</v>
      </c>
      <c r="AY404" t="s">
        <v>2226</v>
      </c>
      <c r="AZ404" t="s">
        <v>2226</v>
      </c>
    </row>
    <row r="405" spans="1:52">
      <c r="A405" s="1">
        <f>HYPERLINK("https://lsnyc.legalserver.org/matter/dynamic-profile/view/1912652","19-1912652")</f>
        <v>0</v>
      </c>
      <c r="B405" t="s">
        <v>67</v>
      </c>
      <c r="C405" t="s">
        <v>155</v>
      </c>
      <c r="D405" t="s">
        <v>202</v>
      </c>
      <c r="F405" t="s">
        <v>600</v>
      </c>
      <c r="G405" t="s">
        <v>966</v>
      </c>
      <c r="H405" t="s">
        <v>1712</v>
      </c>
      <c r="I405" t="s">
        <v>1981</v>
      </c>
      <c r="J405" t="s">
        <v>2192</v>
      </c>
      <c r="K405">
        <v>11215</v>
      </c>
      <c r="L405" t="s">
        <v>2224</v>
      </c>
      <c r="M405" t="s">
        <v>2226</v>
      </c>
      <c r="P405" t="s">
        <v>2556</v>
      </c>
      <c r="R405" t="s">
        <v>2569</v>
      </c>
      <c r="U405" t="s">
        <v>2578</v>
      </c>
      <c r="W405" t="s">
        <v>230</v>
      </c>
      <c r="X405">
        <v>0</v>
      </c>
      <c r="Y405" t="s">
        <v>2604</v>
      </c>
      <c r="Z405" t="s">
        <v>2614</v>
      </c>
      <c r="AB405" t="s">
        <v>3000</v>
      </c>
      <c r="AD405" t="s">
        <v>3770</v>
      </c>
      <c r="AE405">
        <v>8</v>
      </c>
      <c r="AH405">
        <v>7</v>
      </c>
      <c r="AI405">
        <v>1</v>
      </c>
      <c r="AJ405">
        <v>3</v>
      </c>
      <c r="AK405">
        <v>108.74</v>
      </c>
      <c r="AN405" t="s">
        <v>4126</v>
      </c>
      <c r="AO405">
        <v>28000</v>
      </c>
      <c r="AU405">
        <v>0</v>
      </c>
      <c r="AW405" t="s">
        <v>153</v>
      </c>
      <c r="AX405" t="s">
        <v>4266</v>
      </c>
      <c r="AY405" t="s">
        <v>2224</v>
      </c>
      <c r="AZ405" t="s">
        <v>2224</v>
      </c>
    </row>
    <row r="406" spans="1:52">
      <c r="A406" s="1">
        <f>HYPERLINK("https://lsnyc.legalserver.org/matter/dynamic-profile/view/1910867","19-1910867")</f>
        <v>0</v>
      </c>
      <c r="B406" t="s">
        <v>65</v>
      </c>
      <c r="C406" t="s">
        <v>154</v>
      </c>
      <c r="D406" t="s">
        <v>214</v>
      </c>
      <c r="E406" t="s">
        <v>280</v>
      </c>
      <c r="F406" t="s">
        <v>601</v>
      </c>
      <c r="G406" t="s">
        <v>1000</v>
      </c>
      <c r="H406" t="s">
        <v>1502</v>
      </c>
      <c r="J406" t="s">
        <v>2192</v>
      </c>
      <c r="K406">
        <v>11212</v>
      </c>
      <c r="L406" t="s">
        <v>2225</v>
      </c>
      <c r="M406" t="s">
        <v>2226</v>
      </c>
      <c r="N406" t="s">
        <v>2400</v>
      </c>
      <c r="O406" t="s">
        <v>2535</v>
      </c>
      <c r="P406" t="s">
        <v>2556</v>
      </c>
      <c r="Q406" t="s">
        <v>2563</v>
      </c>
      <c r="R406" t="s">
        <v>2569</v>
      </c>
      <c r="S406" t="s">
        <v>2225</v>
      </c>
      <c r="U406" t="s">
        <v>2578</v>
      </c>
      <c r="V406" t="s">
        <v>2588</v>
      </c>
      <c r="W406" t="s">
        <v>214</v>
      </c>
      <c r="X406">
        <v>1800</v>
      </c>
      <c r="Y406" t="s">
        <v>2604</v>
      </c>
      <c r="Z406" t="s">
        <v>2612</v>
      </c>
      <c r="AA406" t="s">
        <v>2626</v>
      </c>
      <c r="AB406" t="s">
        <v>3001</v>
      </c>
      <c r="AD406" t="s">
        <v>3771</v>
      </c>
      <c r="AE406">
        <v>0</v>
      </c>
      <c r="AF406" t="s">
        <v>4102</v>
      </c>
      <c r="AG406" t="s">
        <v>4112</v>
      </c>
      <c r="AH406">
        <v>1</v>
      </c>
      <c r="AI406">
        <v>2</v>
      </c>
      <c r="AJ406">
        <v>1</v>
      </c>
      <c r="AK406">
        <v>109.7</v>
      </c>
      <c r="AN406" t="s">
        <v>4126</v>
      </c>
      <c r="AO406">
        <v>23400</v>
      </c>
      <c r="AU406">
        <v>2.8</v>
      </c>
      <c r="AV406" t="s">
        <v>169</v>
      </c>
      <c r="AW406" t="s">
        <v>4243</v>
      </c>
      <c r="AX406" t="s">
        <v>2255</v>
      </c>
      <c r="AY406" t="s">
        <v>2226</v>
      </c>
      <c r="AZ406" t="s">
        <v>2225</v>
      </c>
    </row>
    <row r="407" spans="1:52">
      <c r="A407" s="1">
        <f>HYPERLINK("https://lsnyc.legalserver.org/matter/dynamic-profile/view/1911731","19-1911731")</f>
        <v>0</v>
      </c>
      <c r="B407" t="s">
        <v>90</v>
      </c>
      <c r="C407" t="s">
        <v>155</v>
      </c>
      <c r="D407" t="s">
        <v>174</v>
      </c>
      <c r="F407" t="s">
        <v>602</v>
      </c>
      <c r="G407" t="s">
        <v>1144</v>
      </c>
      <c r="H407" t="s">
        <v>1713</v>
      </c>
      <c r="I407" t="s">
        <v>2103</v>
      </c>
      <c r="J407" t="s">
        <v>2196</v>
      </c>
      <c r="K407">
        <v>10032</v>
      </c>
      <c r="L407" t="s">
        <v>2224</v>
      </c>
      <c r="M407" t="s">
        <v>2226</v>
      </c>
      <c r="O407" t="s">
        <v>2533</v>
      </c>
      <c r="P407" t="s">
        <v>2558</v>
      </c>
      <c r="R407" t="s">
        <v>2569</v>
      </c>
      <c r="S407" t="s">
        <v>2225</v>
      </c>
      <c r="U407" t="s">
        <v>2578</v>
      </c>
      <c r="W407" t="s">
        <v>174</v>
      </c>
      <c r="X407">
        <v>370</v>
      </c>
      <c r="Y407" t="s">
        <v>2607</v>
      </c>
      <c r="Z407" t="s">
        <v>2613</v>
      </c>
      <c r="AB407" t="s">
        <v>3002</v>
      </c>
      <c r="AD407" t="s">
        <v>3772</v>
      </c>
      <c r="AE407">
        <v>69</v>
      </c>
      <c r="AF407" t="s">
        <v>4099</v>
      </c>
      <c r="AG407" t="s">
        <v>2255</v>
      </c>
      <c r="AH407">
        <v>9</v>
      </c>
      <c r="AI407">
        <v>3</v>
      </c>
      <c r="AJ407">
        <v>0</v>
      </c>
      <c r="AK407">
        <v>109.7</v>
      </c>
      <c r="AN407" t="s">
        <v>4127</v>
      </c>
      <c r="AO407">
        <v>23400</v>
      </c>
      <c r="AU407">
        <v>9.300000000000001</v>
      </c>
      <c r="AV407" t="s">
        <v>275</v>
      </c>
      <c r="AW407" t="s">
        <v>80</v>
      </c>
      <c r="AX407" t="s">
        <v>4266</v>
      </c>
      <c r="AY407" t="s">
        <v>2226</v>
      </c>
      <c r="AZ407" t="s">
        <v>2226</v>
      </c>
    </row>
    <row r="408" spans="1:52">
      <c r="A408" s="1">
        <f>HYPERLINK("https://lsnyc.legalserver.org/matter/dynamic-profile/view/1907071","19-1907071")</f>
        <v>0</v>
      </c>
      <c r="B408" t="s">
        <v>90</v>
      </c>
      <c r="C408" t="s">
        <v>155</v>
      </c>
      <c r="D408" t="s">
        <v>193</v>
      </c>
      <c r="F408" t="s">
        <v>602</v>
      </c>
      <c r="G408" t="s">
        <v>1144</v>
      </c>
      <c r="H408" t="s">
        <v>1713</v>
      </c>
      <c r="I408" t="s">
        <v>2103</v>
      </c>
      <c r="J408" t="s">
        <v>2196</v>
      </c>
      <c r="K408">
        <v>10032</v>
      </c>
      <c r="L408" t="s">
        <v>2224</v>
      </c>
      <c r="M408" t="s">
        <v>2226</v>
      </c>
      <c r="O408" t="s">
        <v>2536</v>
      </c>
      <c r="P408" t="s">
        <v>2557</v>
      </c>
      <c r="R408" t="s">
        <v>2569</v>
      </c>
      <c r="S408" t="s">
        <v>2225</v>
      </c>
      <c r="U408" t="s">
        <v>2578</v>
      </c>
      <c r="W408" t="s">
        <v>193</v>
      </c>
      <c r="X408">
        <v>370</v>
      </c>
      <c r="Y408" t="s">
        <v>2607</v>
      </c>
      <c r="Z408" t="s">
        <v>2613</v>
      </c>
      <c r="AB408" t="s">
        <v>3002</v>
      </c>
      <c r="AD408" t="s">
        <v>3772</v>
      </c>
      <c r="AE408">
        <v>69</v>
      </c>
      <c r="AF408" t="s">
        <v>4110</v>
      </c>
      <c r="AG408" t="s">
        <v>2255</v>
      </c>
      <c r="AH408">
        <v>9</v>
      </c>
      <c r="AI408">
        <v>3</v>
      </c>
      <c r="AJ408">
        <v>0</v>
      </c>
      <c r="AK408">
        <v>109.7</v>
      </c>
      <c r="AN408" t="s">
        <v>4127</v>
      </c>
      <c r="AO408">
        <v>23400</v>
      </c>
      <c r="AU408">
        <v>10.6</v>
      </c>
      <c r="AV408" t="s">
        <v>199</v>
      </c>
      <c r="AW408" t="s">
        <v>80</v>
      </c>
      <c r="AX408" t="s">
        <v>4266</v>
      </c>
      <c r="AY408" t="s">
        <v>2224</v>
      </c>
      <c r="AZ408" t="s">
        <v>2224</v>
      </c>
    </row>
    <row r="409" spans="1:52">
      <c r="A409" s="1">
        <f>HYPERLINK("https://lsnyc.legalserver.org/matter/dynamic-profile/view/1910410","19-1910410")</f>
        <v>0</v>
      </c>
      <c r="B409" t="s">
        <v>87</v>
      </c>
      <c r="C409" t="s">
        <v>155</v>
      </c>
      <c r="D409" t="s">
        <v>178</v>
      </c>
      <c r="F409" t="s">
        <v>603</v>
      </c>
      <c r="G409" t="s">
        <v>1145</v>
      </c>
      <c r="H409" t="s">
        <v>1714</v>
      </c>
      <c r="I409" t="s">
        <v>2084</v>
      </c>
      <c r="J409" t="s">
        <v>2196</v>
      </c>
      <c r="K409">
        <v>10028</v>
      </c>
      <c r="L409" t="s">
        <v>2224</v>
      </c>
      <c r="M409" t="s">
        <v>2226</v>
      </c>
      <c r="O409" t="s">
        <v>2545</v>
      </c>
      <c r="P409" t="s">
        <v>2557</v>
      </c>
      <c r="R409" t="s">
        <v>2569</v>
      </c>
      <c r="S409" t="s">
        <v>2225</v>
      </c>
      <c r="U409" t="s">
        <v>2584</v>
      </c>
      <c r="V409" t="s">
        <v>2588</v>
      </c>
      <c r="W409" t="s">
        <v>211</v>
      </c>
      <c r="X409">
        <v>1844.37</v>
      </c>
      <c r="Y409" t="s">
        <v>2607</v>
      </c>
      <c r="Z409" t="s">
        <v>2613</v>
      </c>
      <c r="AB409" t="s">
        <v>3003</v>
      </c>
      <c r="AC409" t="s">
        <v>3428</v>
      </c>
      <c r="AD409" t="s">
        <v>3773</v>
      </c>
      <c r="AE409">
        <v>60</v>
      </c>
      <c r="AF409" t="s">
        <v>4110</v>
      </c>
      <c r="AG409" t="s">
        <v>4116</v>
      </c>
      <c r="AH409">
        <v>49</v>
      </c>
      <c r="AI409">
        <v>2</v>
      </c>
      <c r="AJ409">
        <v>0</v>
      </c>
      <c r="AK409">
        <v>109.78</v>
      </c>
      <c r="AN409" t="s">
        <v>4126</v>
      </c>
      <c r="AO409">
        <v>18564</v>
      </c>
      <c r="AU409">
        <v>0.1</v>
      </c>
      <c r="AV409" t="s">
        <v>199</v>
      </c>
      <c r="AW409" t="s">
        <v>4237</v>
      </c>
      <c r="AX409" t="s">
        <v>4266</v>
      </c>
      <c r="AY409" t="s">
        <v>2224</v>
      </c>
      <c r="AZ409" t="s">
        <v>2224</v>
      </c>
    </row>
    <row r="410" spans="1:52">
      <c r="A410" s="1">
        <f>HYPERLINK("https://lsnyc.legalserver.org/matter/dynamic-profile/view/1906058","19-1906058")</f>
        <v>0</v>
      </c>
      <c r="B410" t="s">
        <v>85</v>
      </c>
      <c r="C410" t="s">
        <v>155</v>
      </c>
      <c r="D410" t="s">
        <v>173</v>
      </c>
      <c r="F410" t="s">
        <v>604</v>
      </c>
      <c r="G410" t="s">
        <v>1146</v>
      </c>
      <c r="H410" t="s">
        <v>1715</v>
      </c>
      <c r="I410" t="s">
        <v>2104</v>
      </c>
      <c r="J410" t="s">
        <v>2192</v>
      </c>
      <c r="K410">
        <v>11233</v>
      </c>
      <c r="L410" t="s">
        <v>2224</v>
      </c>
      <c r="M410" t="s">
        <v>2226</v>
      </c>
      <c r="N410" t="s">
        <v>2401</v>
      </c>
      <c r="O410" t="s">
        <v>2535</v>
      </c>
      <c r="P410" t="s">
        <v>2558</v>
      </c>
      <c r="R410" t="s">
        <v>2569</v>
      </c>
      <c r="S410" t="s">
        <v>2225</v>
      </c>
      <c r="U410" t="s">
        <v>2578</v>
      </c>
      <c r="V410" t="s">
        <v>2590</v>
      </c>
      <c r="W410" t="s">
        <v>191</v>
      </c>
      <c r="X410">
        <v>1100.06</v>
      </c>
      <c r="Y410" t="s">
        <v>2604</v>
      </c>
      <c r="Z410" t="s">
        <v>2616</v>
      </c>
      <c r="AB410" t="s">
        <v>3004</v>
      </c>
      <c r="AC410" t="s">
        <v>2518</v>
      </c>
      <c r="AD410" t="s">
        <v>3774</v>
      </c>
      <c r="AE410">
        <v>43</v>
      </c>
      <c r="AF410" t="s">
        <v>4099</v>
      </c>
      <c r="AG410" t="s">
        <v>2255</v>
      </c>
      <c r="AH410">
        <v>45</v>
      </c>
      <c r="AI410">
        <v>3</v>
      </c>
      <c r="AJ410">
        <v>0</v>
      </c>
      <c r="AK410">
        <v>110.15</v>
      </c>
      <c r="AN410" t="s">
        <v>4126</v>
      </c>
      <c r="AO410">
        <v>23496</v>
      </c>
      <c r="AU410">
        <v>23.55</v>
      </c>
      <c r="AV410" t="s">
        <v>163</v>
      </c>
      <c r="AW410" t="s">
        <v>4226</v>
      </c>
      <c r="AX410" t="s">
        <v>4266</v>
      </c>
      <c r="AY410" t="s">
        <v>2224</v>
      </c>
      <c r="AZ410" t="s">
        <v>2224</v>
      </c>
    </row>
    <row r="411" spans="1:52">
      <c r="A411" s="1">
        <f>HYPERLINK("https://lsnyc.legalserver.org/matter/dynamic-profile/view/1907974","19-1907974")</f>
        <v>0</v>
      </c>
      <c r="B411" t="s">
        <v>89</v>
      </c>
      <c r="C411" t="s">
        <v>155</v>
      </c>
      <c r="D411" t="s">
        <v>184</v>
      </c>
      <c r="F411" t="s">
        <v>313</v>
      </c>
      <c r="G411" t="s">
        <v>972</v>
      </c>
      <c r="H411" t="s">
        <v>1642</v>
      </c>
      <c r="I411" t="s">
        <v>2058</v>
      </c>
      <c r="J411" t="s">
        <v>2204</v>
      </c>
      <c r="K411">
        <v>11377</v>
      </c>
      <c r="L411" t="s">
        <v>2224</v>
      </c>
      <c r="M411" t="s">
        <v>2226</v>
      </c>
      <c r="N411" t="s">
        <v>2356</v>
      </c>
      <c r="O411" t="s">
        <v>2537</v>
      </c>
      <c r="P411" t="s">
        <v>2560</v>
      </c>
      <c r="R411" t="s">
        <v>2569</v>
      </c>
      <c r="S411" t="s">
        <v>2224</v>
      </c>
      <c r="U411" t="s">
        <v>2578</v>
      </c>
      <c r="W411" t="s">
        <v>184</v>
      </c>
      <c r="X411">
        <v>1450</v>
      </c>
      <c r="Y411" t="s">
        <v>2603</v>
      </c>
      <c r="Z411" t="s">
        <v>2614</v>
      </c>
      <c r="AB411" t="s">
        <v>3005</v>
      </c>
      <c r="AD411" t="s">
        <v>3775</v>
      </c>
      <c r="AE411">
        <v>67</v>
      </c>
      <c r="AF411" t="s">
        <v>4099</v>
      </c>
      <c r="AG411" t="s">
        <v>2255</v>
      </c>
      <c r="AH411">
        <v>10</v>
      </c>
      <c r="AI411">
        <v>2</v>
      </c>
      <c r="AJ411">
        <v>1</v>
      </c>
      <c r="AK411">
        <v>110.17</v>
      </c>
      <c r="AN411" t="s">
        <v>4127</v>
      </c>
      <c r="AO411">
        <v>23500</v>
      </c>
      <c r="AU411">
        <v>0.3</v>
      </c>
      <c r="AV411" t="s">
        <v>184</v>
      </c>
      <c r="AW411" t="s">
        <v>4224</v>
      </c>
      <c r="AX411" t="s">
        <v>4266</v>
      </c>
      <c r="AY411" t="s">
        <v>2224</v>
      </c>
      <c r="AZ411" t="s">
        <v>2224</v>
      </c>
    </row>
    <row r="412" spans="1:52">
      <c r="A412" s="1">
        <f>HYPERLINK("https://lsnyc.legalserver.org/matter/dynamic-profile/view/1904599","19-1904599")</f>
        <v>0</v>
      </c>
      <c r="B412" t="s">
        <v>78</v>
      </c>
      <c r="C412" t="s">
        <v>155</v>
      </c>
      <c r="D412" t="s">
        <v>203</v>
      </c>
      <c r="F412" t="s">
        <v>496</v>
      </c>
      <c r="G412" t="s">
        <v>1147</v>
      </c>
      <c r="H412" t="s">
        <v>1443</v>
      </c>
      <c r="I412">
        <v>1</v>
      </c>
      <c r="J412" t="s">
        <v>2196</v>
      </c>
      <c r="K412">
        <v>10034</v>
      </c>
      <c r="L412" t="s">
        <v>2224</v>
      </c>
      <c r="M412" t="s">
        <v>2226</v>
      </c>
      <c r="P412" t="s">
        <v>2559</v>
      </c>
      <c r="R412" t="s">
        <v>2569</v>
      </c>
      <c r="S412" t="s">
        <v>2224</v>
      </c>
      <c r="U412" t="s">
        <v>2578</v>
      </c>
      <c r="W412" t="s">
        <v>203</v>
      </c>
      <c r="X412">
        <v>868.24</v>
      </c>
      <c r="Y412" t="s">
        <v>2607</v>
      </c>
      <c r="Z412" t="s">
        <v>2617</v>
      </c>
      <c r="AB412" t="s">
        <v>3006</v>
      </c>
      <c r="AD412" t="s">
        <v>3776</v>
      </c>
      <c r="AE412">
        <v>25</v>
      </c>
      <c r="AF412" t="s">
        <v>4099</v>
      </c>
      <c r="AH412">
        <v>34</v>
      </c>
      <c r="AI412">
        <v>2</v>
      </c>
      <c r="AJ412">
        <v>0</v>
      </c>
      <c r="AK412">
        <v>110.85</v>
      </c>
      <c r="AN412" t="s">
        <v>4126</v>
      </c>
      <c r="AO412">
        <v>18744</v>
      </c>
      <c r="AU412">
        <v>0.6</v>
      </c>
      <c r="AV412" t="s">
        <v>203</v>
      </c>
      <c r="AW412" t="s">
        <v>80</v>
      </c>
      <c r="AX412" t="s">
        <v>4266</v>
      </c>
      <c r="AY412" t="s">
        <v>2226</v>
      </c>
      <c r="AZ412" t="s">
        <v>2226</v>
      </c>
    </row>
    <row r="413" spans="1:52">
      <c r="A413" s="1">
        <f>HYPERLINK("https://lsnyc.legalserver.org/matter/dynamic-profile/view/1904281","19-1904281")</f>
        <v>0</v>
      </c>
      <c r="B413" t="s">
        <v>136</v>
      </c>
      <c r="C413" t="s">
        <v>155</v>
      </c>
      <c r="D413" t="s">
        <v>158</v>
      </c>
      <c r="F413" t="s">
        <v>306</v>
      </c>
      <c r="G413" t="s">
        <v>1148</v>
      </c>
      <c r="H413" t="s">
        <v>1716</v>
      </c>
      <c r="I413" t="s">
        <v>2010</v>
      </c>
      <c r="J413" t="s">
        <v>2192</v>
      </c>
      <c r="K413">
        <v>11212</v>
      </c>
      <c r="L413" t="s">
        <v>2224</v>
      </c>
      <c r="M413" t="s">
        <v>2226</v>
      </c>
      <c r="N413" t="s">
        <v>2402</v>
      </c>
      <c r="O413" t="s">
        <v>2533</v>
      </c>
      <c r="P413" t="s">
        <v>2561</v>
      </c>
      <c r="R413" t="s">
        <v>2569</v>
      </c>
      <c r="S413" t="s">
        <v>2225</v>
      </c>
      <c r="U413" t="s">
        <v>2578</v>
      </c>
      <c r="V413" t="s">
        <v>2588</v>
      </c>
      <c r="W413" t="s">
        <v>296</v>
      </c>
      <c r="X413">
        <v>1800</v>
      </c>
      <c r="Y413" t="s">
        <v>2604</v>
      </c>
      <c r="Z413" t="s">
        <v>2619</v>
      </c>
      <c r="AB413" t="s">
        <v>3007</v>
      </c>
      <c r="AC413" t="s">
        <v>3429</v>
      </c>
      <c r="AD413" t="s">
        <v>3777</v>
      </c>
      <c r="AE413">
        <v>4</v>
      </c>
      <c r="AF413" t="s">
        <v>4098</v>
      </c>
      <c r="AG413" t="s">
        <v>4115</v>
      </c>
      <c r="AH413">
        <v>4</v>
      </c>
      <c r="AI413">
        <v>4</v>
      </c>
      <c r="AJ413">
        <v>0</v>
      </c>
      <c r="AK413">
        <v>111.01</v>
      </c>
      <c r="AN413" t="s">
        <v>4126</v>
      </c>
      <c r="AO413">
        <v>28584</v>
      </c>
      <c r="AU413">
        <v>1</v>
      </c>
      <c r="AV413" t="s">
        <v>158</v>
      </c>
      <c r="AW413" t="s">
        <v>4227</v>
      </c>
      <c r="AX413" t="s">
        <v>4267</v>
      </c>
      <c r="AY413" t="s">
        <v>2226</v>
      </c>
      <c r="AZ413" t="s">
        <v>2226</v>
      </c>
    </row>
    <row r="414" spans="1:52">
      <c r="A414" s="1">
        <f>HYPERLINK("https://lsnyc.legalserver.org/matter/dynamic-profile/view/1912104","19-1912104")</f>
        <v>0</v>
      </c>
      <c r="B414" t="s">
        <v>60</v>
      </c>
      <c r="C414" t="s">
        <v>155</v>
      </c>
      <c r="D414" t="s">
        <v>261</v>
      </c>
      <c r="F414" t="s">
        <v>605</v>
      </c>
      <c r="G414" t="s">
        <v>1149</v>
      </c>
      <c r="H414" t="s">
        <v>1717</v>
      </c>
      <c r="I414" t="s">
        <v>1965</v>
      </c>
      <c r="J414" t="s">
        <v>2192</v>
      </c>
      <c r="K414">
        <v>11206</v>
      </c>
      <c r="L414" t="s">
        <v>2224</v>
      </c>
      <c r="M414" t="s">
        <v>2226</v>
      </c>
      <c r="N414" t="s">
        <v>2403</v>
      </c>
      <c r="O414" t="s">
        <v>2535</v>
      </c>
      <c r="P414" t="s">
        <v>2558</v>
      </c>
      <c r="R414" t="s">
        <v>2569</v>
      </c>
      <c r="S414" t="s">
        <v>2225</v>
      </c>
      <c r="U414" t="s">
        <v>2578</v>
      </c>
      <c r="W414" t="s">
        <v>174</v>
      </c>
      <c r="X414">
        <v>711</v>
      </c>
      <c r="Y414" t="s">
        <v>2604</v>
      </c>
      <c r="Z414" t="s">
        <v>2611</v>
      </c>
      <c r="AB414" t="s">
        <v>3008</v>
      </c>
      <c r="AD414" t="s">
        <v>3778</v>
      </c>
      <c r="AE414">
        <v>82</v>
      </c>
      <c r="AF414" t="s">
        <v>4099</v>
      </c>
      <c r="AG414" t="s">
        <v>4112</v>
      </c>
      <c r="AH414">
        <v>8</v>
      </c>
      <c r="AI414">
        <v>1</v>
      </c>
      <c r="AJ414">
        <v>4</v>
      </c>
      <c r="AK414">
        <v>112.03</v>
      </c>
      <c r="AN414" t="s">
        <v>4126</v>
      </c>
      <c r="AO414">
        <v>33800</v>
      </c>
      <c r="AU414">
        <v>2.5</v>
      </c>
      <c r="AV414" t="s">
        <v>199</v>
      </c>
      <c r="AW414" t="s">
        <v>127</v>
      </c>
      <c r="AX414" t="s">
        <v>4266</v>
      </c>
      <c r="AY414" t="s">
        <v>2226</v>
      </c>
      <c r="AZ414" t="s">
        <v>2226</v>
      </c>
    </row>
    <row r="415" spans="1:52">
      <c r="A415" s="1">
        <f>HYPERLINK("https://lsnyc.legalserver.org/matter/dynamic-profile/view/1912892","19-1912892")</f>
        <v>0</v>
      </c>
      <c r="B415" t="s">
        <v>102</v>
      </c>
      <c r="C415" t="s">
        <v>155</v>
      </c>
      <c r="D415" t="s">
        <v>168</v>
      </c>
      <c r="F415" t="s">
        <v>606</v>
      </c>
      <c r="G415" t="s">
        <v>1150</v>
      </c>
      <c r="H415" t="s">
        <v>1718</v>
      </c>
      <c r="I415" t="s">
        <v>2000</v>
      </c>
      <c r="J415" t="s">
        <v>2196</v>
      </c>
      <c r="K415">
        <v>10128</v>
      </c>
      <c r="L415" t="s">
        <v>2224</v>
      </c>
      <c r="M415" t="s">
        <v>2226</v>
      </c>
      <c r="O415" t="s">
        <v>2238</v>
      </c>
      <c r="P415" t="s">
        <v>2559</v>
      </c>
      <c r="R415" t="s">
        <v>2569</v>
      </c>
      <c r="S415" t="s">
        <v>2225</v>
      </c>
      <c r="U415" t="s">
        <v>2578</v>
      </c>
      <c r="V415" t="s">
        <v>2588</v>
      </c>
      <c r="W415" t="s">
        <v>168</v>
      </c>
      <c r="X415">
        <v>1200</v>
      </c>
      <c r="Y415" t="s">
        <v>2607</v>
      </c>
      <c r="Z415" t="s">
        <v>2614</v>
      </c>
      <c r="AB415" t="s">
        <v>3009</v>
      </c>
      <c r="AD415" t="s">
        <v>3779</v>
      </c>
      <c r="AE415">
        <v>11</v>
      </c>
      <c r="AF415" t="s">
        <v>2518</v>
      </c>
      <c r="AH415">
        <v>5</v>
      </c>
      <c r="AI415">
        <v>1</v>
      </c>
      <c r="AJ415">
        <v>0</v>
      </c>
      <c r="AK415">
        <v>112.09</v>
      </c>
      <c r="AN415" t="s">
        <v>4126</v>
      </c>
      <c r="AO415">
        <v>14000</v>
      </c>
      <c r="AU415">
        <v>0</v>
      </c>
      <c r="AW415" t="s">
        <v>4247</v>
      </c>
      <c r="AY415" t="s">
        <v>2226</v>
      </c>
      <c r="AZ415" t="s">
        <v>2226</v>
      </c>
    </row>
    <row r="416" spans="1:52">
      <c r="A416" s="1">
        <f>HYPERLINK("https://lsnyc.legalserver.org/matter/dynamic-profile/view/1903768","19-1903768")</f>
        <v>0</v>
      </c>
      <c r="B416" t="s">
        <v>137</v>
      </c>
      <c r="C416" t="s">
        <v>155</v>
      </c>
      <c r="D416" t="s">
        <v>254</v>
      </c>
      <c r="F416" t="s">
        <v>607</v>
      </c>
      <c r="G416" t="s">
        <v>1000</v>
      </c>
      <c r="H416" t="s">
        <v>1719</v>
      </c>
      <c r="I416" t="s">
        <v>1958</v>
      </c>
      <c r="J416" t="s">
        <v>2192</v>
      </c>
      <c r="K416">
        <v>11207</v>
      </c>
      <c r="L416" t="s">
        <v>2224</v>
      </c>
      <c r="M416" t="s">
        <v>2226</v>
      </c>
      <c r="N416" t="s">
        <v>2238</v>
      </c>
      <c r="O416" t="s">
        <v>2238</v>
      </c>
      <c r="P416" t="s">
        <v>2561</v>
      </c>
      <c r="R416" t="s">
        <v>2569</v>
      </c>
      <c r="S416" t="s">
        <v>2225</v>
      </c>
      <c r="U416" t="s">
        <v>2578</v>
      </c>
      <c r="V416" t="s">
        <v>2588</v>
      </c>
      <c r="W416" t="s">
        <v>254</v>
      </c>
      <c r="X416">
        <v>1515</v>
      </c>
      <c r="Y416" t="s">
        <v>2604</v>
      </c>
      <c r="Z416" t="s">
        <v>2613</v>
      </c>
      <c r="AB416" t="s">
        <v>3010</v>
      </c>
      <c r="AC416" t="s">
        <v>3430</v>
      </c>
      <c r="AD416" t="s">
        <v>3780</v>
      </c>
      <c r="AE416">
        <v>4</v>
      </c>
      <c r="AF416" t="s">
        <v>4098</v>
      </c>
      <c r="AG416" t="s">
        <v>4119</v>
      </c>
      <c r="AH416">
        <v>1</v>
      </c>
      <c r="AI416">
        <v>1</v>
      </c>
      <c r="AJ416">
        <v>2</v>
      </c>
      <c r="AK416">
        <v>112.52</v>
      </c>
      <c r="AN416" t="s">
        <v>4126</v>
      </c>
      <c r="AO416">
        <v>24000</v>
      </c>
      <c r="AU416">
        <v>7.05</v>
      </c>
      <c r="AV416" t="s">
        <v>189</v>
      </c>
      <c r="AW416" t="s">
        <v>137</v>
      </c>
      <c r="AX416" t="s">
        <v>4267</v>
      </c>
      <c r="AY416" t="s">
        <v>2226</v>
      </c>
      <c r="AZ416" t="s">
        <v>2226</v>
      </c>
    </row>
    <row r="417" spans="1:52">
      <c r="A417" s="1">
        <f>HYPERLINK("https://lsnyc.legalserver.org/matter/dynamic-profile/view/1908544","19-1908544")</f>
        <v>0</v>
      </c>
      <c r="B417" t="s">
        <v>76</v>
      </c>
      <c r="C417" t="s">
        <v>155</v>
      </c>
      <c r="D417" t="s">
        <v>240</v>
      </c>
      <c r="F417" t="s">
        <v>575</v>
      </c>
      <c r="G417" t="s">
        <v>1151</v>
      </c>
      <c r="H417" t="s">
        <v>1720</v>
      </c>
      <c r="I417" t="s">
        <v>1992</v>
      </c>
      <c r="J417" t="s">
        <v>2196</v>
      </c>
      <c r="K417">
        <v>10027</v>
      </c>
      <c r="L417" t="s">
        <v>2224</v>
      </c>
      <c r="M417" t="s">
        <v>2226</v>
      </c>
      <c r="O417" t="s">
        <v>2238</v>
      </c>
      <c r="P417" t="s">
        <v>2556</v>
      </c>
      <c r="R417" t="s">
        <v>2569</v>
      </c>
      <c r="S417" t="s">
        <v>2225</v>
      </c>
      <c r="U417" t="s">
        <v>2578</v>
      </c>
      <c r="W417" t="s">
        <v>240</v>
      </c>
      <c r="X417">
        <v>433.33</v>
      </c>
      <c r="Y417" t="s">
        <v>2607</v>
      </c>
      <c r="Z417" t="s">
        <v>2614</v>
      </c>
      <c r="AB417" t="s">
        <v>3011</v>
      </c>
      <c r="AD417" t="s">
        <v>3781</v>
      </c>
      <c r="AE417">
        <v>23</v>
      </c>
      <c r="AF417" t="s">
        <v>4099</v>
      </c>
      <c r="AG417" t="s">
        <v>2255</v>
      </c>
      <c r="AH417">
        <v>0</v>
      </c>
      <c r="AI417">
        <v>1</v>
      </c>
      <c r="AJ417">
        <v>0</v>
      </c>
      <c r="AK417">
        <v>113.07</v>
      </c>
      <c r="AO417">
        <v>14122.8</v>
      </c>
      <c r="AU417">
        <v>3.8</v>
      </c>
      <c r="AV417" t="s">
        <v>202</v>
      </c>
      <c r="AW417" t="s">
        <v>4238</v>
      </c>
      <c r="AX417" t="s">
        <v>4266</v>
      </c>
      <c r="AY417" t="s">
        <v>2226</v>
      </c>
      <c r="AZ417" t="s">
        <v>2226</v>
      </c>
    </row>
    <row r="418" spans="1:52">
      <c r="A418" s="1">
        <f>HYPERLINK("https://lsnyc.legalserver.org/matter/dynamic-profile/view/1890810","19-1890810")</f>
        <v>0</v>
      </c>
      <c r="B418" t="s">
        <v>68</v>
      </c>
      <c r="C418" t="s">
        <v>155</v>
      </c>
      <c r="D418" t="s">
        <v>262</v>
      </c>
      <c r="F418" t="s">
        <v>608</v>
      </c>
      <c r="G418" t="s">
        <v>1152</v>
      </c>
      <c r="H418" t="s">
        <v>1721</v>
      </c>
      <c r="I418" t="s">
        <v>2105</v>
      </c>
      <c r="J418" t="s">
        <v>2192</v>
      </c>
      <c r="K418">
        <v>11235</v>
      </c>
      <c r="L418" t="s">
        <v>2224</v>
      </c>
      <c r="M418" t="s">
        <v>2224</v>
      </c>
      <c r="O418" t="s">
        <v>2541</v>
      </c>
      <c r="P418" t="s">
        <v>2557</v>
      </c>
      <c r="R418" t="s">
        <v>2569</v>
      </c>
      <c r="S418" t="s">
        <v>2225</v>
      </c>
      <c r="U418" t="s">
        <v>2578</v>
      </c>
      <c r="W418" t="s">
        <v>192</v>
      </c>
      <c r="X418">
        <v>930</v>
      </c>
      <c r="Y418" t="s">
        <v>2604</v>
      </c>
      <c r="AB418" t="s">
        <v>3012</v>
      </c>
      <c r="AD418" t="s">
        <v>3782</v>
      </c>
      <c r="AE418">
        <v>144</v>
      </c>
      <c r="AH418">
        <v>0</v>
      </c>
      <c r="AI418">
        <v>2</v>
      </c>
      <c r="AJ418">
        <v>0</v>
      </c>
      <c r="AK418">
        <v>113.54</v>
      </c>
      <c r="AN418" t="s">
        <v>4126</v>
      </c>
      <c r="AO418">
        <v>19200</v>
      </c>
      <c r="AP418" t="s">
        <v>4154</v>
      </c>
      <c r="AU418">
        <v>4.5</v>
      </c>
      <c r="AV418" t="s">
        <v>260</v>
      </c>
      <c r="AW418" t="s">
        <v>153</v>
      </c>
      <c r="AX418" t="s">
        <v>4266</v>
      </c>
      <c r="AY418" t="s">
        <v>2224</v>
      </c>
      <c r="AZ418" t="s">
        <v>2224</v>
      </c>
    </row>
    <row r="419" spans="1:52">
      <c r="A419" s="1">
        <f>HYPERLINK("https://lsnyc.legalserver.org/matter/dynamic-profile/view/1910651","19-1910651")</f>
        <v>0</v>
      </c>
      <c r="B419" t="s">
        <v>105</v>
      </c>
      <c r="C419" t="s">
        <v>155</v>
      </c>
      <c r="D419" t="s">
        <v>179</v>
      </c>
      <c r="F419" t="s">
        <v>609</v>
      </c>
      <c r="G419" t="s">
        <v>1153</v>
      </c>
      <c r="H419" t="s">
        <v>1722</v>
      </c>
      <c r="J419" t="s">
        <v>2195</v>
      </c>
      <c r="K419">
        <v>10304</v>
      </c>
      <c r="L419" t="s">
        <v>2224</v>
      </c>
      <c r="M419" t="s">
        <v>2226</v>
      </c>
      <c r="N419" t="s">
        <v>2404</v>
      </c>
      <c r="O419" t="s">
        <v>2533</v>
      </c>
      <c r="P419" t="s">
        <v>2559</v>
      </c>
      <c r="R419" t="s">
        <v>2569</v>
      </c>
      <c r="S419" t="s">
        <v>2225</v>
      </c>
      <c r="U419" t="s">
        <v>2578</v>
      </c>
      <c r="V419" t="s">
        <v>2588</v>
      </c>
      <c r="W419" t="s">
        <v>179</v>
      </c>
      <c r="X419">
        <v>0</v>
      </c>
      <c r="Y419" t="s">
        <v>2606</v>
      </c>
      <c r="Z419" t="s">
        <v>2613</v>
      </c>
      <c r="AB419" t="s">
        <v>3013</v>
      </c>
      <c r="AD419" t="s">
        <v>3783</v>
      </c>
      <c r="AE419">
        <v>1</v>
      </c>
      <c r="AF419" t="s">
        <v>4098</v>
      </c>
      <c r="AG419" t="s">
        <v>2255</v>
      </c>
      <c r="AH419">
        <v>23</v>
      </c>
      <c r="AI419">
        <v>1</v>
      </c>
      <c r="AJ419">
        <v>1</v>
      </c>
      <c r="AK419">
        <v>113.54</v>
      </c>
      <c r="AN419" t="s">
        <v>4126</v>
      </c>
      <c r="AO419">
        <v>19200</v>
      </c>
      <c r="AU419">
        <v>1.95</v>
      </c>
      <c r="AV419" t="s">
        <v>163</v>
      </c>
      <c r="AW419" t="s">
        <v>4261</v>
      </c>
      <c r="AX419" t="s">
        <v>4266</v>
      </c>
      <c r="AY419" t="s">
        <v>2224</v>
      </c>
      <c r="AZ419" t="s">
        <v>2224</v>
      </c>
    </row>
    <row r="420" spans="1:52">
      <c r="A420" s="1">
        <f>HYPERLINK("https://lsnyc.legalserver.org/matter/dynamic-profile/view/1904720","19-1904720")</f>
        <v>0</v>
      </c>
      <c r="B420" t="s">
        <v>93</v>
      </c>
      <c r="C420" t="s">
        <v>154</v>
      </c>
      <c r="D420" t="s">
        <v>192</v>
      </c>
      <c r="E420" t="s">
        <v>264</v>
      </c>
      <c r="F420" t="s">
        <v>328</v>
      </c>
      <c r="G420" t="s">
        <v>1084</v>
      </c>
      <c r="H420" t="s">
        <v>1489</v>
      </c>
      <c r="I420" t="s">
        <v>2106</v>
      </c>
      <c r="J420" t="s">
        <v>2187</v>
      </c>
      <c r="K420">
        <v>11691</v>
      </c>
      <c r="L420" t="s">
        <v>2224</v>
      </c>
      <c r="M420" t="s">
        <v>2226</v>
      </c>
      <c r="N420" t="s">
        <v>2405</v>
      </c>
      <c r="O420" t="s">
        <v>2535</v>
      </c>
      <c r="P420" t="s">
        <v>2558</v>
      </c>
      <c r="Q420" t="s">
        <v>2564</v>
      </c>
      <c r="R420" t="s">
        <v>2569</v>
      </c>
      <c r="S420" t="s">
        <v>2225</v>
      </c>
      <c r="U420" t="s">
        <v>2578</v>
      </c>
      <c r="V420" t="s">
        <v>2591</v>
      </c>
      <c r="W420" t="s">
        <v>192</v>
      </c>
      <c r="X420">
        <v>327</v>
      </c>
      <c r="Y420" t="s">
        <v>2603</v>
      </c>
      <c r="Z420" t="s">
        <v>2613</v>
      </c>
      <c r="AA420" t="s">
        <v>2628</v>
      </c>
      <c r="AB420" t="s">
        <v>3014</v>
      </c>
      <c r="AC420" t="s">
        <v>3431</v>
      </c>
      <c r="AD420" t="s">
        <v>3784</v>
      </c>
      <c r="AE420">
        <v>462</v>
      </c>
      <c r="AF420" t="s">
        <v>4101</v>
      </c>
      <c r="AG420" t="s">
        <v>2255</v>
      </c>
      <c r="AH420">
        <v>20</v>
      </c>
      <c r="AI420">
        <v>1</v>
      </c>
      <c r="AJ420">
        <v>0</v>
      </c>
      <c r="AK420">
        <v>114.24</v>
      </c>
      <c r="AN420" t="s">
        <v>4126</v>
      </c>
      <c r="AO420">
        <v>14268</v>
      </c>
      <c r="AQ420" t="s">
        <v>4179</v>
      </c>
      <c r="AR420" t="s">
        <v>4181</v>
      </c>
      <c r="AS420" t="s">
        <v>4188</v>
      </c>
      <c r="AT420" t="s">
        <v>4214</v>
      </c>
      <c r="AU420">
        <v>1</v>
      </c>
      <c r="AV420" t="s">
        <v>264</v>
      </c>
      <c r="AW420" t="s">
        <v>4224</v>
      </c>
      <c r="AX420" t="s">
        <v>4267</v>
      </c>
      <c r="AY420" t="s">
        <v>2224</v>
      </c>
      <c r="AZ420" t="s">
        <v>2224</v>
      </c>
    </row>
    <row r="421" spans="1:52">
      <c r="A421" s="1">
        <f>HYPERLINK("https://lsnyc.legalserver.org/matter/dynamic-profile/view/1911491","19-1911491")</f>
        <v>0</v>
      </c>
      <c r="B421" t="s">
        <v>104</v>
      </c>
      <c r="C421" t="s">
        <v>155</v>
      </c>
      <c r="D421" t="s">
        <v>179</v>
      </c>
      <c r="F421" t="s">
        <v>610</v>
      </c>
      <c r="G421" t="s">
        <v>1154</v>
      </c>
      <c r="H421" t="s">
        <v>1550</v>
      </c>
      <c r="I421" t="s">
        <v>2018</v>
      </c>
      <c r="J421" t="s">
        <v>2196</v>
      </c>
      <c r="K421">
        <v>10040</v>
      </c>
      <c r="L421" t="s">
        <v>2224</v>
      </c>
      <c r="M421" t="s">
        <v>2226</v>
      </c>
      <c r="O421" t="s">
        <v>2546</v>
      </c>
      <c r="P421" t="s">
        <v>2558</v>
      </c>
      <c r="R421" t="s">
        <v>2569</v>
      </c>
      <c r="S421" t="s">
        <v>2224</v>
      </c>
      <c r="U421" t="s">
        <v>2578</v>
      </c>
      <c r="W421" t="s">
        <v>179</v>
      </c>
      <c r="X421">
        <v>1230.2</v>
      </c>
      <c r="Y421" t="s">
        <v>2607</v>
      </c>
      <c r="Z421" t="s">
        <v>2613</v>
      </c>
      <c r="AB421" t="s">
        <v>3015</v>
      </c>
      <c r="AD421" t="s">
        <v>3785</v>
      </c>
      <c r="AE421">
        <v>44</v>
      </c>
      <c r="AF421" t="s">
        <v>4099</v>
      </c>
      <c r="AG421" t="s">
        <v>4112</v>
      </c>
      <c r="AH421">
        <v>23</v>
      </c>
      <c r="AI421">
        <v>1</v>
      </c>
      <c r="AJ421">
        <v>0</v>
      </c>
      <c r="AK421">
        <v>114.43</v>
      </c>
      <c r="AN421" t="s">
        <v>4127</v>
      </c>
      <c r="AO421">
        <v>14292</v>
      </c>
      <c r="AU421">
        <v>0.1</v>
      </c>
      <c r="AV421" t="s">
        <v>197</v>
      </c>
      <c r="AW421" t="s">
        <v>80</v>
      </c>
      <c r="AX421" t="s">
        <v>4266</v>
      </c>
      <c r="AY421" t="s">
        <v>2226</v>
      </c>
      <c r="AZ421" t="s">
        <v>2226</v>
      </c>
    </row>
    <row r="422" spans="1:52">
      <c r="A422" s="1">
        <f>HYPERLINK("https://lsnyc.legalserver.org/matter/dynamic-profile/view/1911593","19-1911593")</f>
        <v>0</v>
      </c>
      <c r="B422" t="s">
        <v>104</v>
      </c>
      <c r="C422" t="s">
        <v>155</v>
      </c>
      <c r="D422" t="s">
        <v>263</v>
      </c>
      <c r="F422" t="s">
        <v>610</v>
      </c>
      <c r="G422" t="s">
        <v>1154</v>
      </c>
      <c r="H422" t="s">
        <v>1550</v>
      </c>
      <c r="I422" t="s">
        <v>2018</v>
      </c>
      <c r="J422" t="s">
        <v>2196</v>
      </c>
      <c r="K422">
        <v>10040</v>
      </c>
      <c r="L422" t="s">
        <v>2224</v>
      </c>
      <c r="M422" t="s">
        <v>2226</v>
      </c>
      <c r="O422" t="s">
        <v>2537</v>
      </c>
      <c r="P422" t="s">
        <v>2558</v>
      </c>
      <c r="R422" t="s">
        <v>2569</v>
      </c>
      <c r="S422" t="s">
        <v>2224</v>
      </c>
      <c r="U422" t="s">
        <v>2578</v>
      </c>
      <c r="W422" t="s">
        <v>263</v>
      </c>
      <c r="X422">
        <v>1230.4</v>
      </c>
      <c r="Y422" t="s">
        <v>2607</v>
      </c>
      <c r="Z422" t="s">
        <v>2613</v>
      </c>
      <c r="AB422" t="s">
        <v>3015</v>
      </c>
      <c r="AD422" t="s">
        <v>3785</v>
      </c>
      <c r="AE422">
        <v>44</v>
      </c>
      <c r="AF422" t="s">
        <v>4099</v>
      </c>
      <c r="AG422" t="s">
        <v>4112</v>
      </c>
      <c r="AH422">
        <v>23</v>
      </c>
      <c r="AI422">
        <v>1</v>
      </c>
      <c r="AJ422">
        <v>0</v>
      </c>
      <c r="AK422">
        <v>114.43</v>
      </c>
      <c r="AN422" t="s">
        <v>4127</v>
      </c>
      <c r="AO422">
        <v>14292</v>
      </c>
      <c r="AU422">
        <v>0</v>
      </c>
      <c r="AW422" t="s">
        <v>80</v>
      </c>
      <c r="AX422" t="s">
        <v>4266</v>
      </c>
      <c r="AY422" t="s">
        <v>2226</v>
      </c>
      <c r="AZ422" t="s">
        <v>2226</v>
      </c>
    </row>
    <row r="423" spans="1:52">
      <c r="A423" s="1">
        <f>HYPERLINK("https://lsnyc.legalserver.org/matter/dynamic-profile/view/1912423","19-1912423")</f>
        <v>0</v>
      </c>
      <c r="B423" t="s">
        <v>104</v>
      </c>
      <c r="C423" t="s">
        <v>155</v>
      </c>
      <c r="D423" t="s">
        <v>230</v>
      </c>
      <c r="F423" t="s">
        <v>610</v>
      </c>
      <c r="G423" t="s">
        <v>1154</v>
      </c>
      <c r="H423" t="s">
        <v>1550</v>
      </c>
      <c r="I423" t="s">
        <v>2018</v>
      </c>
      <c r="J423" t="s">
        <v>2196</v>
      </c>
      <c r="K423">
        <v>10040</v>
      </c>
      <c r="L423" t="s">
        <v>2224</v>
      </c>
      <c r="M423" t="s">
        <v>2226</v>
      </c>
      <c r="O423" t="s">
        <v>2537</v>
      </c>
      <c r="P423" t="s">
        <v>2558</v>
      </c>
      <c r="R423" t="s">
        <v>2569</v>
      </c>
      <c r="S423" t="s">
        <v>2224</v>
      </c>
      <c r="U423" t="s">
        <v>2578</v>
      </c>
      <c r="W423" t="s">
        <v>230</v>
      </c>
      <c r="X423">
        <v>1230.4</v>
      </c>
      <c r="Y423" t="s">
        <v>2607</v>
      </c>
      <c r="Z423" t="s">
        <v>2613</v>
      </c>
      <c r="AB423" t="s">
        <v>3015</v>
      </c>
      <c r="AD423" t="s">
        <v>3785</v>
      </c>
      <c r="AE423">
        <v>44</v>
      </c>
      <c r="AF423" t="s">
        <v>4099</v>
      </c>
      <c r="AG423" t="s">
        <v>4112</v>
      </c>
      <c r="AH423">
        <v>23</v>
      </c>
      <c r="AI423">
        <v>1</v>
      </c>
      <c r="AJ423">
        <v>0</v>
      </c>
      <c r="AK423">
        <v>114.43</v>
      </c>
      <c r="AN423" t="s">
        <v>4127</v>
      </c>
      <c r="AO423">
        <v>14292</v>
      </c>
      <c r="AU423">
        <v>0</v>
      </c>
      <c r="AW423" t="s">
        <v>80</v>
      </c>
      <c r="AX423" t="s">
        <v>4266</v>
      </c>
      <c r="AY423" t="s">
        <v>2226</v>
      </c>
      <c r="AZ423" t="s">
        <v>2226</v>
      </c>
    </row>
    <row r="424" spans="1:52">
      <c r="A424" s="1">
        <f>HYPERLINK("https://lsnyc.legalserver.org/matter/dynamic-profile/view/1908397","19-1908397")</f>
        <v>0</v>
      </c>
      <c r="B424" t="s">
        <v>113</v>
      </c>
      <c r="C424" t="s">
        <v>155</v>
      </c>
      <c r="D424" t="s">
        <v>234</v>
      </c>
      <c r="F424" t="s">
        <v>496</v>
      </c>
      <c r="G424" t="s">
        <v>1155</v>
      </c>
      <c r="H424" t="s">
        <v>1723</v>
      </c>
      <c r="I424" t="s">
        <v>1967</v>
      </c>
      <c r="J424" t="s">
        <v>2192</v>
      </c>
      <c r="K424">
        <v>11217</v>
      </c>
      <c r="L424" t="s">
        <v>2224</v>
      </c>
      <c r="M424" t="s">
        <v>2226</v>
      </c>
      <c r="P424" t="s">
        <v>2557</v>
      </c>
      <c r="R424" t="s">
        <v>2569</v>
      </c>
      <c r="U424" t="s">
        <v>2578</v>
      </c>
      <c r="W424" t="s">
        <v>234</v>
      </c>
      <c r="X424">
        <v>0</v>
      </c>
      <c r="Y424" t="s">
        <v>2604</v>
      </c>
      <c r="AB424" t="s">
        <v>3016</v>
      </c>
      <c r="AD424" t="s">
        <v>3786</v>
      </c>
      <c r="AE424">
        <v>8</v>
      </c>
      <c r="AH424">
        <v>0</v>
      </c>
      <c r="AI424">
        <v>1</v>
      </c>
      <c r="AJ424">
        <v>0</v>
      </c>
      <c r="AK424">
        <v>114.49</v>
      </c>
      <c r="AN424" t="s">
        <v>4126</v>
      </c>
      <c r="AO424">
        <v>14300</v>
      </c>
      <c r="AU424">
        <v>11.4</v>
      </c>
      <c r="AV424" t="s">
        <v>165</v>
      </c>
      <c r="AW424" t="s">
        <v>124</v>
      </c>
      <c r="AY424" t="s">
        <v>2224</v>
      </c>
      <c r="AZ424" t="s">
        <v>2224</v>
      </c>
    </row>
    <row r="425" spans="1:52">
      <c r="A425" s="1">
        <f>HYPERLINK("https://lsnyc.legalserver.org/matter/dynamic-profile/view/1906222","19-1906222")</f>
        <v>0</v>
      </c>
      <c r="B425" t="s">
        <v>78</v>
      </c>
      <c r="C425" t="s">
        <v>155</v>
      </c>
      <c r="D425" t="s">
        <v>164</v>
      </c>
      <c r="F425" t="s">
        <v>611</v>
      </c>
      <c r="G425" t="s">
        <v>1156</v>
      </c>
      <c r="H425" t="s">
        <v>1724</v>
      </c>
      <c r="I425" t="s">
        <v>2107</v>
      </c>
      <c r="J425" t="s">
        <v>2196</v>
      </c>
      <c r="K425">
        <v>10040</v>
      </c>
      <c r="L425" t="s">
        <v>2224</v>
      </c>
      <c r="M425" t="s">
        <v>2226</v>
      </c>
      <c r="P425" t="s">
        <v>2559</v>
      </c>
      <c r="R425" t="s">
        <v>2569</v>
      </c>
      <c r="S425" t="s">
        <v>2225</v>
      </c>
      <c r="U425" t="s">
        <v>2578</v>
      </c>
      <c r="W425" t="s">
        <v>164</v>
      </c>
      <c r="X425">
        <v>1197</v>
      </c>
      <c r="Y425" t="s">
        <v>2607</v>
      </c>
      <c r="Z425" t="s">
        <v>2617</v>
      </c>
      <c r="AB425" t="s">
        <v>3017</v>
      </c>
      <c r="AD425" t="s">
        <v>3787</v>
      </c>
      <c r="AE425">
        <v>73</v>
      </c>
      <c r="AF425" t="s">
        <v>4099</v>
      </c>
      <c r="AG425" t="s">
        <v>2255</v>
      </c>
      <c r="AH425">
        <v>40</v>
      </c>
      <c r="AI425">
        <v>1</v>
      </c>
      <c r="AJ425">
        <v>0</v>
      </c>
      <c r="AK425">
        <v>115.29</v>
      </c>
      <c r="AN425" t="s">
        <v>4126</v>
      </c>
      <c r="AO425">
        <v>14400</v>
      </c>
      <c r="AU425">
        <v>1</v>
      </c>
      <c r="AV425" t="s">
        <v>289</v>
      </c>
      <c r="AW425" t="s">
        <v>80</v>
      </c>
      <c r="AX425" t="s">
        <v>4266</v>
      </c>
      <c r="AY425" t="s">
        <v>2224</v>
      </c>
      <c r="AZ425" t="s">
        <v>2224</v>
      </c>
    </row>
    <row r="426" spans="1:52">
      <c r="A426" s="1">
        <f>HYPERLINK("https://lsnyc.legalserver.org/matter/dynamic-profile/view/1911001","19-1911001")</f>
        <v>0</v>
      </c>
      <c r="B426" t="s">
        <v>128</v>
      </c>
      <c r="C426" t="s">
        <v>155</v>
      </c>
      <c r="D426" t="s">
        <v>225</v>
      </c>
      <c r="F426" t="s">
        <v>324</v>
      </c>
      <c r="G426" t="s">
        <v>1025</v>
      </c>
      <c r="H426" t="s">
        <v>1725</v>
      </c>
      <c r="I426" t="s">
        <v>1972</v>
      </c>
      <c r="J426" t="s">
        <v>2196</v>
      </c>
      <c r="K426">
        <v>10029</v>
      </c>
      <c r="L426" t="s">
        <v>2224</v>
      </c>
      <c r="M426" t="s">
        <v>2226</v>
      </c>
      <c r="N426" t="s">
        <v>2406</v>
      </c>
      <c r="O426" t="s">
        <v>2535</v>
      </c>
      <c r="P426" t="s">
        <v>2558</v>
      </c>
      <c r="R426" t="s">
        <v>2569</v>
      </c>
      <c r="S426" t="s">
        <v>2225</v>
      </c>
      <c r="T426" t="s">
        <v>2575</v>
      </c>
      <c r="U426" t="s">
        <v>2578</v>
      </c>
      <c r="W426" t="s">
        <v>225</v>
      </c>
      <c r="X426">
        <v>636.0700000000001</v>
      </c>
      <c r="Y426" t="s">
        <v>2607</v>
      </c>
      <c r="Z426" t="s">
        <v>2618</v>
      </c>
      <c r="AB426" t="s">
        <v>3018</v>
      </c>
      <c r="AD426" t="s">
        <v>3788</v>
      </c>
      <c r="AE426">
        <v>13</v>
      </c>
      <c r="AF426" t="s">
        <v>4099</v>
      </c>
      <c r="AG426" t="s">
        <v>4116</v>
      </c>
      <c r="AH426">
        <v>21</v>
      </c>
      <c r="AI426">
        <v>1</v>
      </c>
      <c r="AJ426">
        <v>0</v>
      </c>
      <c r="AK426">
        <v>115.29</v>
      </c>
      <c r="AN426" t="s">
        <v>4126</v>
      </c>
      <c r="AO426">
        <v>14400</v>
      </c>
      <c r="AU426">
        <v>2.5</v>
      </c>
      <c r="AV426" t="s">
        <v>199</v>
      </c>
      <c r="AW426" t="s">
        <v>4238</v>
      </c>
      <c r="AX426" t="s">
        <v>4266</v>
      </c>
      <c r="AY426" t="s">
        <v>2226</v>
      </c>
      <c r="AZ426" t="s">
        <v>2226</v>
      </c>
    </row>
    <row r="427" spans="1:52">
      <c r="A427" s="1">
        <f>HYPERLINK("https://lsnyc.legalserver.org/matter/dynamic-profile/view/1904621","19-1904621")</f>
        <v>0</v>
      </c>
      <c r="B427" t="s">
        <v>114</v>
      </c>
      <c r="C427" t="s">
        <v>155</v>
      </c>
      <c r="D427" t="s">
        <v>192</v>
      </c>
      <c r="F427" t="s">
        <v>612</v>
      </c>
      <c r="G427" t="s">
        <v>1157</v>
      </c>
      <c r="H427" t="s">
        <v>1726</v>
      </c>
      <c r="I427" t="s">
        <v>2108</v>
      </c>
      <c r="J427" t="s">
        <v>2196</v>
      </c>
      <c r="K427">
        <v>10033</v>
      </c>
      <c r="L427" t="s">
        <v>2224</v>
      </c>
      <c r="M427" t="s">
        <v>2226</v>
      </c>
      <c r="N427" t="s">
        <v>2407</v>
      </c>
      <c r="O427" t="s">
        <v>2535</v>
      </c>
      <c r="P427" t="s">
        <v>2559</v>
      </c>
      <c r="R427" t="s">
        <v>2569</v>
      </c>
      <c r="S427" t="s">
        <v>2225</v>
      </c>
      <c r="U427" t="s">
        <v>2578</v>
      </c>
      <c r="W427" t="s">
        <v>192</v>
      </c>
      <c r="X427">
        <v>868.62</v>
      </c>
      <c r="Y427" t="s">
        <v>2607</v>
      </c>
      <c r="Z427" t="s">
        <v>2608</v>
      </c>
      <c r="AB427" t="s">
        <v>3019</v>
      </c>
      <c r="AD427" t="s">
        <v>3789</v>
      </c>
      <c r="AE427">
        <v>39</v>
      </c>
      <c r="AF427" t="s">
        <v>4099</v>
      </c>
      <c r="AG427" t="s">
        <v>2255</v>
      </c>
      <c r="AH427">
        <v>46</v>
      </c>
      <c r="AI427">
        <v>2</v>
      </c>
      <c r="AJ427">
        <v>3</v>
      </c>
      <c r="AK427">
        <v>116.01</v>
      </c>
      <c r="AN427" t="s">
        <v>4126</v>
      </c>
      <c r="AO427">
        <v>35000</v>
      </c>
      <c r="AU427">
        <v>4.2</v>
      </c>
      <c r="AV427" t="s">
        <v>204</v>
      </c>
      <c r="AW427" t="s">
        <v>4238</v>
      </c>
      <c r="AX427" t="s">
        <v>4266</v>
      </c>
      <c r="AY427" t="s">
        <v>2226</v>
      </c>
      <c r="AZ427" t="s">
        <v>2226</v>
      </c>
    </row>
    <row r="428" spans="1:52">
      <c r="A428" s="1">
        <f>HYPERLINK("https://lsnyc.legalserver.org/matter/dynamic-profile/view/1906962","19-1906962")</f>
        <v>0</v>
      </c>
      <c r="B428" t="s">
        <v>57</v>
      </c>
      <c r="C428" t="s">
        <v>155</v>
      </c>
      <c r="D428" t="s">
        <v>181</v>
      </c>
      <c r="F428" t="s">
        <v>560</v>
      </c>
      <c r="G428" t="s">
        <v>980</v>
      </c>
      <c r="H428" t="s">
        <v>1727</v>
      </c>
      <c r="J428" t="s">
        <v>2192</v>
      </c>
      <c r="K428">
        <v>11208</v>
      </c>
      <c r="L428" t="s">
        <v>2224</v>
      </c>
      <c r="M428" t="s">
        <v>2226</v>
      </c>
      <c r="O428" t="s">
        <v>2552</v>
      </c>
      <c r="P428" t="s">
        <v>2560</v>
      </c>
      <c r="R428" t="s">
        <v>2569</v>
      </c>
      <c r="S428" t="s">
        <v>2225</v>
      </c>
      <c r="U428" t="s">
        <v>2578</v>
      </c>
      <c r="W428" t="s">
        <v>181</v>
      </c>
      <c r="X428">
        <v>0</v>
      </c>
      <c r="Y428" t="s">
        <v>2604</v>
      </c>
      <c r="AB428" t="s">
        <v>3020</v>
      </c>
      <c r="AD428" t="s">
        <v>3790</v>
      </c>
      <c r="AE428">
        <v>4</v>
      </c>
      <c r="AH428">
        <v>0</v>
      </c>
      <c r="AI428">
        <v>1</v>
      </c>
      <c r="AJ428">
        <v>0</v>
      </c>
      <c r="AK428">
        <v>116.54</v>
      </c>
      <c r="AN428" t="s">
        <v>4127</v>
      </c>
      <c r="AO428">
        <v>14556</v>
      </c>
      <c r="AU428">
        <v>0</v>
      </c>
      <c r="AW428" t="s">
        <v>153</v>
      </c>
      <c r="AX428" t="s">
        <v>4266</v>
      </c>
      <c r="AY428" t="s">
        <v>2224</v>
      </c>
      <c r="AZ428" t="s">
        <v>2224</v>
      </c>
    </row>
    <row r="429" spans="1:52">
      <c r="A429" s="1">
        <f>HYPERLINK("https://lsnyc.legalserver.org/matter/dynamic-profile/view/1904900","19-1904900")</f>
        <v>0</v>
      </c>
      <c r="B429" t="s">
        <v>112</v>
      </c>
      <c r="C429" t="s">
        <v>155</v>
      </c>
      <c r="D429" t="s">
        <v>220</v>
      </c>
      <c r="F429" t="s">
        <v>306</v>
      </c>
      <c r="G429" t="s">
        <v>1158</v>
      </c>
      <c r="H429" t="s">
        <v>1728</v>
      </c>
      <c r="I429">
        <v>1</v>
      </c>
      <c r="J429" t="s">
        <v>2195</v>
      </c>
      <c r="K429">
        <v>10301</v>
      </c>
      <c r="L429" t="s">
        <v>2224</v>
      </c>
      <c r="M429" t="s">
        <v>2226</v>
      </c>
      <c r="N429" t="s">
        <v>2408</v>
      </c>
      <c r="O429" t="s">
        <v>2535</v>
      </c>
      <c r="P429" t="s">
        <v>2558</v>
      </c>
      <c r="R429" t="s">
        <v>2569</v>
      </c>
      <c r="S429" t="s">
        <v>2225</v>
      </c>
      <c r="U429" t="s">
        <v>2578</v>
      </c>
      <c r="V429" t="s">
        <v>2588</v>
      </c>
      <c r="W429" t="s">
        <v>220</v>
      </c>
      <c r="X429">
        <v>355</v>
      </c>
      <c r="Y429" t="s">
        <v>2606</v>
      </c>
      <c r="Z429" t="s">
        <v>2618</v>
      </c>
      <c r="AB429" t="s">
        <v>3021</v>
      </c>
      <c r="AD429" t="s">
        <v>3791</v>
      </c>
      <c r="AE429">
        <v>10</v>
      </c>
      <c r="AF429" t="s">
        <v>4098</v>
      </c>
      <c r="AG429" t="s">
        <v>4117</v>
      </c>
      <c r="AH429">
        <v>2</v>
      </c>
      <c r="AI429">
        <v>1</v>
      </c>
      <c r="AJ429">
        <v>0</v>
      </c>
      <c r="AK429">
        <v>116.83</v>
      </c>
      <c r="AN429" t="s">
        <v>4126</v>
      </c>
      <c r="AO429">
        <v>14592</v>
      </c>
      <c r="AU429">
        <v>6.7</v>
      </c>
      <c r="AV429" t="s">
        <v>263</v>
      </c>
      <c r="AW429" t="s">
        <v>4230</v>
      </c>
      <c r="AX429" t="s">
        <v>4266</v>
      </c>
      <c r="AY429" t="s">
        <v>2224</v>
      </c>
      <c r="AZ429" t="s">
        <v>2224</v>
      </c>
    </row>
    <row r="430" spans="1:52">
      <c r="A430" s="1">
        <f>HYPERLINK("https://lsnyc.legalserver.org/matter/dynamic-profile/view/1907939","19-1907939")</f>
        <v>0</v>
      </c>
      <c r="B430" t="s">
        <v>55</v>
      </c>
      <c r="C430" t="s">
        <v>155</v>
      </c>
      <c r="D430" t="s">
        <v>184</v>
      </c>
      <c r="F430" t="s">
        <v>613</v>
      </c>
      <c r="G430" t="s">
        <v>1159</v>
      </c>
      <c r="H430" t="s">
        <v>1729</v>
      </c>
      <c r="I430" t="s">
        <v>2070</v>
      </c>
      <c r="J430" t="s">
        <v>2188</v>
      </c>
      <c r="K430">
        <v>11432</v>
      </c>
      <c r="L430" t="s">
        <v>2224</v>
      </c>
      <c r="M430" t="s">
        <v>2226</v>
      </c>
      <c r="N430" t="s">
        <v>2409</v>
      </c>
      <c r="O430" t="s">
        <v>2535</v>
      </c>
      <c r="P430" t="s">
        <v>2556</v>
      </c>
      <c r="R430" t="s">
        <v>2569</v>
      </c>
      <c r="S430" t="s">
        <v>2225</v>
      </c>
      <c r="U430" t="s">
        <v>2578</v>
      </c>
      <c r="V430" t="s">
        <v>2588</v>
      </c>
      <c r="W430" t="s">
        <v>184</v>
      </c>
      <c r="X430">
        <v>1425</v>
      </c>
      <c r="Y430" t="s">
        <v>2603</v>
      </c>
      <c r="Z430" t="s">
        <v>2608</v>
      </c>
      <c r="AB430" t="s">
        <v>3022</v>
      </c>
      <c r="AD430" t="s">
        <v>3792</v>
      </c>
      <c r="AE430">
        <v>102</v>
      </c>
      <c r="AF430" t="s">
        <v>4099</v>
      </c>
      <c r="AG430" t="s">
        <v>2255</v>
      </c>
      <c r="AH430">
        <v>3</v>
      </c>
      <c r="AI430">
        <v>2</v>
      </c>
      <c r="AJ430">
        <v>1</v>
      </c>
      <c r="AK430">
        <v>117.21</v>
      </c>
      <c r="AN430" t="s">
        <v>4128</v>
      </c>
      <c r="AO430">
        <v>25000</v>
      </c>
      <c r="AU430">
        <v>1.95</v>
      </c>
      <c r="AV430" t="s">
        <v>222</v>
      </c>
      <c r="AW430" t="s">
        <v>4224</v>
      </c>
      <c r="AX430" t="s">
        <v>4266</v>
      </c>
      <c r="AY430" t="s">
        <v>2224</v>
      </c>
      <c r="AZ430" t="s">
        <v>2224</v>
      </c>
    </row>
    <row r="431" spans="1:52">
      <c r="A431" s="1">
        <f>HYPERLINK("https://lsnyc.legalserver.org/matter/dynamic-profile/view/1907122","19-1907122")</f>
        <v>0</v>
      </c>
      <c r="B431" t="s">
        <v>93</v>
      </c>
      <c r="C431" t="s">
        <v>155</v>
      </c>
      <c r="D431" t="s">
        <v>264</v>
      </c>
      <c r="F431" t="s">
        <v>614</v>
      </c>
      <c r="G431" t="s">
        <v>1160</v>
      </c>
      <c r="H431" t="s">
        <v>1730</v>
      </c>
      <c r="I431" t="s">
        <v>1962</v>
      </c>
      <c r="J431" t="s">
        <v>2193</v>
      </c>
      <c r="K431">
        <v>11103</v>
      </c>
      <c r="L431" t="s">
        <v>2224</v>
      </c>
      <c r="M431" t="s">
        <v>2226</v>
      </c>
      <c r="N431" t="s">
        <v>2410</v>
      </c>
      <c r="O431" t="s">
        <v>2537</v>
      </c>
      <c r="P431" t="s">
        <v>2560</v>
      </c>
      <c r="R431" t="s">
        <v>2569</v>
      </c>
      <c r="S431" t="s">
        <v>2225</v>
      </c>
      <c r="U431" t="s">
        <v>2578</v>
      </c>
      <c r="V431" t="s">
        <v>2588</v>
      </c>
      <c r="W431" t="s">
        <v>264</v>
      </c>
      <c r="X431">
        <v>1400</v>
      </c>
      <c r="Y431" t="s">
        <v>2603</v>
      </c>
      <c r="Z431" t="s">
        <v>2625</v>
      </c>
      <c r="AB431" t="s">
        <v>3023</v>
      </c>
      <c r="AD431" t="s">
        <v>3793</v>
      </c>
      <c r="AE431">
        <v>4</v>
      </c>
      <c r="AF431" t="s">
        <v>4099</v>
      </c>
      <c r="AG431" t="s">
        <v>2255</v>
      </c>
      <c r="AH431">
        <v>9</v>
      </c>
      <c r="AI431">
        <v>2</v>
      </c>
      <c r="AJ431">
        <v>1</v>
      </c>
      <c r="AK431">
        <v>117.21</v>
      </c>
      <c r="AN431" t="s">
        <v>4126</v>
      </c>
      <c r="AO431">
        <v>25000</v>
      </c>
      <c r="AU431">
        <v>0.95</v>
      </c>
      <c r="AV431" t="s">
        <v>157</v>
      </c>
      <c r="AW431" t="s">
        <v>93</v>
      </c>
      <c r="AX431" t="s">
        <v>4266</v>
      </c>
      <c r="AY431" t="s">
        <v>2224</v>
      </c>
      <c r="AZ431" t="s">
        <v>2224</v>
      </c>
    </row>
    <row r="432" spans="1:52">
      <c r="A432" s="1">
        <f>HYPERLINK("https://lsnyc.legalserver.org/matter/dynamic-profile/view/1908890","19-1908890")</f>
        <v>0</v>
      </c>
      <c r="B432" t="s">
        <v>88</v>
      </c>
      <c r="C432" t="s">
        <v>155</v>
      </c>
      <c r="D432" t="s">
        <v>235</v>
      </c>
      <c r="F432" t="s">
        <v>313</v>
      </c>
      <c r="G432" t="s">
        <v>966</v>
      </c>
      <c r="H432" t="s">
        <v>1731</v>
      </c>
      <c r="I432" t="s">
        <v>1965</v>
      </c>
      <c r="J432" t="s">
        <v>2196</v>
      </c>
      <c r="K432">
        <v>10035</v>
      </c>
      <c r="L432" t="s">
        <v>2224</v>
      </c>
      <c r="M432" t="s">
        <v>2226</v>
      </c>
      <c r="O432" t="s">
        <v>2238</v>
      </c>
      <c r="P432" t="s">
        <v>2561</v>
      </c>
      <c r="R432" t="s">
        <v>2569</v>
      </c>
      <c r="S432" t="s">
        <v>2224</v>
      </c>
      <c r="U432" t="s">
        <v>2578</v>
      </c>
      <c r="V432" t="s">
        <v>2588</v>
      </c>
      <c r="W432" t="s">
        <v>235</v>
      </c>
      <c r="X432">
        <v>1025.77</v>
      </c>
      <c r="Y432" t="s">
        <v>2607</v>
      </c>
      <c r="Z432" t="s">
        <v>2609</v>
      </c>
      <c r="AB432" t="s">
        <v>3024</v>
      </c>
      <c r="AD432" t="s">
        <v>3794</v>
      </c>
      <c r="AE432">
        <v>60</v>
      </c>
      <c r="AF432" t="s">
        <v>4099</v>
      </c>
      <c r="AG432" t="s">
        <v>4112</v>
      </c>
      <c r="AH432">
        <v>10</v>
      </c>
      <c r="AI432">
        <v>2</v>
      </c>
      <c r="AJ432">
        <v>0</v>
      </c>
      <c r="AK432">
        <v>118.23</v>
      </c>
      <c r="AN432" t="s">
        <v>4126</v>
      </c>
      <c r="AO432">
        <v>19992</v>
      </c>
      <c r="AU432">
        <v>0</v>
      </c>
      <c r="AW432" t="s">
        <v>4237</v>
      </c>
      <c r="AX432" t="s">
        <v>4266</v>
      </c>
      <c r="AY432" t="s">
        <v>2224</v>
      </c>
      <c r="AZ432" t="s">
        <v>2224</v>
      </c>
    </row>
    <row r="433" spans="1:52">
      <c r="A433" s="1">
        <f>HYPERLINK("https://lsnyc.legalserver.org/matter/dynamic-profile/view/1907356","19-1907356")</f>
        <v>0</v>
      </c>
      <c r="B433" t="s">
        <v>105</v>
      </c>
      <c r="C433" t="s">
        <v>154</v>
      </c>
      <c r="D433" t="s">
        <v>183</v>
      </c>
      <c r="E433" t="s">
        <v>234</v>
      </c>
      <c r="F433" t="s">
        <v>580</v>
      </c>
      <c r="G433" t="s">
        <v>1161</v>
      </c>
      <c r="H433" t="s">
        <v>1732</v>
      </c>
      <c r="J433" t="s">
        <v>2195</v>
      </c>
      <c r="K433">
        <v>10301</v>
      </c>
      <c r="L433" t="s">
        <v>2224</v>
      </c>
      <c r="M433" t="s">
        <v>2226</v>
      </c>
      <c r="N433" t="s">
        <v>2411</v>
      </c>
      <c r="O433" t="s">
        <v>2535</v>
      </c>
      <c r="P433" t="s">
        <v>2556</v>
      </c>
      <c r="Q433" t="s">
        <v>2563</v>
      </c>
      <c r="R433" t="s">
        <v>2569</v>
      </c>
      <c r="S433" t="s">
        <v>2225</v>
      </c>
      <c r="U433" t="s">
        <v>2578</v>
      </c>
      <c r="V433" t="s">
        <v>2591</v>
      </c>
      <c r="W433" t="s">
        <v>183</v>
      </c>
      <c r="X433">
        <v>1975</v>
      </c>
      <c r="Y433" t="s">
        <v>2606</v>
      </c>
      <c r="Z433" t="s">
        <v>2624</v>
      </c>
      <c r="AA433" t="s">
        <v>2626</v>
      </c>
      <c r="AB433" t="s">
        <v>3025</v>
      </c>
      <c r="AD433" t="s">
        <v>3795</v>
      </c>
      <c r="AE433">
        <v>1</v>
      </c>
      <c r="AF433" t="s">
        <v>4098</v>
      </c>
      <c r="AG433" t="s">
        <v>2255</v>
      </c>
      <c r="AH433">
        <v>-1</v>
      </c>
      <c r="AI433">
        <v>1</v>
      </c>
      <c r="AJ433">
        <v>1</v>
      </c>
      <c r="AK433">
        <v>118.27</v>
      </c>
      <c r="AN433" t="s">
        <v>4126</v>
      </c>
      <c r="AO433">
        <v>20000</v>
      </c>
      <c r="AU433">
        <v>1.95</v>
      </c>
      <c r="AV433" t="s">
        <v>234</v>
      </c>
      <c r="AW433" t="s">
        <v>4230</v>
      </c>
      <c r="AX433" t="s">
        <v>4266</v>
      </c>
      <c r="AY433" t="s">
        <v>2224</v>
      </c>
      <c r="AZ433" t="s">
        <v>2224</v>
      </c>
    </row>
    <row r="434" spans="1:52">
      <c r="A434" s="1">
        <f>HYPERLINK("https://lsnyc.legalserver.org/matter/dynamic-profile/view/1905334","19-1905334")</f>
        <v>0</v>
      </c>
      <c r="B434" t="s">
        <v>138</v>
      </c>
      <c r="C434" t="s">
        <v>155</v>
      </c>
      <c r="D434" t="s">
        <v>205</v>
      </c>
      <c r="F434" t="s">
        <v>615</v>
      </c>
      <c r="G434" t="s">
        <v>957</v>
      </c>
      <c r="H434" t="s">
        <v>1733</v>
      </c>
      <c r="I434" t="s">
        <v>1989</v>
      </c>
      <c r="J434" t="s">
        <v>2196</v>
      </c>
      <c r="K434">
        <v>10029</v>
      </c>
      <c r="L434" t="s">
        <v>2224</v>
      </c>
      <c r="M434" t="s">
        <v>2226</v>
      </c>
      <c r="P434" t="s">
        <v>2559</v>
      </c>
      <c r="R434" t="s">
        <v>2569</v>
      </c>
      <c r="S434" t="s">
        <v>2225</v>
      </c>
      <c r="U434" t="s">
        <v>2585</v>
      </c>
      <c r="W434" t="s">
        <v>177</v>
      </c>
      <c r="X434">
        <v>0</v>
      </c>
      <c r="Y434" t="s">
        <v>2607</v>
      </c>
      <c r="AB434" t="s">
        <v>3026</v>
      </c>
      <c r="AD434" t="s">
        <v>3796</v>
      </c>
      <c r="AE434">
        <v>24</v>
      </c>
      <c r="AH434">
        <v>0</v>
      </c>
      <c r="AI434">
        <v>2</v>
      </c>
      <c r="AJ434">
        <v>0</v>
      </c>
      <c r="AK434">
        <v>118.27</v>
      </c>
      <c r="AN434" t="s">
        <v>4127</v>
      </c>
      <c r="AO434">
        <v>20000</v>
      </c>
      <c r="AU434">
        <v>0.6</v>
      </c>
      <c r="AV434" t="s">
        <v>194</v>
      </c>
      <c r="AW434" t="s">
        <v>4262</v>
      </c>
      <c r="AX434" t="s">
        <v>4266</v>
      </c>
      <c r="AY434" t="s">
        <v>2226</v>
      </c>
      <c r="AZ434" t="s">
        <v>2226</v>
      </c>
    </row>
    <row r="435" spans="1:52">
      <c r="A435" s="1">
        <f>HYPERLINK("https://lsnyc.legalserver.org/matter/dynamic-profile/view/1909353","19-1909353")</f>
        <v>0</v>
      </c>
      <c r="B435" t="s">
        <v>98</v>
      </c>
      <c r="C435" t="s">
        <v>155</v>
      </c>
      <c r="D435" t="s">
        <v>167</v>
      </c>
      <c r="F435" t="s">
        <v>616</v>
      </c>
      <c r="G435" t="s">
        <v>1162</v>
      </c>
      <c r="H435" t="s">
        <v>1693</v>
      </c>
      <c r="I435" t="s">
        <v>2106</v>
      </c>
      <c r="J435" t="s">
        <v>2196</v>
      </c>
      <c r="K435">
        <v>10034</v>
      </c>
      <c r="L435" t="s">
        <v>2224</v>
      </c>
      <c r="M435" t="s">
        <v>2226</v>
      </c>
      <c r="P435" t="s">
        <v>2559</v>
      </c>
      <c r="R435" t="s">
        <v>2569</v>
      </c>
      <c r="S435" t="s">
        <v>2225</v>
      </c>
      <c r="U435" t="s">
        <v>2578</v>
      </c>
      <c r="W435" t="s">
        <v>167</v>
      </c>
      <c r="X435">
        <v>0</v>
      </c>
      <c r="Y435" t="s">
        <v>2607</v>
      </c>
      <c r="Z435" t="s">
        <v>2617</v>
      </c>
      <c r="AB435" t="s">
        <v>3027</v>
      </c>
      <c r="AD435" t="s">
        <v>3797</v>
      </c>
      <c r="AE435">
        <v>22</v>
      </c>
      <c r="AF435" t="s">
        <v>4099</v>
      </c>
      <c r="AG435" t="s">
        <v>2255</v>
      </c>
      <c r="AH435">
        <v>15</v>
      </c>
      <c r="AI435">
        <v>1</v>
      </c>
      <c r="AJ435">
        <v>0</v>
      </c>
      <c r="AK435">
        <v>119.23</v>
      </c>
      <c r="AN435" t="s">
        <v>4127</v>
      </c>
      <c r="AO435">
        <v>14892</v>
      </c>
      <c r="AU435">
        <v>2.2</v>
      </c>
      <c r="AV435" t="s">
        <v>245</v>
      </c>
      <c r="AW435" t="s">
        <v>80</v>
      </c>
      <c r="AX435" t="s">
        <v>4266</v>
      </c>
      <c r="AY435" t="s">
        <v>2224</v>
      </c>
      <c r="AZ435" t="s">
        <v>2224</v>
      </c>
    </row>
    <row r="436" spans="1:52">
      <c r="A436" s="1">
        <f>HYPERLINK("https://lsnyc.legalserver.org/matter/dynamic-profile/view/1911355","19-1911355")</f>
        <v>0</v>
      </c>
      <c r="B436" t="s">
        <v>74</v>
      </c>
      <c r="C436" t="s">
        <v>155</v>
      </c>
      <c r="D436" t="s">
        <v>245</v>
      </c>
      <c r="F436" t="s">
        <v>616</v>
      </c>
      <c r="G436" t="s">
        <v>1162</v>
      </c>
      <c r="H436" t="s">
        <v>1693</v>
      </c>
      <c r="I436" t="s">
        <v>2106</v>
      </c>
      <c r="J436" t="s">
        <v>2196</v>
      </c>
      <c r="K436">
        <v>10034</v>
      </c>
      <c r="L436" t="s">
        <v>2224</v>
      </c>
      <c r="M436" t="s">
        <v>2226</v>
      </c>
      <c r="P436" t="s">
        <v>2559</v>
      </c>
      <c r="R436" t="s">
        <v>2569</v>
      </c>
      <c r="S436" t="s">
        <v>2225</v>
      </c>
      <c r="U436" t="s">
        <v>2578</v>
      </c>
      <c r="W436" t="s">
        <v>245</v>
      </c>
      <c r="X436">
        <v>0</v>
      </c>
      <c r="Y436" t="s">
        <v>2607</v>
      </c>
      <c r="Z436" t="s">
        <v>2617</v>
      </c>
      <c r="AB436" t="s">
        <v>3027</v>
      </c>
      <c r="AD436" t="s">
        <v>3797</v>
      </c>
      <c r="AE436">
        <v>22</v>
      </c>
      <c r="AG436" t="s">
        <v>4112</v>
      </c>
      <c r="AH436">
        <v>0</v>
      </c>
      <c r="AI436">
        <v>1</v>
      </c>
      <c r="AJ436">
        <v>0</v>
      </c>
      <c r="AK436">
        <v>119.23</v>
      </c>
      <c r="AN436" t="s">
        <v>4127</v>
      </c>
      <c r="AO436">
        <v>14892</v>
      </c>
      <c r="AU436">
        <v>1.8</v>
      </c>
      <c r="AV436" t="s">
        <v>157</v>
      </c>
      <c r="AW436" t="s">
        <v>80</v>
      </c>
      <c r="AX436" t="s">
        <v>4266</v>
      </c>
      <c r="AY436" t="s">
        <v>2226</v>
      </c>
      <c r="AZ436" t="s">
        <v>2226</v>
      </c>
    </row>
    <row r="437" spans="1:52">
      <c r="A437" s="1">
        <f>HYPERLINK("https://lsnyc.legalserver.org/matter/dynamic-profile/view/1908351","19-1908351")</f>
        <v>0</v>
      </c>
      <c r="B437" t="s">
        <v>89</v>
      </c>
      <c r="C437" t="s">
        <v>155</v>
      </c>
      <c r="D437" t="s">
        <v>234</v>
      </c>
      <c r="F437" t="s">
        <v>617</v>
      </c>
      <c r="G437" t="s">
        <v>1163</v>
      </c>
      <c r="H437" t="s">
        <v>1642</v>
      </c>
      <c r="I437" t="s">
        <v>1967</v>
      </c>
      <c r="J437" t="s">
        <v>2204</v>
      </c>
      <c r="K437">
        <v>11377</v>
      </c>
      <c r="L437" t="s">
        <v>2224</v>
      </c>
      <c r="M437" t="s">
        <v>2226</v>
      </c>
      <c r="N437" t="s">
        <v>2356</v>
      </c>
      <c r="O437" t="s">
        <v>2537</v>
      </c>
      <c r="P437" t="s">
        <v>2560</v>
      </c>
      <c r="R437" t="s">
        <v>2569</v>
      </c>
      <c r="S437" t="s">
        <v>2224</v>
      </c>
      <c r="U437" t="s">
        <v>2578</v>
      </c>
      <c r="W437" t="s">
        <v>234</v>
      </c>
      <c r="X437">
        <v>1624.22</v>
      </c>
      <c r="Y437" t="s">
        <v>2603</v>
      </c>
      <c r="Z437" t="s">
        <v>2614</v>
      </c>
      <c r="AB437" t="s">
        <v>3028</v>
      </c>
      <c r="AD437" t="s">
        <v>3798</v>
      </c>
      <c r="AE437">
        <v>67</v>
      </c>
      <c r="AF437" t="s">
        <v>4099</v>
      </c>
      <c r="AG437" t="s">
        <v>2255</v>
      </c>
      <c r="AH437">
        <v>0</v>
      </c>
      <c r="AI437">
        <v>4</v>
      </c>
      <c r="AJ437">
        <v>1</v>
      </c>
      <c r="AK437">
        <v>119.32</v>
      </c>
      <c r="AN437" t="s">
        <v>4126</v>
      </c>
      <c r="AO437">
        <v>36000</v>
      </c>
      <c r="AU437">
        <v>0.45</v>
      </c>
      <c r="AV437" t="s">
        <v>167</v>
      </c>
      <c r="AW437" t="s">
        <v>4224</v>
      </c>
      <c r="AX437" t="s">
        <v>4266</v>
      </c>
      <c r="AY437" t="s">
        <v>2224</v>
      </c>
      <c r="AZ437" t="s">
        <v>2224</v>
      </c>
    </row>
    <row r="438" spans="1:52">
      <c r="A438" s="1">
        <f>HYPERLINK("https://lsnyc.legalserver.org/matter/dynamic-profile/view/1904363","19-1904363")</f>
        <v>0</v>
      </c>
      <c r="B438" t="s">
        <v>73</v>
      </c>
      <c r="C438" t="s">
        <v>154</v>
      </c>
      <c r="D438" t="s">
        <v>180</v>
      </c>
      <c r="E438" t="s">
        <v>157</v>
      </c>
      <c r="F438" t="s">
        <v>618</v>
      </c>
      <c r="G438" t="s">
        <v>864</v>
      </c>
      <c r="H438" t="s">
        <v>1655</v>
      </c>
      <c r="I438" t="s">
        <v>2039</v>
      </c>
      <c r="J438" t="s">
        <v>2195</v>
      </c>
      <c r="K438">
        <v>10301</v>
      </c>
      <c r="L438" t="s">
        <v>2224</v>
      </c>
      <c r="M438" t="s">
        <v>2226</v>
      </c>
      <c r="N438" t="s">
        <v>2412</v>
      </c>
      <c r="O438" t="s">
        <v>2535</v>
      </c>
      <c r="P438" t="s">
        <v>2558</v>
      </c>
      <c r="Q438" t="s">
        <v>2564</v>
      </c>
      <c r="R438" t="s">
        <v>2569</v>
      </c>
      <c r="S438" t="s">
        <v>2225</v>
      </c>
      <c r="U438" t="s">
        <v>2578</v>
      </c>
      <c r="V438" t="s">
        <v>2591</v>
      </c>
      <c r="W438" t="s">
        <v>210</v>
      </c>
      <c r="X438">
        <v>1717</v>
      </c>
      <c r="Y438" t="s">
        <v>2606</v>
      </c>
      <c r="Z438" t="s">
        <v>2618</v>
      </c>
      <c r="AA438" t="s">
        <v>2628</v>
      </c>
      <c r="AB438" t="s">
        <v>3029</v>
      </c>
      <c r="AD438" t="s">
        <v>3799</v>
      </c>
      <c r="AE438">
        <v>454</v>
      </c>
      <c r="AG438" t="s">
        <v>2255</v>
      </c>
      <c r="AH438">
        <v>1</v>
      </c>
      <c r="AI438">
        <v>1</v>
      </c>
      <c r="AJ438">
        <v>2</v>
      </c>
      <c r="AK438">
        <v>119.46</v>
      </c>
      <c r="AN438" t="s">
        <v>4126</v>
      </c>
      <c r="AO438">
        <v>25479.96</v>
      </c>
      <c r="AQ438" t="s">
        <v>4179</v>
      </c>
      <c r="AR438" t="s">
        <v>4187</v>
      </c>
      <c r="AS438" t="s">
        <v>4188</v>
      </c>
      <c r="AT438" t="s">
        <v>4209</v>
      </c>
      <c r="AU438">
        <v>28.75</v>
      </c>
      <c r="AV438" t="s">
        <v>157</v>
      </c>
      <c r="AW438" t="s">
        <v>4230</v>
      </c>
      <c r="AX438" t="s">
        <v>4266</v>
      </c>
      <c r="AY438" t="s">
        <v>2224</v>
      </c>
      <c r="AZ438" t="s">
        <v>2224</v>
      </c>
    </row>
    <row r="439" spans="1:52">
      <c r="A439" s="1">
        <f>HYPERLINK("https://lsnyc.legalserver.org/matter/dynamic-profile/view/1904920","19-1904920")</f>
        <v>0</v>
      </c>
      <c r="B439" t="s">
        <v>85</v>
      </c>
      <c r="C439" t="s">
        <v>155</v>
      </c>
      <c r="D439" t="s">
        <v>210</v>
      </c>
      <c r="F439" t="s">
        <v>619</v>
      </c>
      <c r="G439" t="s">
        <v>885</v>
      </c>
      <c r="H439" t="s">
        <v>1734</v>
      </c>
      <c r="I439" t="s">
        <v>2109</v>
      </c>
      <c r="J439" t="s">
        <v>2192</v>
      </c>
      <c r="K439">
        <v>11233</v>
      </c>
      <c r="L439" t="s">
        <v>2224</v>
      </c>
      <c r="M439" t="s">
        <v>2226</v>
      </c>
      <c r="N439" t="s">
        <v>2413</v>
      </c>
      <c r="O439" t="s">
        <v>2535</v>
      </c>
      <c r="P439" t="s">
        <v>2556</v>
      </c>
      <c r="R439" t="s">
        <v>2569</v>
      </c>
      <c r="S439" t="s">
        <v>2225</v>
      </c>
      <c r="U439" t="s">
        <v>2578</v>
      </c>
      <c r="V439" t="s">
        <v>2588</v>
      </c>
      <c r="W439" t="s">
        <v>191</v>
      </c>
      <c r="X439">
        <v>2100</v>
      </c>
      <c r="Y439" t="s">
        <v>2604</v>
      </c>
      <c r="Z439" t="s">
        <v>2621</v>
      </c>
      <c r="AB439" t="s">
        <v>3030</v>
      </c>
      <c r="AC439" t="s">
        <v>3372</v>
      </c>
      <c r="AD439" t="s">
        <v>3800</v>
      </c>
      <c r="AE439">
        <v>3</v>
      </c>
      <c r="AF439" t="s">
        <v>4098</v>
      </c>
      <c r="AG439" t="s">
        <v>2611</v>
      </c>
      <c r="AH439">
        <v>1</v>
      </c>
      <c r="AI439">
        <v>1</v>
      </c>
      <c r="AJ439">
        <v>1</v>
      </c>
      <c r="AK439">
        <v>119.79</v>
      </c>
      <c r="AN439" t="s">
        <v>4126</v>
      </c>
      <c r="AO439">
        <v>20256</v>
      </c>
      <c r="AU439">
        <v>5.25</v>
      </c>
      <c r="AV439" t="s">
        <v>193</v>
      </c>
      <c r="AW439" t="s">
        <v>4242</v>
      </c>
      <c r="AX439" t="s">
        <v>4266</v>
      </c>
      <c r="AY439" t="s">
        <v>2226</v>
      </c>
      <c r="AZ439" t="s">
        <v>2226</v>
      </c>
    </row>
    <row r="440" spans="1:52">
      <c r="A440" s="1">
        <f>HYPERLINK("https://lsnyc.legalserver.org/matter/dynamic-profile/view/1906690","19-1906690")</f>
        <v>0</v>
      </c>
      <c r="B440" t="s">
        <v>139</v>
      </c>
      <c r="C440" t="s">
        <v>155</v>
      </c>
      <c r="D440" t="s">
        <v>195</v>
      </c>
      <c r="F440" t="s">
        <v>620</v>
      </c>
      <c r="G440" t="s">
        <v>494</v>
      </c>
      <c r="H440" t="s">
        <v>1735</v>
      </c>
      <c r="J440" t="s">
        <v>2199</v>
      </c>
      <c r="K440">
        <v>11354</v>
      </c>
      <c r="L440" t="s">
        <v>2224</v>
      </c>
      <c r="M440" t="s">
        <v>2226</v>
      </c>
      <c r="N440" t="s">
        <v>2414</v>
      </c>
      <c r="O440" t="s">
        <v>2553</v>
      </c>
      <c r="P440" t="s">
        <v>2560</v>
      </c>
      <c r="R440" t="s">
        <v>2569</v>
      </c>
      <c r="S440" t="s">
        <v>2225</v>
      </c>
      <c r="U440" t="s">
        <v>2578</v>
      </c>
      <c r="V440" t="s">
        <v>2588</v>
      </c>
      <c r="W440" t="s">
        <v>195</v>
      </c>
      <c r="X440">
        <v>1100</v>
      </c>
      <c r="Y440" t="s">
        <v>2603</v>
      </c>
      <c r="Z440" t="s">
        <v>2613</v>
      </c>
      <c r="AB440" t="s">
        <v>3031</v>
      </c>
      <c r="AC440" t="s">
        <v>3419</v>
      </c>
      <c r="AD440" t="s">
        <v>3801</v>
      </c>
      <c r="AE440">
        <v>2</v>
      </c>
      <c r="AF440" t="s">
        <v>4098</v>
      </c>
      <c r="AG440" t="s">
        <v>2255</v>
      </c>
      <c r="AH440">
        <v>1</v>
      </c>
      <c r="AI440">
        <v>1</v>
      </c>
      <c r="AJ440">
        <v>0</v>
      </c>
      <c r="AK440">
        <v>120.1</v>
      </c>
      <c r="AN440" t="s">
        <v>4139</v>
      </c>
      <c r="AO440">
        <v>15000</v>
      </c>
      <c r="AU440">
        <v>16.05</v>
      </c>
      <c r="AV440" t="s">
        <v>165</v>
      </c>
      <c r="AW440" t="s">
        <v>4224</v>
      </c>
      <c r="AX440" t="s">
        <v>4266</v>
      </c>
      <c r="AY440" t="s">
        <v>2224</v>
      </c>
      <c r="AZ440" t="s">
        <v>2224</v>
      </c>
    </row>
    <row r="441" spans="1:52">
      <c r="A441" s="1">
        <f>HYPERLINK("https://lsnyc.legalserver.org/matter/dynamic-profile/view/1908290","19-1908290")</f>
        <v>0</v>
      </c>
      <c r="B441" t="s">
        <v>93</v>
      </c>
      <c r="C441" t="s">
        <v>154</v>
      </c>
      <c r="D441" t="s">
        <v>177</v>
      </c>
      <c r="E441" t="s">
        <v>281</v>
      </c>
      <c r="F441" t="s">
        <v>621</v>
      </c>
      <c r="G441" t="s">
        <v>1164</v>
      </c>
      <c r="H441" t="s">
        <v>1736</v>
      </c>
      <c r="I441" t="s">
        <v>2045</v>
      </c>
      <c r="J441" t="s">
        <v>2207</v>
      </c>
      <c r="K441">
        <v>11365</v>
      </c>
      <c r="L441" t="s">
        <v>2224</v>
      </c>
      <c r="M441" t="s">
        <v>2226</v>
      </c>
      <c r="N441" t="s">
        <v>2415</v>
      </c>
      <c r="O441" t="s">
        <v>2535</v>
      </c>
      <c r="P441" t="s">
        <v>2561</v>
      </c>
      <c r="Q441" t="s">
        <v>2566</v>
      </c>
      <c r="R441" t="s">
        <v>2569</v>
      </c>
      <c r="S441" t="s">
        <v>2225</v>
      </c>
      <c r="U441" t="s">
        <v>2578</v>
      </c>
      <c r="V441" t="s">
        <v>2591</v>
      </c>
      <c r="W441" t="s">
        <v>281</v>
      </c>
      <c r="X441">
        <v>1609</v>
      </c>
      <c r="Y441" t="s">
        <v>2603</v>
      </c>
      <c r="Z441" t="s">
        <v>2608</v>
      </c>
      <c r="AA441" t="s">
        <v>2629</v>
      </c>
      <c r="AB441" t="s">
        <v>3032</v>
      </c>
      <c r="AC441" t="s">
        <v>3432</v>
      </c>
      <c r="AD441" t="s">
        <v>3802</v>
      </c>
      <c r="AE441">
        <v>9</v>
      </c>
      <c r="AF441" t="s">
        <v>2518</v>
      </c>
      <c r="AG441" t="s">
        <v>4116</v>
      </c>
      <c r="AH441">
        <v>28</v>
      </c>
      <c r="AI441">
        <v>1</v>
      </c>
      <c r="AJ441">
        <v>0</v>
      </c>
      <c r="AK441">
        <v>120.19</v>
      </c>
      <c r="AN441" t="s">
        <v>4126</v>
      </c>
      <c r="AO441">
        <v>15012</v>
      </c>
      <c r="AU441">
        <v>0.71</v>
      </c>
      <c r="AV441" t="s">
        <v>281</v>
      </c>
      <c r="AW441" t="s">
        <v>4224</v>
      </c>
      <c r="AX441" t="s">
        <v>4266</v>
      </c>
      <c r="AY441" t="s">
        <v>2224</v>
      </c>
      <c r="AZ441" t="s">
        <v>2224</v>
      </c>
    </row>
    <row r="442" spans="1:52">
      <c r="A442" s="1">
        <f>HYPERLINK("https://lsnyc.legalserver.org/matter/dynamic-profile/view/1909092","19-1909092")</f>
        <v>0</v>
      </c>
      <c r="B442" t="s">
        <v>59</v>
      </c>
      <c r="C442" t="s">
        <v>155</v>
      </c>
      <c r="D442" t="s">
        <v>212</v>
      </c>
      <c r="F442" t="s">
        <v>622</v>
      </c>
      <c r="G442" t="s">
        <v>1165</v>
      </c>
      <c r="H442" t="s">
        <v>1737</v>
      </c>
      <c r="I442" t="s">
        <v>2110</v>
      </c>
      <c r="J442" t="s">
        <v>2192</v>
      </c>
      <c r="K442">
        <v>11233</v>
      </c>
      <c r="L442" t="s">
        <v>2224</v>
      </c>
      <c r="M442" t="s">
        <v>2226</v>
      </c>
      <c r="N442" t="s">
        <v>2235</v>
      </c>
      <c r="O442" t="s">
        <v>2537</v>
      </c>
      <c r="P442" t="s">
        <v>2560</v>
      </c>
      <c r="R442" t="s">
        <v>2569</v>
      </c>
      <c r="S442" t="s">
        <v>2224</v>
      </c>
      <c r="U442" t="s">
        <v>2578</v>
      </c>
      <c r="V442" t="s">
        <v>2588</v>
      </c>
      <c r="W442" t="s">
        <v>2594</v>
      </c>
      <c r="X442">
        <v>1059</v>
      </c>
      <c r="Y442" t="s">
        <v>2604</v>
      </c>
      <c r="Z442" t="s">
        <v>2611</v>
      </c>
      <c r="AB442" t="s">
        <v>3033</v>
      </c>
      <c r="AE442">
        <v>359</v>
      </c>
      <c r="AF442" t="s">
        <v>4099</v>
      </c>
      <c r="AG442" t="s">
        <v>2255</v>
      </c>
      <c r="AH442">
        <v>18</v>
      </c>
      <c r="AI442">
        <v>2</v>
      </c>
      <c r="AJ442">
        <v>2</v>
      </c>
      <c r="AK442">
        <v>120.39</v>
      </c>
      <c r="AN442" t="s">
        <v>4126</v>
      </c>
      <c r="AO442">
        <v>31000</v>
      </c>
      <c r="AP442" t="s">
        <v>4155</v>
      </c>
      <c r="AU442">
        <v>0</v>
      </c>
      <c r="AW442" t="s">
        <v>127</v>
      </c>
      <c r="AX442" t="s">
        <v>2255</v>
      </c>
      <c r="AY442" t="s">
        <v>2224</v>
      </c>
      <c r="AZ442" t="s">
        <v>2224</v>
      </c>
    </row>
    <row r="443" spans="1:52">
      <c r="A443" s="1">
        <f>HYPERLINK("https://lsnyc.legalserver.org/matter/dynamic-profile/view/1904795","19-1904795")</f>
        <v>0</v>
      </c>
      <c r="B443" t="s">
        <v>140</v>
      </c>
      <c r="C443" t="s">
        <v>154</v>
      </c>
      <c r="D443" t="s">
        <v>265</v>
      </c>
      <c r="E443" t="s">
        <v>245</v>
      </c>
      <c r="F443" t="s">
        <v>504</v>
      </c>
      <c r="G443" t="s">
        <v>853</v>
      </c>
      <c r="H443" t="s">
        <v>1738</v>
      </c>
      <c r="I443" t="s">
        <v>2111</v>
      </c>
      <c r="J443" t="s">
        <v>2194</v>
      </c>
      <c r="K443">
        <v>10457</v>
      </c>
      <c r="L443" t="s">
        <v>2224</v>
      </c>
      <c r="M443" t="s">
        <v>2226</v>
      </c>
      <c r="N443" t="s">
        <v>2244</v>
      </c>
      <c r="P443" t="s">
        <v>2561</v>
      </c>
      <c r="Q443" t="s">
        <v>2566</v>
      </c>
      <c r="R443" t="s">
        <v>2569</v>
      </c>
      <c r="S443" t="s">
        <v>2225</v>
      </c>
      <c r="U443" t="s">
        <v>2578</v>
      </c>
      <c r="W443" t="s">
        <v>272</v>
      </c>
      <c r="X443">
        <v>1476.04</v>
      </c>
      <c r="Y443" t="s">
        <v>2605</v>
      </c>
      <c r="Z443" t="s">
        <v>2614</v>
      </c>
      <c r="AA443" t="s">
        <v>2626</v>
      </c>
      <c r="AB443" t="s">
        <v>3034</v>
      </c>
      <c r="AD443" t="s">
        <v>3803</v>
      </c>
      <c r="AE443">
        <v>222</v>
      </c>
      <c r="AF443" t="s">
        <v>4099</v>
      </c>
      <c r="AG443" t="s">
        <v>2255</v>
      </c>
      <c r="AH443">
        <v>8</v>
      </c>
      <c r="AI443">
        <v>4</v>
      </c>
      <c r="AJ443">
        <v>1</v>
      </c>
      <c r="AK443">
        <v>120.65</v>
      </c>
      <c r="AN443" t="s">
        <v>4127</v>
      </c>
      <c r="AO443">
        <v>36400</v>
      </c>
      <c r="AU443">
        <v>3.75</v>
      </c>
      <c r="AV443" t="s">
        <v>245</v>
      </c>
      <c r="AW443" t="s">
        <v>4255</v>
      </c>
      <c r="AX443" t="s">
        <v>4266</v>
      </c>
      <c r="AY443" t="s">
        <v>2226</v>
      </c>
      <c r="AZ443" t="s">
        <v>2226</v>
      </c>
    </row>
    <row r="444" spans="1:52">
      <c r="A444" s="1">
        <f>HYPERLINK("https://lsnyc.legalserver.org/matter/dynamic-profile/view/1913043","19-1913043")</f>
        <v>0</v>
      </c>
      <c r="B444" t="s">
        <v>83</v>
      </c>
      <c r="C444" t="s">
        <v>155</v>
      </c>
      <c r="D444" t="s">
        <v>241</v>
      </c>
      <c r="F444" t="s">
        <v>400</v>
      </c>
      <c r="G444" t="s">
        <v>1166</v>
      </c>
      <c r="H444" t="s">
        <v>1739</v>
      </c>
      <c r="I444" t="s">
        <v>1965</v>
      </c>
      <c r="J444" t="s">
        <v>2192</v>
      </c>
      <c r="K444">
        <v>11213</v>
      </c>
      <c r="L444" t="s">
        <v>2224</v>
      </c>
      <c r="M444" t="s">
        <v>2226</v>
      </c>
      <c r="N444" t="s">
        <v>2246</v>
      </c>
      <c r="O444" t="s">
        <v>2544</v>
      </c>
      <c r="P444" t="s">
        <v>2562</v>
      </c>
      <c r="R444" t="s">
        <v>2569</v>
      </c>
      <c r="S444" t="s">
        <v>2224</v>
      </c>
      <c r="U444" t="s">
        <v>2581</v>
      </c>
      <c r="V444" t="s">
        <v>2588</v>
      </c>
      <c r="W444" t="s">
        <v>204</v>
      </c>
      <c r="X444">
        <v>850</v>
      </c>
      <c r="Y444" t="s">
        <v>2604</v>
      </c>
      <c r="Z444" t="s">
        <v>2609</v>
      </c>
      <c r="AB444" t="s">
        <v>3035</v>
      </c>
      <c r="AC444" t="s">
        <v>2255</v>
      </c>
      <c r="AD444" t="s">
        <v>3804</v>
      </c>
      <c r="AE444">
        <v>19</v>
      </c>
      <c r="AF444" t="s">
        <v>4099</v>
      </c>
      <c r="AG444" t="s">
        <v>2255</v>
      </c>
      <c r="AH444">
        <v>5</v>
      </c>
      <c r="AI444">
        <v>1</v>
      </c>
      <c r="AJ444">
        <v>2</v>
      </c>
      <c r="AK444">
        <v>120.68</v>
      </c>
      <c r="AN444" t="s">
        <v>4126</v>
      </c>
      <c r="AO444">
        <v>25740</v>
      </c>
      <c r="AP444" t="s">
        <v>4156</v>
      </c>
      <c r="AU444">
        <v>2.5</v>
      </c>
      <c r="AV444" t="s">
        <v>280</v>
      </c>
      <c r="AW444" t="s">
        <v>4226</v>
      </c>
      <c r="AX444" t="s">
        <v>4266</v>
      </c>
      <c r="AY444" t="s">
        <v>2224</v>
      </c>
      <c r="AZ444" t="s">
        <v>2224</v>
      </c>
    </row>
    <row r="445" spans="1:52">
      <c r="A445" s="1">
        <f>HYPERLINK("https://lsnyc.legalserver.org/matter/dynamic-profile/view/1904974","19-1904974")</f>
        <v>0</v>
      </c>
      <c r="B445" t="s">
        <v>76</v>
      </c>
      <c r="C445" t="s">
        <v>155</v>
      </c>
      <c r="D445" t="s">
        <v>210</v>
      </c>
      <c r="F445" t="s">
        <v>623</v>
      </c>
      <c r="G445" t="s">
        <v>1167</v>
      </c>
      <c r="H445" t="s">
        <v>1740</v>
      </c>
      <c r="I445" t="s">
        <v>2112</v>
      </c>
      <c r="J445" t="s">
        <v>2196</v>
      </c>
      <c r="K445">
        <v>10034</v>
      </c>
      <c r="L445" t="s">
        <v>2224</v>
      </c>
      <c r="M445" t="s">
        <v>2226</v>
      </c>
      <c r="P445" t="s">
        <v>2559</v>
      </c>
      <c r="R445" t="s">
        <v>2569</v>
      </c>
      <c r="S445" t="s">
        <v>2225</v>
      </c>
      <c r="U445" t="s">
        <v>2578</v>
      </c>
      <c r="W445" t="s">
        <v>210</v>
      </c>
      <c r="X445">
        <v>640</v>
      </c>
      <c r="Y445" t="s">
        <v>2607</v>
      </c>
      <c r="Z445" t="s">
        <v>2617</v>
      </c>
      <c r="AB445" t="s">
        <v>3036</v>
      </c>
      <c r="AD445" t="s">
        <v>3805</v>
      </c>
      <c r="AE445">
        <v>126</v>
      </c>
      <c r="AF445" t="s">
        <v>4099</v>
      </c>
      <c r="AG445" t="s">
        <v>4112</v>
      </c>
      <c r="AH445">
        <v>15</v>
      </c>
      <c r="AI445">
        <v>3</v>
      </c>
      <c r="AJ445">
        <v>0</v>
      </c>
      <c r="AK445">
        <v>120.68</v>
      </c>
      <c r="AN445" t="s">
        <v>4127</v>
      </c>
      <c r="AO445">
        <v>25740</v>
      </c>
      <c r="AU445">
        <v>6.6</v>
      </c>
      <c r="AV445" t="s">
        <v>174</v>
      </c>
      <c r="AW445" t="s">
        <v>80</v>
      </c>
      <c r="AX445" t="s">
        <v>4266</v>
      </c>
      <c r="AY445" t="s">
        <v>2226</v>
      </c>
      <c r="AZ445" t="s">
        <v>2226</v>
      </c>
    </row>
    <row r="446" spans="1:52">
      <c r="A446" s="1">
        <f>HYPERLINK("https://lsnyc.legalserver.org/matter/dynamic-profile/view/1903642","19-1903642")</f>
        <v>0</v>
      </c>
      <c r="B446" t="s">
        <v>68</v>
      </c>
      <c r="C446" t="s">
        <v>155</v>
      </c>
      <c r="D446" t="s">
        <v>254</v>
      </c>
      <c r="F446" t="s">
        <v>624</v>
      </c>
      <c r="G446" t="s">
        <v>919</v>
      </c>
      <c r="H446" t="s">
        <v>1659</v>
      </c>
      <c r="I446" t="s">
        <v>1972</v>
      </c>
      <c r="J446" t="s">
        <v>2192</v>
      </c>
      <c r="K446">
        <v>11220</v>
      </c>
      <c r="L446" t="s">
        <v>2224</v>
      </c>
      <c r="M446" t="s">
        <v>2226</v>
      </c>
      <c r="O446" t="s">
        <v>2534</v>
      </c>
      <c r="P446" t="s">
        <v>2558</v>
      </c>
      <c r="R446" t="s">
        <v>2569</v>
      </c>
      <c r="S446" t="s">
        <v>2224</v>
      </c>
      <c r="T446" t="s">
        <v>2571</v>
      </c>
      <c r="U446" t="s">
        <v>2578</v>
      </c>
      <c r="W446" t="s">
        <v>254</v>
      </c>
      <c r="X446">
        <v>745</v>
      </c>
      <c r="Y446" t="s">
        <v>2604</v>
      </c>
      <c r="AB446" t="s">
        <v>3037</v>
      </c>
      <c r="AD446" t="s">
        <v>3806</v>
      </c>
      <c r="AE446">
        <v>54</v>
      </c>
      <c r="AH446">
        <v>40</v>
      </c>
      <c r="AI446">
        <v>3</v>
      </c>
      <c r="AJ446">
        <v>3</v>
      </c>
      <c r="AK446">
        <v>120.73</v>
      </c>
      <c r="AN446" t="s">
        <v>4126</v>
      </c>
      <c r="AO446">
        <v>41760</v>
      </c>
      <c r="AU446">
        <v>0</v>
      </c>
      <c r="AW446" t="s">
        <v>153</v>
      </c>
      <c r="AX446" t="s">
        <v>4266</v>
      </c>
      <c r="AY446" t="s">
        <v>2224</v>
      </c>
      <c r="AZ446" t="s">
        <v>2224</v>
      </c>
    </row>
    <row r="447" spans="1:52">
      <c r="A447" s="1">
        <f>HYPERLINK("https://lsnyc.legalserver.org/matter/dynamic-profile/view/1908797","19-1908797")</f>
        <v>0</v>
      </c>
      <c r="B447" t="s">
        <v>91</v>
      </c>
      <c r="C447" t="s">
        <v>155</v>
      </c>
      <c r="D447" t="s">
        <v>189</v>
      </c>
      <c r="F447" t="s">
        <v>324</v>
      </c>
      <c r="G447" t="s">
        <v>1168</v>
      </c>
      <c r="H447" t="s">
        <v>1741</v>
      </c>
      <c r="I447" t="s">
        <v>2010</v>
      </c>
      <c r="J447" t="s">
        <v>2192</v>
      </c>
      <c r="K447">
        <v>11208</v>
      </c>
      <c r="L447" t="s">
        <v>2224</v>
      </c>
      <c r="M447" t="s">
        <v>2226</v>
      </c>
      <c r="N447" t="s">
        <v>2416</v>
      </c>
      <c r="O447" t="s">
        <v>2533</v>
      </c>
      <c r="P447" t="s">
        <v>2556</v>
      </c>
      <c r="R447" t="s">
        <v>2569</v>
      </c>
      <c r="U447" t="s">
        <v>2578</v>
      </c>
      <c r="W447" t="s">
        <v>240</v>
      </c>
      <c r="X447">
        <v>0</v>
      </c>
      <c r="Y447" t="s">
        <v>2604</v>
      </c>
      <c r="Z447" t="s">
        <v>2608</v>
      </c>
      <c r="AB447" t="s">
        <v>3038</v>
      </c>
      <c r="AC447" t="s">
        <v>3433</v>
      </c>
      <c r="AD447" t="s">
        <v>3807</v>
      </c>
      <c r="AE447">
        <v>0</v>
      </c>
      <c r="AH447">
        <v>0</v>
      </c>
      <c r="AI447">
        <v>1</v>
      </c>
      <c r="AJ447">
        <v>0</v>
      </c>
      <c r="AK447">
        <v>120.77</v>
      </c>
      <c r="AN447" t="s">
        <v>4126</v>
      </c>
      <c r="AO447">
        <v>15084</v>
      </c>
      <c r="AU447">
        <v>0</v>
      </c>
      <c r="AW447" t="s">
        <v>4239</v>
      </c>
      <c r="AX447" t="s">
        <v>4266</v>
      </c>
      <c r="AY447" t="s">
        <v>2226</v>
      </c>
      <c r="AZ447" t="s">
        <v>2226</v>
      </c>
    </row>
    <row r="448" spans="1:52">
      <c r="A448" s="1">
        <f>HYPERLINK("https://lsnyc.legalserver.org/matter/dynamic-profile/view/1863072","18-1863072")</f>
        <v>0</v>
      </c>
      <c r="B448" t="s">
        <v>138</v>
      </c>
      <c r="C448" t="s">
        <v>155</v>
      </c>
      <c r="D448" t="s">
        <v>266</v>
      </c>
      <c r="F448" t="s">
        <v>615</v>
      </c>
      <c r="G448" t="s">
        <v>957</v>
      </c>
      <c r="H448" t="s">
        <v>1733</v>
      </c>
      <c r="I448" t="s">
        <v>1989</v>
      </c>
      <c r="J448" t="s">
        <v>2196</v>
      </c>
      <c r="K448">
        <v>10029</v>
      </c>
      <c r="L448" t="s">
        <v>2224</v>
      </c>
      <c r="M448" t="s">
        <v>2226</v>
      </c>
      <c r="O448" t="s">
        <v>2238</v>
      </c>
      <c r="P448" t="s">
        <v>2557</v>
      </c>
      <c r="R448" t="s">
        <v>2569</v>
      </c>
      <c r="U448" t="s">
        <v>2585</v>
      </c>
      <c r="W448" t="s">
        <v>267</v>
      </c>
      <c r="X448">
        <v>487</v>
      </c>
      <c r="Y448" t="s">
        <v>2607</v>
      </c>
      <c r="Z448" t="s">
        <v>2621</v>
      </c>
      <c r="AA448" t="s">
        <v>2626</v>
      </c>
      <c r="AB448" t="s">
        <v>3026</v>
      </c>
      <c r="AD448" t="s">
        <v>3796</v>
      </c>
      <c r="AE448">
        <v>24</v>
      </c>
      <c r="AF448" t="s">
        <v>4099</v>
      </c>
      <c r="AH448">
        <v>4</v>
      </c>
      <c r="AI448">
        <v>2</v>
      </c>
      <c r="AJ448">
        <v>0</v>
      </c>
      <c r="AK448">
        <v>121.51</v>
      </c>
      <c r="AN448" t="s">
        <v>4127</v>
      </c>
      <c r="AO448">
        <v>20000</v>
      </c>
      <c r="AU448">
        <v>5.1</v>
      </c>
      <c r="AV448" t="s">
        <v>198</v>
      </c>
      <c r="AW448" t="s">
        <v>4262</v>
      </c>
      <c r="AX448" t="s">
        <v>4266</v>
      </c>
      <c r="AY448" t="s">
        <v>2224</v>
      </c>
      <c r="AZ448" t="s">
        <v>2224</v>
      </c>
    </row>
    <row r="449" spans="1:52">
      <c r="A449" s="1">
        <f>HYPERLINK("https://lsnyc.legalserver.org/matter/dynamic-profile/view/1903966","19-1903966")</f>
        <v>0</v>
      </c>
      <c r="B449" t="s">
        <v>141</v>
      </c>
      <c r="C449" t="s">
        <v>154</v>
      </c>
      <c r="D449" t="s">
        <v>267</v>
      </c>
      <c r="E449" t="s">
        <v>161</v>
      </c>
      <c r="F449" t="s">
        <v>625</v>
      </c>
      <c r="G449" t="s">
        <v>1169</v>
      </c>
      <c r="H449" t="s">
        <v>1742</v>
      </c>
      <c r="I449" t="s">
        <v>2113</v>
      </c>
      <c r="J449" t="s">
        <v>2192</v>
      </c>
      <c r="K449">
        <v>11236</v>
      </c>
      <c r="L449" t="s">
        <v>2224</v>
      </c>
      <c r="M449" t="s">
        <v>2226</v>
      </c>
      <c r="N449" t="s">
        <v>2417</v>
      </c>
      <c r="O449" t="s">
        <v>2544</v>
      </c>
      <c r="P449" t="s">
        <v>2556</v>
      </c>
      <c r="Q449" t="s">
        <v>2563</v>
      </c>
      <c r="R449" t="s">
        <v>2569</v>
      </c>
      <c r="U449" t="s">
        <v>2578</v>
      </c>
      <c r="W449" t="s">
        <v>267</v>
      </c>
      <c r="X449">
        <v>720</v>
      </c>
      <c r="Y449" t="s">
        <v>2604</v>
      </c>
      <c r="Z449" t="s">
        <v>2611</v>
      </c>
      <c r="AA449" t="s">
        <v>2626</v>
      </c>
      <c r="AB449" t="s">
        <v>3039</v>
      </c>
      <c r="AD449" t="s">
        <v>3808</v>
      </c>
      <c r="AE449">
        <v>6</v>
      </c>
      <c r="AF449" t="s">
        <v>4098</v>
      </c>
      <c r="AG449" t="s">
        <v>2255</v>
      </c>
      <c r="AH449">
        <v>9</v>
      </c>
      <c r="AI449">
        <v>2</v>
      </c>
      <c r="AJ449">
        <v>1</v>
      </c>
      <c r="AK449">
        <v>121.89</v>
      </c>
      <c r="AN449" t="s">
        <v>4126</v>
      </c>
      <c r="AO449">
        <v>26000</v>
      </c>
      <c r="AU449">
        <v>2.2</v>
      </c>
      <c r="AV449" t="s">
        <v>296</v>
      </c>
      <c r="AW449" t="s">
        <v>4243</v>
      </c>
      <c r="AX449" t="s">
        <v>4266</v>
      </c>
      <c r="AY449" t="s">
        <v>2226</v>
      </c>
      <c r="AZ449" t="s">
        <v>2225</v>
      </c>
    </row>
    <row r="450" spans="1:52">
      <c r="A450" s="1">
        <f>HYPERLINK("https://lsnyc.legalserver.org/matter/dynamic-profile/view/1909919","19-1909919")</f>
        <v>0</v>
      </c>
      <c r="B450" t="s">
        <v>77</v>
      </c>
      <c r="C450" t="s">
        <v>155</v>
      </c>
      <c r="D450" t="s">
        <v>268</v>
      </c>
      <c r="F450" t="s">
        <v>626</v>
      </c>
      <c r="G450" t="s">
        <v>1170</v>
      </c>
      <c r="H450" t="s">
        <v>1743</v>
      </c>
      <c r="I450" t="s">
        <v>1976</v>
      </c>
      <c r="J450" t="s">
        <v>2196</v>
      </c>
      <c r="K450">
        <v>10029</v>
      </c>
      <c r="L450" t="s">
        <v>2224</v>
      </c>
      <c r="M450" t="s">
        <v>2226</v>
      </c>
      <c r="O450" t="s">
        <v>2550</v>
      </c>
      <c r="P450" t="s">
        <v>2559</v>
      </c>
      <c r="R450" t="s">
        <v>2569</v>
      </c>
      <c r="S450" t="s">
        <v>2225</v>
      </c>
      <c r="U450" t="s">
        <v>2578</v>
      </c>
      <c r="V450" t="s">
        <v>2588</v>
      </c>
      <c r="W450" t="s">
        <v>174</v>
      </c>
      <c r="X450">
        <v>900</v>
      </c>
      <c r="Y450" t="s">
        <v>2607</v>
      </c>
      <c r="Z450" t="s">
        <v>2623</v>
      </c>
      <c r="AB450" t="s">
        <v>3040</v>
      </c>
      <c r="AD450" t="s">
        <v>3809</v>
      </c>
      <c r="AE450">
        <v>272</v>
      </c>
      <c r="AF450" t="s">
        <v>4104</v>
      </c>
      <c r="AH450">
        <v>45</v>
      </c>
      <c r="AI450">
        <v>2</v>
      </c>
      <c r="AJ450">
        <v>0</v>
      </c>
      <c r="AK450">
        <v>121.99</v>
      </c>
      <c r="AN450" t="s">
        <v>4126</v>
      </c>
      <c r="AO450">
        <v>20628</v>
      </c>
      <c r="AU450">
        <v>1.3</v>
      </c>
      <c r="AV450" t="s">
        <v>174</v>
      </c>
      <c r="AW450" t="s">
        <v>4258</v>
      </c>
      <c r="AX450" t="s">
        <v>4266</v>
      </c>
      <c r="AY450" t="s">
        <v>2226</v>
      </c>
      <c r="AZ450" t="s">
        <v>2226</v>
      </c>
    </row>
    <row r="451" spans="1:52">
      <c r="A451" s="1">
        <f>HYPERLINK("https://lsnyc.legalserver.org/matter/dynamic-profile/view/1908678","19-1908678")</f>
        <v>0</v>
      </c>
      <c r="B451" t="s">
        <v>74</v>
      </c>
      <c r="C451" t="s">
        <v>155</v>
      </c>
      <c r="D451" t="s">
        <v>171</v>
      </c>
      <c r="F451" t="s">
        <v>558</v>
      </c>
      <c r="G451" t="s">
        <v>1171</v>
      </c>
      <c r="H451" t="s">
        <v>1744</v>
      </c>
      <c r="I451" t="s">
        <v>2027</v>
      </c>
      <c r="J451" t="s">
        <v>2196</v>
      </c>
      <c r="K451">
        <v>10040</v>
      </c>
      <c r="L451" t="s">
        <v>2224</v>
      </c>
      <c r="M451" t="s">
        <v>2226</v>
      </c>
      <c r="O451" t="s">
        <v>2533</v>
      </c>
      <c r="P451" t="s">
        <v>2559</v>
      </c>
      <c r="R451" t="s">
        <v>2569</v>
      </c>
      <c r="S451" t="s">
        <v>2225</v>
      </c>
      <c r="U451" t="s">
        <v>2578</v>
      </c>
      <c r="W451" t="s">
        <v>171</v>
      </c>
      <c r="X451">
        <v>294.4</v>
      </c>
      <c r="Y451" t="s">
        <v>2607</v>
      </c>
      <c r="Z451" t="s">
        <v>2617</v>
      </c>
      <c r="AB451" t="s">
        <v>3041</v>
      </c>
      <c r="AD451" t="s">
        <v>3810</v>
      </c>
      <c r="AE451">
        <v>22</v>
      </c>
      <c r="AF451" t="s">
        <v>4099</v>
      </c>
      <c r="AG451" t="s">
        <v>2611</v>
      </c>
      <c r="AH451">
        <v>20</v>
      </c>
      <c r="AI451">
        <v>1</v>
      </c>
      <c r="AJ451">
        <v>0</v>
      </c>
      <c r="AK451">
        <v>122.86</v>
      </c>
      <c r="AN451" t="s">
        <v>4126</v>
      </c>
      <c r="AO451">
        <v>15345.6</v>
      </c>
      <c r="AU451">
        <v>13.3</v>
      </c>
      <c r="AV451" t="s">
        <v>168</v>
      </c>
      <c r="AW451" t="s">
        <v>80</v>
      </c>
      <c r="AX451" t="s">
        <v>4266</v>
      </c>
      <c r="AY451" t="s">
        <v>2226</v>
      </c>
      <c r="AZ451" t="s">
        <v>2226</v>
      </c>
    </row>
    <row r="452" spans="1:52">
      <c r="A452" s="1">
        <f>HYPERLINK("https://lsnyc.legalserver.org/matter/dynamic-profile/view/1901547","19-1901547")</f>
        <v>0</v>
      </c>
      <c r="B452" t="s">
        <v>62</v>
      </c>
      <c r="C452" t="s">
        <v>154</v>
      </c>
      <c r="D452" t="s">
        <v>269</v>
      </c>
      <c r="E452" t="s">
        <v>175</v>
      </c>
      <c r="F452" t="s">
        <v>627</v>
      </c>
      <c r="G452" t="s">
        <v>1172</v>
      </c>
      <c r="H452" t="s">
        <v>1745</v>
      </c>
      <c r="I452" t="s">
        <v>1965</v>
      </c>
      <c r="J452" t="s">
        <v>2192</v>
      </c>
      <c r="K452">
        <v>11233</v>
      </c>
      <c r="L452" t="s">
        <v>2224</v>
      </c>
      <c r="M452" t="s">
        <v>2226</v>
      </c>
      <c r="O452" t="s">
        <v>2238</v>
      </c>
      <c r="P452" t="s">
        <v>2556</v>
      </c>
      <c r="Q452" t="s">
        <v>2563</v>
      </c>
      <c r="R452" t="s">
        <v>2569</v>
      </c>
      <c r="S452" t="s">
        <v>2225</v>
      </c>
      <c r="U452" t="s">
        <v>2578</v>
      </c>
      <c r="V452" t="s">
        <v>2588</v>
      </c>
      <c r="W452" t="s">
        <v>175</v>
      </c>
      <c r="X452">
        <v>1879.2</v>
      </c>
      <c r="Y452" t="s">
        <v>2604</v>
      </c>
      <c r="Z452" t="s">
        <v>2617</v>
      </c>
      <c r="AA452" t="s">
        <v>2626</v>
      </c>
      <c r="AB452" t="s">
        <v>3042</v>
      </c>
      <c r="AC452" t="s">
        <v>3434</v>
      </c>
      <c r="AD452" t="s">
        <v>3811</v>
      </c>
      <c r="AE452">
        <v>13</v>
      </c>
      <c r="AF452" t="s">
        <v>4099</v>
      </c>
      <c r="AG452" t="s">
        <v>4117</v>
      </c>
      <c r="AH452">
        <v>5</v>
      </c>
      <c r="AI452">
        <v>3</v>
      </c>
      <c r="AJ452">
        <v>2</v>
      </c>
      <c r="AK452">
        <v>122.98</v>
      </c>
      <c r="AN452" t="s">
        <v>4126</v>
      </c>
      <c r="AO452">
        <v>37104</v>
      </c>
      <c r="AU452">
        <v>1</v>
      </c>
      <c r="AV452" t="s">
        <v>175</v>
      </c>
      <c r="AW452" t="s">
        <v>4226</v>
      </c>
      <c r="AX452" t="s">
        <v>4266</v>
      </c>
      <c r="AY452" t="s">
        <v>2226</v>
      </c>
      <c r="AZ452" t="s">
        <v>2225</v>
      </c>
    </row>
    <row r="453" spans="1:52">
      <c r="A453" s="1">
        <f>HYPERLINK("https://lsnyc.legalserver.org/matter/dynamic-profile/view/1905685","19-1905685")</f>
        <v>0</v>
      </c>
      <c r="B453" t="s">
        <v>66</v>
      </c>
      <c r="C453" t="s">
        <v>155</v>
      </c>
      <c r="D453" t="s">
        <v>172</v>
      </c>
      <c r="F453" t="s">
        <v>628</v>
      </c>
      <c r="G453" t="s">
        <v>692</v>
      </c>
      <c r="H453" t="s">
        <v>1525</v>
      </c>
      <c r="I453" t="s">
        <v>2088</v>
      </c>
      <c r="J453" t="s">
        <v>2192</v>
      </c>
      <c r="K453">
        <v>11226</v>
      </c>
      <c r="L453" t="s">
        <v>2224</v>
      </c>
      <c r="M453" t="s">
        <v>2226</v>
      </c>
      <c r="O453" t="s">
        <v>2537</v>
      </c>
      <c r="P453" t="s">
        <v>2560</v>
      </c>
      <c r="R453" t="s">
        <v>2569</v>
      </c>
      <c r="S453" t="s">
        <v>2224</v>
      </c>
      <c r="U453" t="s">
        <v>2578</v>
      </c>
      <c r="W453" t="s">
        <v>172</v>
      </c>
      <c r="X453">
        <v>0</v>
      </c>
      <c r="Y453" t="s">
        <v>2604</v>
      </c>
      <c r="AB453" t="s">
        <v>3043</v>
      </c>
      <c r="AD453" t="s">
        <v>3812</v>
      </c>
      <c r="AE453">
        <v>36</v>
      </c>
      <c r="AF453" t="s">
        <v>4099</v>
      </c>
      <c r="AH453">
        <v>0</v>
      </c>
      <c r="AI453">
        <v>2</v>
      </c>
      <c r="AJ453">
        <v>0</v>
      </c>
      <c r="AK453">
        <v>123</v>
      </c>
      <c r="AN453" t="s">
        <v>4132</v>
      </c>
      <c r="AO453">
        <v>20800</v>
      </c>
      <c r="AU453">
        <v>0.2</v>
      </c>
      <c r="AV453" t="s">
        <v>172</v>
      </c>
      <c r="AW453" t="s">
        <v>124</v>
      </c>
      <c r="AY453" t="s">
        <v>2226</v>
      </c>
      <c r="AZ453" t="s">
        <v>2226</v>
      </c>
    </row>
    <row r="454" spans="1:52">
      <c r="A454" s="1">
        <f>HYPERLINK("https://lsnyc.legalserver.org/matter/dynamic-profile/view/1907269","19-1907269")</f>
        <v>0</v>
      </c>
      <c r="B454" t="s">
        <v>52</v>
      </c>
      <c r="C454" t="s">
        <v>155</v>
      </c>
      <c r="D454" t="s">
        <v>185</v>
      </c>
      <c r="F454" t="s">
        <v>495</v>
      </c>
      <c r="G454" t="s">
        <v>1173</v>
      </c>
      <c r="H454" t="s">
        <v>1746</v>
      </c>
      <c r="I454" t="s">
        <v>1958</v>
      </c>
      <c r="J454" t="s">
        <v>2217</v>
      </c>
      <c r="K454">
        <v>11418</v>
      </c>
      <c r="L454" t="s">
        <v>2224</v>
      </c>
      <c r="M454" t="s">
        <v>2226</v>
      </c>
      <c r="N454" t="s">
        <v>2418</v>
      </c>
      <c r="O454" t="s">
        <v>2533</v>
      </c>
      <c r="P454" t="s">
        <v>2558</v>
      </c>
      <c r="R454" t="s">
        <v>2569</v>
      </c>
      <c r="S454" t="s">
        <v>2225</v>
      </c>
      <c r="U454" t="s">
        <v>2578</v>
      </c>
      <c r="V454" t="s">
        <v>2588</v>
      </c>
      <c r="W454" t="s">
        <v>185</v>
      </c>
      <c r="X454">
        <v>1400</v>
      </c>
      <c r="Y454" t="s">
        <v>2603</v>
      </c>
      <c r="Z454" t="s">
        <v>2608</v>
      </c>
      <c r="AB454" t="s">
        <v>3044</v>
      </c>
      <c r="AC454" t="s">
        <v>3435</v>
      </c>
      <c r="AD454" t="s">
        <v>3813</v>
      </c>
      <c r="AE454">
        <v>4</v>
      </c>
      <c r="AF454" t="s">
        <v>4098</v>
      </c>
      <c r="AG454" t="s">
        <v>2255</v>
      </c>
      <c r="AH454">
        <v>5</v>
      </c>
      <c r="AI454">
        <v>1</v>
      </c>
      <c r="AJ454">
        <v>2</v>
      </c>
      <c r="AK454">
        <v>123.3</v>
      </c>
      <c r="AN454" t="s">
        <v>4127</v>
      </c>
      <c r="AO454">
        <v>26300</v>
      </c>
      <c r="AU454">
        <v>23.2</v>
      </c>
      <c r="AV454" t="s">
        <v>275</v>
      </c>
      <c r="AW454" t="s">
        <v>4224</v>
      </c>
      <c r="AX454" t="s">
        <v>4266</v>
      </c>
      <c r="AY454" t="s">
        <v>2224</v>
      </c>
      <c r="AZ454" t="s">
        <v>2224</v>
      </c>
    </row>
    <row r="455" spans="1:52">
      <c r="A455" s="1">
        <f>HYPERLINK("https://lsnyc.legalserver.org/matter/dynamic-profile/view/1910716","19-1910716")</f>
        <v>0</v>
      </c>
      <c r="B455" t="s">
        <v>58</v>
      </c>
      <c r="C455" t="s">
        <v>155</v>
      </c>
      <c r="D455" t="s">
        <v>200</v>
      </c>
      <c r="F455" t="s">
        <v>629</v>
      </c>
      <c r="G455" t="s">
        <v>1174</v>
      </c>
      <c r="H455" t="s">
        <v>1747</v>
      </c>
      <c r="I455">
        <v>2</v>
      </c>
      <c r="J455" t="s">
        <v>2192</v>
      </c>
      <c r="K455">
        <v>11238</v>
      </c>
      <c r="L455" t="s">
        <v>2224</v>
      </c>
      <c r="M455" t="s">
        <v>2226</v>
      </c>
      <c r="P455" t="s">
        <v>2557</v>
      </c>
      <c r="R455" t="s">
        <v>2569</v>
      </c>
      <c r="S455" t="s">
        <v>2224</v>
      </c>
      <c r="U455" t="s">
        <v>2578</v>
      </c>
      <c r="W455" t="s">
        <v>197</v>
      </c>
      <c r="X455">
        <v>939.46</v>
      </c>
      <c r="Y455" t="s">
        <v>2604</v>
      </c>
      <c r="AB455" t="s">
        <v>3045</v>
      </c>
      <c r="AD455" t="s">
        <v>3814</v>
      </c>
      <c r="AE455">
        <v>41</v>
      </c>
      <c r="AF455" t="s">
        <v>4099</v>
      </c>
      <c r="AH455">
        <v>0</v>
      </c>
      <c r="AI455">
        <v>2</v>
      </c>
      <c r="AJ455">
        <v>0</v>
      </c>
      <c r="AK455">
        <v>123.83</v>
      </c>
      <c r="AN455" t="s">
        <v>4126</v>
      </c>
      <c r="AO455">
        <v>20940</v>
      </c>
      <c r="AU455">
        <v>5.9</v>
      </c>
      <c r="AV455" t="s">
        <v>222</v>
      </c>
      <c r="AW455" t="s">
        <v>124</v>
      </c>
      <c r="AX455" t="s">
        <v>4266</v>
      </c>
      <c r="AY455" t="s">
        <v>2224</v>
      </c>
      <c r="AZ455" t="s">
        <v>2224</v>
      </c>
    </row>
    <row r="456" spans="1:52">
      <c r="A456" s="1">
        <f>HYPERLINK("https://lsnyc.legalserver.org/matter/dynamic-profile/view/1904681","19-1904681")</f>
        <v>0</v>
      </c>
      <c r="B456" t="s">
        <v>54</v>
      </c>
      <c r="C456" t="s">
        <v>155</v>
      </c>
      <c r="D456" t="s">
        <v>192</v>
      </c>
      <c r="F456" t="s">
        <v>449</v>
      </c>
      <c r="G456" t="s">
        <v>1175</v>
      </c>
      <c r="H456" t="s">
        <v>1748</v>
      </c>
      <c r="I456" t="s">
        <v>2114</v>
      </c>
      <c r="J456" t="s">
        <v>2190</v>
      </c>
      <c r="K456">
        <v>11416</v>
      </c>
      <c r="L456" t="s">
        <v>2224</v>
      </c>
      <c r="M456" t="s">
        <v>2226</v>
      </c>
      <c r="N456" t="s">
        <v>2419</v>
      </c>
      <c r="O456" t="s">
        <v>2533</v>
      </c>
      <c r="P456" t="s">
        <v>2556</v>
      </c>
      <c r="R456" t="s">
        <v>2569</v>
      </c>
      <c r="S456" t="s">
        <v>2225</v>
      </c>
      <c r="U456" t="s">
        <v>2578</v>
      </c>
      <c r="V456" t="s">
        <v>2588</v>
      </c>
      <c r="W456" t="s">
        <v>192</v>
      </c>
      <c r="X456">
        <v>850</v>
      </c>
      <c r="Y456" t="s">
        <v>2603</v>
      </c>
      <c r="Z456" t="s">
        <v>2608</v>
      </c>
      <c r="AB456" t="s">
        <v>3046</v>
      </c>
      <c r="AC456" t="s">
        <v>3436</v>
      </c>
      <c r="AD456" t="s">
        <v>3815</v>
      </c>
      <c r="AE456">
        <v>2</v>
      </c>
      <c r="AF456" t="s">
        <v>2518</v>
      </c>
      <c r="AG456" t="s">
        <v>2255</v>
      </c>
      <c r="AH456">
        <v>1</v>
      </c>
      <c r="AI456">
        <v>1</v>
      </c>
      <c r="AJ456">
        <v>0</v>
      </c>
      <c r="AK456">
        <v>124.04</v>
      </c>
      <c r="AN456" t="s">
        <v>4126</v>
      </c>
      <c r="AO456">
        <v>15492</v>
      </c>
      <c r="AU456">
        <v>0.6</v>
      </c>
      <c r="AV456" t="s">
        <v>195</v>
      </c>
      <c r="AW456" t="s">
        <v>4224</v>
      </c>
      <c r="AX456" t="s">
        <v>4266</v>
      </c>
      <c r="AY456" t="s">
        <v>2224</v>
      </c>
      <c r="AZ456" t="s">
        <v>2224</v>
      </c>
    </row>
    <row r="457" spans="1:52">
      <c r="A457" s="1">
        <f>HYPERLINK("https://lsnyc.legalserver.org/matter/dynamic-profile/view/1907460","19-1907460")</f>
        <v>0</v>
      </c>
      <c r="B457" t="s">
        <v>68</v>
      </c>
      <c r="C457" t="s">
        <v>155</v>
      </c>
      <c r="D457" t="s">
        <v>162</v>
      </c>
      <c r="F457" t="s">
        <v>630</v>
      </c>
      <c r="G457" t="s">
        <v>1176</v>
      </c>
      <c r="H457" t="s">
        <v>1422</v>
      </c>
      <c r="I457" t="s">
        <v>1989</v>
      </c>
      <c r="J457" t="s">
        <v>2192</v>
      </c>
      <c r="K457">
        <v>11225</v>
      </c>
      <c r="L457" t="s">
        <v>2224</v>
      </c>
      <c r="M457" t="s">
        <v>2226</v>
      </c>
      <c r="O457" t="s">
        <v>2539</v>
      </c>
      <c r="P457" t="s">
        <v>2557</v>
      </c>
      <c r="R457" t="s">
        <v>2569</v>
      </c>
      <c r="S457" t="s">
        <v>2224</v>
      </c>
      <c r="T457" t="s">
        <v>2571</v>
      </c>
      <c r="U457" t="s">
        <v>2578</v>
      </c>
      <c r="W457" t="s">
        <v>162</v>
      </c>
      <c r="X457">
        <v>0</v>
      </c>
      <c r="Y457" t="s">
        <v>2604</v>
      </c>
      <c r="AB457" t="s">
        <v>3047</v>
      </c>
      <c r="AD457" t="s">
        <v>3816</v>
      </c>
      <c r="AE457">
        <v>46</v>
      </c>
      <c r="AH457">
        <v>0</v>
      </c>
      <c r="AI457">
        <v>2</v>
      </c>
      <c r="AJ457">
        <v>0</v>
      </c>
      <c r="AK457">
        <v>124.19</v>
      </c>
      <c r="AN457" t="s">
        <v>4126</v>
      </c>
      <c r="AO457">
        <v>21000</v>
      </c>
      <c r="AU457">
        <v>0</v>
      </c>
      <c r="AW457" t="s">
        <v>153</v>
      </c>
      <c r="AX457" t="s">
        <v>4266</v>
      </c>
      <c r="AY457" t="s">
        <v>2224</v>
      </c>
      <c r="AZ457" t="s">
        <v>2224</v>
      </c>
    </row>
    <row r="458" spans="1:52">
      <c r="A458" s="1">
        <f>HYPERLINK("https://lsnyc.legalserver.org/matter/dynamic-profile/view/1904943","19-1904943")</f>
        <v>0</v>
      </c>
      <c r="B458" t="s">
        <v>55</v>
      </c>
      <c r="C458" t="s">
        <v>155</v>
      </c>
      <c r="D458" t="s">
        <v>210</v>
      </c>
      <c r="F458" t="s">
        <v>631</v>
      </c>
      <c r="G458" t="s">
        <v>1177</v>
      </c>
      <c r="H458" t="s">
        <v>1749</v>
      </c>
      <c r="I458" t="s">
        <v>2095</v>
      </c>
      <c r="J458" t="s">
        <v>2204</v>
      </c>
      <c r="K458">
        <v>11377</v>
      </c>
      <c r="L458" t="s">
        <v>2224</v>
      </c>
      <c r="M458" t="s">
        <v>2226</v>
      </c>
      <c r="O458" t="s">
        <v>2238</v>
      </c>
      <c r="P458" t="s">
        <v>2561</v>
      </c>
      <c r="R458" t="s">
        <v>2570</v>
      </c>
      <c r="S458" t="s">
        <v>2225</v>
      </c>
      <c r="U458" t="s">
        <v>2582</v>
      </c>
      <c r="V458" t="s">
        <v>2588</v>
      </c>
      <c r="W458" t="s">
        <v>210</v>
      </c>
      <c r="X458">
        <v>400</v>
      </c>
      <c r="Y458" t="s">
        <v>2603</v>
      </c>
      <c r="Z458" t="s">
        <v>2610</v>
      </c>
      <c r="AB458" t="s">
        <v>3048</v>
      </c>
      <c r="AD458" t="s">
        <v>3817</v>
      </c>
      <c r="AE458">
        <v>72</v>
      </c>
      <c r="AF458" t="s">
        <v>4106</v>
      </c>
      <c r="AG458" t="s">
        <v>2255</v>
      </c>
      <c r="AH458">
        <v>-1</v>
      </c>
      <c r="AI458">
        <v>1</v>
      </c>
      <c r="AJ458">
        <v>2</v>
      </c>
      <c r="AK458">
        <v>124.67</v>
      </c>
      <c r="AL458" t="s">
        <v>4121</v>
      </c>
      <c r="AM458" t="s">
        <v>4123</v>
      </c>
      <c r="AN458" t="s">
        <v>4126</v>
      </c>
      <c r="AO458">
        <v>26592</v>
      </c>
      <c r="AU458">
        <v>5.25</v>
      </c>
      <c r="AV458" t="s">
        <v>189</v>
      </c>
      <c r="AW458" t="s">
        <v>55</v>
      </c>
      <c r="AX458" t="s">
        <v>4266</v>
      </c>
      <c r="AY458" t="s">
        <v>2224</v>
      </c>
      <c r="AZ458" t="s">
        <v>2224</v>
      </c>
    </row>
    <row r="459" spans="1:52">
      <c r="A459" s="1">
        <f>HYPERLINK("https://lsnyc.legalserver.org/matter/dynamic-profile/view/1911428","19-1911428")</f>
        <v>0</v>
      </c>
      <c r="B459" t="s">
        <v>60</v>
      </c>
      <c r="C459" t="s">
        <v>155</v>
      </c>
      <c r="D459" t="s">
        <v>245</v>
      </c>
      <c r="F459" t="s">
        <v>632</v>
      </c>
      <c r="G459" t="s">
        <v>1178</v>
      </c>
      <c r="H459" t="s">
        <v>1750</v>
      </c>
      <c r="J459" t="s">
        <v>2192</v>
      </c>
      <c r="K459">
        <v>11233</v>
      </c>
      <c r="L459" t="s">
        <v>2224</v>
      </c>
      <c r="M459" t="s">
        <v>2226</v>
      </c>
      <c r="N459" t="s">
        <v>2420</v>
      </c>
      <c r="O459" t="s">
        <v>2533</v>
      </c>
      <c r="P459" t="s">
        <v>2561</v>
      </c>
      <c r="R459" t="s">
        <v>2569</v>
      </c>
      <c r="S459" t="s">
        <v>2225</v>
      </c>
      <c r="U459" t="s">
        <v>2578</v>
      </c>
      <c r="V459" t="s">
        <v>2588</v>
      </c>
      <c r="W459" t="s">
        <v>204</v>
      </c>
      <c r="X459">
        <v>2100</v>
      </c>
      <c r="Y459" t="s">
        <v>2604</v>
      </c>
      <c r="Z459" t="s">
        <v>2618</v>
      </c>
      <c r="AB459" t="s">
        <v>3049</v>
      </c>
      <c r="AC459" t="s">
        <v>3437</v>
      </c>
      <c r="AD459" t="s">
        <v>3818</v>
      </c>
      <c r="AE459">
        <v>4</v>
      </c>
      <c r="AF459" t="s">
        <v>4098</v>
      </c>
      <c r="AG459" t="s">
        <v>4112</v>
      </c>
      <c r="AH459">
        <v>3</v>
      </c>
      <c r="AI459">
        <v>3</v>
      </c>
      <c r="AJ459">
        <v>1</v>
      </c>
      <c r="AK459">
        <v>124.85</v>
      </c>
      <c r="AN459" t="s">
        <v>4126</v>
      </c>
      <c r="AO459">
        <v>32150</v>
      </c>
      <c r="AU459">
        <v>2</v>
      </c>
      <c r="AV459" t="s">
        <v>204</v>
      </c>
      <c r="AW459" t="s">
        <v>4226</v>
      </c>
      <c r="AX459" t="s">
        <v>4266</v>
      </c>
      <c r="AY459" t="s">
        <v>2226</v>
      </c>
      <c r="AZ459" t="s">
        <v>2226</v>
      </c>
    </row>
    <row r="460" spans="1:52">
      <c r="A460" s="1">
        <f>HYPERLINK("https://lsnyc.legalserver.org/matter/dynamic-profile/view/1903617","19-1903617")</f>
        <v>0</v>
      </c>
      <c r="B460" t="s">
        <v>142</v>
      </c>
      <c r="C460" t="s">
        <v>155</v>
      </c>
      <c r="D460" t="s">
        <v>252</v>
      </c>
      <c r="F460" t="s">
        <v>633</v>
      </c>
      <c r="G460" t="s">
        <v>1179</v>
      </c>
      <c r="H460" t="s">
        <v>1751</v>
      </c>
      <c r="I460" t="s">
        <v>2040</v>
      </c>
      <c r="J460" t="s">
        <v>2196</v>
      </c>
      <c r="K460">
        <v>10033</v>
      </c>
      <c r="L460" t="s">
        <v>2224</v>
      </c>
      <c r="M460" t="s">
        <v>2226</v>
      </c>
      <c r="N460" t="s">
        <v>2421</v>
      </c>
      <c r="O460" t="s">
        <v>2533</v>
      </c>
      <c r="P460" t="s">
        <v>2558</v>
      </c>
      <c r="R460" t="s">
        <v>2569</v>
      </c>
      <c r="S460" t="s">
        <v>2225</v>
      </c>
      <c r="U460" t="s">
        <v>2578</v>
      </c>
      <c r="W460" t="s">
        <v>191</v>
      </c>
      <c r="X460">
        <v>1123.72</v>
      </c>
      <c r="Y460" t="s">
        <v>2607</v>
      </c>
      <c r="AB460" t="s">
        <v>3050</v>
      </c>
      <c r="AD460" t="s">
        <v>3819</v>
      </c>
      <c r="AE460">
        <v>53</v>
      </c>
      <c r="AH460">
        <v>29</v>
      </c>
      <c r="AI460">
        <v>1</v>
      </c>
      <c r="AJ460">
        <v>0</v>
      </c>
      <c r="AK460">
        <v>124.89</v>
      </c>
      <c r="AN460" t="s">
        <v>4127</v>
      </c>
      <c r="AO460">
        <v>15598.8</v>
      </c>
      <c r="AU460">
        <v>11.05</v>
      </c>
      <c r="AV460" t="s">
        <v>194</v>
      </c>
      <c r="AW460" t="s">
        <v>4262</v>
      </c>
      <c r="AX460" t="s">
        <v>4266</v>
      </c>
      <c r="AY460" t="s">
        <v>2226</v>
      </c>
      <c r="AZ460" t="s">
        <v>2226</v>
      </c>
    </row>
    <row r="461" spans="1:52">
      <c r="A461" s="1">
        <f>HYPERLINK("https://lsnyc.legalserver.org/matter/dynamic-profile/view/1907667","19-1907667")</f>
        <v>0</v>
      </c>
      <c r="B461" t="s">
        <v>66</v>
      </c>
      <c r="C461" t="s">
        <v>155</v>
      </c>
      <c r="D461" t="s">
        <v>221</v>
      </c>
      <c r="F461" t="s">
        <v>444</v>
      </c>
      <c r="G461" t="s">
        <v>1180</v>
      </c>
      <c r="H461" t="s">
        <v>1525</v>
      </c>
      <c r="I461" t="s">
        <v>2095</v>
      </c>
      <c r="J461" t="s">
        <v>2192</v>
      </c>
      <c r="K461">
        <v>11226</v>
      </c>
      <c r="L461" t="s">
        <v>2224</v>
      </c>
      <c r="M461" t="s">
        <v>2226</v>
      </c>
      <c r="O461" t="s">
        <v>2537</v>
      </c>
      <c r="P461" t="s">
        <v>2560</v>
      </c>
      <c r="R461" t="s">
        <v>2569</v>
      </c>
      <c r="S461" t="s">
        <v>2224</v>
      </c>
      <c r="U461" t="s">
        <v>2578</v>
      </c>
      <c r="W461" t="s">
        <v>221</v>
      </c>
      <c r="X461">
        <v>0</v>
      </c>
      <c r="Y461" t="s">
        <v>2604</v>
      </c>
      <c r="AB461" t="s">
        <v>3051</v>
      </c>
      <c r="AD461" t="s">
        <v>3820</v>
      </c>
      <c r="AE461">
        <v>36</v>
      </c>
      <c r="AF461" t="s">
        <v>4099</v>
      </c>
      <c r="AH461">
        <v>0</v>
      </c>
      <c r="AI461">
        <v>1</v>
      </c>
      <c r="AJ461">
        <v>0</v>
      </c>
      <c r="AK461">
        <v>124.9</v>
      </c>
      <c r="AN461" t="s">
        <v>4134</v>
      </c>
      <c r="AO461">
        <v>15600</v>
      </c>
      <c r="AU461">
        <v>0.2</v>
      </c>
      <c r="AV461" t="s">
        <v>221</v>
      </c>
      <c r="AW461" t="s">
        <v>124</v>
      </c>
      <c r="AY461" t="s">
        <v>2226</v>
      </c>
      <c r="AZ461" t="s">
        <v>2226</v>
      </c>
    </row>
    <row r="462" spans="1:52">
      <c r="A462" s="1">
        <f>HYPERLINK("https://lsnyc.legalserver.org/matter/dynamic-profile/view/1891040","19-1891040")</f>
        <v>0</v>
      </c>
      <c r="B462" t="s">
        <v>92</v>
      </c>
      <c r="C462" t="s">
        <v>154</v>
      </c>
      <c r="D462" t="s">
        <v>270</v>
      </c>
      <c r="E462" t="s">
        <v>212</v>
      </c>
      <c r="F462" t="s">
        <v>634</v>
      </c>
      <c r="G462" t="s">
        <v>1181</v>
      </c>
      <c r="H462" t="s">
        <v>1752</v>
      </c>
      <c r="I462" t="s">
        <v>2115</v>
      </c>
      <c r="J462" t="s">
        <v>2195</v>
      </c>
      <c r="K462">
        <v>10304</v>
      </c>
      <c r="L462" t="s">
        <v>2224</v>
      </c>
      <c r="M462" t="s">
        <v>2226</v>
      </c>
      <c r="N462" t="s">
        <v>2422</v>
      </c>
      <c r="P462" t="s">
        <v>2558</v>
      </c>
      <c r="Q462" t="s">
        <v>2564</v>
      </c>
      <c r="R462" t="s">
        <v>2569</v>
      </c>
      <c r="U462" t="s">
        <v>2578</v>
      </c>
      <c r="W462" t="s">
        <v>201</v>
      </c>
      <c r="X462">
        <v>0</v>
      </c>
      <c r="Y462" t="s">
        <v>2606</v>
      </c>
      <c r="AA462" t="s">
        <v>2628</v>
      </c>
      <c r="AB462" t="s">
        <v>3052</v>
      </c>
      <c r="AD462" t="s">
        <v>3821</v>
      </c>
      <c r="AE462">
        <v>0</v>
      </c>
      <c r="AH462">
        <v>0</v>
      </c>
      <c r="AI462">
        <v>1</v>
      </c>
      <c r="AJ462">
        <v>0</v>
      </c>
      <c r="AK462">
        <v>124.9</v>
      </c>
      <c r="AN462" t="s">
        <v>4126</v>
      </c>
      <c r="AO462">
        <v>15600</v>
      </c>
      <c r="AU462">
        <v>31.9</v>
      </c>
      <c r="AV462" t="s">
        <v>177</v>
      </c>
      <c r="AW462" t="s">
        <v>4263</v>
      </c>
      <c r="AX462" t="s">
        <v>4266</v>
      </c>
      <c r="AY462" t="s">
        <v>2224</v>
      </c>
      <c r="AZ462" t="s">
        <v>2224</v>
      </c>
    </row>
    <row r="463" spans="1:52">
      <c r="A463" s="1">
        <f>HYPERLINK("https://lsnyc.legalserver.org/matter/dynamic-profile/view/1904914","19-1904914")</f>
        <v>0</v>
      </c>
      <c r="B463" t="s">
        <v>76</v>
      </c>
      <c r="C463" t="s">
        <v>155</v>
      </c>
      <c r="D463" t="s">
        <v>210</v>
      </c>
      <c r="F463" t="s">
        <v>635</v>
      </c>
      <c r="G463" t="s">
        <v>1025</v>
      </c>
      <c r="H463" t="s">
        <v>1537</v>
      </c>
      <c r="I463">
        <v>4</v>
      </c>
      <c r="J463" t="s">
        <v>2196</v>
      </c>
      <c r="K463">
        <v>10033</v>
      </c>
      <c r="L463" t="s">
        <v>2224</v>
      </c>
      <c r="M463" t="s">
        <v>2226</v>
      </c>
      <c r="O463" t="s">
        <v>2536</v>
      </c>
      <c r="P463" t="s">
        <v>2559</v>
      </c>
      <c r="R463" t="s">
        <v>2569</v>
      </c>
      <c r="S463" t="s">
        <v>2225</v>
      </c>
      <c r="U463" t="s">
        <v>2578</v>
      </c>
      <c r="W463" t="s">
        <v>210</v>
      </c>
      <c r="X463">
        <v>529</v>
      </c>
      <c r="Y463" t="s">
        <v>2607</v>
      </c>
      <c r="Z463" t="s">
        <v>2617</v>
      </c>
      <c r="AB463" t="s">
        <v>3053</v>
      </c>
      <c r="AD463" t="s">
        <v>3822</v>
      </c>
      <c r="AE463">
        <v>20</v>
      </c>
      <c r="AF463" t="s">
        <v>4099</v>
      </c>
      <c r="AG463" t="s">
        <v>2255</v>
      </c>
      <c r="AH463">
        <v>2</v>
      </c>
      <c r="AI463">
        <v>1</v>
      </c>
      <c r="AJ463">
        <v>0</v>
      </c>
      <c r="AK463">
        <v>124.9</v>
      </c>
      <c r="AN463" t="s">
        <v>4126</v>
      </c>
      <c r="AO463">
        <v>15600</v>
      </c>
      <c r="AU463">
        <v>1.2</v>
      </c>
      <c r="AV463" t="s">
        <v>198</v>
      </c>
      <c r="AW463" t="s">
        <v>80</v>
      </c>
      <c r="AX463" t="s">
        <v>4266</v>
      </c>
      <c r="AY463" t="s">
        <v>2226</v>
      </c>
      <c r="AZ463" t="s">
        <v>2226</v>
      </c>
    </row>
    <row r="464" spans="1:52">
      <c r="A464" s="1">
        <f>HYPERLINK("https://lsnyc.legalserver.org/matter/dynamic-profile/view/1907558","19-1907558")</f>
        <v>0</v>
      </c>
      <c r="B464" t="s">
        <v>105</v>
      </c>
      <c r="C464" t="s">
        <v>155</v>
      </c>
      <c r="D464" t="s">
        <v>177</v>
      </c>
      <c r="F464" t="s">
        <v>636</v>
      </c>
      <c r="G464" t="s">
        <v>1182</v>
      </c>
      <c r="H464" t="s">
        <v>1753</v>
      </c>
      <c r="I464" t="s">
        <v>2116</v>
      </c>
      <c r="J464" t="s">
        <v>2218</v>
      </c>
      <c r="K464">
        <v>10301</v>
      </c>
      <c r="L464" t="s">
        <v>2224</v>
      </c>
      <c r="M464" t="s">
        <v>2226</v>
      </c>
      <c r="N464" t="s">
        <v>2423</v>
      </c>
      <c r="O464" t="s">
        <v>2535</v>
      </c>
      <c r="P464" t="s">
        <v>2558</v>
      </c>
      <c r="R464" t="s">
        <v>2569</v>
      </c>
      <c r="S464" t="s">
        <v>2225</v>
      </c>
      <c r="U464" t="s">
        <v>2578</v>
      </c>
      <c r="V464" t="s">
        <v>2588</v>
      </c>
      <c r="W464" t="s">
        <v>177</v>
      </c>
      <c r="X464">
        <v>1599</v>
      </c>
      <c r="Y464" t="s">
        <v>2606</v>
      </c>
      <c r="Z464" t="s">
        <v>2624</v>
      </c>
      <c r="AB464" t="s">
        <v>3054</v>
      </c>
      <c r="AD464" t="s">
        <v>3823</v>
      </c>
      <c r="AE464">
        <v>224</v>
      </c>
      <c r="AF464" t="s">
        <v>4099</v>
      </c>
      <c r="AG464" t="s">
        <v>2255</v>
      </c>
      <c r="AH464">
        <v>1</v>
      </c>
      <c r="AI464">
        <v>2</v>
      </c>
      <c r="AJ464">
        <v>0</v>
      </c>
      <c r="AK464">
        <v>125.25</v>
      </c>
      <c r="AN464" t="s">
        <v>4126</v>
      </c>
      <c r="AO464">
        <v>21180</v>
      </c>
      <c r="AU464">
        <v>7.5</v>
      </c>
      <c r="AV464" t="s">
        <v>163</v>
      </c>
      <c r="AW464" t="s">
        <v>4230</v>
      </c>
      <c r="AX464" t="s">
        <v>4266</v>
      </c>
      <c r="AY464" t="s">
        <v>2224</v>
      </c>
      <c r="AZ464" t="s">
        <v>2224</v>
      </c>
    </row>
    <row r="465" spans="1:52">
      <c r="A465" s="1">
        <f>HYPERLINK("https://lsnyc.legalserver.org/matter/dynamic-profile/view/1905955","19-1905955")</f>
        <v>0</v>
      </c>
      <c r="B465" t="s">
        <v>111</v>
      </c>
      <c r="C465" t="s">
        <v>154</v>
      </c>
      <c r="D465" t="s">
        <v>223</v>
      </c>
      <c r="E465" t="s">
        <v>216</v>
      </c>
      <c r="F465" t="s">
        <v>637</v>
      </c>
      <c r="G465" t="s">
        <v>1183</v>
      </c>
      <c r="H465" t="s">
        <v>1754</v>
      </c>
      <c r="I465" t="s">
        <v>1965</v>
      </c>
      <c r="J465" t="s">
        <v>2196</v>
      </c>
      <c r="K465">
        <v>10030</v>
      </c>
      <c r="L465" t="s">
        <v>2224</v>
      </c>
      <c r="M465" t="s">
        <v>2226</v>
      </c>
      <c r="N465" t="s">
        <v>2424</v>
      </c>
      <c r="O465" t="s">
        <v>2533</v>
      </c>
      <c r="P465" t="s">
        <v>2556</v>
      </c>
      <c r="Q465" t="s">
        <v>2563</v>
      </c>
      <c r="R465" t="s">
        <v>2569</v>
      </c>
      <c r="S465" t="s">
        <v>2225</v>
      </c>
      <c r="U465" t="s">
        <v>2578</v>
      </c>
      <c r="V465" t="s">
        <v>2588</v>
      </c>
      <c r="W465" t="s">
        <v>223</v>
      </c>
      <c r="X465">
        <v>143</v>
      </c>
      <c r="Y465" t="s">
        <v>2607</v>
      </c>
      <c r="Z465" t="s">
        <v>2618</v>
      </c>
      <c r="AA465" t="s">
        <v>2626</v>
      </c>
      <c r="AB465" t="s">
        <v>3055</v>
      </c>
      <c r="AD465" t="s">
        <v>3824</v>
      </c>
      <c r="AE465">
        <v>18</v>
      </c>
      <c r="AF465" t="s">
        <v>4104</v>
      </c>
      <c r="AG465" t="s">
        <v>4120</v>
      </c>
      <c r="AH465">
        <v>40</v>
      </c>
      <c r="AI465">
        <v>1</v>
      </c>
      <c r="AJ465">
        <v>0</v>
      </c>
      <c r="AK465">
        <v>126.47</v>
      </c>
      <c r="AN465" t="s">
        <v>4126</v>
      </c>
      <c r="AO465">
        <v>15796</v>
      </c>
      <c r="AU465">
        <v>1</v>
      </c>
      <c r="AV465" t="s">
        <v>173</v>
      </c>
      <c r="AW465" t="s">
        <v>4259</v>
      </c>
      <c r="AX465" t="s">
        <v>4266</v>
      </c>
      <c r="AY465" t="s">
        <v>2226</v>
      </c>
      <c r="AZ465" t="s">
        <v>2225</v>
      </c>
    </row>
    <row r="466" spans="1:52">
      <c r="A466" s="1">
        <f>HYPERLINK("https://lsnyc.legalserver.org/matter/dynamic-profile/view/1906581","19-1906581")</f>
        <v>0</v>
      </c>
      <c r="B466" t="s">
        <v>53</v>
      </c>
      <c r="C466" t="s">
        <v>155</v>
      </c>
      <c r="D466" t="s">
        <v>195</v>
      </c>
      <c r="F466" t="s">
        <v>496</v>
      </c>
      <c r="G466" t="s">
        <v>1184</v>
      </c>
      <c r="H466" t="s">
        <v>1755</v>
      </c>
      <c r="I466" t="s">
        <v>1949</v>
      </c>
      <c r="J466" t="s">
        <v>2219</v>
      </c>
      <c r="K466">
        <v>11372</v>
      </c>
      <c r="L466" t="s">
        <v>2224</v>
      </c>
      <c r="M466" t="s">
        <v>2226</v>
      </c>
      <c r="N466" t="s">
        <v>2425</v>
      </c>
      <c r="O466" t="s">
        <v>2533</v>
      </c>
      <c r="P466" t="s">
        <v>2558</v>
      </c>
      <c r="R466" t="s">
        <v>2569</v>
      </c>
      <c r="S466" t="s">
        <v>2225</v>
      </c>
      <c r="U466" t="s">
        <v>2578</v>
      </c>
      <c r="V466" t="s">
        <v>2588</v>
      </c>
      <c r="W466" t="s">
        <v>195</v>
      </c>
      <c r="X466">
        <v>1150</v>
      </c>
      <c r="Y466" t="s">
        <v>2603</v>
      </c>
      <c r="Z466" t="s">
        <v>2608</v>
      </c>
      <c r="AB466" t="s">
        <v>3056</v>
      </c>
      <c r="AC466" t="s">
        <v>3438</v>
      </c>
      <c r="AD466" t="s">
        <v>3825</v>
      </c>
      <c r="AE466">
        <v>101</v>
      </c>
      <c r="AF466" t="s">
        <v>4099</v>
      </c>
      <c r="AG466" t="s">
        <v>2255</v>
      </c>
      <c r="AH466">
        <v>22</v>
      </c>
      <c r="AI466">
        <v>3</v>
      </c>
      <c r="AJ466">
        <v>0</v>
      </c>
      <c r="AK466">
        <v>127.52</v>
      </c>
      <c r="AN466" t="s">
        <v>4127</v>
      </c>
      <c r="AO466">
        <v>27200</v>
      </c>
      <c r="AU466">
        <v>13.85</v>
      </c>
      <c r="AV466" t="s">
        <v>188</v>
      </c>
      <c r="AW466" t="s">
        <v>4224</v>
      </c>
      <c r="AX466" t="s">
        <v>4266</v>
      </c>
      <c r="AY466" t="s">
        <v>2224</v>
      </c>
      <c r="AZ466" t="s">
        <v>2224</v>
      </c>
    </row>
    <row r="467" spans="1:52">
      <c r="A467" s="1">
        <f>HYPERLINK("https://lsnyc.legalserver.org/matter/dynamic-profile/view/1910351","19-1910351")</f>
        <v>0</v>
      </c>
      <c r="B467" t="s">
        <v>83</v>
      </c>
      <c r="C467" t="s">
        <v>155</v>
      </c>
      <c r="D467" t="s">
        <v>229</v>
      </c>
      <c r="F467" t="s">
        <v>638</v>
      </c>
      <c r="G467" t="s">
        <v>1185</v>
      </c>
      <c r="H467" t="s">
        <v>1528</v>
      </c>
      <c r="I467" t="s">
        <v>1958</v>
      </c>
      <c r="J467" t="s">
        <v>2192</v>
      </c>
      <c r="K467">
        <v>11212</v>
      </c>
      <c r="L467" t="s">
        <v>2224</v>
      </c>
      <c r="M467" t="s">
        <v>2226</v>
      </c>
      <c r="N467" t="s">
        <v>2228</v>
      </c>
      <c r="O467" t="s">
        <v>2539</v>
      </c>
      <c r="P467" t="s">
        <v>2561</v>
      </c>
      <c r="R467" t="s">
        <v>2569</v>
      </c>
      <c r="S467" t="s">
        <v>2224</v>
      </c>
      <c r="U467" t="s">
        <v>2578</v>
      </c>
      <c r="V467" t="s">
        <v>2588</v>
      </c>
      <c r="W467" t="s">
        <v>176</v>
      </c>
      <c r="X467">
        <v>1326</v>
      </c>
      <c r="Y467" t="s">
        <v>2604</v>
      </c>
      <c r="Z467" t="s">
        <v>2613</v>
      </c>
      <c r="AB467" t="s">
        <v>3057</v>
      </c>
      <c r="AC467" t="s">
        <v>2244</v>
      </c>
      <c r="AD467" t="s">
        <v>3826</v>
      </c>
      <c r="AE467">
        <v>4</v>
      </c>
      <c r="AF467" t="s">
        <v>2518</v>
      </c>
      <c r="AG467" t="s">
        <v>2255</v>
      </c>
      <c r="AH467">
        <v>9</v>
      </c>
      <c r="AI467">
        <v>2</v>
      </c>
      <c r="AJ467">
        <v>0</v>
      </c>
      <c r="AK467">
        <v>127.74</v>
      </c>
      <c r="AN467" t="s">
        <v>4126</v>
      </c>
      <c r="AO467">
        <v>21600</v>
      </c>
      <c r="AU467">
        <v>0.1</v>
      </c>
      <c r="AV467" t="s">
        <v>179</v>
      </c>
      <c r="AW467" t="s">
        <v>4226</v>
      </c>
      <c r="AX467" t="s">
        <v>4266</v>
      </c>
      <c r="AY467" t="s">
        <v>2224</v>
      </c>
      <c r="AZ467" t="s">
        <v>2224</v>
      </c>
    </row>
    <row r="468" spans="1:52">
      <c r="A468" s="1">
        <f>HYPERLINK("https://lsnyc.legalserver.org/matter/dynamic-profile/view/1907929","19-1907929")</f>
        <v>0</v>
      </c>
      <c r="B468" t="s">
        <v>143</v>
      </c>
      <c r="C468" t="s">
        <v>155</v>
      </c>
      <c r="D468" t="s">
        <v>184</v>
      </c>
      <c r="F468" t="s">
        <v>561</v>
      </c>
      <c r="G468" t="s">
        <v>1186</v>
      </c>
      <c r="H468" t="s">
        <v>1756</v>
      </c>
      <c r="J468" t="s">
        <v>2199</v>
      </c>
      <c r="K468">
        <v>11358</v>
      </c>
      <c r="L468" t="s">
        <v>2224</v>
      </c>
      <c r="M468" t="s">
        <v>2226</v>
      </c>
      <c r="N468" t="s">
        <v>2426</v>
      </c>
      <c r="O468" t="s">
        <v>2533</v>
      </c>
      <c r="P468" t="s">
        <v>2558</v>
      </c>
      <c r="R468" t="s">
        <v>2569</v>
      </c>
      <c r="S468" t="s">
        <v>2225</v>
      </c>
      <c r="U468" t="s">
        <v>2578</v>
      </c>
      <c r="V468" t="s">
        <v>2588</v>
      </c>
      <c r="W468" t="s">
        <v>184</v>
      </c>
      <c r="X468">
        <v>1</v>
      </c>
      <c r="Y468" t="s">
        <v>2603</v>
      </c>
      <c r="Z468" t="s">
        <v>2608</v>
      </c>
      <c r="AB468" t="s">
        <v>3058</v>
      </c>
      <c r="AD468" t="s">
        <v>3827</v>
      </c>
      <c r="AE468">
        <v>1</v>
      </c>
      <c r="AF468" t="s">
        <v>2518</v>
      </c>
      <c r="AG468" t="s">
        <v>2255</v>
      </c>
      <c r="AH468">
        <v>8</v>
      </c>
      <c r="AI468">
        <v>3</v>
      </c>
      <c r="AJ468">
        <v>1</v>
      </c>
      <c r="AK468">
        <v>127.77</v>
      </c>
      <c r="AN468" t="s">
        <v>4138</v>
      </c>
      <c r="AO468">
        <v>32900</v>
      </c>
      <c r="AU468">
        <v>11.65</v>
      </c>
      <c r="AV468" t="s">
        <v>156</v>
      </c>
      <c r="AW468" t="s">
        <v>4224</v>
      </c>
      <c r="AX468" t="s">
        <v>4266</v>
      </c>
      <c r="AY468" t="s">
        <v>2226</v>
      </c>
      <c r="AZ468" t="s">
        <v>2226</v>
      </c>
    </row>
    <row r="469" spans="1:52">
      <c r="A469" s="1">
        <f>HYPERLINK("https://lsnyc.legalserver.org/matter/dynamic-profile/view/1912190","19-1912190")</f>
        <v>0</v>
      </c>
      <c r="B469" t="s">
        <v>64</v>
      </c>
      <c r="C469" t="s">
        <v>155</v>
      </c>
      <c r="D469" t="s">
        <v>199</v>
      </c>
      <c r="F469" t="s">
        <v>639</v>
      </c>
      <c r="G469" t="s">
        <v>925</v>
      </c>
      <c r="H469" t="s">
        <v>1538</v>
      </c>
      <c r="I469" t="s">
        <v>1967</v>
      </c>
      <c r="J469" t="s">
        <v>2192</v>
      </c>
      <c r="K469">
        <v>11212</v>
      </c>
      <c r="L469" t="s">
        <v>2224</v>
      </c>
      <c r="M469" t="s">
        <v>2226</v>
      </c>
      <c r="N469" t="s">
        <v>2303</v>
      </c>
      <c r="O469" t="s">
        <v>2533</v>
      </c>
      <c r="P469" t="s">
        <v>2558</v>
      </c>
      <c r="R469" t="s">
        <v>2569</v>
      </c>
      <c r="S469" t="s">
        <v>2225</v>
      </c>
      <c r="U469" t="s">
        <v>2578</v>
      </c>
      <c r="V469" t="s">
        <v>2588</v>
      </c>
      <c r="W469" t="s">
        <v>261</v>
      </c>
      <c r="X469">
        <v>700</v>
      </c>
      <c r="Y469" t="s">
        <v>2604</v>
      </c>
      <c r="Z469" t="s">
        <v>2617</v>
      </c>
      <c r="AB469" t="s">
        <v>3059</v>
      </c>
      <c r="AC469" t="s">
        <v>3366</v>
      </c>
      <c r="AD469" t="s">
        <v>3828</v>
      </c>
      <c r="AE469">
        <v>39</v>
      </c>
      <c r="AF469" t="s">
        <v>4099</v>
      </c>
      <c r="AG469" t="s">
        <v>4114</v>
      </c>
      <c r="AH469">
        <v>26</v>
      </c>
      <c r="AI469">
        <v>3</v>
      </c>
      <c r="AJ469">
        <v>1</v>
      </c>
      <c r="AK469">
        <v>127.88</v>
      </c>
      <c r="AN469" t="s">
        <v>4126</v>
      </c>
      <c r="AO469">
        <v>32928</v>
      </c>
      <c r="AU469">
        <v>0</v>
      </c>
      <c r="AW469" t="s">
        <v>127</v>
      </c>
      <c r="AX469" t="s">
        <v>4266</v>
      </c>
      <c r="AY469" t="s">
        <v>2224</v>
      </c>
      <c r="AZ469" t="s">
        <v>2224</v>
      </c>
    </row>
    <row r="470" spans="1:52">
      <c r="A470" s="1">
        <f>HYPERLINK("https://lsnyc.legalserver.org/matter/dynamic-profile/view/1900774","19-1900774")</f>
        <v>0</v>
      </c>
      <c r="B470" t="s">
        <v>103</v>
      </c>
      <c r="C470" t="s">
        <v>155</v>
      </c>
      <c r="D470" t="s">
        <v>271</v>
      </c>
      <c r="F470" t="s">
        <v>640</v>
      </c>
      <c r="G470" t="s">
        <v>905</v>
      </c>
      <c r="H470" t="s">
        <v>1757</v>
      </c>
      <c r="I470" t="s">
        <v>2117</v>
      </c>
      <c r="J470" t="s">
        <v>2191</v>
      </c>
      <c r="K470">
        <v>11368</v>
      </c>
      <c r="L470" t="s">
        <v>2224</v>
      </c>
      <c r="M470" t="s">
        <v>2226</v>
      </c>
      <c r="N470" t="s">
        <v>2427</v>
      </c>
      <c r="O470" t="s">
        <v>2537</v>
      </c>
      <c r="P470" t="s">
        <v>2560</v>
      </c>
      <c r="R470" t="s">
        <v>2569</v>
      </c>
      <c r="S470" t="s">
        <v>2224</v>
      </c>
      <c r="U470" t="s">
        <v>2578</v>
      </c>
      <c r="V470" t="s">
        <v>2588</v>
      </c>
      <c r="W470" t="s">
        <v>296</v>
      </c>
      <c r="X470">
        <v>940</v>
      </c>
      <c r="Y470" t="s">
        <v>2603</v>
      </c>
      <c r="Z470" t="s">
        <v>2611</v>
      </c>
      <c r="AB470" t="s">
        <v>3060</v>
      </c>
      <c r="AC470" t="s">
        <v>3419</v>
      </c>
      <c r="AD470" t="s">
        <v>3829</v>
      </c>
      <c r="AE470">
        <v>50</v>
      </c>
      <c r="AF470" t="s">
        <v>4099</v>
      </c>
      <c r="AG470" t="s">
        <v>2255</v>
      </c>
      <c r="AH470">
        <v>19</v>
      </c>
      <c r="AI470">
        <v>1</v>
      </c>
      <c r="AJ470">
        <v>0</v>
      </c>
      <c r="AK470">
        <v>129.7</v>
      </c>
      <c r="AN470" t="s">
        <v>4126</v>
      </c>
      <c r="AO470">
        <v>16200</v>
      </c>
      <c r="AU470">
        <v>5.76</v>
      </c>
      <c r="AV470" t="s">
        <v>212</v>
      </c>
      <c r="AW470" t="s">
        <v>103</v>
      </c>
      <c r="AX470" t="s">
        <v>4266</v>
      </c>
      <c r="AY470" t="s">
        <v>2224</v>
      </c>
      <c r="AZ470" t="s">
        <v>2224</v>
      </c>
    </row>
    <row r="471" spans="1:52">
      <c r="A471" s="1">
        <f>HYPERLINK("https://lsnyc.legalserver.org/matter/dynamic-profile/view/1905941","19-1905941")</f>
        <v>0</v>
      </c>
      <c r="B471" t="s">
        <v>137</v>
      </c>
      <c r="C471" t="s">
        <v>155</v>
      </c>
      <c r="D471" t="s">
        <v>223</v>
      </c>
      <c r="F471" t="s">
        <v>299</v>
      </c>
      <c r="G471" t="s">
        <v>1187</v>
      </c>
      <c r="H471" t="s">
        <v>1656</v>
      </c>
      <c r="I471" t="s">
        <v>2118</v>
      </c>
      <c r="J471" t="s">
        <v>2192</v>
      </c>
      <c r="K471">
        <v>11213</v>
      </c>
      <c r="L471" t="s">
        <v>2224</v>
      </c>
      <c r="M471" t="s">
        <v>2226</v>
      </c>
      <c r="N471" t="s">
        <v>2237</v>
      </c>
      <c r="O471" t="s">
        <v>2238</v>
      </c>
      <c r="P471" t="s">
        <v>2559</v>
      </c>
      <c r="R471" t="s">
        <v>2569</v>
      </c>
      <c r="S471" t="s">
        <v>2225</v>
      </c>
      <c r="U471" t="s">
        <v>2578</v>
      </c>
      <c r="V471" t="s">
        <v>2588</v>
      </c>
      <c r="W471" t="s">
        <v>172</v>
      </c>
      <c r="X471">
        <v>1139.5</v>
      </c>
      <c r="Y471" t="s">
        <v>2604</v>
      </c>
      <c r="Z471" t="s">
        <v>2614</v>
      </c>
      <c r="AB471" t="s">
        <v>3061</v>
      </c>
      <c r="AC471" t="s">
        <v>2244</v>
      </c>
      <c r="AD471" t="s">
        <v>3830</v>
      </c>
      <c r="AE471">
        <v>34</v>
      </c>
      <c r="AF471" t="s">
        <v>4099</v>
      </c>
      <c r="AG471" t="s">
        <v>2255</v>
      </c>
      <c r="AH471">
        <v>1</v>
      </c>
      <c r="AI471">
        <v>1</v>
      </c>
      <c r="AJ471">
        <v>1</v>
      </c>
      <c r="AK471">
        <v>130.1</v>
      </c>
      <c r="AN471" t="s">
        <v>4126</v>
      </c>
      <c r="AO471">
        <v>22000</v>
      </c>
      <c r="AU471">
        <v>1.25</v>
      </c>
      <c r="AV471" t="s">
        <v>172</v>
      </c>
      <c r="AW471" t="s">
        <v>4226</v>
      </c>
      <c r="AX471" t="s">
        <v>4266</v>
      </c>
      <c r="AY471" t="s">
        <v>2226</v>
      </c>
      <c r="AZ471" t="s">
        <v>2226</v>
      </c>
    </row>
    <row r="472" spans="1:52">
      <c r="A472" s="1">
        <f>HYPERLINK("https://lsnyc.legalserver.org/matter/dynamic-profile/view/1907870","19-1907870")</f>
        <v>0</v>
      </c>
      <c r="B472" t="s">
        <v>87</v>
      </c>
      <c r="C472" t="s">
        <v>155</v>
      </c>
      <c r="D472" t="s">
        <v>247</v>
      </c>
      <c r="F472" t="s">
        <v>302</v>
      </c>
      <c r="G472" t="s">
        <v>1004</v>
      </c>
      <c r="H472" t="s">
        <v>1758</v>
      </c>
      <c r="I472" t="s">
        <v>1960</v>
      </c>
      <c r="J472" t="s">
        <v>2196</v>
      </c>
      <c r="K472">
        <v>10035</v>
      </c>
      <c r="L472" t="s">
        <v>2224</v>
      </c>
      <c r="M472" t="s">
        <v>2226</v>
      </c>
      <c r="O472" t="s">
        <v>2238</v>
      </c>
      <c r="P472" t="s">
        <v>2561</v>
      </c>
      <c r="R472" t="s">
        <v>2569</v>
      </c>
      <c r="S472" t="s">
        <v>2225</v>
      </c>
      <c r="U472" t="s">
        <v>2578</v>
      </c>
      <c r="V472" t="s">
        <v>2588</v>
      </c>
      <c r="W472" t="s">
        <v>247</v>
      </c>
      <c r="X472">
        <v>1530</v>
      </c>
      <c r="Y472" t="s">
        <v>2607</v>
      </c>
      <c r="Z472" t="s">
        <v>2611</v>
      </c>
      <c r="AB472" t="s">
        <v>3062</v>
      </c>
      <c r="AD472" t="s">
        <v>3831</v>
      </c>
      <c r="AE472">
        <v>16</v>
      </c>
      <c r="AF472" t="s">
        <v>4099</v>
      </c>
      <c r="AG472" t="s">
        <v>2255</v>
      </c>
      <c r="AH472">
        <v>4</v>
      </c>
      <c r="AI472">
        <v>1</v>
      </c>
      <c r="AJ472">
        <v>1</v>
      </c>
      <c r="AK472">
        <v>130.1</v>
      </c>
      <c r="AN472" t="s">
        <v>4126</v>
      </c>
      <c r="AO472">
        <v>22000</v>
      </c>
      <c r="AU472">
        <v>0</v>
      </c>
      <c r="AW472" t="s">
        <v>4237</v>
      </c>
      <c r="AX472" t="s">
        <v>4266</v>
      </c>
      <c r="AY472" t="s">
        <v>2226</v>
      </c>
      <c r="AZ472" t="s">
        <v>2226</v>
      </c>
    </row>
    <row r="473" spans="1:52">
      <c r="A473" s="1">
        <f>HYPERLINK("https://lsnyc.legalserver.org/matter/dynamic-profile/view/1911002","19-1911002")</f>
        <v>0</v>
      </c>
      <c r="B473" t="s">
        <v>105</v>
      </c>
      <c r="C473" t="s">
        <v>155</v>
      </c>
      <c r="D473" t="s">
        <v>179</v>
      </c>
      <c r="F473" t="s">
        <v>641</v>
      </c>
      <c r="G473" t="s">
        <v>940</v>
      </c>
      <c r="H473" t="s">
        <v>1759</v>
      </c>
      <c r="I473" t="s">
        <v>2119</v>
      </c>
      <c r="J473" t="s">
        <v>2195</v>
      </c>
      <c r="K473">
        <v>10304</v>
      </c>
      <c r="L473" t="s">
        <v>2224</v>
      </c>
      <c r="M473" t="s">
        <v>2226</v>
      </c>
      <c r="N473" t="s">
        <v>2428</v>
      </c>
      <c r="O473" t="s">
        <v>2535</v>
      </c>
      <c r="P473" t="s">
        <v>2558</v>
      </c>
      <c r="R473" t="s">
        <v>2569</v>
      </c>
      <c r="S473" t="s">
        <v>2225</v>
      </c>
      <c r="U473" t="s">
        <v>2578</v>
      </c>
      <c r="V473" t="s">
        <v>2588</v>
      </c>
      <c r="W473" t="s">
        <v>179</v>
      </c>
      <c r="X473">
        <v>749</v>
      </c>
      <c r="Y473" t="s">
        <v>2606</v>
      </c>
      <c r="Z473" t="s">
        <v>2613</v>
      </c>
      <c r="AB473" t="s">
        <v>3063</v>
      </c>
      <c r="AD473" t="s">
        <v>3832</v>
      </c>
      <c r="AE473">
        <v>404</v>
      </c>
      <c r="AF473" t="s">
        <v>4104</v>
      </c>
      <c r="AG473" t="s">
        <v>4112</v>
      </c>
      <c r="AH473">
        <v>20</v>
      </c>
      <c r="AI473">
        <v>3</v>
      </c>
      <c r="AJ473">
        <v>0</v>
      </c>
      <c r="AK473">
        <v>130.55</v>
      </c>
      <c r="AN473" t="s">
        <v>4126</v>
      </c>
      <c r="AO473">
        <v>27846</v>
      </c>
      <c r="AU473">
        <v>3.5</v>
      </c>
      <c r="AV473" t="s">
        <v>280</v>
      </c>
      <c r="AW473" t="s">
        <v>4230</v>
      </c>
      <c r="AX473" t="s">
        <v>4266</v>
      </c>
      <c r="AY473" t="s">
        <v>2224</v>
      </c>
      <c r="AZ473" t="s">
        <v>2224</v>
      </c>
    </row>
    <row r="474" spans="1:52">
      <c r="A474" s="1">
        <f>HYPERLINK("https://lsnyc.legalserver.org/matter/dynamic-profile/view/1905438","19-1905438")</f>
        <v>0</v>
      </c>
      <c r="B474" t="s">
        <v>71</v>
      </c>
      <c r="C474" t="s">
        <v>154</v>
      </c>
      <c r="D474" t="s">
        <v>207</v>
      </c>
      <c r="E474" t="s">
        <v>220</v>
      </c>
      <c r="F474" t="s">
        <v>642</v>
      </c>
      <c r="G474" t="s">
        <v>1188</v>
      </c>
      <c r="H474" t="s">
        <v>1760</v>
      </c>
      <c r="I474" t="s">
        <v>1965</v>
      </c>
      <c r="J474" t="s">
        <v>2194</v>
      </c>
      <c r="K474">
        <v>10452</v>
      </c>
      <c r="L474" t="s">
        <v>2224</v>
      </c>
      <c r="M474" t="s">
        <v>2226</v>
      </c>
      <c r="N474" t="s">
        <v>2244</v>
      </c>
      <c r="O474" t="s">
        <v>2238</v>
      </c>
      <c r="P474" t="s">
        <v>2561</v>
      </c>
      <c r="Q474" t="s">
        <v>2566</v>
      </c>
      <c r="R474" t="s">
        <v>2569</v>
      </c>
      <c r="S474" t="s">
        <v>2225</v>
      </c>
      <c r="U474" t="s">
        <v>2578</v>
      </c>
      <c r="W474" t="s">
        <v>191</v>
      </c>
      <c r="X474">
        <v>718.41</v>
      </c>
      <c r="Y474" t="s">
        <v>2605</v>
      </c>
      <c r="Z474" t="s">
        <v>2614</v>
      </c>
      <c r="AA474" t="s">
        <v>2637</v>
      </c>
      <c r="AB474" t="s">
        <v>3064</v>
      </c>
      <c r="AD474" t="s">
        <v>3833</v>
      </c>
      <c r="AE474">
        <v>61</v>
      </c>
      <c r="AF474" t="s">
        <v>4099</v>
      </c>
      <c r="AG474" t="s">
        <v>4116</v>
      </c>
      <c r="AH474">
        <v>30</v>
      </c>
      <c r="AI474">
        <v>1</v>
      </c>
      <c r="AJ474">
        <v>0</v>
      </c>
      <c r="AK474">
        <v>131.43</v>
      </c>
      <c r="AN474" t="s">
        <v>4126</v>
      </c>
      <c r="AO474">
        <v>16416</v>
      </c>
      <c r="AU474">
        <v>1</v>
      </c>
      <c r="AV474" t="s">
        <v>223</v>
      </c>
      <c r="AW474" t="s">
        <v>4255</v>
      </c>
      <c r="AX474" t="s">
        <v>4266</v>
      </c>
      <c r="AY474" t="s">
        <v>2224</v>
      </c>
      <c r="AZ474" t="s">
        <v>2224</v>
      </c>
    </row>
    <row r="475" spans="1:52">
      <c r="A475" s="1">
        <f>HYPERLINK("https://lsnyc.legalserver.org/matter/dynamic-profile/view/1905933","19-1905933")</f>
        <v>0</v>
      </c>
      <c r="B475" t="s">
        <v>111</v>
      </c>
      <c r="C475" t="s">
        <v>154</v>
      </c>
      <c r="D475" t="s">
        <v>223</v>
      </c>
      <c r="E475" t="s">
        <v>200</v>
      </c>
      <c r="F475" t="s">
        <v>643</v>
      </c>
      <c r="G475" t="s">
        <v>1189</v>
      </c>
      <c r="H475" t="s">
        <v>1761</v>
      </c>
      <c r="I475" t="s">
        <v>1960</v>
      </c>
      <c r="J475" t="s">
        <v>2196</v>
      </c>
      <c r="K475">
        <v>10035</v>
      </c>
      <c r="L475" t="s">
        <v>2224</v>
      </c>
      <c r="M475" t="s">
        <v>2226</v>
      </c>
      <c r="N475" t="s">
        <v>2429</v>
      </c>
      <c r="O475" t="s">
        <v>2533</v>
      </c>
      <c r="P475" t="s">
        <v>2556</v>
      </c>
      <c r="Q475" t="s">
        <v>2563</v>
      </c>
      <c r="R475" t="s">
        <v>2569</v>
      </c>
      <c r="S475" t="s">
        <v>2225</v>
      </c>
      <c r="U475" t="s">
        <v>2578</v>
      </c>
      <c r="W475" t="s">
        <v>223</v>
      </c>
      <c r="X475">
        <v>1139.4</v>
      </c>
      <c r="Y475" t="s">
        <v>2607</v>
      </c>
      <c r="Z475" t="s">
        <v>2614</v>
      </c>
      <c r="AA475" t="s">
        <v>2626</v>
      </c>
      <c r="AB475" t="s">
        <v>3065</v>
      </c>
      <c r="AD475" t="s">
        <v>3834</v>
      </c>
      <c r="AE475">
        <v>13</v>
      </c>
      <c r="AF475" t="s">
        <v>4099</v>
      </c>
      <c r="AG475" t="s">
        <v>2255</v>
      </c>
      <c r="AH475">
        <v>10</v>
      </c>
      <c r="AI475">
        <v>2</v>
      </c>
      <c r="AJ475">
        <v>1</v>
      </c>
      <c r="AK475">
        <v>131.65</v>
      </c>
      <c r="AN475" t="s">
        <v>4127</v>
      </c>
      <c r="AO475">
        <v>28080</v>
      </c>
      <c r="AU475">
        <v>0.1</v>
      </c>
      <c r="AV475" t="s">
        <v>223</v>
      </c>
      <c r="AW475" t="s">
        <v>4238</v>
      </c>
      <c r="AX475" t="s">
        <v>4266</v>
      </c>
      <c r="AY475" t="s">
        <v>2226</v>
      </c>
      <c r="AZ475" t="s">
        <v>2225</v>
      </c>
    </row>
    <row r="476" spans="1:52">
      <c r="A476" s="1">
        <f>HYPERLINK("https://lsnyc.legalserver.org/matter/dynamic-profile/view/1910830","19-1910830")</f>
        <v>0</v>
      </c>
      <c r="B476" t="s">
        <v>67</v>
      </c>
      <c r="C476" t="s">
        <v>155</v>
      </c>
      <c r="D476" t="s">
        <v>214</v>
      </c>
      <c r="F476" t="s">
        <v>644</v>
      </c>
      <c r="G476" t="s">
        <v>1190</v>
      </c>
      <c r="H476" t="s">
        <v>1498</v>
      </c>
      <c r="I476" t="s">
        <v>2120</v>
      </c>
      <c r="J476" t="s">
        <v>2192</v>
      </c>
      <c r="K476">
        <v>11225</v>
      </c>
      <c r="L476" t="s">
        <v>2224</v>
      </c>
      <c r="M476" t="s">
        <v>2226</v>
      </c>
      <c r="P476" t="s">
        <v>2560</v>
      </c>
      <c r="R476" t="s">
        <v>2569</v>
      </c>
      <c r="S476" t="s">
        <v>2224</v>
      </c>
      <c r="U476" t="s">
        <v>2578</v>
      </c>
      <c r="W476" t="s">
        <v>211</v>
      </c>
      <c r="X476">
        <v>0</v>
      </c>
      <c r="Y476" t="s">
        <v>2604</v>
      </c>
      <c r="AB476" t="s">
        <v>3066</v>
      </c>
      <c r="AD476" t="s">
        <v>3835</v>
      </c>
      <c r="AE476">
        <v>11</v>
      </c>
      <c r="AH476">
        <v>0</v>
      </c>
      <c r="AI476">
        <v>1</v>
      </c>
      <c r="AJ476">
        <v>1</v>
      </c>
      <c r="AK476">
        <v>131.99</v>
      </c>
      <c r="AN476" t="s">
        <v>4126</v>
      </c>
      <c r="AO476">
        <v>22320</v>
      </c>
      <c r="AU476">
        <v>2.5</v>
      </c>
      <c r="AV476" t="s">
        <v>202</v>
      </c>
      <c r="AW476" t="s">
        <v>153</v>
      </c>
      <c r="AX476" t="s">
        <v>4266</v>
      </c>
      <c r="AY476" t="s">
        <v>2224</v>
      </c>
      <c r="AZ476" t="s">
        <v>2224</v>
      </c>
    </row>
    <row r="477" spans="1:52">
      <c r="A477" s="1">
        <f>HYPERLINK("https://lsnyc.legalserver.org/matter/dynamic-profile/view/1910172","19-1910172")</f>
        <v>0</v>
      </c>
      <c r="B477" t="s">
        <v>85</v>
      </c>
      <c r="C477" t="s">
        <v>155</v>
      </c>
      <c r="D477" t="s">
        <v>232</v>
      </c>
      <c r="F477" t="s">
        <v>591</v>
      </c>
      <c r="G477" t="s">
        <v>692</v>
      </c>
      <c r="H477" t="s">
        <v>1703</v>
      </c>
      <c r="I477" t="s">
        <v>1992</v>
      </c>
      <c r="J477" t="s">
        <v>2192</v>
      </c>
      <c r="K477">
        <v>11212</v>
      </c>
      <c r="L477" t="s">
        <v>2224</v>
      </c>
      <c r="M477" t="s">
        <v>2226</v>
      </c>
      <c r="N477" t="s">
        <v>2430</v>
      </c>
      <c r="O477" t="s">
        <v>2535</v>
      </c>
      <c r="P477" t="s">
        <v>2556</v>
      </c>
      <c r="R477" t="s">
        <v>2569</v>
      </c>
      <c r="S477" t="s">
        <v>2225</v>
      </c>
      <c r="U477" t="s">
        <v>2578</v>
      </c>
      <c r="V477" t="s">
        <v>2588</v>
      </c>
      <c r="W477" t="s">
        <v>232</v>
      </c>
      <c r="X477">
        <v>1643.13</v>
      </c>
      <c r="Y477" t="s">
        <v>2604</v>
      </c>
      <c r="Z477" t="s">
        <v>2613</v>
      </c>
      <c r="AB477" t="s">
        <v>2988</v>
      </c>
      <c r="AC477" t="s">
        <v>2255</v>
      </c>
      <c r="AD477" t="s">
        <v>3759</v>
      </c>
      <c r="AE477">
        <v>38</v>
      </c>
      <c r="AF477" t="s">
        <v>4099</v>
      </c>
      <c r="AG477" t="s">
        <v>2255</v>
      </c>
      <c r="AH477">
        <v>9</v>
      </c>
      <c r="AI477">
        <v>4</v>
      </c>
      <c r="AJ477">
        <v>0</v>
      </c>
      <c r="AK477">
        <v>132.04</v>
      </c>
      <c r="AN477" t="s">
        <v>4126</v>
      </c>
      <c r="AO477">
        <v>34000</v>
      </c>
      <c r="AU477">
        <v>1.25</v>
      </c>
      <c r="AV477" t="s">
        <v>225</v>
      </c>
      <c r="AW477" t="s">
        <v>4226</v>
      </c>
      <c r="AX477" t="s">
        <v>4266</v>
      </c>
      <c r="AY477" t="s">
        <v>2224</v>
      </c>
      <c r="AZ477" t="s">
        <v>2224</v>
      </c>
    </row>
    <row r="478" spans="1:52">
      <c r="A478" s="1">
        <f>HYPERLINK("https://lsnyc.legalserver.org/matter/dynamic-profile/view/1912157","19-1912157")</f>
        <v>0</v>
      </c>
      <c r="B478" t="s">
        <v>76</v>
      </c>
      <c r="C478" t="s">
        <v>155</v>
      </c>
      <c r="D478" t="s">
        <v>199</v>
      </c>
      <c r="F478" t="s">
        <v>504</v>
      </c>
      <c r="G478" t="s">
        <v>957</v>
      </c>
      <c r="H478" t="s">
        <v>1537</v>
      </c>
      <c r="I478">
        <v>3</v>
      </c>
      <c r="J478" t="s">
        <v>2196</v>
      </c>
      <c r="K478">
        <v>10033</v>
      </c>
      <c r="L478" t="s">
        <v>2224</v>
      </c>
      <c r="M478" t="s">
        <v>2226</v>
      </c>
      <c r="O478" t="s">
        <v>2551</v>
      </c>
      <c r="P478" t="s">
        <v>2560</v>
      </c>
      <c r="R478" t="s">
        <v>2569</v>
      </c>
      <c r="S478" t="s">
        <v>2225</v>
      </c>
      <c r="U478" t="s">
        <v>2578</v>
      </c>
      <c r="W478" t="s">
        <v>199</v>
      </c>
      <c r="X478">
        <v>923</v>
      </c>
      <c r="Y478" t="s">
        <v>2607</v>
      </c>
      <c r="Z478" t="s">
        <v>2613</v>
      </c>
      <c r="AB478" t="s">
        <v>3067</v>
      </c>
      <c r="AD478" t="s">
        <v>3836</v>
      </c>
      <c r="AE478">
        <v>20</v>
      </c>
      <c r="AF478" t="s">
        <v>4099</v>
      </c>
      <c r="AG478" t="s">
        <v>2255</v>
      </c>
      <c r="AH478">
        <v>48</v>
      </c>
      <c r="AI478">
        <v>2</v>
      </c>
      <c r="AJ478">
        <v>0</v>
      </c>
      <c r="AK478">
        <v>132.35</v>
      </c>
      <c r="AN478" t="s">
        <v>4127</v>
      </c>
      <c r="AO478">
        <v>22380</v>
      </c>
      <c r="AU478">
        <v>5.3</v>
      </c>
      <c r="AV478" t="s">
        <v>163</v>
      </c>
      <c r="AW478" t="s">
        <v>80</v>
      </c>
      <c r="AX478" t="s">
        <v>4266</v>
      </c>
      <c r="AY478" t="s">
        <v>2226</v>
      </c>
      <c r="AZ478" t="s">
        <v>2226</v>
      </c>
    </row>
    <row r="479" spans="1:52">
      <c r="A479" s="1">
        <f>HYPERLINK("https://lsnyc.legalserver.org/matter/dynamic-profile/view/1911238","19-1911238")</f>
        <v>0</v>
      </c>
      <c r="B479" t="s">
        <v>74</v>
      </c>
      <c r="C479" t="s">
        <v>155</v>
      </c>
      <c r="D479" t="s">
        <v>272</v>
      </c>
      <c r="F479" t="s">
        <v>645</v>
      </c>
      <c r="G479" t="s">
        <v>1128</v>
      </c>
      <c r="H479" t="s">
        <v>1468</v>
      </c>
      <c r="I479" t="s">
        <v>2078</v>
      </c>
      <c r="J479" t="s">
        <v>2196</v>
      </c>
      <c r="K479">
        <v>10034</v>
      </c>
      <c r="L479" t="s">
        <v>2224</v>
      </c>
      <c r="M479" t="s">
        <v>2226</v>
      </c>
      <c r="O479" t="s">
        <v>2536</v>
      </c>
      <c r="P479" t="s">
        <v>2559</v>
      </c>
      <c r="R479" t="s">
        <v>2569</v>
      </c>
      <c r="S479" t="s">
        <v>2225</v>
      </c>
      <c r="U479" t="s">
        <v>2578</v>
      </c>
      <c r="W479" t="s">
        <v>272</v>
      </c>
      <c r="X479">
        <v>1162.16</v>
      </c>
      <c r="Y479" t="s">
        <v>2607</v>
      </c>
      <c r="Z479" t="s">
        <v>2613</v>
      </c>
      <c r="AB479" t="s">
        <v>3068</v>
      </c>
      <c r="AD479" t="s">
        <v>3837</v>
      </c>
      <c r="AE479">
        <v>121</v>
      </c>
      <c r="AF479" t="s">
        <v>4099</v>
      </c>
      <c r="AG479" t="s">
        <v>4113</v>
      </c>
      <c r="AH479">
        <v>12</v>
      </c>
      <c r="AI479">
        <v>2</v>
      </c>
      <c r="AJ479">
        <v>1</v>
      </c>
      <c r="AK479">
        <v>132.6</v>
      </c>
      <c r="AN479" t="s">
        <v>4126</v>
      </c>
      <c r="AO479">
        <v>28284</v>
      </c>
      <c r="AU479">
        <v>1.7</v>
      </c>
      <c r="AV479" t="s">
        <v>157</v>
      </c>
      <c r="AW479" t="s">
        <v>80</v>
      </c>
      <c r="AX479" t="s">
        <v>4266</v>
      </c>
      <c r="AY479" t="s">
        <v>2226</v>
      </c>
      <c r="AZ479" t="s">
        <v>2226</v>
      </c>
    </row>
    <row r="480" spans="1:52">
      <c r="A480" s="1">
        <f>HYPERLINK("https://lsnyc.legalserver.org/matter/dynamic-profile/view/1908419","19-1908419")</f>
        <v>0</v>
      </c>
      <c r="B480" t="s">
        <v>65</v>
      </c>
      <c r="C480" t="s">
        <v>155</v>
      </c>
      <c r="D480" t="s">
        <v>234</v>
      </c>
      <c r="F480" t="s">
        <v>646</v>
      </c>
      <c r="G480" t="s">
        <v>1191</v>
      </c>
      <c r="H480" t="s">
        <v>1762</v>
      </c>
      <c r="I480" t="s">
        <v>2121</v>
      </c>
      <c r="J480" t="s">
        <v>2192</v>
      </c>
      <c r="K480">
        <v>11219</v>
      </c>
      <c r="L480" t="s">
        <v>2224</v>
      </c>
      <c r="M480" t="s">
        <v>2226</v>
      </c>
      <c r="N480" t="s">
        <v>2431</v>
      </c>
      <c r="O480" t="s">
        <v>2533</v>
      </c>
      <c r="P480" t="s">
        <v>2558</v>
      </c>
      <c r="R480" t="s">
        <v>2569</v>
      </c>
      <c r="S480" t="s">
        <v>2225</v>
      </c>
      <c r="U480" t="s">
        <v>2578</v>
      </c>
      <c r="V480" t="s">
        <v>2588</v>
      </c>
      <c r="W480" t="s">
        <v>184</v>
      </c>
      <c r="X480">
        <v>1000</v>
      </c>
      <c r="Y480" t="s">
        <v>2604</v>
      </c>
      <c r="Z480" t="s">
        <v>2618</v>
      </c>
      <c r="AB480" t="s">
        <v>3069</v>
      </c>
      <c r="AC480" t="s">
        <v>2255</v>
      </c>
      <c r="AD480" t="s">
        <v>3838</v>
      </c>
      <c r="AE480">
        <v>35</v>
      </c>
      <c r="AF480" t="s">
        <v>4099</v>
      </c>
      <c r="AG480" t="s">
        <v>2255</v>
      </c>
      <c r="AH480">
        <v>12</v>
      </c>
      <c r="AI480">
        <v>4</v>
      </c>
      <c r="AJ480">
        <v>0</v>
      </c>
      <c r="AK480">
        <v>132.82</v>
      </c>
      <c r="AN480" t="s">
        <v>4127</v>
      </c>
      <c r="AO480">
        <v>34200</v>
      </c>
      <c r="AU480">
        <v>21.9</v>
      </c>
      <c r="AV480" t="s">
        <v>199</v>
      </c>
      <c r="AW480" t="s">
        <v>4226</v>
      </c>
      <c r="AX480" t="s">
        <v>4266</v>
      </c>
      <c r="AY480" t="s">
        <v>2224</v>
      </c>
      <c r="AZ480" t="s">
        <v>2224</v>
      </c>
    </row>
    <row r="481" spans="1:52">
      <c r="A481" s="1">
        <f>HYPERLINK("https://lsnyc.legalserver.org/matter/dynamic-profile/view/1907818","19-1907818")</f>
        <v>0</v>
      </c>
      <c r="B481" t="s">
        <v>89</v>
      </c>
      <c r="C481" t="s">
        <v>155</v>
      </c>
      <c r="D481" t="s">
        <v>247</v>
      </c>
      <c r="F481" t="s">
        <v>647</v>
      </c>
      <c r="G481" t="s">
        <v>1192</v>
      </c>
      <c r="H481" t="s">
        <v>1642</v>
      </c>
      <c r="I481" t="s">
        <v>2061</v>
      </c>
      <c r="J481" t="s">
        <v>2204</v>
      </c>
      <c r="K481">
        <v>11377</v>
      </c>
      <c r="L481" t="s">
        <v>2224</v>
      </c>
      <c r="M481" t="s">
        <v>2226</v>
      </c>
      <c r="N481" t="s">
        <v>2356</v>
      </c>
      <c r="O481" t="s">
        <v>2537</v>
      </c>
      <c r="P481" t="s">
        <v>2560</v>
      </c>
      <c r="R481" t="s">
        <v>2569</v>
      </c>
      <c r="S481" t="s">
        <v>2224</v>
      </c>
      <c r="U481" t="s">
        <v>2578</v>
      </c>
      <c r="W481" t="s">
        <v>247</v>
      </c>
      <c r="X481">
        <v>0</v>
      </c>
      <c r="Y481" t="s">
        <v>2603</v>
      </c>
      <c r="Z481" t="s">
        <v>2614</v>
      </c>
      <c r="AB481" t="s">
        <v>3070</v>
      </c>
      <c r="AD481" t="s">
        <v>3839</v>
      </c>
      <c r="AE481">
        <v>67</v>
      </c>
      <c r="AF481" t="s">
        <v>4099</v>
      </c>
      <c r="AG481" t="s">
        <v>2255</v>
      </c>
      <c r="AH481">
        <v>8</v>
      </c>
      <c r="AI481">
        <v>1</v>
      </c>
      <c r="AJ481">
        <v>0</v>
      </c>
      <c r="AK481">
        <v>133.23</v>
      </c>
      <c r="AN481" t="s">
        <v>4127</v>
      </c>
      <c r="AO481">
        <v>16640</v>
      </c>
      <c r="AU481">
        <v>0.55</v>
      </c>
      <c r="AV481" t="s">
        <v>167</v>
      </c>
      <c r="AW481" t="s">
        <v>4224</v>
      </c>
      <c r="AX481" t="s">
        <v>4266</v>
      </c>
      <c r="AY481" t="s">
        <v>2224</v>
      </c>
      <c r="AZ481" t="s">
        <v>2224</v>
      </c>
    </row>
    <row r="482" spans="1:52">
      <c r="A482" s="1">
        <f>HYPERLINK("https://lsnyc.legalserver.org/matter/dynamic-profile/view/1903996","19-1903996")</f>
        <v>0</v>
      </c>
      <c r="B482" t="s">
        <v>98</v>
      </c>
      <c r="C482" t="s">
        <v>155</v>
      </c>
      <c r="D482" t="s">
        <v>267</v>
      </c>
      <c r="F482" t="s">
        <v>648</v>
      </c>
      <c r="G482" t="s">
        <v>1193</v>
      </c>
      <c r="H482" t="s">
        <v>1763</v>
      </c>
      <c r="I482" t="s">
        <v>1977</v>
      </c>
      <c r="J482" t="s">
        <v>2196</v>
      </c>
      <c r="K482">
        <v>10033</v>
      </c>
      <c r="L482" t="s">
        <v>2224</v>
      </c>
      <c r="M482" t="s">
        <v>2226</v>
      </c>
      <c r="O482" t="s">
        <v>2544</v>
      </c>
      <c r="P482" t="s">
        <v>2561</v>
      </c>
      <c r="R482" t="s">
        <v>2569</v>
      </c>
      <c r="S482" t="s">
        <v>2225</v>
      </c>
      <c r="U482" t="s">
        <v>2578</v>
      </c>
      <c r="V482" t="s">
        <v>2588</v>
      </c>
      <c r="W482" t="s">
        <v>254</v>
      </c>
      <c r="X482">
        <v>2500</v>
      </c>
      <c r="Y482" t="s">
        <v>2607</v>
      </c>
      <c r="Z482" t="s">
        <v>2617</v>
      </c>
      <c r="AB482" t="s">
        <v>3071</v>
      </c>
      <c r="AD482" t="s">
        <v>3840</v>
      </c>
      <c r="AE482">
        <v>95</v>
      </c>
      <c r="AF482" t="s">
        <v>4098</v>
      </c>
      <c r="AG482" t="s">
        <v>2255</v>
      </c>
      <c r="AH482">
        <v>7</v>
      </c>
      <c r="AI482">
        <v>2</v>
      </c>
      <c r="AJ482">
        <v>1</v>
      </c>
      <c r="AK482">
        <v>133.9</v>
      </c>
      <c r="AN482" t="s">
        <v>4126</v>
      </c>
      <c r="AO482">
        <v>28560</v>
      </c>
      <c r="AU482">
        <v>8.9</v>
      </c>
      <c r="AV482" t="s">
        <v>188</v>
      </c>
      <c r="AW482" t="s">
        <v>4237</v>
      </c>
      <c r="AX482" t="s">
        <v>4266</v>
      </c>
      <c r="AY482" t="s">
        <v>2224</v>
      </c>
      <c r="AZ482" t="s">
        <v>2224</v>
      </c>
    </row>
    <row r="483" spans="1:52">
      <c r="A483" s="1">
        <f>HYPERLINK("https://lsnyc.legalserver.org/matter/dynamic-profile/view/1904455","19-1904455")</f>
        <v>0</v>
      </c>
      <c r="B483" t="s">
        <v>53</v>
      </c>
      <c r="C483" t="s">
        <v>155</v>
      </c>
      <c r="D483" t="s">
        <v>228</v>
      </c>
      <c r="F483" t="s">
        <v>649</v>
      </c>
      <c r="G483" t="s">
        <v>1194</v>
      </c>
      <c r="H483" t="s">
        <v>1764</v>
      </c>
      <c r="I483" t="s">
        <v>2027</v>
      </c>
      <c r="J483" t="s">
        <v>2197</v>
      </c>
      <c r="K483">
        <v>11415</v>
      </c>
      <c r="L483" t="s">
        <v>2224</v>
      </c>
      <c r="M483" t="s">
        <v>2226</v>
      </c>
      <c r="N483" t="s">
        <v>2432</v>
      </c>
      <c r="O483" t="s">
        <v>2535</v>
      </c>
      <c r="P483" t="s">
        <v>2558</v>
      </c>
      <c r="R483" t="s">
        <v>2569</v>
      </c>
      <c r="S483" t="s">
        <v>2225</v>
      </c>
      <c r="U483" t="s">
        <v>2578</v>
      </c>
      <c r="V483" t="s">
        <v>2591</v>
      </c>
      <c r="W483" t="s">
        <v>228</v>
      </c>
      <c r="X483">
        <v>1650</v>
      </c>
      <c r="Y483" t="s">
        <v>2603</v>
      </c>
      <c r="Z483" t="s">
        <v>2618</v>
      </c>
      <c r="AB483" t="s">
        <v>3072</v>
      </c>
      <c r="AD483" t="s">
        <v>3841</v>
      </c>
      <c r="AE483">
        <v>70</v>
      </c>
      <c r="AF483" t="s">
        <v>4099</v>
      </c>
      <c r="AG483" t="s">
        <v>2255</v>
      </c>
      <c r="AH483">
        <v>1</v>
      </c>
      <c r="AI483">
        <v>1</v>
      </c>
      <c r="AJ483">
        <v>0</v>
      </c>
      <c r="AK483">
        <v>134.03</v>
      </c>
      <c r="AN483" t="s">
        <v>4126</v>
      </c>
      <c r="AO483">
        <v>16740</v>
      </c>
      <c r="AU483">
        <v>24.86</v>
      </c>
      <c r="AV483" t="s">
        <v>230</v>
      </c>
      <c r="AW483" t="s">
        <v>93</v>
      </c>
      <c r="AX483" t="s">
        <v>4266</v>
      </c>
      <c r="AY483" t="s">
        <v>2224</v>
      </c>
      <c r="AZ483" t="s">
        <v>2224</v>
      </c>
    </row>
    <row r="484" spans="1:52">
      <c r="A484" s="1">
        <f>HYPERLINK("https://lsnyc.legalserver.org/matter/dynamic-profile/view/1890310","19-1890310")</f>
        <v>0</v>
      </c>
      <c r="B484" t="s">
        <v>92</v>
      </c>
      <c r="C484" t="s">
        <v>154</v>
      </c>
      <c r="D484" t="s">
        <v>273</v>
      </c>
      <c r="E484" t="s">
        <v>274</v>
      </c>
      <c r="F484" t="s">
        <v>650</v>
      </c>
      <c r="G484" t="s">
        <v>1195</v>
      </c>
      <c r="H484" t="s">
        <v>1606</v>
      </c>
      <c r="I484" t="s">
        <v>2075</v>
      </c>
      <c r="J484" t="s">
        <v>2195</v>
      </c>
      <c r="K484">
        <v>10304</v>
      </c>
      <c r="L484" t="s">
        <v>2224</v>
      </c>
      <c r="M484" t="s">
        <v>2226</v>
      </c>
      <c r="O484" t="s">
        <v>2539</v>
      </c>
      <c r="P484" t="s">
        <v>2561</v>
      </c>
      <c r="Q484" t="s">
        <v>2566</v>
      </c>
      <c r="R484" t="s">
        <v>2569</v>
      </c>
      <c r="S484" t="s">
        <v>2225</v>
      </c>
      <c r="U484" t="s">
        <v>2578</v>
      </c>
      <c r="V484" t="s">
        <v>2588</v>
      </c>
      <c r="W484" t="s">
        <v>274</v>
      </c>
      <c r="X484">
        <v>0</v>
      </c>
      <c r="Y484" t="s">
        <v>2606</v>
      </c>
      <c r="AA484" t="s">
        <v>2626</v>
      </c>
      <c r="AB484" t="s">
        <v>3073</v>
      </c>
      <c r="AD484" t="s">
        <v>3842</v>
      </c>
      <c r="AE484">
        <v>403</v>
      </c>
      <c r="AH484">
        <v>0</v>
      </c>
      <c r="AI484">
        <v>2</v>
      </c>
      <c r="AJ484">
        <v>0</v>
      </c>
      <c r="AK484">
        <v>134.07</v>
      </c>
      <c r="AN484" t="s">
        <v>4126</v>
      </c>
      <c r="AO484">
        <v>22672</v>
      </c>
      <c r="AR484" t="s">
        <v>2611</v>
      </c>
      <c r="AU484">
        <v>3.5</v>
      </c>
      <c r="AV484" t="s">
        <v>274</v>
      </c>
      <c r="AW484" t="s">
        <v>4263</v>
      </c>
      <c r="AX484" t="s">
        <v>4266</v>
      </c>
      <c r="AY484" t="s">
        <v>2224</v>
      </c>
      <c r="AZ484" t="s">
        <v>2224</v>
      </c>
    </row>
    <row r="485" spans="1:52">
      <c r="A485" s="1">
        <f>HYPERLINK("https://lsnyc.legalserver.org/matter/dynamic-profile/view/1909521","19-1909521")</f>
        <v>0</v>
      </c>
      <c r="B485" t="s">
        <v>86</v>
      </c>
      <c r="C485" t="s">
        <v>154</v>
      </c>
      <c r="D485" t="s">
        <v>161</v>
      </c>
      <c r="E485" t="s">
        <v>257</v>
      </c>
      <c r="F485" t="s">
        <v>651</v>
      </c>
      <c r="G485" t="s">
        <v>1196</v>
      </c>
      <c r="H485" t="s">
        <v>1765</v>
      </c>
      <c r="I485">
        <v>41</v>
      </c>
      <c r="J485" t="s">
        <v>2196</v>
      </c>
      <c r="K485">
        <v>10033</v>
      </c>
      <c r="L485" t="s">
        <v>2224</v>
      </c>
      <c r="M485" t="s">
        <v>2226</v>
      </c>
      <c r="O485" t="s">
        <v>2536</v>
      </c>
      <c r="P485" t="s">
        <v>2556</v>
      </c>
      <c r="Q485" t="s">
        <v>2563</v>
      </c>
      <c r="R485" t="s">
        <v>2569</v>
      </c>
      <c r="S485" t="s">
        <v>2225</v>
      </c>
      <c r="U485" t="s">
        <v>2578</v>
      </c>
      <c r="W485" t="s">
        <v>161</v>
      </c>
      <c r="X485">
        <v>796.84</v>
      </c>
      <c r="Y485" t="s">
        <v>2607</v>
      </c>
      <c r="Z485" t="s">
        <v>2613</v>
      </c>
      <c r="AA485" t="s">
        <v>2626</v>
      </c>
      <c r="AB485" t="s">
        <v>3074</v>
      </c>
      <c r="AD485" t="s">
        <v>3843</v>
      </c>
      <c r="AE485">
        <v>25</v>
      </c>
      <c r="AF485" t="s">
        <v>4099</v>
      </c>
      <c r="AG485" t="s">
        <v>2255</v>
      </c>
      <c r="AH485">
        <v>38</v>
      </c>
      <c r="AI485">
        <v>1</v>
      </c>
      <c r="AJ485">
        <v>0</v>
      </c>
      <c r="AK485">
        <v>134.32</v>
      </c>
      <c r="AN485" t="s">
        <v>4126</v>
      </c>
      <c r="AO485">
        <v>16776</v>
      </c>
      <c r="AU485">
        <v>0.1</v>
      </c>
      <c r="AV485" t="s">
        <v>257</v>
      </c>
      <c r="AW485" t="s">
        <v>80</v>
      </c>
      <c r="AX485" t="s">
        <v>4266</v>
      </c>
      <c r="AY485" t="s">
        <v>2226</v>
      </c>
      <c r="AZ485" t="s">
        <v>2225</v>
      </c>
    </row>
    <row r="486" spans="1:52">
      <c r="A486" s="1">
        <f>HYPERLINK("https://lsnyc.legalserver.org/matter/dynamic-profile/view/1901745","19-1901745")</f>
        <v>0</v>
      </c>
      <c r="B486" t="s">
        <v>85</v>
      </c>
      <c r="C486" t="s">
        <v>155</v>
      </c>
      <c r="D486" t="s">
        <v>236</v>
      </c>
      <c r="F486" t="s">
        <v>652</v>
      </c>
      <c r="G486" t="s">
        <v>1197</v>
      </c>
      <c r="H486" t="s">
        <v>1766</v>
      </c>
      <c r="I486" t="s">
        <v>1957</v>
      </c>
      <c r="J486" t="s">
        <v>2192</v>
      </c>
      <c r="K486">
        <v>11233</v>
      </c>
      <c r="L486" t="s">
        <v>2224</v>
      </c>
      <c r="M486" t="s">
        <v>2226</v>
      </c>
      <c r="N486" t="s">
        <v>2433</v>
      </c>
      <c r="O486" t="s">
        <v>2535</v>
      </c>
      <c r="P486" t="s">
        <v>2558</v>
      </c>
      <c r="R486" t="s">
        <v>2569</v>
      </c>
      <c r="S486" t="s">
        <v>2225</v>
      </c>
      <c r="U486" t="s">
        <v>2578</v>
      </c>
      <c r="V486" t="s">
        <v>2588</v>
      </c>
      <c r="W486" t="s">
        <v>191</v>
      </c>
      <c r="X486">
        <v>1032</v>
      </c>
      <c r="Y486" t="s">
        <v>2604</v>
      </c>
      <c r="AB486" t="s">
        <v>3075</v>
      </c>
      <c r="AC486" t="s">
        <v>2244</v>
      </c>
      <c r="AD486" t="s">
        <v>3844</v>
      </c>
      <c r="AE486">
        <v>6</v>
      </c>
      <c r="AF486" t="s">
        <v>4099</v>
      </c>
      <c r="AG486" t="s">
        <v>2255</v>
      </c>
      <c r="AH486">
        <v>3</v>
      </c>
      <c r="AI486">
        <v>1</v>
      </c>
      <c r="AJ486">
        <v>0</v>
      </c>
      <c r="AK486">
        <v>134.51</v>
      </c>
      <c r="AN486" t="s">
        <v>4126</v>
      </c>
      <c r="AO486">
        <v>16800</v>
      </c>
      <c r="AU486">
        <v>22.25</v>
      </c>
      <c r="AV486" t="s">
        <v>275</v>
      </c>
      <c r="AW486" t="s">
        <v>4227</v>
      </c>
      <c r="AX486" t="s">
        <v>4266</v>
      </c>
      <c r="AY486" t="s">
        <v>2224</v>
      </c>
      <c r="AZ486" t="s">
        <v>2224</v>
      </c>
    </row>
    <row r="487" spans="1:52">
      <c r="A487" s="1">
        <f>HYPERLINK("https://lsnyc.legalserver.org/matter/dynamic-profile/view/1905528","19-1905528")</f>
        <v>0</v>
      </c>
      <c r="B487" t="s">
        <v>90</v>
      </c>
      <c r="C487" t="s">
        <v>154</v>
      </c>
      <c r="D487" t="s">
        <v>274</v>
      </c>
      <c r="E487" t="s">
        <v>189</v>
      </c>
      <c r="F487" t="s">
        <v>370</v>
      </c>
      <c r="G487" t="s">
        <v>925</v>
      </c>
      <c r="H487" t="s">
        <v>1767</v>
      </c>
      <c r="I487" t="s">
        <v>2045</v>
      </c>
      <c r="J487" t="s">
        <v>2194</v>
      </c>
      <c r="K487">
        <v>10463</v>
      </c>
      <c r="L487" t="s">
        <v>2224</v>
      </c>
      <c r="M487" t="s">
        <v>2226</v>
      </c>
      <c r="O487" t="s">
        <v>2536</v>
      </c>
      <c r="P487" t="s">
        <v>2556</v>
      </c>
      <c r="Q487" t="s">
        <v>2563</v>
      </c>
      <c r="R487" t="s">
        <v>2569</v>
      </c>
      <c r="S487" t="s">
        <v>2225</v>
      </c>
      <c r="U487" t="s">
        <v>2578</v>
      </c>
      <c r="W487" t="s">
        <v>274</v>
      </c>
      <c r="X487">
        <v>1300</v>
      </c>
      <c r="Y487" t="s">
        <v>2607</v>
      </c>
      <c r="Z487" t="s">
        <v>2617</v>
      </c>
      <c r="AA487" t="s">
        <v>2626</v>
      </c>
      <c r="AB487" t="s">
        <v>3076</v>
      </c>
      <c r="AC487" t="s">
        <v>3439</v>
      </c>
      <c r="AD487" t="s">
        <v>3845</v>
      </c>
      <c r="AE487">
        <v>100</v>
      </c>
      <c r="AF487" t="s">
        <v>4099</v>
      </c>
      <c r="AG487" t="s">
        <v>2255</v>
      </c>
      <c r="AH487">
        <v>8</v>
      </c>
      <c r="AI487">
        <v>1</v>
      </c>
      <c r="AJ487">
        <v>0</v>
      </c>
      <c r="AK487">
        <v>134.51</v>
      </c>
      <c r="AN487" t="s">
        <v>4127</v>
      </c>
      <c r="AO487">
        <v>16800</v>
      </c>
      <c r="AU487">
        <v>1</v>
      </c>
      <c r="AV487" t="s">
        <v>274</v>
      </c>
      <c r="AW487" t="s">
        <v>80</v>
      </c>
      <c r="AX487" t="s">
        <v>4267</v>
      </c>
      <c r="AY487" t="s">
        <v>2226</v>
      </c>
      <c r="AZ487" t="s">
        <v>2225</v>
      </c>
    </row>
    <row r="488" spans="1:52">
      <c r="A488" s="1">
        <f>HYPERLINK("https://lsnyc.legalserver.org/matter/dynamic-profile/view/1910113","19-1910113")</f>
        <v>0</v>
      </c>
      <c r="B488" t="s">
        <v>98</v>
      </c>
      <c r="C488" t="s">
        <v>155</v>
      </c>
      <c r="D488" t="s">
        <v>211</v>
      </c>
      <c r="F488" t="s">
        <v>653</v>
      </c>
      <c r="G488" t="s">
        <v>1198</v>
      </c>
      <c r="H488" t="s">
        <v>1492</v>
      </c>
      <c r="J488" t="s">
        <v>2196</v>
      </c>
      <c r="K488">
        <v>10033</v>
      </c>
      <c r="L488" t="s">
        <v>2224</v>
      </c>
      <c r="M488" t="s">
        <v>2226</v>
      </c>
      <c r="O488" t="s">
        <v>2534</v>
      </c>
      <c r="P488" t="s">
        <v>2561</v>
      </c>
      <c r="R488" t="s">
        <v>2569</v>
      </c>
      <c r="S488" t="s">
        <v>2224</v>
      </c>
      <c r="U488" t="s">
        <v>2578</v>
      </c>
      <c r="W488" t="s">
        <v>211</v>
      </c>
      <c r="X488">
        <v>650</v>
      </c>
      <c r="Y488" t="s">
        <v>2607</v>
      </c>
      <c r="Z488" t="s">
        <v>2617</v>
      </c>
      <c r="AB488" t="s">
        <v>3077</v>
      </c>
      <c r="AD488" t="s">
        <v>3846</v>
      </c>
      <c r="AE488">
        <v>24</v>
      </c>
      <c r="AF488" t="s">
        <v>4099</v>
      </c>
      <c r="AG488" t="s">
        <v>2255</v>
      </c>
      <c r="AH488">
        <v>1</v>
      </c>
      <c r="AI488">
        <v>1</v>
      </c>
      <c r="AJ488">
        <v>0</v>
      </c>
      <c r="AK488">
        <v>135.31</v>
      </c>
      <c r="AN488" t="s">
        <v>4126</v>
      </c>
      <c r="AO488">
        <v>16900</v>
      </c>
      <c r="AU488">
        <v>0</v>
      </c>
      <c r="AW488" t="s">
        <v>80</v>
      </c>
      <c r="AX488" t="s">
        <v>4266</v>
      </c>
      <c r="AY488" t="s">
        <v>2224</v>
      </c>
      <c r="AZ488" t="s">
        <v>2224</v>
      </c>
    </row>
    <row r="489" spans="1:52">
      <c r="A489" s="1">
        <f>HYPERLINK("https://lsnyc.legalserver.org/matter/dynamic-profile/view/1912120","19-1912120")</f>
        <v>0</v>
      </c>
      <c r="B489" t="s">
        <v>58</v>
      </c>
      <c r="C489" t="s">
        <v>155</v>
      </c>
      <c r="D489" t="s">
        <v>261</v>
      </c>
      <c r="F489" t="s">
        <v>628</v>
      </c>
      <c r="G489" t="s">
        <v>1199</v>
      </c>
      <c r="H489" t="s">
        <v>1768</v>
      </c>
      <c r="I489" t="s">
        <v>2075</v>
      </c>
      <c r="J489" t="s">
        <v>2192</v>
      </c>
      <c r="K489">
        <v>11226</v>
      </c>
      <c r="L489" t="s">
        <v>2224</v>
      </c>
      <c r="M489" t="s">
        <v>2226</v>
      </c>
      <c r="O489" t="s">
        <v>2539</v>
      </c>
      <c r="P489" t="s">
        <v>2557</v>
      </c>
      <c r="R489" t="s">
        <v>2569</v>
      </c>
      <c r="S489" t="s">
        <v>2225</v>
      </c>
      <c r="U489" t="s">
        <v>2578</v>
      </c>
      <c r="W489" t="s">
        <v>261</v>
      </c>
      <c r="X489">
        <v>0</v>
      </c>
      <c r="Y489" t="s">
        <v>2604</v>
      </c>
      <c r="AB489" t="s">
        <v>3078</v>
      </c>
      <c r="AE489">
        <v>83</v>
      </c>
      <c r="AH489">
        <v>8</v>
      </c>
      <c r="AI489">
        <v>2</v>
      </c>
      <c r="AJ489">
        <v>2</v>
      </c>
      <c r="AK489">
        <v>135.92</v>
      </c>
      <c r="AN489" t="s">
        <v>4132</v>
      </c>
      <c r="AO489">
        <v>35000</v>
      </c>
      <c r="AU489">
        <v>2.5</v>
      </c>
      <c r="AV489" t="s">
        <v>169</v>
      </c>
      <c r="AW489" t="s">
        <v>153</v>
      </c>
      <c r="AX489" t="s">
        <v>4266</v>
      </c>
      <c r="AY489" t="s">
        <v>2224</v>
      </c>
      <c r="AZ489" t="s">
        <v>2224</v>
      </c>
    </row>
    <row r="490" spans="1:52">
      <c r="A490" s="1">
        <f>HYPERLINK("https://lsnyc.legalserver.org/matter/dynamic-profile/view/1909523","19-1909523")</f>
        <v>0</v>
      </c>
      <c r="B490" t="s">
        <v>86</v>
      </c>
      <c r="C490" t="s">
        <v>154</v>
      </c>
      <c r="D490" t="s">
        <v>161</v>
      </c>
      <c r="E490" t="s">
        <v>257</v>
      </c>
      <c r="F490" t="s">
        <v>370</v>
      </c>
      <c r="G490" t="s">
        <v>925</v>
      </c>
      <c r="H490" t="s">
        <v>1769</v>
      </c>
      <c r="I490" t="s">
        <v>2122</v>
      </c>
      <c r="J490" t="s">
        <v>2196</v>
      </c>
      <c r="K490">
        <v>10033</v>
      </c>
      <c r="L490" t="s">
        <v>2224</v>
      </c>
      <c r="M490" t="s">
        <v>2226</v>
      </c>
      <c r="O490" t="s">
        <v>2536</v>
      </c>
      <c r="P490" t="s">
        <v>2556</v>
      </c>
      <c r="Q490" t="s">
        <v>2563</v>
      </c>
      <c r="R490" t="s">
        <v>2569</v>
      </c>
      <c r="S490" t="s">
        <v>2225</v>
      </c>
      <c r="U490" t="s">
        <v>2578</v>
      </c>
      <c r="W490" t="s">
        <v>161</v>
      </c>
      <c r="X490">
        <v>110.53</v>
      </c>
      <c r="Y490" t="s">
        <v>2607</v>
      </c>
      <c r="Z490" t="s">
        <v>2617</v>
      </c>
      <c r="AA490" t="s">
        <v>2626</v>
      </c>
      <c r="AB490" t="s">
        <v>3079</v>
      </c>
      <c r="AD490" t="s">
        <v>3847</v>
      </c>
      <c r="AE490">
        <v>22</v>
      </c>
      <c r="AF490" t="s">
        <v>2518</v>
      </c>
      <c r="AG490" t="s">
        <v>2255</v>
      </c>
      <c r="AH490">
        <v>23</v>
      </c>
      <c r="AI490">
        <v>3</v>
      </c>
      <c r="AJ490">
        <v>1</v>
      </c>
      <c r="AK490">
        <v>135.92</v>
      </c>
      <c r="AN490" t="s">
        <v>4127</v>
      </c>
      <c r="AO490">
        <v>35000</v>
      </c>
      <c r="AU490">
        <v>0.1</v>
      </c>
      <c r="AV490" t="s">
        <v>257</v>
      </c>
      <c r="AW490" t="s">
        <v>80</v>
      </c>
      <c r="AX490" t="s">
        <v>4266</v>
      </c>
      <c r="AY490" t="s">
        <v>2226</v>
      </c>
      <c r="AZ490" t="s">
        <v>2225</v>
      </c>
    </row>
    <row r="491" spans="1:52">
      <c r="A491" s="1">
        <f>HYPERLINK("https://lsnyc.legalserver.org/matter/dynamic-profile/view/1913069","19-1913069")</f>
        <v>0</v>
      </c>
      <c r="B491" t="s">
        <v>88</v>
      </c>
      <c r="C491" t="s">
        <v>155</v>
      </c>
      <c r="D491" t="s">
        <v>241</v>
      </c>
      <c r="F491" t="s">
        <v>362</v>
      </c>
      <c r="G491" t="s">
        <v>1014</v>
      </c>
      <c r="H491" t="s">
        <v>1504</v>
      </c>
      <c r="I491">
        <v>814</v>
      </c>
      <c r="J491" t="s">
        <v>2196</v>
      </c>
      <c r="K491">
        <v>10029</v>
      </c>
      <c r="L491" t="s">
        <v>2224</v>
      </c>
      <c r="M491" t="s">
        <v>2226</v>
      </c>
      <c r="N491" t="s">
        <v>2434</v>
      </c>
      <c r="O491" t="s">
        <v>2535</v>
      </c>
      <c r="P491" t="s">
        <v>2559</v>
      </c>
      <c r="R491" t="s">
        <v>2569</v>
      </c>
      <c r="S491" t="s">
        <v>2225</v>
      </c>
      <c r="U491" t="s">
        <v>2578</v>
      </c>
      <c r="V491" t="s">
        <v>2588</v>
      </c>
      <c r="W491" t="s">
        <v>241</v>
      </c>
      <c r="X491">
        <v>0</v>
      </c>
      <c r="Y491" t="s">
        <v>2607</v>
      </c>
      <c r="Z491" t="s">
        <v>2613</v>
      </c>
      <c r="AB491" t="s">
        <v>3080</v>
      </c>
      <c r="AE491">
        <v>108</v>
      </c>
      <c r="AF491" t="s">
        <v>4104</v>
      </c>
      <c r="AG491" t="s">
        <v>4112</v>
      </c>
      <c r="AH491">
        <v>34</v>
      </c>
      <c r="AI491">
        <v>1</v>
      </c>
      <c r="AJ491">
        <v>2</v>
      </c>
      <c r="AK491">
        <v>136.52</v>
      </c>
      <c r="AN491" t="s">
        <v>4126</v>
      </c>
      <c r="AO491">
        <v>29120</v>
      </c>
      <c r="AU491">
        <v>0</v>
      </c>
      <c r="AW491" t="s">
        <v>4237</v>
      </c>
      <c r="AX491" t="s">
        <v>4266</v>
      </c>
      <c r="AY491" t="s">
        <v>2226</v>
      </c>
      <c r="AZ491" t="s">
        <v>2226</v>
      </c>
    </row>
    <row r="492" spans="1:52">
      <c r="A492" s="1">
        <f>HYPERLINK("https://lsnyc.legalserver.org/matter/dynamic-profile/view/1909517","19-1909517")</f>
        <v>0</v>
      </c>
      <c r="B492" t="s">
        <v>86</v>
      </c>
      <c r="C492" t="s">
        <v>154</v>
      </c>
      <c r="D492" t="s">
        <v>161</v>
      </c>
      <c r="E492" t="s">
        <v>257</v>
      </c>
      <c r="F492" t="s">
        <v>654</v>
      </c>
      <c r="G492" t="s">
        <v>1010</v>
      </c>
      <c r="H492" t="s">
        <v>1770</v>
      </c>
      <c r="I492">
        <v>23</v>
      </c>
      <c r="J492" t="s">
        <v>2196</v>
      </c>
      <c r="K492">
        <v>10033</v>
      </c>
      <c r="L492" t="s">
        <v>2224</v>
      </c>
      <c r="M492" t="s">
        <v>2226</v>
      </c>
      <c r="O492" t="s">
        <v>2536</v>
      </c>
      <c r="P492" t="s">
        <v>2556</v>
      </c>
      <c r="Q492" t="s">
        <v>2563</v>
      </c>
      <c r="R492" t="s">
        <v>2569</v>
      </c>
      <c r="S492" t="s">
        <v>2225</v>
      </c>
      <c r="U492" t="s">
        <v>2578</v>
      </c>
      <c r="W492" t="s">
        <v>161</v>
      </c>
      <c r="X492">
        <v>1322.53</v>
      </c>
      <c r="Y492" t="s">
        <v>2607</v>
      </c>
      <c r="Z492" t="s">
        <v>2617</v>
      </c>
      <c r="AA492" t="s">
        <v>2626</v>
      </c>
      <c r="AB492" t="s">
        <v>3081</v>
      </c>
      <c r="AD492" t="s">
        <v>3848</v>
      </c>
      <c r="AE492">
        <v>48</v>
      </c>
      <c r="AF492" t="s">
        <v>4099</v>
      </c>
      <c r="AG492" t="s">
        <v>4112</v>
      </c>
      <c r="AH492">
        <v>9</v>
      </c>
      <c r="AI492">
        <v>2</v>
      </c>
      <c r="AJ492">
        <v>0</v>
      </c>
      <c r="AK492">
        <v>136.68</v>
      </c>
      <c r="AN492" t="s">
        <v>4127</v>
      </c>
      <c r="AO492">
        <v>23112</v>
      </c>
      <c r="AU492">
        <v>0.1</v>
      </c>
      <c r="AV492" t="s">
        <v>257</v>
      </c>
      <c r="AW492" t="s">
        <v>80</v>
      </c>
      <c r="AX492" t="s">
        <v>4266</v>
      </c>
      <c r="AY492" t="s">
        <v>2226</v>
      </c>
      <c r="AZ492" t="s">
        <v>2225</v>
      </c>
    </row>
    <row r="493" spans="1:52">
      <c r="A493" s="1">
        <f>HYPERLINK("https://lsnyc.legalserver.org/matter/dynamic-profile/view/1904832","19-1904832")</f>
        <v>0</v>
      </c>
      <c r="B493" t="s">
        <v>117</v>
      </c>
      <c r="C493" t="s">
        <v>155</v>
      </c>
      <c r="D493" t="s">
        <v>265</v>
      </c>
      <c r="F493" t="s">
        <v>494</v>
      </c>
      <c r="G493" t="s">
        <v>864</v>
      </c>
      <c r="H493" t="s">
        <v>1771</v>
      </c>
      <c r="I493" t="s">
        <v>2123</v>
      </c>
      <c r="J493" t="s">
        <v>2194</v>
      </c>
      <c r="K493">
        <v>10452</v>
      </c>
      <c r="L493" t="s">
        <v>2224</v>
      </c>
      <c r="M493" t="s">
        <v>2226</v>
      </c>
      <c r="N493" t="s">
        <v>2435</v>
      </c>
      <c r="O493" t="s">
        <v>2535</v>
      </c>
      <c r="P493" t="s">
        <v>2558</v>
      </c>
      <c r="R493" t="s">
        <v>2569</v>
      </c>
      <c r="S493" t="s">
        <v>2225</v>
      </c>
      <c r="U493" t="s">
        <v>2578</v>
      </c>
      <c r="V493" t="s">
        <v>2591</v>
      </c>
      <c r="W493" t="s">
        <v>2594</v>
      </c>
      <c r="X493">
        <v>952</v>
      </c>
      <c r="Y493" t="s">
        <v>2605</v>
      </c>
      <c r="Z493" t="s">
        <v>2613</v>
      </c>
      <c r="AB493" t="s">
        <v>3082</v>
      </c>
      <c r="AC493" t="s">
        <v>3440</v>
      </c>
      <c r="AD493" t="s">
        <v>3849</v>
      </c>
      <c r="AE493">
        <v>15000</v>
      </c>
      <c r="AF493" t="s">
        <v>4099</v>
      </c>
      <c r="AG493" t="s">
        <v>4115</v>
      </c>
      <c r="AH493">
        <v>31</v>
      </c>
      <c r="AI493">
        <v>1</v>
      </c>
      <c r="AJ493">
        <v>0</v>
      </c>
      <c r="AK493">
        <v>137.29</v>
      </c>
      <c r="AN493" t="s">
        <v>4126</v>
      </c>
      <c r="AO493">
        <v>17148</v>
      </c>
      <c r="AU493">
        <v>27.6</v>
      </c>
      <c r="AV493" t="s">
        <v>245</v>
      </c>
      <c r="AW493" t="s">
        <v>4243</v>
      </c>
      <c r="AX493" t="s">
        <v>4267</v>
      </c>
      <c r="AY493" t="s">
        <v>2224</v>
      </c>
      <c r="AZ493" t="s">
        <v>2224</v>
      </c>
    </row>
    <row r="494" spans="1:52">
      <c r="A494" s="1">
        <f>HYPERLINK("https://lsnyc.legalserver.org/matter/dynamic-profile/view/1910692","19-1910692")</f>
        <v>0</v>
      </c>
      <c r="B494" t="s">
        <v>56</v>
      </c>
      <c r="C494" t="s">
        <v>155</v>
      </c>
      <c r="D494" t="s">
        <v>200</v>
      </c>
      <c r="F494" t="s">
        <v>432</v>
      </c>
      <c r="G494" t="s">
        <v>1200</v>
      </c>
      <c r="H494" t="s">
        <v>1772</v>
      </c>
      <c r="I494" t="s">
        <v>1967</v>
      </c>
      <c r="J494" t="s">
        <v>2199</v>
      </c>
      <c r="K494">
        <v>11354</v>
      </c>
      <c r="L494" t="s">
        <v>2224</v>
      </c>
      <c r="M494" t="s">
        <v>2226</v>
      </c>
      <c r="N494" t="s">
        <v>2436</v>
      </c>
      <c r="O494" t="s">
        <v>2533</v>
      </c>
      <c r="P494" t="s">
        <v>2558</v>
      </c>
      <c r="R494" t="s">
        <v>2569</v>
      </c>
      <c r="S494" t="s">
        <v>2225</v>
      </c>
      <c r="U494" t="s">
        <v>2578</v>
      </c>
      <c r="V494" t="s">
        <v>2588</v>
      </c>
      <c r="W494" t="s">
        <v>2599</v>
      </c>
      <c r="X494">
        <v>923</v>
      </c>
      <c r="Y494" t="s">
        <v>2603</v>
      </c>
      <c r="Z494" t="s">
        <v>2608</v>
      </c>
      <c r="AB494" t="s">
        <v>3083</v>
      </c>
      <c r="AD494" t="s">
        <v>3850</v>
      </c>
      <c r="AE494">
        <v>72</v>
      </c>
      <c r="AF494" t="s">
        <v>2518</v>
      </c>
      <c r="AG494" t="s">
        <v>2255</v>
      </c>
      <c r="AH494">
        <v>42</v>
      </c>
      <c r="AI494">
        <v>1</v>
      </c>
      <c r="AJ494">
        <v>0</v>
      </c>
      <c r="AK494">
        <v>137.39</v>
      </c>
      <c r="AN494" t="s">
        <v>4126</v>
      </c>
      <c r="AO494">
        <v>17160</v>
      </c>
      <c r="AU494">
        <v>11.5</v>
      </c>
      <c r="AV494" t="s">
        <v>188</v>
      </c>
      <c r="AW494" t="s">
        <v>4224</v>
      </c>
      <c r="AX494" t="s">
        <v>4266</v>
      </c>
      <c r="AY494" t="s">
        <v>2224</v>
      </c>
      <c r="AZ494" t="s">
        <v>2224</v>
      </c>
    </row>
    <row r="495" spans="1:52">
      <c r="A495" s="1">
        <f>HYPERLINK("https://lsnyc.legalserver.org/matter/dynamic-profile/view/1912519","19-1912519")</f>
        <v>0</v>
      </c>
      <c r="B495" t="s">
        <v>83</v>
      </c>
      <c r="C495" t="s">
        <v>155</v>
      </c>
      <c r="D495" t="s">
        <v>230</v>
      </c>
      <c r="F495" t="s">
        <v>655</v>
      </c>
      <c r="G495" t="s">
        <v>1201</v>
      </c>
      <c r="H495" t="s">
        <v>1739</v>
      </c>
      <c r="I495" t="s">
        <v>2000</v>
      </c>
      <c r="J495" t="s">
        <v>2192</v>
      </c>
      <c r="K495">
        <v>11213</v>
      </c>
      <c r="L495" t="s">
        <v>2224</v>
      </c>
      <c r="M495" t="s">
        <v>2226</v>
      </c>
      <c r="N495" t="s">
        <v>2437</v>
      </c>
      <c r="O495" t="s">
        <v>2544</v>
      </c>
      <c r="P495" t="s">
        <v>2562</v>
      </c>
      <c r="R495" t="s">
        <v>2569</v>
      </c>
      <c r="S495" t="s">
        <v>2224</v>
      </c>
      <c r="U495" t="s">
        <v>2581</v>
      </c>
      <c r="V495" t="s">
        <v>2588</v>
      </c>
      <c r="W495" t="s">
        <v>261</v>
      </c>
      <c r="X495">
        <v>643.12</v>
      </c>
      <c r="Y495" t="s">
        <v>2604</v>
      </c>
      <c r="Z495" t="s">
        <v>2613</v>
      </c>
      <c r="AB495" t="s">
        <v>3084</v>
      </c>
      <c r="AC495" t="s">
        <v>2255</v>
      </c>
      <c r="AD495" t="s">
        <v>3851</v>
      </c>
      <c r="AE495">
        <v>19</v>
      </c>
      <c r="AF495" t="s">
        <v>4099</v>
      </c>
      <c r="AG495" t="s">
        <v>2255</v>
      </c>
      <c r="AH495">
        <v>8</v>
      </c>
      <c r="AI495">
        <v>1</v>
      </c>
      <c r="AJ495">
        <v>1</v>
      </c>
      <c r="AK495">
        <v>137.5</v>
      </c>
      <c r="AN495" t="s">
        <v>4126</v>
      </c>
      <c r="AO495">
        <v>23252</v>
      </c>
      <c r="AU495">
        <v>1</v>
      </c>
      <c r="AV495" t="s">
        <v>261</v>
      </c>
      <c r="AW495" t="s">
        <v>83</v>
      </c>
      <c r="AX495" t="s">
        <v>4266</v>
      </c>
      <c r="AY495" t="s">
        <v>2224</v>
      </c>
      <c r="AZ495" t="s">
        <v>2224</v>
      </c>
    </row>
    <row r="496" spans="1:52">
      <c r="A496" s="1">
        <f>HYPERLINK("https://lsnyc.legalserver.org/matter/dynamic-profile/view/1907796","19-1907796")</f>
        <v>0</v>
      </c>
      <c r="B496" t="s">
        <v>81</v>
      </c>
      <c r="C496" t="s">
        <v>155</v>
      </c>
      <c r="D496" t="s">
        <v>183</v>
      </c>
      <c r="F496" t="s">
        <v>301</v>
      </c>
      <c r="G496" t="s">
        <v>854</v>
      </c>
      <c r="H496" t="s">
        <v>1450</v>
      </c>
      <c r="I496" t="s">
        <v>1946</v>
      </c>
      <c r="J496" t="s">
        <v>2192</v>
      </c>
      <c r="K496">
        <v>11212</v>
      </c>
      <c r="L496" t="s">
        <v>2224</v>
      </c>
      <c r="M496" t="s">
        <v>2226</v>
      </c>
      <c r="N496" t="s">
        <v>2255</v>
      </c>
      <c r="O496" t="s">
        <v>2539</v>
      </c>
      <c r="P496" t="s">
        <v>2561</v>
      </c>
      <c r="R496" t="s">
        <v>2569</v>
      </c>
      <c r="S496" t="s">
        <v>2224</v>
      </c>
      <c r="U496" t="s">
        <v>2578</v>
      </c>
      <c r="V496" t="s">
        <v>2588</v>
      </c>
      <c r="W496" t="s">
        <v>191</v>
      </c>
      <c r="X496">
        <v>430.8</v>
      </c>
      <c r="Y496" t="s">
        <v>2604</v>
      </c>
      <c r="Z496" t="s">
        <v>2614</v>
      </c>
      <c r="AB496" t="s">
        <v>3085</v>
      </c>
      <c r="AC496" t="s">
        <v>3441</v>
      </c>
      <c r="AD496" t="s">
        <v>3852</v>
      </c>
      <c r="AE496">
        <v>96</v>
      </c>
      <c r="AF496" t="s">
        <v>4099</v>
      </c>
      <c r="AG496" t="s">
        <v>2611</v>
      </c>
      <c r="AH496">
        <v>4</v>
      </c>
      <c r="AI496">
        <v>1</v>
      </c>
      <c r="AJ496">
        <v>0</v>
      </c>
      <c r="AK496">
        <v>137.97</v>
      </c>
      <c r="AN496" t="s">
        <v>4126</v>
      </c>
      <c r="AO496">
        <v>17232</v>
      </c>
      <c r="AU496">
        <v>0.08</v>
      </c>
      <c r="AV496" t="s">
        <v>272</v>
      </c>
      <c r="AW496" t="s">
        <v>127</v>
      </c>
      <c r="AX496" t="s">
        <v>4266</v>
      </c>
      <c r="AY496" t="s">
        <v>2224</v>
      </c>
      <c r="AZ496" t="s">
        <v>2224</v>
      </c>
    </row>
    <row r="497" spans="1:52">
      <c r="A497" s="1">
        <f>HYPERLINK("https://lsnyc.legalserver.org/matter/dynamic-profile/view/1904623","19-1904623")</f>
        <v>0</v>
      </c>
      <c r="B497" t="s">
        <v>128</v>
      </c>
      <c r="C497" t="s">
        <v>154</v>
      </c>
      <c r="D497" t="s">
        <v>192</v>
      </c>
      <c r="E497" t="s">
        <v>212</v>
      </c>
      <c r="F497" t="s">
        <v>656</v>
      </c>
      <c r="G497" t="s">
        <v>1202</v>
      </c>
      <c r="H497" t="s">
        <v>1773</v>
      </c>
      <c r="I497">
        <v>5</v>
      </c>
      <c r="J497" t="s">
        <v>2196</v>
      </c>
      <c r="K497">
        <v>10009</v>
      </c>
      <c r="L497" t="s">
        <v>2224</v>
      </c>
      <c r="M497" t="s">
        <v>2226</v>
      </c>
      <c r="N497" t="s">
        <v>2438</v>
      </c>
      <c r="O497" t="s">
        <v>2535</v>
      </c>
      <c r="P497" t="s">
        <v>2556</v>
      </c>
      <c r="Q497" t="s">
        <v>2563</v>
      </c>
      <c r="R497" t="s">
        <v>2569</v>
      </c>
      <c r="S497" t="s">
        <v>2225</v>
      </c>
      <c r="U497" t="s">
        <v>2578</v>
      </c>
      <c r="V497" t="s">
        <v>2588</v>
      </c>
      <c r="W497" t="s">
        <v>192</v>
      </c>
      <c r="X497">
        <v>3125</v>
      </c>
      <c r="Y497" t="s">
        <v>2607</v>
      </c>
      <c r="Z497" t="s">
        <v>2608</v>
      </c>
      <c r="AA497" t="s">
        <v>2626</v>
      </c>
      <c r="AB497" t="s">
        <v>3086</v>
      </c>
      <c r="AC497" t="s">
        <v>3442</v>
      </c>
      <c r="AD497" t="s">
        <v>3853</v>
      </c>
      <c r="AE497">
        <v>4</v>
      </c>
      <c r="AF497" t="s">
        <v>4098</v>
      </c>
      <c r="AG497" t="s">
        <v>2255</v>
      </c>
      <c r="AH497">
        <v>27</v>
      </c>
      <c r="AI497">
        <v>1</v>
      </c>
      <c r="AJ497">
        <v>0</v>
      </c>
      <c r="AK497">
        <v>138.11</v>
      </c>
      <c r="AN497" t="s">
        <v>4126</v>
      </c>
      <c r="AO497">
        <v>17250</v>
      </c>
      <c r="AU497">
        <v>1</v>
      </c>
      <c r="AV497" t="s">
        <v>189</v>
      </c>
      <c r="AW497" t="s">
        <v>4237</v>
      </c>
      <c r="AX497" t="s">
        <v>4267</v>
      </c>
      <c r="AY497" t="s">
        <v>2226</v>
      </c>
      <c r="AZ497" t="s">
        <v>2225</v>
      </c>
    </row>
    <row r="498" spans="1:52">
      <c r="A498" s="1">
        <f>HYPERLINK("https://lsnyc.legalserver.org/matter/dynamic-profile/view/1911215","19-1911215")</f>
        <v>0</v>
      </c>
      <c r="B498" t="s">
        <v>144</v>
      </c>
      <c r="C498" t="s">
        <v>154</v>
      </c>
      <c r="D498" t="s">
        <v>222</v>
      </c>
      <c r="E498" t="s">
        <v>272</v>
      </c>
      <c r="F498" t="s">
        <v>302</v>
      </c>
      <c r="G498" t="s">
        <v>1203</v>
      </c>
      <c r="H498" t="s">
        <v>1774</v>
      </c>
      <c r="I498" t="s">
        <v>2088</v>
      </c>
      <c r="J498" t="s">
        <v>2194</v>
      </c>
      <c r="K498">
        <v>10456</v>
      </c>
      <c r="L498" t="s">
        <v>2224</v>
      </c>
      <c r="M498" t="s">
        <v>2226</v>
      </c>
      <c r="N498" t="s">
        <v>2439</v>
      </c>
      <c r="O498" t="s">
        <v>2535</v>
      </c>
      <c r="P498" t="s">
        <v>2561</v>
      </c>
      <c r="Q498" t="s">
        <v>2566</v>
      </c>
      <c r="R498" t="s">
        <v>2569</v>
      </c>
      <c r="S498" t="s">
        <v>2225</v>
      </c>
      <c r="U498" t="s">
        <v>2578</v>
      </c>
      <c r="W498" t="s">
        <v>222</v>
      </c>
      <c r="X498">
        <v>0</v>
      </c>
      <c r="Y498" t="s">
        <v>2605</v>
      </c>
      <c r="Z498" t="s">
        <v>2612</v>
      </c>
      <c r="AA498" t="s">
        <v>2629</v>
      </c>
      <c r="AB498" t="s">
        <v>3087</v>
      </c>
      <c r="AD498" t="s">
        <v>3854</v>
      </c>
      <c r="AE498">
        <v>35</v>
      </c>
      <c r="AG498" t="s">
        <v>2255</v>
      </c>
      <c r="AH498">
        <v>11</v>
      </c>
      <c r="AI498">
        <v>1</v>
      </c>
      <c r="AJ498">
        <v>1</v>
      </c>
      <c r="AK498">
        <v>138.38</v>
      </c>
      <c r="AN498" t="s">
        <v>4126</v>
      </c>
      <c r="AO498">
        <v>23400</v>
      </c>
      <c r="AU498">
        <v>1</v>
      </c>
      <c r="AV498" t="s">
        <v>272</v>
      </c>
      <c r="AW498" t="s">
        <v>144</v>
      </c>
      <c r="AY498" t="s">
        <v>2224</v>
      </c>
      <c r="AZ498" t="s">
        <v>2224</v>
      </c>
    </row>
    <row r="499" spans="1:52">
      <c r="A499" s="1">
        <f>HYPERLINK("https://lsnyc.legalserver.org/matter/dynamic-profile/view/1904522","19-1904522")</f>
        <v>0</v>
      </c>
      <c r="B499" t="s">
        <v>89</v>
      </c>
      <c r="C499" t="s">
        <v>155</v>
      </c>
      <c r="D499" t="s">
        <v>203</v>
      </c>
      <c r="F499" t="s">
        <v>657</v>
      </c>
      <c r="G499" t="s">
        <v>1204</v>
      </c>
      <c r="H499" t="s">
        <v>1775</v>
      </c>
      <c r="I499" t="s">
        <v>1995</v>
      </c>
      <c r="J499" t="s">
        <v>2220</v>
      </c>
      <c r="K499">
        <v>11104</v>
      </c>
      <c r="L499" t="s">
        <v>2224</v>
      </c>
      <c r="M499" t="s">
        <v>2226</v>
      </c>
      <c r="N499" t="s">
        <v>2440</v>
      </c>
      <c r="O499" t="s">
        <v>2533</v>
      </c>
      <c r="P499" t="s">
        <v>2558</v>
      </c>
      <c r="R499" t="s">
        <v>2569</v>
      </c>
      <c r="S499" t="s">
        <v>2225</v>
      </c>
      <c r="U499" t="s">
        <v>2578</v>
      </c>
      <c r="V499" t="s">
        <v>2588</v>
      </c>
      <c r="W499" t="s">
        <v>203</v>
      </c>
      <c r="X499">
        <v>1241</v>
      </c>
      <c r="Y499" t="s">
        <v>2603</v>
      </c>
      <c r="Z499" t="s">
        <v>2608</v>
      </c>
      <c r="AB499" t="s">
        <v>3088</v>
      </c>
      <c r="AD499" t="s">
        <v>3855</v>
      </c>
      <c r="AE499">
        <v>60</v>
      </c>
      <c r="AF499" t="s">
        <v>2518</v>
      </c>
      <c r="AG499" t="s">
        <v>2255</v>
      </c>
      <c r="AH499">
        <v>20</v>
      </c>
      <c r="AI499">
        <v>2</v>
      </c>
      <c r="AJ499">
        <v>0</v>
      </c>
      <c r="AK499">
        <v>138.65</v>
      </c>
      <c r="AN499" t="s">
        <v>4128</v>
      </c>
      <c r="AO499">
        <v>23446.28</v>
      </c>
      <c r="AU499">
        <v>16.95</v>
      </c>
      <c r="AV499" t="s">
        <v>197</v>
      </c>
      <c r="AW499" t="s">
        <v>4224</v>
      </c>
      <c r="AX499" t="s">
        <v>4266</v>
      </c>
      <c r="AY499" t="s">
        <v>2226</v>
      </c>
      <c r="AZ499" t="s">
        <v>2226</v>
      </c>
    </row>
    <row r="500" spans="1:52">
      <c r="A500" s="1">
        <f>HYPERLINK("https://lsnyc.legalserver.org/matter/dynamic-profile/view/1904923","19-1904923")</f>
        <v>0</v>
      </c>
      <c r="B500" t="s">
        <v>103</v>
      </c>
      <c r="C500" t="s">
        <v>155</v>
      </c>
      <c r="D500" t="s">
        <v>210</v>
      </c>
      <c r="F500" t="s">
        <v>658</v>
      </c>
      <c r="G500" t="s">
        <v>1205</v>
      </c>
      <c r="H500" t="s">
        <v>1776</v>
      </c>
      <c r="I500" t="s">
        <v>1947</v>
      </c>
      <c r="J500" t="s">
        <v>2221</v>
      </c>
      <c r="K500">
        <v>11422</v>
      </c>
      <c r="L500" t="s">
        <v>2224</v>
      </c>
      <c r="M500" t="s">
        <v>2226</v>
      </c>
      <c r="N500" t="s">
        <v>2441</v>
      </c>
      <c r="O500" t="s">
        <v>2533</v>
      </c>
      <c r="P500" t="s">
        <v>2556</v>
      </c>
      <c r="R500" t="s">
        <v>2569</v>
      </c>
      <c r="S500" t="s">
        <v>2225</v>
      </c>
      <c r="U500" t="s">
        <v>2578</v>
      </c>
      <c r="V500" t="s">
        <v>2588</v>
      </c>
      <c r="W500" t="s">
        <v>210</v>
      </c>
      <c r="X500">
        <v>1800</v>
      </c>
      <c r="Y500" t="s">
        <v>2603</v>
      </c>
      <c r="Z500" t="s">
        <v>2608</v>
      </c>
      <c r="AB500" t="s">
        <v>3089</v>
      </c>
      <c r="AD500" t="s">
        <v>3856</v>
      </c>
      <c r="AE500">
        <v>2</v>
      </c>
      <c r="AF500" t="s">
        <v>2518</v>
      </c>
      <c r="AG500" t="s">
        <v>2255</v>
      </c>
      <c r="AH500">
        <v>7</v>
      </c>
      <c r="AI500">
        <v>2</v>
      </c>
      <c r="AJ500">
        <v>3</v>
      </c>
      <c r="AK500">
        <v>139.21</v>
      </c>
      <c r="AN500" t="s">
        <v>4126</v>
      </c>
      <c r="AO500">
        <v>42000</v>
      </c>
      <c r="AU500">
        <v>1.97</v>
      </c>
      <c r="AV500" t="s">
        <v>185</v>
      </c>
      <c r="AW500" t="s">
        <v>4224</v>
      </c>
      <c r="AX500" t="s">
        <v>4266</v>
      </c>
      <c r="AY500" t="s">
        <v>2224</v>
      </c>
      <c r="AZ500" t="s">
        <v>2224</v>
      </c>
    </row>
    <row r="501" spans="1:52">
      <c r="A501" s="1">
        <f>HYPERLINK("https://lsnyc.legalserver.org/matter/dynamic-profile/view/1911975","19-1911975")</f>
        <v>0</v>
      </c>
      <c r="B501" t="s">
        <v>88</v>
      </c>
      <c r="C501" t="s">
        <v>155</v>
      </c>
      <c r="D501" t="s">
        <v>197</v>
      </c>
      <c r="F501" t="s">
        <v>616</v>
      </c>
      <c r="G501" t="s">
        <v>1206</v>
      </c>
      <c r="H501" t="s">
        <v>1504</v>
      </c>
      <c r="I501">
        <v>614</v>
      </c>
      <c r="J501" t="s">
        <v>2196</v>
      </c>
      <c r="K501">
        <v>10029</v>
      </c>
      <c r="L501" t="s">
        <v>2224</v>
      </c>
      <c r="M501" t="s">
        <v>2226</v>
      </c>
      <c r="O501" t="s">
        <v>2534</v>
      </c>
      <c r="P501" t="s">
        <v>2559</v>
      </c>
      <c r="R501" t="s">
        <v>2569</v>
      </c>
      <c r="S501" t="s">
        <v>2225</v>
      </c>
      <c r="U501" t="s">
        <v>2578</v>
      </c>
      <c r="V501" t="s">
        <v>2588</v>
      </c>
      <c r="W501" t="s">
        <v>174</v>
      </c>
      <c r="X501">
        <v>345</v>
      </c>
      <c r="Y501" t="s">
        <v>2607</v>
      </c>
      <c r="Z501" t="s">
        <v>2611</v>
      </c>
      <c r="AB501" t="s">
        <v>3090</v>
      </c>
      <c r="AD501" t="s">
        <v>3857</v>
      </c>
      <c r="AE501">
        <v>108</v>
      </c>
      <c r="AF501" t="s">
        <v>4110</v>
      </c>
      <c r="AG501" t="s">
        <v>4112</v>
      </c>
      <c r="AH501">
        <v>32</v>
      </c>
      <c r="AI501">
        <v>2</v>
      </c>
      <c r="AJ501">
        <v>0</v>
      </c>
      <c r="AK501">
        <v>139.47</v>
      </c>
      <c r="AN501" t="s">
        <v>4127</v>
      </c>
      <c r="AO501">
        <v>23583.84</v>
      </c>
      <c r="AU501">
        <v>0</v>
      </c>
      <c r="AW501" t="s">
        <v>4237</v>
      </c>
      <c r="AX501" t="s">
        <v>4266</v>
      </c>
      <c r="AY501" t="s">
        <v>2226</v>
      </c>
      <c r="AZ501" t="s">
        <v>2226</v>
      </c>
    </row>
    <row r="502" spans="1:52">
      <c r="A502" s="1">
        <f>HYPERLINK("https://lsnyc.legalserver.org/matter/dynamic-profile/view/1904289","19-1904289")</f>
        <v>0</v>
      </c>
      <c r="B502" t="s">
        <v>86</v>
      </c>
      <c r="C502" t="s">
        <v>154</v>
      </c>
      <c r="D502" t="s">
        <v>158</v>
      </c>
      <c r="E502" t="s">
        <v>192</v>
      </c>
      <c r="F502" t="s">
        <v>659</v>
      </c>
      <c r="G502" t="s">
        <v>1207</v>
      </c>
      <c r="H502" t="s">
        <v>1777</v>
      </c>
      <c r="I502" t="s">
        <v>2124</v>
      </c>
      <c r="J502" t="s">
        <v>2196</v>
      </c>
      <c r="K502">
        <v>10040</v>
      </c>
      <c r="L502" t="s">
        <v>2224</v>
      </c>
      <c r="M502" t="s">
        <v>2226</v>
      </c>
      <c r="O502" t="s">
        <v>2536</v>
      </c>
      <c r="P502" t="s">
        <v>2561</v>
      </c>
      <c r="Q502" t="s">
        <v>2566</v>
      </c>
      <c r="R502" t="s">
        <v>2569</v>
      </c>
      <c r="S502" t="s">
        <v>2225</v>
      </c>
      <c r="U502" t="s">
        <v>2578</v>
      </c>
      <c r="W502" t="s">
        <v>158</v>
      </c>
      <c r="X502">
        <v>1400</v>
      </c>
      <c r="Y502" t="s">
        <v>2607</v>
      </c>
      <c r="Z502" t="s">
        <v>2617</v>
      </c>
      <c r="AA502" t="s">
        <v>2630</v>
      </c>
      <c r="AB502" t="s">
        <v>3091</v>
      </c>
      <c r="AD502" t="s">
        <v>3858</v>
      </c>
      <c r="AE502">
        <v>47</v>
      </c>
      <c r="AF502" t="s">
        <v>4099</v>
      </c>
      <c r="AG502" t="s">
        <v>2255</v>
      </c>
      <c r="AH502">
        <v>5</v>
      </c>
      <c r="AI502">
        <v>2</v>
      </c>
      <c r="AJ502">
        <v>0</v>
      </c>
      <c r="AK502">
        <v>139.8</v>
      </c>
      <c r="AN502" t="s">
        <v>4126</v>
      </c>
      <c r="AO502">
        <v>23640</v>
      </c>
      <c r="AU502">
        <v>2.1</v>
      </c>
      <c r="AV502" t="s">
        <v>192</v>
      </c>
      <c r="AW502" t="s">
        <v>80</v>
      </c>
      <c r="AX502" t="s">
        <v>4266</v>
      </c>
      <c r="AY502" t="s">
        <v>2224</v>
      </c>
      <c r="AZ502" t="s">
        <v>2224</v>
      </c>
    </row>
    <row r="503" spans="1:52">
      <c r="A503" s="1">
        <f>HYPERLINK("https://lsnyc.legalserver.org/matter/dynamic-profile/view/1907946","19-1907946")</f>
        <v>0</v>
      </c>
      <c r="B503" t="s">
        <v>52</v>
      </c>
      <c r="C503" t="s">
        <v>155</v>
      </c>
      <c r="D503" t="s">
        <v>184</v>
      </c>
      <c r="F503" t="s">
        <v>660</v>
      </c>
      <c r="G503" t="s">
        <v>1208</v>
      </c>
      <c r="H503" t="s">
        <v>1778</v>
      </c>
      <c r="I503" t="s">
        <v>2125</v>
      </c>
      <c r="J503" t="s">
        <v>2221</v>
      </c>
      <c r="K503">
        <v>11422</v>
      </c>
      <c r="L503" t="s">
        <v>2224</v>
      </c>
      <c r="M503" t="s">
        <v>2226</v>
      </c>
      <c r="N503" t="s">
        <v>2442</v>
      </c>
      <c r="O503" t="s">
        <v>2533</v>
      </c>
      <c r="P503" t="s">
        <v>2558</v>
      </c>
      <c r="R503" t="s">
        <v>2569</v>
      </c>
      <c r="S503" t="s">
        <v>2225</v>
      </c>
      <c r="U503" t="s">
        <v>2578</v>
      </c>
      <c r="V503" t="s">
        <v>2588</v>
      </c>
      <c r="W503" t="s">
        <v>184</v>
      </c>
      <c r="X503">
        <v>800</v>
      </c>
      <c r="Y503" t="s">
        <v>2603</v>
      </c>
      <c r="Z503" t="s">
        <v>2608</v>
      </c>
      <c r="AB503" t="s">
        <v>3092</v>
      </c>
      <c r="AD503" t="s">
        <v>3859</v>
      </c>
      <c r="AE503">
        <v>2</v>
      </c>
      <c r="AF503" t="s">
        <v>4098</v>
      </c>
      <c r="AG503" t="s">
        <v>2255</v>
      </c>
      <c r="AH503">
        <v>-1</v>
      </c>
      <c r="AI503">
        <v>1</v>
      </c>
      <c r="AJ503">
        <v>2</v>
      </c>
      <c r="AK503">
        <v>140.65</v>
      </c>
      <c r="AN503" t="s">
        <v>4126</v>
      </c>
      <c r="AO503">
        <v>30000</v>
      </c>
      <c r="AU503">
        <v>14.6</v>
      </c>
      <c r="AV503" t="s">
        <v>230</v>
      </c>
      <c r="AW503" t="s">
        <v>4224</v>
      </c>
      <c r="AX503" t="s">
        <v>4266</v>
      </c>
      <c r="AY503" t="s">
        <v>2224</v>
      </c>
      <c r="AZ503" t="s">
        <v>2224</v>
      </c>
    </row>
    <row r="504" spans="1:52">
      <c r="A504" s="1">
        <f>HYPERLINK("https://lsnyc.legalserver.org/matter/dynamic-profile/view/1911992","19-1911992")</f>
        <v>0</v>
      </c>
      <c r="B504" t="s">
        <v>87</v>
      </c>
      <c r="C504" t="s">
        <v>155</v>
      </c>
      <c r="D504" t="s">
        <v>197</v>
      </c>
      <c r="F504" t="s">
        <v>661</v>
      </c>
      <c r="G504" t="s">
        <v>1209</v>
      </c>
      <c r="H504" t="s">
        <v>1731</v>
      </c>
      <c r="I504" t="s">
        <v>2126</v>
      </c>
      <c r="J504" t="s">
        <v>2196</v>
      </c>
      <c r="K504">
        <v>10035</v>
      </c>
      <c r="L504" t="s">
        <v>2224</v>
      </c>
      <c r="M504" t="s">
        <v>2226</v>
      </c>
      <c r="O504" t="s">
        <v>2534</v>
      </c>
      <c r="P504" t="s">
        <v>2559</v>
      </c>
      <c r="R504" t="s">
        <v>2569</v>
      </c>
      <c r="S504" t="s">
        <v>2224</v>
      </c>
      <c r="U504" t="s">
        <v>2578</v>
      </c>
      <c r="V504" t="s">
        <v>2588</v>
      </c>
      <c r="W504" t="s">
        <v>197</v>
      </c>
      <c r="X504">
        <v>1033.5</v>
      </c>
      <c r="Y504" t="s">
        <v>2607</v>
      </c>
      <c r="Z504" t="s">
        <v>2609</v>
      </c>
      <c r="AB504" t="s">
        <v>3093</v>
      </c>
      <c r="AD504" t="s">
        <v>3860</v>
      </c>
      <c r="AE504">
        <v>60</v>
      </c>
      <c r="AF504" t="s">
        <v>4099</v>
      </c>
      <c r="AG504" t="s">
        <v>4112</v>
      </c>
      <c r="AH504">
        <v>15</v>
      </c>
      <c r="AI504">
        <v>3</v>
      </c>
      <c r="AJ504">
        <v>0</v>
      </c>
      <c r="AK504">
        <v>140.65</v>
      </c>
      <c r="AN504" t="s">
        <v>4127</v>
      </c>
      <c r="AO504">
        <v>30000</v>
      </c>
      <c r="AU504">
        <v>0</v>
      </c>
      <c r="AW504" t="s">
        <v>4237</v>
      </c>
      <c r="AX504" t="s">
        <v>4266</v>
      </c>
      <c r="AY504" t="s">
        <v>2226</v>
      </c>
      <c r="AZ504" t="s">
        <v>2226</v>
      </c>
    </row>
    <row r="505" spans="1:52">
      <c r="A505" s="1">
        <f>HYPERLINK("https://lsnyc.legalserver.org/matter/dynamic-profile/view/1907576","19-1907576")</f>
        <v>0</v>
      </c>
      <c r="B505" t="s">
        <v>98</v>
      </c>
      <c r="C505" t="s">
        <v>155</v>
      </c>
      <c r="D505" t="s">
        <v>190</v>
      </c>
      <c r="F505" t="s">
        <v>662</v>
      </c>
      <c r="G505" t="s">
        <v>1068</v>
      </c>
      <c r="H505" t="s">
        <v>1779</v>
      </c>
      <c r="I505" t="s">
        <v>2127</v>
      </c>
      <c r="J505" t="s">
        <v>2196</v>
      </c>
      <c r="K505">
        <v>10034</v>
      </c>
      <c r="L505" t="s">
        <v>2224</v>
      </c>
      <c r="M505" t="s">
        <v>2226</v>
      </c>
      <c r="P505" t="s">
        <v>2561</v>
      </c>
      <c r="R505" t="s">
        <v>2569</v>
      </c>
      <c r="S505" t="s">
        <v>2225</v>
      </c>
      <c r="U505" t="s">
        <v>2578</v>
      </c>
      <c r="W505" t="s">
        <v>190</v>
      </c>
      <c r="X505">
        <v>0</v>
      </c>
      <c r="Y505" t="s">
        <v>2607</v>
      </c>
      <c r="Z505" t="s">
        <v>2617</v>
      </c>
      <c r="AB505" t="s">
        <v>3094</v>
      </c>
      <c r="AD505" t="s">
        <v>3861</v>
      </c>
      <c r="AE505">
        <v>25</v>
      </c>
      <c r="AF505" t="s">
        <v>4099</v>
      </c>
      <c r="AG505" t="s">
        <v>2255</v>
      </c>
      <c r="AH505">
        <v>14</v>
      </c>
      <c r="AI505">
        <v>3</v>
      </c>
      <c r="AJ505">
        <v>0</v>
      </c>
      <c r="AK505">
        <v>141.77</v>
      </c>
      <c r="AN505" t="s">
        <v>4127</v>
      </c>
      <c r="AO505">
        <v>30240</v>
      </c>
      <c r="AU505">
        <v>1.7</v>
      </c>
      <c r="AV505" t="s">
        <v>232</v>
      </c>
      <c r="AW505" t="s">
        <v>80</v>
      </c>
      <c r="AX505" t="s">
        <v>4266</v>
      </c>
      <c r="AY505" t="s">
        <v>2224</v>
      </c>
      <c r="AZ505" t="s">
        <v>2224</v>
      </c>
    </row>
    <row r="506" spans="1:52">
      <c r="A506" s="1">
        <f>HYPERLINK("https://lsnyc.legalserver.org/matter/dynamic-profile/view/1908662","19-1908662")</f>
        <v>0</v>
      </c>
      <c r="B506" t="s">
        <v>87</v>
      </c>
      <c r="C506" t="s">
        <v>155</v>
      </c>
      <c r="D506" t="s">
        <v>171</v>
      </c>
      <c r="F506" t="s">
        <v>368</v>
      </c>
      <c r="G506" t="s">
        <v>1142</v>
      </c>
      <c r="H506" t="s">
        <v>1520</v>
      </c>
      <c r="I506" t="s">
        <v>2128</v>
      </c>
      <c r="J506" t="s">
        <v>2196</v>
      </c>
      <c r="K506">
        <v>10035</v>
      </c>
      <c r="L506" t="s">
        <v>2224</v>
      </c>
      <c r="M506" t="s">
        <v>2226</v>
      </c>
      <c r="N506" t="s">
        <v>2443</v>
      </c>
      <c r="O506" t="s">
        <v>2534</v>
      </c>
      <c r="P506" t="s">
        <v>2558</v>
      </c>
      <c r="R506" t="s">
        <v>2569</v>
      </c>
      <c r="S506" t="s">
        <v>2224</v>
      </c>
      <c r="U506" t="s">
        <v>2578</v>
      </c>
      <c r="V506" t="s">
        <v>2588</v>
      </c>
      <c r="W506" t="s">
        <v>171</v>
      </c>
      <c r="X506">
        <v>1133.6</v>
      </c>
      <c r="Y506" t="s">
        <v>2607</v>
      </c>
      <c r="Z506" t="s">
        <v>2609</v>
      </c>
      <c r="AB506" t="s">
        <v>3095</v>
      </c>
      <c r="AD506" t="s">
        <v>3862</v>
      </c>
      <c r="AE506">
        <v>72</v>
      </c>
      <c r="AF506" t="s">
        <v>4099</v>
      </c>
      <c r="AG506" t="s">
        <v>2255</v>
      </c>
      <c r="AH506">
        <v>9</v>
      </c>
      <c r="AI506">
        <v>2</v>
      </c>
      <c r="AJ506">
        <v>0</v>
      </c>
      <c r="AK506">
        <v>141.93</v>
      </c>
      <c r="AN506" t="s">
        <v>4126</v>
      </c>
      <c r="AO506">
        <v>24000</v>
      </c>
      <c r="AU506">
        <v>0</v>
      </c>
      <c r="AW506" t="s">
        <v>4237</v>
      </c>
      <c r="AX506" t="s">
        <v>4266</v>
      </c>
      <c r="AY506" t="s">
        <v>2224</v>
      </c>
      <c r="AZ506" t="s">
        <v>2224</v>
      </c>
    </row>
    <row r="507" spans="1:52">
      <c r="A507" s="1">
        <f>HYPERLINK("https://lsnyc.legalserver.org/matter/dynamic-profile/view/1909025","19-1909025")</f>
        <v>0</v>
      </c>
      <c r="B507" t="s">
        <v>93</v>
      </c>
      <c r="C507" t="s">
        <v>154</v>
      </c>
      <c r="D507" t="s">
        <v>212</v>
      </c>
      <c r="E507" t="s">
        <v>229</v>
      </c>
      <c r="F507" t="s">
        <v>299</v>
      </c>
      <c r="G507" t="s">
        <v>1210</v>
      </c>
      <c r="H507" t="s">
        <v>1780</v>
      </c>
      <c r="I507">
        <v>1611</v>
      </c>
      <c r="J507" t="s">
        <v>2186</v>
      </c>
      <c r="K507">
        <v>11692</v>
      </c>
      <c r="L507" t="s">
        <v>2224</v>
      </c>
      <c r="M507" t="s">
        <v>2226</v>
      </c>
      <c r="O507" t="s">
        <v>2538</v>
      </c>
      <c r="P507" t="s">
        <v>2556</v>
      </c>
      <c r="Q507" t="s">
        <v>2563</v>
      </c>
      <c r="R507" t="s">
        <v>2569</v>
      </c>
      <c r="S507" t="s">
        <v>2225</v>
      </c>
      <c r="U507" t="s">
        <v>2578</v>
      </c>
      <c r="W507" t="s">
        <v>257</v>
      </c>
      <c r="X507">
        <v>1981</v>
      </c>
      <c r="Y507" t="s">
        <v>2603</v>
      </c>
      <c r="Z507" t="s">
        <v>2613</v>
      </c>
      <c r="AA507" t="s">
        <v>2626</v>
      </c>
      <c r="AB507" t="s">
        <v>3096</v>
      </c>
      <c r="AD507" t="s">
        <v>3863</v>
      </c>
      <c r="AE507">
        <v>209</v>
      </c>
      <c r="AG507" t="s">
        <v>4112</v>
      </c>
      <c r="AH507">
        <v>4</v>
      </c>
      <c r="AI507">
        <v>2</v>
      </c>
      <c r="AJ507">
        <v>0</v>
      </c>
      <c r="AK507">
        <v>142.42</v>
      </c>
      <c r="AN507" t="s">
        <v>4126</v>
      </c>
      <c r="AO507">
        <v>24084</v>
      </c>
      <c r="AU507">
        <v>2.95</v>
      </c>
      <c r="AV507" t="s">
        <v>229</v>
      </c>
      <c r="AW507" t="s">
        <v>4227</v>
      </c>
      <c r="AX507" t="s">
        <v>4266</v>
      </c>
      <c r="AY507" t="s">
        <v>2224</v>
      </c>
      <c r="AZ507" t="s">
        <v>2224</v>
      </c>
    </row>
    <row r="508" spans="1:52">
      <c r="A508" s="1">
        <f>HYPERLINK("https://lsnyc.legalserver.org/matter/dynamic-profile/view/1905014","19-1905014")</f>
        <v>0</v>
      </c>
      <c r="B508" t="s">
        <v>53</v>
      </c>
      <c r="C508" t="s">
        <v>155</v>
      </c>
      <c r="D508" t="s">
        <v>210</v>
      </c>
      <c r="F508" t="s">
        <v>663</v>
      </c>
      <c r="G508" t="s">
        <v>1211</v>
      </c>
      <c r="H508" t="s">
        <v>1781</v>
      </c>
      <c r="I508" t="s">
        <v>2129</v>
      </c>
      <c r="J508" t="s">
        <v>2217</v>
      </c>
      <c r="K508">
        <v>11418</v>
      </c>
      <c r="L508" t="s">
        <v>2224</v>
      </c>
      <c r="M508" t="s">
        <v>2226</v>
      </c>
      <c r="N508" t="s">
        <v>2444</v>
      </c>
      <c r="O508" t="s">
        <v>2533</v>
      </c>
      <c r="P508" t="s">
        <v>2558</v>
      </c>
      <c r="R508" t="s">
        <v>2569</v>
      </c>
      <c r="S508" t="s">
        <v>2224</v>
      </c>
      <c r="U508" t="s">
        <v>2578</v>
      </c>
      <c r="V508" t="s">
        <v>2588</v>
      </c>
      <c r="W508" t="s">
        <v>210</v>
      </c>
      <c r="X508">
        <v>850</v>
      </c>
      <c r="Y508" t="s">
        <v>2603</v>
      </c>
      <c r="Z508" t="s">
        <v>2608</v>
      </c>
      <c r="AB508" t="s">
        <v>3097</v>
      </c>
      <c r="AC508" t="s">
        <v>3443</v>
      </c>
      <c r="AD508" t="s">
        <v>3864</v>
      </c>
      <c r="AE508">
        <v>3</v>
      </c>
      <c r="AF508" t="s">
        <v>4110</v>
      </c>
      <c r="AG508" t="s">
        <v>2611</v>
      </c>
      <c r="AH508">
        <v>25</v>
      </c>
      <c r="AI508">
        <v>2</v>
      </c>
      <c r="AJ508">
        <v>0</v>
      </c>
      <c r="AK508">
        <v>143.06</v>
      </c>
      <c r="AN508" t="s">
        <v>4126</v>
      </c>
      <c r="AO508">
        <v>24192</v>
      </c>
      <c r="AU508">
        <v>5.05</v>
      </c>
      <c r="AV508" t="s">
        <v>183</v>
      </c>
      <c r="AW508" t="s">
        <v>4223</v>
      </c>
      <c r="AX508" t="s">
        <v>4266</v>
      </c>
      <c r="AY508" t="s">
        <v>2224</v>
      </c>
      <c r="AZ508" t="s">
        <v>2224</v>
      </c>
    </row>
    <row r="509" spans="1:52">
      <c r="A509" s="1">
        <f>HYPERLINK("https://lsnyc.legalserver.org/matter/dynamic-profile/view/1912978","19-1912978")</f>
        <v>0</v>
      </c>
      <c r="B509" t="s">
        <v>83</v>
      </c>
      <c r="C509" t="s">
        <v>155</v>
      </c>
      <c r="D509" t="s">
        <v>168</v>
      </c>
      <c r="F509" t="s">
        <v>664</v>
      </c>
      <c r="G509" t="s">
        <v>1212</v>
      </c>
      <c r="H509" t="s">
        <v>1782</v>
      </c>
      <c r="J509" t="s">
        <v>2192</v>
      </c>
      <c r="K509">
        <v>11207</v>
      </c>
      <c r="L509" t="s">
        <v>2224</v>
      </c>
      <c r="M509" t="s">
        <v>2226</v>
      </c>
      <c r="N509" t="s">
        <v>2237</v>
      </c>
      <c r="O509" t="s">
        <v>2238</v>
      </c>
      <c r="R509" t="s">
        <v>2569</v>
      </c>
      <c r="S509" t="s">
        <v>2225</v>
      </c>
      <c r="U509" t="s">
        <v>2580</v>
      </c>
      <c r="V509" t="s">
        <v>2588</v>
      </c>
      <c r="W509" t="s">
        <v>157</v>
      </c>
      <c r="X509">
        <v>0</v>
      </c>
      <c r="Y509" t="s">
        <v>2604</v>
      </c>
      <c r="AB509" t="s">
        <v>3098</v>
      </c>
      <c r="AD509" t="s">
        <v>3865</v>
      </c>
      <c r="AE509">
        <v>0</v>
      </c>
      <c r="AH509">
        <v>0</v>
      </c>
      <c r="AI509">
        <v>1</v>
      </c>
      <c r="AJ509">
        <v>1</v>
      </c>
      <c r="AK509">
        <v>143.58</v>
      </c>
      <c r="AN509" t="s">
        <v>4127</v>
      </c>
      <c r="AO509">
        <v>24280</v>
      </c>
      <c r="AU509">
        <v>0</v>
      </c>
      <c r="AW509" t="s">
        <v>4226</v>
      </c>
      <c r="AX509" t="s">
        <v>4266</v>
      </c>
      <c r="AY509" t="s">
        <v>2226</v>
      </c>
      <c r="AZ509" t="s">
        <v>2226</v>
      </c>
    </row>
    <row r="510" spans="1:52">
      <c r="A510" s="1">
        <f>HYPERLINK("https://lsnyc.legalserver.org/matter/dynamic-profile/view/1908462","19-1908462")</f>
        <v>0</v>
      </c>
      <c r="B510" t="s">
        <v>87</v>
      </c>
      <c r="C510" t="s">
        <v>155</v>
      </c>
      <c r="D510" t="s">
        <v>240</v>
      </c>
      <c r="F510" t="s">
        <v>329</v>
      </c>
      <c r="G510" t="s">
        <v>1213</v>
      </c>
      <c r="H510" t="s">
        <v>1520</v>
      </c>
      <c r="I510" t="s">
        <v>2130</v>
      </c>
      <c r="J510" t="s">
        <v>2196</v>
      </c>
      <c r="K510">
        <v>10035</v>
      </c>
      <c r="L510" t="s">
        <v>2224</v>
      </c>
      <c r="M510" t="s">
        <v>2226</v>
      </c>
      <c r="O510" t="s">
        <v>2238</v>
      </c>
      <c r="P510" t="s">
        <v>2561</v>
      </c>
      <c r="R510" t="s">
        <v>2569</v>
      </c>
      <c r="S510" t="s">
        <v>2224</v>
      </c>
      <c r="U510" t="s">
        <v>2578</v>
      </c>
      <c r="V510" t="s">
        <v>2588</v>
      </c>
      <c r="W510" t="s">
        <v>184</v>
      </c>
      <c r="X510">
        <v>1937.63</v>
      </c>
      <c r="Y510" t="s">
        <v>2607</v>
      </c>
      <c r="Z510" t="s">
        <v>2609</v>
      </c>
      <c r="AB510" t="s">
        <v>3099</v>
      </c>
      <c r="AD510" t="s">
        <v>3866</v>
      </c>
      <c r="AE510">
        <v>72</v>
      </c>
      <c r="AF510" t="s">
        <v>4099</v>
      </c>
      <c r="AG510" t="s">
        <v>4112</v>
      </c>
      <c r="AH510">
        <v>39</v>
      </c>
      <c r="AI510">
        <v>1</v>
      </c>
      <c r="AJ510">
        <v>0</v>
      </c>
      <c r="AK510">
        <v>144.12</v>
      </c>
      <c r="AN510" t="s">
        <v>4126</v>
      </c>
      <c r="AO510">
        <v>18000</v>
      </c>
      <c r="AU510">
        <v>0</v>
      </c>
      <c r="AW510" t="s">
        <v>4237</v>
      </c>
      <c r="AX510" t="s">
        <v>4266</v>
      </c>
      <c r="AY510" t="s">
        <v>2224</v>
      </c>
      <c r="AZ510" t="s">
        <v>2224</v>
      </c>
    </row>
    <row r="511" spans="1:52">
      <c r="A511" s="1">
        <f>HYPERLINK("https://lsnyc.legalserver.org/matter/dynamic-profile/view/1913398","19-1913398")</f>
        <v>0</v>
      </c>
      <c r="B511" t="s">
        <v>90</v>
      </c>
      <c r="C511" t="s">
        <v>155</v>
      </c>
      <c r="D511" t="s">
        <v>218</v>
      </c>
      <c r="F511" t="s">
        <v>665</v>
      </c>
      <c r="G511" t="s">
        <v>1214</v>
      </c>
      <c r="H511" t="s">
        <v>1783</v>
      </c>
      <c r="I511">
        <v>43</v>
      </c>
      <c r="J511" t="s">
        <v>2196</v>
      </c>
      <c r="K511">
        <v>10034</v>
      </c>
      <c r="L511" t="s">
        <v>2224</v>
      </c>
      <c r="M511" t="s">
        <v>2226</v>
      </c>
      <c r="O511" t="s">
        <v>2537</v>
      </c>
      <c r="P511" t="s">
        <v>2558</v>
      </c>
      <c r="R511" t="s">
        <v>2569</v>
      </c>
      <c r="S511" t="s">
        <v>2224</v>
      </c>
      <c r="U511" t="s">
        <v>2578</v>
      </c>
      <c r="W511" t="s">
        <v>218</v>
      </c>
      <c r="X511">
        <v>2000</v>
      </c>
      <c r="Y511" t="s">
        <v>2607</v>
      </c>
      <c r="Z511" t="s">
        <v>2617</v>
      </c>
      <c r="AB511" t="s">
        <v>3100</v>
      </c>
      <c r="AE511">
        <v>0</v>
      </c>
      <c r="AF511" t="s">
        <v>4099</v>
      </c>
      <c r="AG511" t="s">
        <v>2255</v>
      </c>
      <c r="AH511">
        <v>10</v>
      </c>
      <c r="AI511">
        <v>1</v>
      </c>
      <c r="AJ511">
        <v>0</v>
      </c>
      <c r="AK511">
        <v>144.12</v>
      </c>
      <c r="AN511" t="s">
        <v>4126</v>
      </c>
      <c r="AO511">
        <v>18000</v>
      </c>
      <c r="AU511">
        <v>0</v>
      </c>
      <c r="AW511" t="s">
        <v>80</v>
      </c>
      <c r="AX511" t="s">
        <v>4266</v>
      </c>
      <c r="AY511" t="s">
        <v>2226</v>
      </c>
      <c r="AZ511" t="s">
        <v>2226</v>
      </c>
    </row>
    <row r="512" spans="1:52">
      <c r="A512" s="1">
        <f>HYPERLINK("https://lsnyc.legalserver.org/matter/dynamic-profile/view/1910161","19-1910161")</f>
        <v>0</v>
      </c>
      <c r="B512" t="s">
        <v>76</v>
      </c>
      <c r="C512" t="s">
        <v>155</v>
      </c>
      <c r="D512" t="s">
        <v>232</v>
      </c>
      <c r="F512" t="s">
        <v>666</v>
      </c>
      <c r="G512" t="s">
        <v>1215</v>
      </c>
      <c r="H512" t="s">
        <v>1507</v>
      </c>
      <c r="I512" t="s">
        <v>529</v>
      </c>
      <c r="J512" t="s">
        <v>2196</v>
      </c>
      <c r="K512">
        <v>10033</v>
      </c>
      <c r="L512" t="s">
        <v>2224</v>
      </c>
      <c r="M512" t="s">
        <v>2226</v>
      </c>
      <c r="P512" t="s">
        <v>2559</v>
      </c>
      <c r="R512" t="s">
        <v>2569</v>
      </c>
      <c r="S512" t="s">
        <v>2224</v>
      </c>
      <c r="U512" t="s">
        <v>2578</v>
      </c>
      <c r="W512" t="s">
        <v>232</v>
      </c>
      <c r="X512">
        <v>3250</v>
      </c>
      <c r="Y512" t="s">
        <v>2607</v>
      </c>
      <c r="Z512" t="s">
        <v>2617</v>
      </c>
      <c r="AB512" t="s">
        <v>3101</v>
      </c>
      <c r="AD512" t="s">
        <v>3867</v>
      </c>
      <c r="AE512">
        <v>24</v>
      </c>
      <c r="AF512" t="s">
        <v>4099</v>
      </c>
      <c r="AG512" t="s">
        <v>2255</v>
      </c>
      <c r="AH512">
        <v>1</v>
      </c>
      <c r="AI512">
        <v>1</v>
      </c>
      <c r="AJ512">
        <v>0</v>
      </c>
      <c r="AK512">
        <v>144.12</v>
      </c>
      <c r="AN512" t="s">
        <v>4126</v>
      </c>
      <c r="AO512">
        <v>18000</v>
      </c>
      <c r="AU512">
        <v>0.2</v>
      </c>
      <c r="AV512" t="s">
        <v>211</v>
      </c>
      <c r="AW512" t="s">
        <v>80</v>
      </c>
      <c r="AX512" t="s">
        <v>4266</v>
      </c>
      <c r="AY512" t="s">
        <v>2224</v>
      </c>
      <c r="AZ512" t="s">
        <v>2224</v>
      </c>
    </row>
    <row r="513" spans="1:52">
      <c r="A513" s="1">
        <f>HYPERLINK("https://lsnyc.legalserver.org/matter/dynamic-profile/view/1905248","19-1905248")</f>
        <v>0</v>
      </c>
      <c r="B513" t="s">
        <v>88</v>
      </c>
      <c r="C513" t="s">
        <v>155</v>
      </c>
      <c r="D513" t="s">
        <v>198</v>
      </c>
      <c r="F513" t="s">
        <v>667</v>
      </c>
      <c r="G513" t="s">
        <v>1216</v>
      </c>
      <c r="H513" t="s">
        <v>1461</v>
      </c>
      <c r="I513" t="s">
        <v>2000</v>
      </c>
      <c r="J513" t="s">
        <v>2196</v>
      </c>
      <c r="K513">
        <v>10024</v>
      </c>
      <c r="L513" t="s">
        <v>2224</v>
      </c>
      <c r="M513" t="s">
        <v>2226</v>
      </c>
      <c r="N513" t="s">
        <v>2445</v>
      </c>
      <c r="O513" t="s">
        <v>2537</v>
      </c>
      <c r="P513" t="s">
        <v>2560</v>
      </c>
      <c r="R513" t="s">
        <v>2569</v>
      </c>
      <c r="S513" t="s">
        <v>2224</v>
      </c>
      <c r="U513" t="s">
        <v>2578</v>
      </c>
      <c r="V513" t="s">
        <v>2588</v>
      </c>
      <c r="W513" t="s">
        <v>198</v>
      </c>
      <c r="X513">
        <v>792.7</v>
      </c>
      <c r="Y513" t="s">
        <v>2607</v>
      </c>
      <c r="Z513" t="s">
        <v>2615</v>
      </c>
      <c r="AB513" t="s">
        <v>3102</v>
      </c>
      <c r="AD513" t="s">
        <v>3868</v>
      </c>
      <c r="AE513">
        <v>10</v>
      </c>
      <c r="AF513" t="s">
        <v>4099</v>
      </c>
      <c r="AG513" t="s">
        <v>4116</v>
      </c>
      <c r="AH513">
        <v>39</v>
      </c>
      <c r="AI513">
        <v>1</v>
      </c>
      <c r="AJ513">
        <v>0</v>
      </c>
      <c r="AK513">
        <v>144.12</v>
      </c>
      <c r="AN513" t="s">
        <v>4126</v>
      </c>
      <c r="AO513">
        <v>18000</v>
      </c>
      <c r="AU513">
        <v>0</v>
      </c>
      <c r="AW513" t="s">
        <v>4237</v>
      </c>
      <c r="AX513" t="s">
        <v>4266</v>
      </c>
      <c r="AY513" t="s">
        <v>2224</v>
      </c>
      <c r="AZ513" t="s">
        <v>2224</v>
      </c>
    </row>
    <row r="514" spans="1:52">
      <c r="A514" s="1">
        <f>HYPERLINK("https://lsnyc.legalserver.org/matter/dynamic-profile/view/1905719","19-1905719")</f>
        <v>0</v>
      </c>
      <c r="B514" t="s">
        <v>120</v>
      </c>
      <c r="C514" t="s">
        <v>155</v>
      </c>
      <c r="D514" t="s">
        <v>223</v>
      </c>
      <c r="F514" t="s">
        <v>668</v>
      </c>
      <c r="G514" t="s">
        <v>1217</v>
      </c>
      <c r="H514" t="s">
        <v>1784</v>
      </c>
      <c r="I514" t="s">
        <v>2128</v>
      </c>
      <c r="J514" t="s">
        <v>2195</v>
      </c>
      <c r="K514">
        <v>10306</v>
      </c>
      <c r="L514" t="s">
        <v>2224</v>
      </c>
      <c r="M514" t="s">
        <v>2226</v>
      </c>
      <c r="N514" t="s">
        <v>2446</v>
      </c>
      <c r="O514" t="s">
        <v>2535</v>
      </c>
      <c r="P514" t="s">
        <v>2558</v>
      </c>
      <c r="R514" t="s">
        <v>2570</v>
      </c>
      <c r="S514" t="s">
        <v>2225</v>
      </c>
      <c r="U514" t="s">
        <v>2582</v>
      </c>
      <c r="V514" t="s">
        <v>2588</v>
      </c>
      <c r="W514" t="s">
        <v>172</v>
      </c>
      <c r="X514">
        <v>400</v>
      </c>
      <c r="Y514" t="s">
        <v>2606</v>
      </c>
      <c r="Z514" t="s">
        <v>2610</v>
      </c>
      <c r="AB514" t="s">
        <v>3103</v>
      </c>
      <c r="AD514" t="s">
        <v>3869</v>
      </c>
      <c r="AE514">
        <v>2</v>
      </c>
      <c r="AF514" t="s">
        <v>4106</v>
      </c>
      <c r="AG514" t="s">
        <v>4112</v>
      </c>
      <c r="AH514">
        <v>1</v>
      </c>
      <c r="AI514">
        <v>1</v>
      </c>
      <c r="AJ514">
        <v>2</v>
      </c>
      <c r="AK514">
        <v>144.64</v>
      </c>
      <c r="AL514" t="s">
        <v>4121</v>
      </c>
      <c r="AM514" t="s">
        <v>4123</v>
      </c>
      <c r="AN514" t="s">
        <v>4126</v>
      </c>
      <c r="AO514">
        <v>30852</v>
      </c>
      <c r="AU514">
        <v>12.1</v>
      </c>
      <c r="AV514" t="s">
        <v>188</v>
      </c>
      <c r="AW514" t="s">
        <v>120</v>
      </c>
      <c r="AX514" t="s">
        <v>4266</v>
      </c>
      <c r="AY514" t="s">
        <v>2224</v>
      </c>
      <c r="AZ514" t="s">
        <v>2224</v>
      </c>
    </row>
    <row r="515" spans="1:52">
      <c r="A515" s="1">
        <f>HYPERLINK("https://lsnyc.legalserver.org/matter/dynamic-profile/view/1907892","19-1907892")</f>
        <v>0</v>
      </c>
      <c r="B515" t="s">
        <v>76</v>
      </c>
      <c r="C515" t="s">
        <v>155</v>
      </c>
      <c r="D515" t="s">
        <v>275</v>
      </c>
      <c r="F515" t="s">
        <v>398</v>
      </c>
      <c r="G515" t="s">
        <v>1218</v>
      </c>
      <c r="H515" t="s">
        <v>1785</v>
      </c>
      <c r="I515">
        <v>45</v>
      </c>
      <c r="J515" t="s">
        <v>2196</v>
      </c>
      <c r="K515">
        <v>10032</v>
      </c>
      <c r="L515" t="s">
        <v>2224</v>
      </c>
      <c r="M515" t="s">
        <v>2226</v>
      </c>
      <c r="P515" t="s">
        <v>2559</v>
      </c>
      <c r="R515" t="s">
        <v>2569</v>
      </c>
      <c r="S515" t="s">
        <v>2224</v>
      </c>
      <c r="U515" t="s">
        <v>2578</v>
      </c>
      <c r="W515" t="s">
        <v>247</v>
      </c>
      <c r="X515">
        <v>1400</v>
      </c>
      <c r="Y515" t="s">
        <v>2607</v>
      </c>
      <c r="Z515" t="s">
        <v>2617</v>
      </c>
      <c r="AD515" t="s">
        <v>3870</v>
      </c>
      <c r="AE515">
        <v>46</v>
      </c>
      <c r="AF515" t="s">
        <v>4099</v>
      </c>
      <c r="AH515">
        <v>4</v>
      </c>
      <c r="AI515">
        <v>1</v>
      </c>
      <c r="AJ515">
        <v>2</v>
      </c>
      <c r="AK515">
        <v>145.34</v>
      </c>
      <c r="AN515" t="s">
        <v>4126</v>
      </c>
      <c r="AO515">
        <v>31000</v>
      </c>
      <c r="AU515">
        <v>0</v>
      </c>
      <c r="AW515" t="s">
        <v>4250</v>
      </c>
      <c r="AX515" t="s">
        <v>4266</v>
      </c>
      <c r="AY515" t="s">
        <v>2226</v>
      </c>
      <c r="AZ515" t="s">
        <v>2226</v>
      </c>
    </row>
    <row r="516" spans="1:52">
      <c r="A516" s="1">
        <f>HYPERLINK("https://lsnyc.legalserver.org/matter/dynamic-profile/view/1912109","19-1912109")</f>
        <v>0</v>
      </c>
      <c r="B516" t="s">
        <v>75</v>
      </c>
      <c r="C516" t="s">
        <v>155</v>
      </c>
      <c r="D516" t="s">
        <v>261</v>
      </c>
      <c r="F516" t="s">
        <v>669</v>
      </c>
      <c r="G516" t="s">
        <v>1021</v>
      </c>
      <c r="H516" t="s">
        <v>1786</v>
      </c>
      <c r="I516">
        <v>311</v>
      </c>
      <c r="J516" t="s">
        <v>2196</v>
      </c>
      <c r="K516">
        <v>10034</v>
      </c>
      <c r="L516" t="s">
        <v>2224</v>
      </c>
      <c r="M516" t="s">
        <v>2226</v>
      </c>
      <c r="O516" t="s">
        <v>2541</v>
      </c>
      <c r="P516" t="s">
        <v>2561</v>
      </c>
      <c r="R516" t="s">
        <v>2569</v>
      </c>
      <c r="S516" t="s">
        <v>2225</v>
      </c>
      <c r="U516" t="s">
        <v>2578</v>
      </c>
      <c r="W516" t="s">
        <v>261</v>
      </c>
      <c r="X516">
        <v>846.63</v>
      </c>
      <c r="Y516" t="s">
        <v>2607</v>
      </c>
      <c r="Z516" t="s">
        <v>2613</v>
      </c>
      <c r="AB516" t="s">
        <v>2657</v>
      </c>
      <c r="AD516" t="s">
        <v>3871</v>
      </c>
      <c r="AE516">
        <v>72</v>
      </c>
      <c r="AF516" t="s">
        <v>4099</v>
      </c>
      <c r="AG516" t="s">
        <v>4116</v>
      </c>
      <c r="AH516">
        <v>35</v>
      </c>
      <c r="AI516">
        <v>2</v>
      </c>
      <c r="AJ516">
        <v>0</v>
      </c>
      <c r="AK516">
        <v>145.48</v>
      </c>
      <c r="AN516" t="s">
        <v>4126</v>
      </c>
      <c r="AO516">
        <v>24600</v>
      </c>
      <c r="AU516">
        <v>2.4</v>
      </c>
      <c r="AV516" t="s">
        <v>157</v>
      </c>
      <c r="AW516" t="s">
        <v>80</v>
      </c>
      <c r="AX516" t="s">
        <v>4266</v>
      </c>
      <c r="AY516" t="s">
        <v>2224</v>
      </c>
      <c r="AZ516" t="s">
        <v>2224</v>
      </c>
    </row>
    <row r="517" spans="1:52">
      <c r="A517" s="1">
        <f>HYPERLINK("https://lsnyc.legalserver.org/matter/dynamic-profile/view/1913318","19-1913318")</f>
        <v>0</v>
      </c>
      <c r="B517" t="s">
        <v>145</v>
      </c>
      <c r="C517" t="s">
        <v>155</v>
      </c>
      <c r="D517" t="s">
        <v>218</v>
      </c>
      <c r="F517" t="s">
        <v>670</v>
      </c>
      <c r="G517" t="s">
        <v>972</v>
      </c>
      <c r="H517" t="s">
        <v>1787</v>
      </c>
      <c r="I517" t="s">
        <v>2000</v>
      </c>
      <c r="J517" t="s">
        <v>2196</v>
      </c>
      <c r="K517">
        <v>10029</v>
      </c>
      <c r="L517" t="s">
        <v>2224</v>
      </c>
      <c r="M517" t="s">
        <v>2226</v>
      </c>
      <c r="O517" t="s">
        <v>2545</v>
      </c>
      <c r="P517" t="s">
        <v>2557</v>
      </c>
      <c r="R517" t="s">
        <v>2569</v>
      </c>
      <c r="S517" t="s">
        <v>2225</v>
      </c>
      <c r="U517" t="s">
        <v>2584</v>
      </c>
      <c r="V517" t="s">
        <v>2588</v>
      </c>
      <c r="W517" t="s">
        <v>199</v>
      </c>
      <c r="X517">
        <v>986</v>
      </c>
      <c r="Y517" t="s">
        <v>2607</v>
      </c>
      <c r="Z517" t="s">
        <v>2613</v>
      </c>
      <c r="AB517" t="s">
        <v>3104</v>
      </c>
      <c r="AD517" t="s">
        <v>3872</v>
      </c>
      <c r="AE517">
        <v>24</v>
      </c>
      <c r="AF517" t="s">
        <v>4103</v>
      </c>
      <c r="AG517" t="s">
        <v>2255</v>
      </c>
      <c r="AH517">
        <v>1</v>
      </c>
      <c r="AI517">
        <v>2</v>
      </c>
      <c r="AJ517">
        <v>2</v>
      </c>
      <c r="AK517">
        <v>145.63</v>
      </c>
      <c r="AN517" t="s">
        <v>4127</v>
      </c>
      <c r="AO517">
        <v>37500</v>
      </c>
      <c r="AU517">
        <v>0</v>
      </c>
      <c r="AW517" t="s">
        <v>4237</v>
      </c>
      <c r="AX517" t="s">
        <v>4266</v>
      </c>
      <c r="AY517" t="s">
        <v>2226</v>
      </c>
      <c r="AZ517" t="s">
        <v>2226</v>
      </c>
    </row>
    <row r="518" spans="1:52">
      <c r="A518" s="1">
        <f>HYPERLINK("https://lsnyc.legalserver.org/matter/dynamic-profile/view/1909731","19-1909731")</f>
        <v>0</v>
      </c>
      <c r="B518" t="s">
        <v>59</v>
      </c>
      <c r="C518" t="s">
        <v>155</v>
      </c>
      <c r="D518" t="s">
        <v>257</v>
      </c>
      <c r="F518" t="s">
        <v>671</v>
      </c>
      <c r="G518" t="s">
        <v>1219</v>
      </c>
      <c r="H518" t="s">
        <v>1788</v>
      </c>
      <c r="J518" t="s">
        <v>2192</v>
      </c>
      <c r="K518">
        <v>11213</v>
      </c>
      <c r="L518" t="s">
        <v>2224</v>
      </c>
      <c r="M518" t="s">
        <v>2226</v>
      </c>
      <c r="N518" t="s">
        <v>2238</v>
      </c>
      <c r="O518" t="s">
        <v>2238</v>
      </c>
      <c r="P518" t="s">
        <v>2561</v>
      </c>
      <c r="R518" t="s">
        <v>2569</v>
      </c>
      <c r="S518" t="s">
        <v>2225</v>
      </c>
      <c r="U518" t="s">
        <v>2578</v>
      </c>
      <c r="V518" t="s">
        <v>2588</v>
      </c>
      <c r="W518" t="s">
        <v>242</v>
      </c>
      <c r="X518">
        <v>798.41</v>
      </c>
      <c r="Y518" t="s">
        <v>2604</v>
      </c>
      <c r="Z518" t="s">
        <v>2611</v>
      </c>
      <c r="AB518" t="s">
        <v>3105</v>
      </c>
      <c r="AC518" t="s">
        <v>2255</v>
      </c>
      <c r="AD518" t="s">
        <v>3873</v>
      </c>
      <c r="AE518">
        <v>31</v>
      </c>
      <c r="AF518" t="s">
        <v>4099</v>
      </c>
      <c r="AG518" t="s">
        <v>4116</v>
      </c>
      <c r="AH518">
        <v>41</v>
      </c>
      <c r="AI518">
        <v>2</v>
      </c>
      <c r="AJ518">
        <v>0</v>
      </c>
      <c r="AK518">
        <v>146.08</v>
      </c>
      <c r="AN518" t="s">
        <v>4126</v>
      </c>
      <c r="AO518">
        <v>24702</v>
      </c>
      <c r="AU518">
        <v>9.6</v>
      </c>
      <c r="AV518" t="s">
        <v>280</v>
      </c>
      <c r="AW518" t="s">
        <v>127</v>
      </c>
      <c r="AX518" t="s">
        <v>4266</v>
      </c>
      <c r="AY518" t="s">
        <v>2224</v>
      </c>
      <c r="AZ518" t="s">
        <v>2224</v>
      </c>
    </row>
    <row r="519" spans="1:52">
      <c r="A519" s="1">
        <f>HYPERLINK("https://lsnyc.legalserver.org/matter/dynamic-profile/view/1909255","19-1909255")</f>
        <v>0</v>
      </c>
      <c r="B519" t="s">
        <v>65</v>
      </c>
      <c r="C519" t="s">
        <v>154</v>
      </c>
      <c r="D519" t="s">
        <v>167</v>
      </c>
      <c r="E519" t="s">
        <v>188</v>
      </c>
      <c r="F519" t="s">
        <v>666</v>
      </c>
      <c r="G519" t="s">
        <v>1220</v>
      </c>
      <c r="H519" t="s">
        <v>1789</v>
      </c>
      <c r="I519">
        <v>2</v>
      </c>
      <c r="J519" t="s">
        <v>2192</v>
      </c>
      <c r="K519">
        <v>11233</v>
      </c>
      <c r="L519" t="s">
        <v>2224</v>
      </c>
      <c r="M519" t="s">
        <v>2226</v>
      </c>
      <c r="N519" t="s">
        <v>2244</v>
      </c>
      <c r="O519" t="s">
        <v>2534</v>
      </c>
      <c r="P519" t="s">
        <v>2556</v>
      </c>
      <c r="Q519" t="s">
        <v>2563</v>
      </c>
      <c r="R519" t="s">
        <v>2569</v>
      </c>
      <c r="S519" t="s">
        <v>2225</v>
      </c>
      <c r="U519" t="s">
        <v>2578</v>
      </c>
      <c r="V519" t="s">
        <v>2588</v>
      </c>
      <c r="W519" t="s">
        <v>245</v>
      </c>
      <c r="X519">
        <v>2450</v>
      </c>
      <c r="Y519" t="s">
        <v>2604</v>
      </c>
      <c r="Z519" t="s">
        <v>2611</v>
      </c>
      <c r="AA519" t="s">
        <v>2626</v>
      </c>
      <c r="AB519" t="s">
        <v>3106</v>
      </c>
      <c r="AC519" t="s">
        <v>2244</v>
      </c>
      <c r="AE519">
        <v>3</v>
      </c>
      <c r="AF519" t="s">
        <v>2518</v>
      </c>
      <c r="AG519" t="s">
        <v>2255</v>
      </c>
      <c r="AH519">
        <v>1</v>
      </c>
      <c r="AI519">
        <v>1</v>
      </c>
      <c r="AJ519">
        <v>0</v>
      </c>
      <c r="AK519">
        <v>147.28</v>
      </c>
      <c r="AN519" t="s">
        <v>4126</v>
      </c>
      <c r="AO519">
        <v>18395</v>
      </c>
      <c r="AU519">
        <v>1.5</v>
      </c>
      <c r="AV519" t="s">
        <v>245</v>
      </c>
      <c r="AW519" t="s">
        <v>4229</v>
      </c>
      <c r="AX519" t="s">
        <v>4266</v>
      </c>
      <c r="AY519" t="s">
        <v>2226</v>
      </c>
      <c r="AZ519" t="s">
        <v>2226</v>
      </c>
    </row>
    <row r="520" spans="1:52">
      <c r="A520" s="1">
        <f>HYPERLINK("https://lsnyc.legalserver.org/matter/dynamic-profile/view/1908540","19-1908540")</f>
        <v>0</v>
      </c>
      <c r="B520" t="s">
        <v>74</v>
      </c>
      <c r="C520" t="s">
        <v>154</v>
      </c>
      <c r="D520" t="s">
        <v>240</v>
      </c>
      <c r="E520" t="s">
        <v>189</v>
      </c>
      <c r="F520" t="s">
        <v>672</v>
      </c>
      <c r="G520" t="s">
        <v>1221</v>
      </c>
      <c r="H520" t="s">
        <v>1790</v>
      </c>
      <c r="I520" t="s">
        <v>2068</v>
      </c>
      <c r="J520" t="s">
        <v>2196</v>
      </c>
      <c r="K520">
        <v>10032</v>
      </c>
      <c r="L520" t="s">
        <v>2224</v>
      </c>
      <c r="M520" t="s">
        <v>2226</v>
      </c>
      <c r="O520" t="s">
        <v>2238</v>
      </c>
      <c r="P520" t="s">
        <v>2556</v>
      </c>
      <c r="Q520" t="s">
        <v>2563</v>
      </c>
      <c r="R520" t="s">
        <v>2569</v>
      </c>
      <c r="S520" t="s">
        <v>2225</v>
      </c>
      <c r="U520" t="s">
        <v>2578</v>
      </c>
      <c r="W520" t="s">
        <v>240</v>
      </c>
      <c r="X520">
        <v>1324.29</v>
      </c>
      <c r="Y520" t="s">
        <v>2607</v>
      </c>
      <c r="Z520" t="s">
        <v>2614</v>
      </c>
      <c r="AA520" t="s">
        <v>2626</v>
      </c>
      <c r="AB520" t="s">
        <v>3107</v>
      </c>
      <c r="AD520" t="s">
        <v>3874</v>
      </c>
      <c r="AE520">
        <v>49</v>
      </c>
      <c r="AF520" t="s">
        <v>4099</v>
      </c>
      <c r="AG520" t="s">
        <v>2255</v>
      </c>
      <c r="AH520">
        <v>25</v>
      </c>
      <c r="AI520">
        <v>1</v>
      </c>
      <c r="AJ520">
        <v>0</v>
      </c>
      <c r="AK520">
        <v>147.57</v>
      </c>
      <c r="AN520" t="s">
        <v>4127</v>
      </c>
      <c r="AO520">
        <v>18432</v>
      </c>
      <c r="AU520">
        <v>2.2</v>
      </c>
      <c r="AV520" t="s">
        <v>216</v>
      </c>
      <c r="AW520" t="s">
        <v>4238</v>
      </c>
      <c r="AX520" t="s">
        <v>4266</v>
      </c>
      <c r="AY520" t="s">
        <v>2226</v>
      </c>
      <c r="AZ520" t="s">
        <v>2225</v>
      </c>
    </row>
    <row r="521" spans="1:52">
      <c r="A521" s="1">
        <f>HYPERLINK("https://lsnyc.legalserver.org/matter/dynamic-profile/view/1909079","19-1909079")</f>
        <v>0</v>
      </c>
      <c r="B521" t="s">
        <v>86</v>
      </c>
      <c r="C521" t="s">
        <v>155</v>
      </c>
      <c r="D521" t="s">
        <v>212</v>
      </c>
      <c r="F521" t="s">
        <v>673</v>
      </c>
      <c r="G521" t="s">
        <v>1222</v>
      </c>
      <c r="H521" t="s">
        <v>1574</v>
      </c>
      <c r="I521" t="s">
        <v>2110</v>
      </c>
      <c r="J521" t="s">
        <v>2196</v>
      </c>
      <c r="K521">
        <v>10040</v>
      </c>
      <c r="L521" t="s">
        <v>2224</v>
      </c>
      <c r="M521" t="s">
        <v>2226</v>
      </c>
      <c r="O521" t="s">
        <v>2534</v>
      </c>
      <c r="P521" t="s">
        <v>2559</v>
      </c>
      <c r="R521" t="s">
        <v>2569</v>
      </c>
      <c r="S521" t="s">
        <v>2224</v>
      </c>
      <c r="U521" t="s">
        <v>2578</v>
      </c>
      <c r="W521" t="s">
        <v>212</v>
      </c>
      <c r="X521">
        <v>2700</v>
      </c>
      <c r="Y521" t="s">
        <v>2607</v>
      </c>
      <c r="Z521" t="s">
        <v>2617</v>
      </c>
      <c r="AB521" t="s">
        <v>3108</v>
      </c>
      <c r="AD521" t="s">
        <v>3875</v>
      </c>
      <c r="AE521">
        <v>77</v>
      </c>
      <c r="AF521" t="s">
        <v>4099</v>
      </c>
      <c r="AG521" t="s">
        <v>2255</v>
      </c>
      <c r="AH521">
        <v>5</v>
      </c>
      <c r="AI521">
        <v>2</v>
      </c>
      <c r="AJ521">
        <v>0</v>
      </c>
      <c r="AK521">
        <v>147.84</v>
      </c>
      <c r="AN521" t="s">
        <v>4126</v>
      </c>
      <c r="AO521">
        <v>25000</v>
      </c>
      <c r="AU521">
        <v>0</v>
      </c>
      <c r="AW521" t="s">
        <v>80</v>
      </c>
      <c r="AX521" t="s">
        <v>4266</v>
      </c>
      <c r="AY521" t="s">
        <v>2224</v>
      </c>
      <c r="AZ521" t="s">
        <v>2224</v>
      </c>
    </row>
    <row r="522" spans="1:52">
      <c r="A522" s="1">
        <f>HYPERLINK("https://lsnyc.legalserver.org/matter/dynamic-profile/view/1910056","19-1910056")</f>
        <v>0</v>
      </c>
      <c r="B522" t="s">
        <v>76</v>
      </c>
      <c r="C522" t="s">
        <v>155</v>
      </c>
      <c r="D522" t="s">
        <v>211</v>
      </c>
      <c r="F522" t="s">
        <v>545</v>
      </c>
      <c r="G522" t="s">
        <v>833</v>
      </c>
      <c r="H522" t="s">
        <v>1537</v>
      </c>
      <c r="J522" t="s">
        <v>2196</v>
      </c>
      <c r="K522">
        <v>10033</v>
      </c>
      <c r="L522" t="s">
        <v>2224</v>
      </c>
      <c r="M522" t="s">
        <v>2226</v>
      </c>
      <c r="O522" t="s">
        <v>2534</v>
      </c>
      <c r="P522" t="s">
        <v>2558</v>
      </c>
      <c r="R522" t="s">
        <v>2569</v>
      </c>
      <c r="S522" t="s">
        <v>2224</v>
      </c>
      <c r="U522" t="s">
        <v>2578</v>
      </c>
      <c r="W522" t="s">
        <v>211</v>
      </c>
      <c r="X522">
        <v>0</v>
      </c>
      <c r="Y522" t="s">
        <v>2607</v>
      </c>
      <c r="Z522" t="s">
        <v>2617</v>
      </c>
      <c r="AB522" t="s">
        <v>3109</v>
      </c>
      <c r="AD522" t="s">
        <v>3876</v>
      </c>
      <c r="AE522">
        <v>20</v>
      </c>
      <c r="AF522" t="s">
        <v>4099</v>
      </c>
      <c r="AG522" t="s">
        <v>2255</v>
      </c>
      <c r="AH522">
        <v>0</v>
      </c>
      <c r="AI522">
        <v>2</v>
      </c>
      <c r="AJ522">
        <v>0</v>
      </c>
      <c r="AK522">
        <v>147.89</v>
      </c>
      <c r="AN522" t="s">
        <v>4126</v>
      </c>
      <c r="AO522">
        <v>25008</v>
      </c>
      <c r="AU522">
        <v>14.8</v>
      </c>
      <c r="AV522" t="s">
        <v>168</v>
      </c>
      <c r="AW522" t="s">
        <v>80</v>
      </c>
      <c r="AX522" t="s">
        <v>4266</v>
      </c>
      <c r="AY522" t="s">
        <v>2226</v>
      </c>
      <c r="AZ522" t="s">
        <v>2226</v>
      </c>
    </row>
    <row r="523" spans="1:52">
      <c r="A523" s="1">
        <f>HYPERLINK("https://lsnyc.legalserver.org/matter/dynamic-profile/view/1904433","19-1904433")</f>
        <v>0</v>
      </c>
      <c r="B523" t="s">
        <v>105</v>
      </c>
      <c r="C523" t="s">
        <v>155</v>
      </c>
      <c r="D523" t="s">
        <v>228</v>
      </c>
      <c r="F523" t="s">
        <v>674</v>
      </c>
      <c r="G523" t="s">
        <v>1223</v>
      </c>
      <c r="H523" t="s">
        <v>1791</v>
      </c>
      <c r="J523" t="s">
        <v>2195</v>
      </c>
      <c r="K523">
        <v>10306</v>
      </c>
      <c r="L523" t="s">
        <v>2224</v>
      </c>
      <c r="M523" t="s">
        <v>2226</v>
      </c>
      <c r="N523" t="s">
        <v>2447</v>
      </c>
      <c r="O523" t="s">
        <v>2533</v>
      </c>
      <c r="P523" t="s">
        <v>2558</v>
      </c>
      <c r="R523" t="s">
        <v>2569</v>
      </c>
      <c r="S523" t="s">
        <v>2225</v>
      </c>
      <c r="U523" t="s">
        <v>2578</v>
      </c>
      <c r="V523" t="s">
        <v>2588</v>
      </c>
      <c r="W523" t="s">
        <v>210</v>
      </c>
      <c r="X523">
        <v>0</v>
      </c>
      <c r="Y523" t="s">
        <v>2606</v>
      </c>
      <c r="Z523" t="s">
        <v>2617</v>
      </c>
      <c r="AB523" t="s">
        <v>3110</v>
      </c>
      <c r="AD523" t="s">
        <v>3877</v>
      </c>
      <c r="AE523">
        <v>1</v>
      </c>
      <c r="AF523" t="s">
        <v>4098</v>
      </c>
      <c r="AH523">
        <v>15</v>
      </c>
      <c r="AI523">
        <v>3</v>
      </c>
      <c r="AJ523">
        <v>0</v>
      </c>
      <c r="AK523">
        <v>148.86</v>
      </c>
      <c r="AN523" t="s">
        <v>4126</v>
      </c>
      <c r="AO523">
        <v>31752</v>
      </c>
      <c r="AU523">
        <v>8.699999999999999</v>
      </c>
      <c r="AV523" t="s">
        <v>218</v>
      </c>
      <c r="AW523" t="s">
        <v>150</v>
      </c>
      <c r="AX523" t="s">
        <v>4266</v>
      </c>
      <c r="AY523" t="s">
        <v>2224</v>
      </c>
      <c r="AZ523" t="s">
        <v>2224</v>
      </c>
    </row>
    <row r="524" spans="1:52">
      <c r="A524" s="1">
        <f>HYPERLINK("https://lsnyc.legalserver.org/matter/dynamic-profile/view/1905070","19-1905070")</f>
        <v>0</v>
      </c>
      <c r="B524" t="s">
        <v>89</v>
      </c>
      <c r="C524" t="s">
        <v>155</v>
      </c>
      <c r="D524" t="s">
        <v>180</v>
      </c>
      <c r="F524" t="s">
        <v>469</v>
      </c>
      <c r="G524" t="s">
        <v>1082</v>
      </c>
      <c r="H524" t="s">
        <v>1792</v>
      </c>
      <c r="I524" t="s">
        <v>1952</v>
      </c>
      <c r="J524" t="s">
        <v>2222</v>
      </c>
      <c r="K524">
        <v>11372</v>
      </c>
      <c r="L524" t="s">
        <v>2224</v>
      </c>
      <c r="M524" t="s">
        <v>2226</v>
      </c>
      <c r="N524" t="s">
        <v>2448</v>
      </c>
      <c r="O524" t="s">
        <v>2535</v>
      </c>
      <c r="P524" t="s">
        <v>2558</v>
      </c>
      <c r="R524" t="s">
        <v>2569</v>
      </c>
      <c r="S524" t="s">
        <v>2225</v>
      </c>
      <c r="U524" t="s">
        <v>2578</v>
      </c>
      <c r="V524" t="s">
        <v>2591</v>
      </c>
      <c r="W524" t="s">
        <v>180</v>
      </c>
      <c r="X524">
        <v>1760</v>
      </c>
      <c r="Y524" t="s">
        <v>2603</v>
      </c>
      <c r="Z524" t="s">
        <v>2613</v>
      </c>
      <c r="AB524" t="s">
        <v>3111</v>
      </c>
      <c r="AD524" t="s">
        <v>3878</v>
      </c>
      <c r="AE524">
        <v>16</v>
      </c>
      <c r="AF524" t="s">
        <v>2518</v>
      </c>
      <c r="AG524" t="s">
        <v>2255</v>
      </c>
      <c r="AH524">
        <v>5</v>
      </c>
      <c r="AI524">
        <v>2</v>
      </c>
      <c r="AJ524">
        <v>2</v>
      </c>
      <c r="AK524">
        <v>149.44</v>
      </c>
      <c r="AN524" t="s">
        <v>4126</v>
      </c>
      <c r="AO524">
        <v>38480</v>
      </c>
      <c r="AU524">
        <v>13.56</v>
      </c>
      <c r="AV524" t="s">
        <v>211</v>
      </c>
      <c r="AW524" t="s">
        <v>4224</v>
      </c>
      <c r="AX524" t="s">
        <v>4266</v>
      </c>
      <c r="AY524" t="s">
        <v>2226</v>
      </c>
      <c r="AZ524" t="s">
        <v>2226</v>
      </c>
    </row>
    <row r="525" spans="1:52">
      <c r="A525" s="1">
        <f>HYPERLINK("https://lsnyc.legalserver.org/matter/dynamic-profile/view/1898702","19-1898702")</f>
        <v>0</v>
      </c>
      <c r="B525" t="s">
        <v>60</v>
      </c>
      <c r="C525" t="s">
        <v>154</v>
      </c>
      <c r="D525" t="s">
        <v>276</v>
      </c>
      <c r="E525" t="s">
        <v>274</v>
      </c>
      <c r="F525" t="s">
        <v>675</v>
      </c>
      <c r="G525" t="s">
        <v>965</v>
      </c>
      <c r="H525" t="s">
        <v>1793</v>
      </c>
      <c r="I525">
        <v>1</v>
      </c>
      <c r="J525" t="s">
        <v>2192</v>
      </c>
      <c r="K525">
        <v>11207</v>
      </c>
      <c r="L525" t="s">
        <v>2224</v>
      </c>
      <c r="M525" t="s">
        <v>2224</v>
      </c>
      <c r="N525" t="s">
        <v>2238</v>
      </c>
      <c r="O525" t="s">
        <v>2536</v>
      </c>
      <c r="P525" t="s">
        <v>2556</v>
      </c>
      <c r="Q525" t="s">
        <v>2563</v>
      </c>
      <c r="R525" t="s">
        <v>2569</v>
      </c>
      <c r="S525" t="s">
        <v>2225</v>
      </c>
      <c r="U525" t="s">
        <v>2578</v>
      </c>
      <c r="V525" t="s">
        <v>2588</v>
      </c>
      <c r="W525" t="s">
        <v>254</v>
      </c>
      <c r="X525">
        <v>870</v>
      </c>
      <c r="Y525" t="s">
        <v>2604</v>
      </c>
      <c r="Z525" t="s">
        <v>2614</v>
      </c>
      <c r="AA525" t="s">
        <v>2626</v>
      </c>
      <c r="AB525" t="s">
        <v>3112</v>
      </c>
      <c r="AE525">
        <v>2</v>
      </c>
      <c r="AF525" t="s">
        <v>4098</v>
      </c>
      <c r="AH525">
        <v>2</v>
      </c>
      <c r="AI525">
        <v>3</v>
      </c>
      <c r="AJ525">
        <v>1</v>
      </c>
      <c r="AK525">
        <v>149.44</v>
      </c>
      <c r="AN525" t="s">
        <v>4127</v>
      </c>
      <c r="AO525">
        <v>38480</v>
      </c>
      <c r="AU525">
        <v>0.5</v>
      </c>
      <c r="AV525" t="s">
        <v>274</v>
      </c>
      <c r="AW525" t="s">
        <v>4226</v>
      </c>
      <c r="AX525" t="s">
        <v>4266</v>
      </c>
      <c r="AY525" t="s">
        <v>2224</v>
      </c>
      <c r="AZ525" t="s">
        <v>2224</v>
      </c>
    </row>
    <row r="526" spans="1:52">
      <c r="A526" s="1">
        <f>HYPERLINK("https://lsnyc.legalserver.org/matter/dynamic-profile/view/1904645","19-1904645")</f>
        <v>0</v>
      </c>
      <c r="B526" t="s">
        <v>128</v>
      </c>
      <c r="C526" t="s">
        <v>154</v>
      </c>
      <c r="D526" t="s">
        <v>192</v>
      </c>
      <c r="E526" t="s">
        <v>245</v>
      </c>
      <c r="F526" t="s">
        <v>676</v>
      </c>
      <c r="G526" t="s">
        <v>1224</v>
      </c>
      <c r="H526" t="s">
        <v>1794</v>
      </c>
      <c r="I526">
        <v>10</v>
      </c>
      <c r="J526" t="s">
        <v>2196</v>
      </c>
      <c r="K526">
        <v>10003</v>
      </c>
      <c r="L526" t="s">
        <v>2224</v>
      </c>
      <c r="M526" t="s">
        <v>2226</v>
      </c>
      <c r="N526" t="s">
        <v>2449</v>
      </c>
      <c r="O526" t="s">
        <v>2535</v>
      </c>
      <c r="P526" t="s">
        <v>2556</v>
      </c>
      <c r="Q526" t="s">
        <v>2563</v>
      </c>
      <c r="R526" t="s">
        <v>2569</v>
      </c>
      <c r="S526" t="s">
        <v>2225</v>
      </c>
      <c r="U526" t="s">
        <v>2578</v>
      </c>
      <c r="W526" t="s">
        <v>192</v>
      </c>
      <c r="X526">
        <v>651.63</v>
      </c>
      <c r="Y526" t="s">
        <v>2607</v>
      </c>
      <c r="Z526" t="s">
        <v>2608</v>
      </c>
      <c r="AA526" t="s">
        <v>2626</v>
      </c>
      <c r="AB526" t="s">
        <v>3113</v>
      </c>
      <c r="AD526" t="s">
        <v>3879</v>
      </c>
      <c r="AE526">
        <v>15</v>
      </c>
      <c r="AF526" t="s">
        <v>4099</v>
      </c>
      <c r="AG526" t="s">
        <v>4116</v>
      </c>
      <c r="AH526">
        <v>43</v>
      </c>
      <c r="AI526">
        <v>1</v>
      </c>
      <c r="AJ526">
        <v>0</v>
      </c>
      <c r="AK526">
        <v>149.93</v>
      </c>
      <c r="AN526" t="s">
        <v>4126</v>
      </c>
      <c r="AO526">
        <v>18726</v>
      </c>
      <c r="AU526">
        <v>2.2</v>
      </c>
      <c r="AV526" t="s">
        <v>172</v>
      </c>
      <c r="AW526" t="s">
        <v>4238</v>
      </c>
      <c r="AX526" t="s">
        <v>4266</v>
      </c>
      <c r="AY526" t="s">
        <v>2226</v>
      </c>
      <c r="AZ526" t="s">
        <v>2225</v>
      </c>
    </row>
    <row r="527" spans="1:52">
      <c r="A527" s="1">
        <f>HYPERLINK("https://lsnyc.legalserver.org/matter/dynamic-profile/view/1910267","19-1910267")</f>
        <v>0</v>
      </c>
      <c r="B527" t="s">
        <v>67</v>
      </c>
      <c r="C527" t="s">
        <v>155</v>
      </c>
      <c r="D527" t="s">
        <v>229</v>
      </c>
      <c r="F527" t="s">
        <v>300</v>
      </c>
      <c r="G527" t="s">
        <v>1225</v>
      </c>
      <c r="H527" t="s">
        <v>1795</v>
      </c>
      <c r="I527" t="s">
        <v>1972</v>
      </c>
      <c r="J527" t="s">
        <v>2192</v>
      </c>
      <c r="K527">
        <v>11225</v>
      </c>
      <c r="L527" t="s">
        <v>2224</v>
      </c>
      <c r="M527" t="s">
        <v>2226</v>
      </c>
      <c r="P527" t="s">
        <v>2560</v>
      </c>
      <c r="R527" t="s">
        <v>2569</v>
      </c>
      <c r="S527" t="s">
        <v>2224</v>
      </c>
      <c r="U527" t="s">
        <v>2578</v>
      </c>
      <c r="W527" t="s">
        <v>229</v>
      </c>
      <c r="X527">
        <v>813.54</v>
      </c>
      <c r="Y527" t="s">
        <v>2604</v>
      </c>
      <c r="AB527" t="s">
        <v>3114</v>
      </c>
      <c r="AD527" t="s">
        <v>3880</v>
      </c>
      <c r="AE527">
        <v>8</v>
      </c>
      <c r="AH527">
        <v>26</v>
      </c>
      <c r="AI527">
        <v>3</v>
      </c>
      <c r="AJ527">
        <v>0</v>
      </c>
      <c r="AK527">
        <v>150.02</v>
      </c>
      <c r="AN527" t="s">
        <v>4126</v>
      </c>
      <c r="AO527">
        <v>32000</v>
      </c>
      <c r="AU527">
        <v>0</v>
      </c>
      <c r="AW527" t="s">
        <v>153</v>
      </c>
      <c r="AX527" t="s">
        <v>4266</v>
      </c>
      <c r="AY527" t="s">
        <v>2224</v>
      </c>
      <c r="AZ527" t="s">
        <v>2224</v>
      </c>
    </row>
    <row r="528" spans="1:52">
      <c r="A528" s="1">
        <f>HYPERLINK("https://lsnyc.legalserver.org/matter/dynamic-profile/view/1911000","19-1911000")</f>
        <v>0</v>
      </c>
      <c r="B528" t="s">
        <v>115</v>
      </c>
      <c r="C528" t="s">
        <v>154</v>
      </c>
      <c r="D528" t="s">
        <v>225</v>
      </c>
      <c r="E528" t="s">
        <v>188</v>
      </c>
      <c r="F528" t="s">
        <v>677</v>
      </c>
      <c r="G528" t="s">
        <v>1226</v>
      </c>
      <c r="H528" t="s">
        <v>1415</v>
      </c>
      <c r="J528" t="s">
        <v>2192</v>
      </c>
      <c r="K528">
        <v>11233</v>
      </c>
      <c r="L528" t="s">
        <v>2224</v>
      </c>
      <c r="M528" t="s">
        <v>2226</v>
      </c>
      <c r="O528" t="s">
        <v>2554</v>
      </c>
      <c r="P528" t="s">
        <v>2556</v>
      </c>
      <c r="Q528" t="s">
        <v>2563</v>
      </c>
      <c r="R528" t="s">
        <v>2569</v>
      </c>
      <c r="S528" t="s">
        <v>2225</v>
      </c>
      <c r="U528" t="s">
        <v>2578</v>
      </c>
      <c r="V528" t="s">
        <v>2588</v>
      </c>
      <c r="W528" t="s">
        <v>222</v>
      </c>
      <c r="X528">
        <v>1400</v>
      </c>
      <c r="Y528" t="s">
        <v>2604</v>
      </c>
      <c r="Z528" t="s">
        <v>2613</v>
      </c>
      <c r="AA528" t="s">
        <v>2626</v>
      </c>
      <c r="AB528" t="s">
        <v>3115</v>
      </c>
      <c r="AC528" t="s">
        <v>2255</v>
      </c>
      <c r="AD528" t="s">
        <v>3881</v>
      </c>
      <c r="AE528">
        <v>359</v>
      </c>
      <c r="AF528" t="s">
        <v>4099</v>
      </c>
      <c r="AH528">
        <v>7</v>
      </c>
      <c r="AI528">
        <v>2</v>
      </c>
      <c r="AJ528">
        <v>2</v>
      </c>
      <c r="AK528">
        <v>151.46</v>
      </c>
      <c r="AN528" t="s">
        <v>4126</v>
      </c>
      <c r="AO528">
        <v>39000</v>
      </c>
      <c r="AU528">
        <v>4.3</v>
      </c>
      <c r="AV528" t="s">
        <v>165</v>
      </c>
      <c r="AW528" t="s">
        <v>127</v>
      </c>
      <c r="AX528" t="s">
        <v>4266</v>
      </c>
      <c r="AY528" t="s">
        <v>2224</v>
      </c>
      <c r="AZ528" t="s">
        <v>2224</v>
      </c>
    </row>
    <row r="529" spans="1:52">
      <c r="A529" s="1">
        <f>HYPERLINK("https://lsnyc.legalserver.org/matter/dynamic-profile/view/1903131","19-1903131")</f>
        <v>0</v>
      </c>
      <c r="B529" t="s">
        <v>64</v>
      </c>
      <c r="C529" t="s">
        <v>155</v>
      </c>
      <c r="D529" t="s">
        <v>277</v>
      </c>
      <c r="F529" t="s">
        <v>678</v>
      </c>
      <c r="G529" t="s">
        <v>1227</v>
      </c>
      <c r="H529" t="s">
        <v>1796</v>
      </c>
      <c r="I529" t="s">
        <v>1966</v>
      </c>
      <c r="J529" t="s">
        <v>2192</v>
      </c>
      <c r="K529">
        <v>11212</v>
      </c>
      <c r="L529" t="s">
        <v>2224</v>
      </c>
      <c r="M529" t="s">
        <v>2226</v>
      </c>
      <c r="N529" t="s">
        <v>2450</v>
      </c>
      <c r="O529" t="s">
        <v>2535</v>
      </c>
      <c r="P529" t="s">
        <v>2558</v>
      </c>
      <c r="R529" t="s">
        <v>2569</v>
      </c>
      <c r="S529" t="s">
        <v>2225</v>
      </c>
      <c r="U529" t="s">
        <v>2578</v>
      </c>
      <c r="V529" t="s">
        <v>2588</v>
      </c>
      <c r="W529" t="s">
        <v>201</v>
      </c>
      <c r="X529">
        <v>1235</v>
      </c>
      <c r="Y529" t="s">
        <v>2604</v>
      </c>
      <c r="Z529" t="s">
        <v>2617</v>
      </c>
      <c r="AA529" t="s">
        <v>2626</v>
      </c>
      <c r="AB529" t="s">
        <v>3116</v>
      </c>
      <c r="AC529" t="s">
        <v>3444</v>
      </c>
      <c r="AE529">
        <v>4</v>
      </c>
      <c r="AF529" t="s">
        <v>4098</v>
      </c>
      <c r="AG529" t="s">
        <v>4118</v>
      </c>
      <c r="AH529">
        <v>30</v>
      </c>
      <c r="AI529">
        <v>1</v>
      </c>
      <c r="AJ529">
        <v>0</v>
      </c>
      <c r="AK529">
        <v>151.8</v>
      </c>
      <c r="AN529" t="s">
        <v>4126</v>
      </c>
      <c r="AO529">
        <v>18960</v>
      </c>
      <c r="AU529">
        <v>3.66</v>
      </c>
      <c r="AV529" t="s">
        <v>174</v>
      </c>
      <c r="AW529" t="s">
        <v>4242</v>
      </c>
      <c r="AX529" t="s">
        <v>4267</v>
      </c>
      <c r="AY529" t="s">
        <v>2224</v>
      </c>
      <c r="AZ529" t="s">
        <v>2224</v>
      </c>
    </row>
    <row r="530" spans="1:52">
      <c r="A530" s="1">
        <f>HYPERLINK("https://lsnyc.legalserver.org/matter/dynamic-profile/view/1911047","19-1911047")</f>
        <v>0</v>
      </c>
      <c r="B530" t="s">
        <v>58</v>
      </c>
      <c r="C530" t="s">
        <v>155</v>
      </c>
      <c r="D530" t="s">
        <v>225</v>
      </c>
      <c r="F530" t="s">
        <v>679</v>
      </c>
      <c r="G530" t="s">
        <v>1228</v>
      </c>
      <c r="H530" t="s">
        <v>1797</v>
      </c>
      <c r="I530" t="s">
        <v>2131</v>
      </c>
      <c r="J530" t="s">
        <v>2192</v>
      </c>
      <c r="K530">
        <v>11238</v>
      </c>
      <c r="L530" t="s">
        <v>2224</v>
      </c>
      <c r="M530" t="s">
        <v>2226</v>
      </c>
      <c r="N530" t="s">
        <v>2451</v>
      </c>
      <c r="O530" t="s">
        <v>2535</v>
      </c>
      <c r="P530" t="s">
        <v>2558</v>
      </c>
      <c r="R530" t="s">
        <v>2569</v>
      </c>
      <c r="S530" t="s">
        <v>2224</v>
      </c>
      <c r="U530" t="s">
        <v>2578</v>
      </c>
      <c r="V530" t="s">
        <v>2588</v>
      </c>
      <c r="W530" t="s">
        <v>225</v>
      </c>
      <c r="X530">
        <v>283.57</v>
      </c>
      <c r="Y530" t="s">
        <v>2604</v>
      </c>
      <c r="Z530" t="s">
        <v>2612</v>
      </c>
      <c r="AB530" t="s">
        <v>3117</v>
      </c>
      <c r="AE530">
        <v>38</v>
      </c>
      <c r="AF530" t="s">
        <v>4110</v>
      </c>
      <c r="AG530" t="s">
        <v>2255</v>
      </c>
      <c r="AH530">
        <v>49</v>
      </c>
      <c r="AI530">
        <v>1</v>
      </c>
      <c r="AJ530">
        <v>0</v>
      </c>
      <c r="AK530">
        <v>151.96</v>
      </c>
      <c r="AN530" t="s">
        <v>4126</v>
      </c>
      <c r="AO530">
        <v>18980</v>
      </c>
      <c r="AU530">
        <v>4</v>
      </c>
      <c r="AV530" t="s">
        <v>225</v>
      </c>
      <c r="AW530" t="s">
        <v>58</v>
      </c>
      <c r="AX530" t="s">
        <v>4266</v>
      </c>
      <c r="AY530" t="s">
        <v>2226</v>
      </c>
      <c r="AZ530" t="s">
        <v>2226</v>
      </c>
    </row>
    <row r="531" spans="1:52">
      <c r="A531" s="1">
        <f>HYPERLINK("https://lsnyc.legalserver.org/matter/dynamic-profile/view/1911968","19-1911968")</f>
        <v>0</v>
      </c>
      <c r="B531" t="s">
        <v>113</v>
      </c>
      <c r="C531" t="s">
        <v>155</v>
      </c>
      <c r="D531" t="s">
        <v>197</v>
      </c>
      <c r="F531" t="s">
        <v>680</v>
      </c>
      <c r="G531" t="s">
        <v>894</v>
      </c>
      <c r="H531" t="s">
        <v>1798</v>
      </c>
      <c r="I531" t="s">
        <v>2132</v>
      </c>
      <c r="J531" t="s">
        <v>2192</v>
      </c>
      <c r="K531">
        <v>11219</v>
      </c>
      <c r="L531" t="s">
        <v>2224</v>
      </c>
      <c r="M531" t="s">
        <v>2226</v>
      </c>
      <c r="O531" t="s">
        <v>2534</v>
      </c>
      <c r="P531" t="s">
        <v>2558</v>
      </c>
      <c r="R531" t="s">
        <v>2569</v>
      </c>
      <c r="S531" t="s">
        <v>2224</v>
      </c>
      <c r="U531" t="s">
        <v>2578</v>
      </c>
      <c r="W531" t="s">
        <v>208</v>
      </c>
      <c r="X531">
        <v>0</v>
      </c>
      <c r="Y531" t="s">
        <v>2604</v>
      </c>
      <c r="AB531" t="s">
        <v>3118</v>
      </c>
      <c r="AD531" t="s">
        <v>3882</v>
      </c>
      <c r="AE531">
        <v>20</v>
      </c>
      <c r="AH531">
        <v>22</v>
      </c>
      <c r="AI531">
        <v>4</v>
      </c>
      <c r="AJ531">
        <v>0</v>
      </c>
      <c r="AK531">
        <v>152.89</v>
      </c>
      <c r="AN531" t="s">
        <v>4126</v>
      </c>
      <c r="AO531">
        <v>39368</v>
      </c>
      <c r="AU531">
        <v>0</v>
      </c>
      <c r="AW531" t="s">
        <v>153</v>
      </c>
      <c r="AX531" t="s">
        <v>4266</v>
      </c>
      <c r="AY531" t="s">
        <v>2224</v>
      </c>
      <c r="AZ531" t="s">
        <v>2224</v>
      </c>
    </row>
    <row r="532" spans="1:52">
      <c r="A532" s="1">
        <f>HYPERLINK("https://lsnyc.legalserver.org/matter/dynamic-profile/view/1908794","19-1908794")</f>
        <v>0</v>
      </c>
      <c r="B532" t="s">
        <v>92</v>
      </c>
      <c r="C532" t="s">
        <v>155</v>
      </c>
      <c r="D532" t="s">
        <v>189</v>
      </c>
      <c r="F532" t="s">
        <v>545</v>
      </c>
      <c r="G532" t="s">
        <v>1229</v>
      </c>
      <c r="H532" t="s">
        <v>1799</v>
      </c>
      <c r="I532" t="s">
        <v>1949</v>
      </c>
      <c r="J532" t="s">
        <v>2195</v>
      </c>
      <c r="K532">
        <v>10301</v>
      </c>
      <c r="L532" t="s">
        <v>2224</v>
      </c>
      <c r="M532" t="s">
        <v>2226</v>
      </c>
      <c r="N532" t="s">
        <v>2228</v>
      </c>
      <c r="O532" t="s">
        <v>2533</v>
      </c>
      <c r="P532" t="s">
        <v>2556</v>
      </c>
      <c r="R532" t="s">
        <v>2569</v>
      </c>
      <c r="S532" t="s">
        <v>2225</v>
      </c>
      <c r="T532" t="s">
        <v>2569</v>
      </c>
      <c r="U532" t="s">
        <v>2578</v>
      </c>
      <c r="V532" t="s">
        <v>2588</v>
      </c>
      <c r="W532" t="s">
        <v>178</v>
      </c>
      <c r="X532">
        <v>642</v>
      </c>
      <c r="Y532" t="s">
        <v>2606</v>
      </c>
      <c r="Z532" t="s">
        <v>2619</v>
      </c>
      <c r="AB532" t="s">
        <v>3119</v>
      </c>
      <c r="AD532" t="s">
        <v>3883</v>
      </c>
      <c r="AE532">
        <v>16</v>
      </c>
      <c r="AF532" t="s">
        <v>4099</v>
      </c>
      <c r="AG532" t="s">
        <v>2255</v>
      </c>
      <c r="AH532">
        <v>7</v>
      </c>
      <c r="AI532">
        <v>1</v>
      </c>
      <c r="AJ532">
        <v>0</v>
      </c>
      <c r="AK532">
        <v>153.72</v>
      </c>
      <c r="AN532" t="s">
        <v>4126</v>
      </c>
      <c r="AO532">
        <v>19200</v>
      </c>
      <c r="AU532">
        <v>2.95</v>
      </c>
      <c r="AV532" t="s">
        <v>280</v>
      </c>
      <c r="AW532" t="s">
        <v>4232</v>
      </c>
      <c r="AX532" t="s">
        <v>4266</v>
      </c>
      <c r="AY532" t="s">
        <v>2224</v>
      </c>
      <c r="AZ532" t="s">
        <v>2224</v>
      </c>
    </row>
    <row r="533" spans="1:52">
      <c r="A533" s="1">
        <f>HYPERLINK("https://lsnyc.legalserver.org/matter/dynamic-profile/view/1908937","19-1908937")</f>
        <v>0</v>
      </c>
      <c r="B533" t="s">
        <v>86</v>
      </c>
      <c r="C533" t="s">
        <v>155</v>
      </c>
      <c r="D533" t="s">
        <v>235</v>
      </c>
      <c r="F533" t="s">
        <v>522</v>
      </c>
      <c r="G533" t="s">
        <v>1230</v>
      </c>
      <c r="H533" t="s">
        <v>1574</v>
      </c>
      <c r="I533" t="s">
        <v>1951</v>
      </c>
      <c r="J533" t="s">
        <v>2196</v>
      </c>
      <c r="K533">
        <v>10040</v>
      </c>
      <c r="L533" t="s">
        <v>2224</v>
      </c>
      <c r="M533" t="s">
        <v>2226</v>
      </c>
      <c r="O533" t="s">
        <v>2534</v>
      </c>
      <c r="P533" t="s">
        <v>2558</v>
      </c>
      <c r="R533" t="s">
        <v>2569</v>
      </c>
      <c r="S533" t="s">
        <v>2224</v>
      </c>
      <c r="U533" t="s">
        <v>2578</v>
      </c>
      <c r="W533" t="s">
        <v>235</v>
      </c>
      <c r="X533">
        <v>854</v>
      </c>
      <c r="Y533" t="s">
        <v>2607</v>
      </c>
      <c r="Z533" t="s">
        <v>2617</v>
      </c>
      <c r="AB533" t="s">
        <v>3120</v>
      </c>
      <c r="AD533" t="s">
        <v>3884</v>
      </c>
      <c r="AE533">
        <v>77</v>
      </c>
      <c r="AF533" t="s">
        <v>4099</v>
      </c>
      <c r="AG533" t="s">
        <v>2255</v>
      </c>
      <c r="AH533">
        <v>41</v>
      </c>
      <c r="AI533">
        <v>1</v>
      </c>
      <c r="AJ533">
        <v>0</v>
      </c>
      <c r="AK533">
        <v>153.72</v>
      </c>
      <c r="AN533" t="s">
        <v>4127</v>
      </c>
      <c r="AO533">
        <v>19200</v>
      </c>
      <c r="AU533">
        <v>0.5</v>
      </c>
      <c r="AV533" t="s">
        <v>212</v>
      </c>
      <c r="AW533" t="s">
        <v>80</v>
      </c>
      <c r="AX533" t="s">
        <v>4266</v>
      </c>
      <c r="AY533" t="s">
        <v>2226</v>
      </c>
      <c r="AZ533" t="s">
        <v>2226</v>
      </c>
    </row>
    <row r="534" spans="1:52">
      <c r="A534" s="1">
        <f>HYPERLINK("https://lsnyc.legalserver.org/matter/dynamic-profile/view/1911427","19-1911427")</f>
        <v>0</v>
      </c>
      <c r="B534" t="s">
        <v>55</v>
      </c>
      <c r="C534" t="s">
        <v>155</v>
      </c>
      <c r="D534" t="s">
        <v>245</v>
      </c>
      <c r="F534" t="s">
        <v>305</v>
      </c>
      <c r="G534" t="s">
        <v>1231</v>
      </c>
      <c r="H534" t="s">
        <v>1800</v>
      </c>
      <c r="I534" t="s">
        <v>2133</v>
      </c>
      <c r="J534" t="s">
        <v>2190</v>
      </c>
      <c r="K534">
        <v>11416</v>
      </c>
      <c r="L534" t="s">
        <v>2225</v>
      </c>
      <c r="M534" t="s">
        <v>2226</v>
      </c>
      <c r="N534" t="s">
        <v>2452</v>
      </c>
      <c r="O534" t="s">
        <v>2533</v>
      </c>
      <c r="P534" t="s">
        <v>2558</v>
      </c>
      <c r="R534" t="s">
        <v>2570</v>
      </c>
      <c r="S534" t="s">
        <v>2225</v>
      </c>
      <c r="U534" t="s">
        <v>2578</v>
      </c>
      <c r="V534" t="s">
        <v>2588</v>
      </c>
      <c r="W534" t="s">
        <v>245</v>
      </c>
      <c r="X534">
        <v>2300</v>
      </c>
      <c r="Y534" t="s">
        <v>2603</v>
      </c>
      <c r="Z534" t="s">
        <v>2610</v>
      </c>
      <c r="AB534" t="s">
        <v>3121</v>
      </c>
      <c r="AE534">
        <v>3</v>
      </c>
      <c r="AF534" t="s">
        <v>4098</v>
      </c>
      <c r="AH534">
        <v>1</v>
      </c>
      <c r="AI534">
        <v>1</v>
      </c>
      <c r="AJ534">
        <v>1</v>
      </c>
      <c r="AK534">
        <v>153.76</v>
      </c>
      <c r="AL534" t="s">
        <v>4121</v>
      </c>
      <c r="AM534" t="s">
        <v>4123</v>
      </c>
      <c r="AN534" t="s">
        <v>4127</v>
      </c>
      <c r="AO534">
        <v>26000</v>
      </c>
      <c r="AP534" t="s">
        <v>4157</v>
      </c>
      <c r="AU534">
        <v>5.6</v>
      </c>
      <c r="AV534" t="s">
        <v>241</v>
      </c>
      <c r="AW534" t="s">
        <v>55</v>
      </c>
      <c r="AX534" t="s">
        <v>4266</v>
      </c>
      <c r="AY534" t="s">
        <v>2224</v>
      </c>
      <c r="AZ534" t="s">
        <v>2224</v>
      </c>
    </row>
    <row r="535" spans="1:52">
      <c r="A535" s="1">
        <f>HYPERLINK("https://lsnyc.legalserver.org/matter/dynamic-profile/view/1901929","19-1901929")</f>
        <v>0</v>
      </c>
      <c r="B535" t="s">
        <v>64</v>
      </c>
      <c r="C535" t="s">
        <v>155</v>
      </c>
      <c r="D535" t="s">
        <v>278</v>
      </c>
      <c r="F535" t="s">
        <v>681</v>
      </c>
      <c r="G535" t="s">
        <v>1232</v>
      </c>
      <c r="H535" t="s">
        <v>1801</v>
      </c>
      <c r="I535" t="s">
        <v>2000</v>
      </c>
      <c r="J535" t="s">
        <v>2192</v>
      </c>
      <c r="K535">
        <v>11233</v>
      </c>
      <c r="L535" t="s">
        <v>2225</v>
      </c>
      <c r="M535" t="s">
        <v>2226</v>
      </c>
      <c r="N535" t="s">
        <v>2453</v>
      </c>
      <c r="O535" t="s">
        <v>2535</v>
      </c>
      <c r="P535" t="s">
        <v>2558</v>
      </c>
      <c r="R535" t="s">
        <v>2569</v>
      </c>
      <c r="S535" t="s">
        <v>2225</v>
      </c>
      <c r="U535" t="s">
        <v>2578</v>
      </c>
      <c r="V535" t="s">
        <v>2588</v>
      </c>
      <c r="W535" t="s">
        <v>254</v>
      </c>
      <c r="X535">
        <v>1052</v>
      </c>
      <c r="Y535" t="s">
        <v>2604</v>
      </c>
      <c r="Z535" t="s">
        <v>2613</v>
      </c>
      <c r="AB535" t="s">
        <v>3122</v>
      </c>
      <c r="AC535" t="s">
        <v>2255</v>
      </c>
      <c r="AD535" t="s">
        <v>3885</v>
      </c>
      <c r="AE535">
        <v>12</v>
      </c>
      <c r="AF535" t="s">
        <v>4099</v>
      </c>
      <c r="AG535" t="s">
        <v>2255</v>
      </c>
      <c r="AH535">
        <v>8</v>
      </c>
      <c r="AI535">
        <v>2</v>
      </c>
      <c r="AJ535">
        <v>0</v>
      </c>
      <c r="AK535">
        <v>153.76</v>
      </c>
      <c r="AN535" t="s">
        <v>4126</v>
      </c>
      <c r="AO535">
        <v>26000</v>
      </c>
      <c r="AU535">
        <v>45.8</v>
      </c>
      <c r="AV535" t="s">
        <v>204</v>
      </c>
      <c r="AW535" t="s">
        <v>4226</v>
      </c>
      <c r="AX535" t="s">
        <v>2255</v>
      </c>
      <c r="AY535" t="s">
        <v>2224</v>
      </c>
      <c r="AZ535" t="s">
        <v>2224</v>
      </c>
    </row>
    <row r="536" spans="1:52">
      <c r="A536" s="1">
        <f>HYPERLINK("https://lsnyc.legalserver.org/matter/dynamic-profile/view/1911493","19-1911493")</f>
        <v>0</v>
      </c>
      <c r="B536" t="s">
        <v>104</v>
      </c>
      <c r="C536" t="s">
        <v>155</v>
      </c>
      <c r="D536" t="s">
        <v>179</v>
      </c>
      <c r="F536" t="s">
        <v>682</v>
      </c>
      <c r="G536" t="s">
        <v>1233</v>
      </c>
      <c r="H536" t="s">
        <v>1550</v>
      </c>
      <c r="I536" t="s">
        <v>2027</v>
      </c>
      <c r="J536" t="s">
        <v>2196</v>
      </c>
      <c r="K536">
        <v>10040</v>
      </c>
      <c r="L536" t="s">
        <v>2224</v>
      </c>
      <c r="M536" t="s">
        <v>2226</v>
      </c>
      <c r="O536" t="s">
        <v>2546</v>
      </c>
      <c r="P536" t="s">
        <v>2558</v>
      </c>
      <c r="R536" t="s">
        <v>2569</v>
      </c>
      <c r="S536" t="s">
        <v>2224</v>
      </c>
      <c r="U536" t="s">
        <v>2578</v>
      </c>
      <c r="W536" t="s">
        <v>179</v>
      </c>
      <c r="X536">
        <v>983.6</v>
      </c>
      <c r="Y536" t="s">
        <v>2607</v>
      </c>
      <c r="Z536" t="s">
        <v>2613</v>
      </c>
      <c r="AB536" t="s">
        <v>2955</v>
      </c>
      <c r="AD536" t="s">
        <v>3886</v>
      </c>
      <c r="AE536">
        <v>44</v>
      </c>
      <c r="AF536" t="s">
        <v>4099</v>
      </c>
      <c r="AG536" t="s">
        <v>4116</v>
      </c>
      <c r="AH536">
        <v>25</v>
      </c>
      <c r="AI536">
        <v>2</v>
      </c>
      <c r="AJ536">
        <v>0</v>
      </c>
      <c r="AK536">
        <v>154.68</v>
      </c>
      <c r="AN536" t="s">
        <v>4127</v>
      </c>
      <c r="AO536">
        <v>26156</v>
      </c>
      <c r="AU536">
        <v>0.1</v>
      </c>
      <c r="AV536" t="s">
        <v>197</v>
      </c>
      <c r="AW536" t="s">
        <v>80</v>
      </c>
      <c r="AX536" t="s">
        <v>4266</v>
      </c>
      <c r="AY536" t="s">
        <v>2226</v>
      </c>
      <c r="AZ536" t="s">
        <v>2226</v>
      </c>
    </row>
    <row r="537" spans="1:52">
      <c r="A537" s="1">
        <f>HYPERLINK("https://lsnyc.legalserver.org/matter/dynamic-profile/view/1911615","19-1911615")</f>
        <v>0</v>
      </c>
      <c r="B537" t="s">
        <v>104</v>
      </c>
      <c r="C537" t="s">
        <v>155</v>
      </c>
      <c r="D537" t="s">
        <v>263</v>
      </c>
      <c r="F537" t="s">
        <v>682</v>
      </c>
      <c r="G537" t="s">
        <v>1233</v>
      </c>
      <c r="H537" t="s">
        <v>1550</v>
      </c>
      <c r="I537" t="s">
        <v>2027</v>
      </c>
      <c r="J537" t="s">
        <v>2196</v>
      </c>
      <c r="K537">
        <v>10040</v>
      </c>
      <c r="L537" t="s">
        <v>2224</v>
      </c>
      <c r="M537" t="s">
        <v>2226</v>
      </c>
      <c r="O537" t="s">
        <v>2537</v>
      </c>
      <c r="P537" t="s">
        <v>2558</v>
      </c>
      <c r="R537" t="s">
        <v>2569</v>
      </c>
      <c r="S537" t="s">
        <v>2224</v>
      </c>
      <c r="U537" t="s">
        <v>2578</v>
      </c>
      <c r="W537" t="s">
        <v>263</v>
      </c>
      <c r="X537">
        <v>983.6</v>
      </c>
      <c r="Y537" t="s">
        <v>2607</v>
      </c>
      <c r="Z537" t="s">
        <v>2613</v>
      </c>
      <c r="AB537" t="s">
        <v>2955</v>
      </c>
      <c r="AD537" t="s">
        <v>3886</v>
      </c>
      <c r="AE537">
        <v>44</v>
      </c>
      <c r="AF537" t="s">
        <v>4099</v>
      </c>
      <c r="AG537" t="s">
        <v>2255</v>
      </c>
      <c r="AH537">
        <v>25</v>
      </c>
      <c r="AI537">
        <v>2</v>
      </c>
      <c r="AJ537">
        <v>0</v>
      </c>
      <c r="AK537">
        <v>154.68</v>
      </c>
      <c r="AN537" t="s">
        <v>4127</v>
      </c>
      <c r="AO537">
        <v>26156</v>
      </c>
      <c r="AU537">
        <v>0</v>
      </c>
      <c r="AW537" t="s">
        <v>80</v>
      </c>
      <c r="AX537" t="s">
        <v>4266</v>
      </c>
      <c r="AY537" t="s">
        <v>2226</v>
      </c>
      <c r="AZ537" t="s">
        <v>2226</v>
      </c>
    </row>
    <row r="538" spans="1:52">
      <c r="A538" s="1">
        <f>HYPERLINK("https://lsnyc.legalserver.org/matter/dynamic-profile/view/1912470","19-1912470")</f>
        <v>0</v>
      </c>
      <c r="B538" t="s">
        <v>104</v>
      </c>
      <c r="C538" t="s">
        <v>155</v>
      </c>
      <c r="D538" t="s">
        <v>230</v>
      </c>
      <c r="F538" t="s">
        <v>682</v>
      </c>
      <c r="G538" t="s">
        <v>1233</v>
      </c>
      <c r="H538" t="s">
        <v>1550</v>
      </c>
      <c r="I538" t="s">
        <v>2027</v>
      </c>
      <c r="J538" t="s">
        <v>2196</v>
      </c>
      <c r="K538">
        <v>10040</v>
      </c>
      <c r="L538" t="s">
        <v>2224</v>
      </c>
      <c r="M538" t="s">
        <v>2226</v>
      </c>
      <c r="O538" t="s">
        <v>2537</v>
      </c>
      <c r="P538" t="s">
        <v>2558</v>
      </c>
      <c r="R538" t="s">
        <v>2569</v>
      </c>
      <c r="S538" t="s">
        <v>2224</v>
      </c>
      <c r="U538" t="s">
        <v>2578</v>
      </c>
      <c r="W538" t="s">
        <v>230</v>
      </c>
      <c r="X538">
        <v>1231.45</v>
      </c>
      <c r="Y538" t="s">
        <v>2607</v>
      </c>
      <c r="Z538" t="s">
        <v>2609</v>
      </c>
      <c r="AB538" t="s">
        <v>2955</v>
      </c>
      <c r="AD538" t="s">
        <v>3886</v>
      </c>
      <c r="AE538">
        <v>44</v>
      </c>
      <c r="AF538" t="s">
        <v>4099</v>
      </c>
      <c r="AG538" t="s">
        <v>2255</v>
      </c>
      <c r="AH538">
        <v>13</v>
      </c>
      <c r="AI538">
        <v>2</v>
      </c>
      <c r="AJ538">
        <v>0</v>
      </c>
      <c r="AK538">
        <v>154.68</v>
      </c>
      <c r="AN538" t="s">
        <v>4127</v>
      </c>
      <c r="AO538">
        <v>26156</v>
      </c>
      <c r="AU538">
        <v>0</v>
      </c>
      <c r="AW538" t="s">
        <v>80</v>
      </c>
      <c r="AX538" t="s">
        <v>4266</v>
      </c>
      <c r="AY538" t="s">
        <v>2226</v>
      </c>
      <c r="AZ538" t="s">
        <v>2226</v>
      </c>
    </row>
    <row r="539" spans="1:52">
      <c r="A539" s="1">
        <f>HYPERLINK("https://lsnyc.legalserver.org/matter/dynamic-profile/view/1904333","19-1904333")</f>
        <v>0</v>
      </c>
      <c r="B539" t="s">
        <v>78</v>
      </c>
      <c r="C539" t="s">
        <v>155</v>
      </c>
      <c r="D539" t="s">
        <v>158</v>
      </c>
      <c r="F539" t="s">
        <v>683</v>
      </c>
      <c r="G539" t="s">
        <v>1234</v>
      </c>
      <c r="H539" t="s">
        <v>1802</v>
      </c>
      <c r="I539">
        <v>55</v>
      </c>
      <c r="J539" t="s">
        <v>2196</v>
      </c>
      <c r="K539">
        <v>10034</v>
      </c>
      <c r="L539" t="s">
        <v>2224</v>
      </c>
      <c r="M539" t="s">
        <v>2226</v>
      </c>
      <c r="O539" t="s">
        <v>2536</v>
      </c>
      <c r="P539" t="s">
        <v>2559</v>
      </c>
      <c r="R539" t="s">
        <v>2569</v>
      </c>
      <c r="S539" t="s">
        <v>2225</v>
      </c>
      <c r="U539" t="s">
        <v>2578</v>
      </c>
      <c r="W539" t="s">
        <v>158</v>
      </c>
      <c r="X539">
        <v>1408.53</v>
      </c>
      <c r="Y539" t="s">
        <v>2607</v>
      </c>
      <c r="Z539" t="s">
        <v>2617</v>
      </c>
      <c r="AB539" t="s">
        <v>3123</v>
      </c>
      <c r="AD539" t="s">
        <v>3887</v>
      </c>
      <c r="AE539">
        <v>50</v>
      </c>
      <c r="AF539" t="s">
        <v>4099</v>
      </c>
      <c r="AG539" t="s">
        <v>2255</v>
      </c>
      <c r="AH539">
        <v>14</v>
      </c>
      <c r="AI539">
        <v>3</v>
      </c>
      <c r="AJ539">
        <v>0</v>
      </c>
      <c r="AK539">
        <v>154.71</v>
      </c>
      <c r="AN539" t="s">
        <v>4127</v>
      </c>
      <c r="AO539">
        <v>33000</v>
      </c>
      <c r="AU539">
        <v>0</v>
      </c>
      <c r="AW539" t="s">
        <v>80</v>
      </c>
      <c r="AX539" t="s">
        <v>4266</v>
      </c>
      <c r="AY539" t="s">
        <v>2226</v>
      </c>
      <c r="AZ539" t="s">
        <v>2226</v>
      </c>
    </row>
    <row r="540" spans="1:52">
      <c r="A540" s="1">
        <f>HYPERLINK("https://lsnyc.legalserver.org/matter/dynamic-profile/view/1904729","19-1904729")</f>
        <v>0</v>
      </c>
      <c r="B540" t="s">
        <v>90</v>
      </c>
      <c r="C540" t="s">
        <v>155</v>
      </c>
      <c r="D540" t="s">
        <v>192</v>
      </c>
      <c r="F540" t="s">
        <v>537</v>
      </c>
      <c r="G540" t="s">
        <v>925</v>
      </c>
      <c r="H540" t="s">
        <v>1803</v>
      </c>
      <c r="I540" t="s">
        <v>2134</v>
      </c>
      <c r="J540" t="s">
        <v>2196</v>
      </c>
      <c r="K540">
        <v>10034</v>
      </c>
      <c r="L540" t="s">
        <v>2224</v>
      </c>
      <c r="M540" t="s">
        <v>2226</v>
      </c>
      <c r="O540" t="s">
        <v>2534</v>
      </c>
      <c r="P540" t="s">
        <v>2558</v>
      </c>
      <c r="R540" t="s">
        <v>2569</v>
      </c>
      <c r="S540" t="s">
        <v>2224</v>
      </c>
      <c r="U540" t="s">
        <v>2578</v>
      </c>
      <c r="W540" t="s">
        <v>192</v>
      </c>
      <c r="X540">
        <v>1600</v>
      </c>
      <c r="Y540" t="s">
        <v>2607</v>
      </c>
      <c r="Z540" t="s">
        <v>2617</v>
      </c>
      <c r="AB540" t="s">
        <v>3124</v>
      </c>
      <c r="AD540" t="s">
        <v>3888</v>
      </c>
      <c r="AE540">
        <v>43</v>
      </c>
      <c r="AF540" t="s">
        <v>4099</v>
      </c>
      <c r="AG540" t="s">
        <v>2255</v>
      </c>
      <c r="AH540">
        <v>0</v>
      </c>
      <c r="AI540">
        <v>3</v>
      </c>
      <c r="AJ540">
        <v>1</v>
      </c>
      <c r="AK540">
        <v>154.72</v>
      </c>
      <c r="AN540" t="s">
        <v>4127</v>
      </c>
      <c r="AO540">
        <v>39840</v>
      </c>
      <c r="AU540">
        <v>1</v>
      </c>
      <c r="AV540" t="s">
        <v>197</v>
      </c>
      <c r="AW540" t="s">
        <v>80</v>
      </c>
      <c r="AX540" t="s">
        <v>4266</v>
      </c>
      <c r="AY540" t="s">
        <v>2226</v>
      </c>
      <c r="AZ540" t="s">
        <v>2226</v>
      </c>
    </row>
    <row r="541" spans="1:52">
      <c r="A541" s="1">
        <f>HYPERLINK("https://lsnyc.legalserver.org/matter/dynamic-profile/view/1905109","19-1905109")</f>
        <v>0</v>
      </c>
      <c r="B541" t="s">
        <v>68</v>
      </c>
      <c r="C541" t="s">
        <v>155</v>
      </c>
      <c r="D541" t="s">
        <v>180</v>
      </c>
      <c r="F541" t="s">
        <v>684</v>
      </c>
      <c r="G541" t="s">
        <v>1235</v>
      </c>
      <c r="H541" t="s">
        <v>1659</v>
      </c>
      <c r="I541" t="s">
        <v>2010</v>
      </c>
      <c r="J541" t="s">
        <v>2192</v>
      </c>
      <c r="K541">
        <v>11220</v>
      </c>
      <c r="L541" t="s">
        <v>2224</v>
      </c>
      <c r="M541" t="s">
        <v>2226</v>
      </c>
      <c r="O541" t="s">
        <v>2534</v>
      </c>
      <c r="P541" t="s">
        <v>2558</v>
      </c>
      <c r="R541" t="s">
        <v>2569</v>
      </c>
      <c r="S541" t="s">
        <v>2224</v>
      </c>
      <c r="U541" t="s">
        <v>2578</v>
      </c>
      <c r="W541" t="s">
        <v>210</v>
      </c>
      <c r="X541">
        <v>0</v>
      </c>
      <c r="Y541" t="s">
        <v>2604</v>
      </c>
      <c r="AB541" t="s">
        <v>3125</v>
      </c>
      <c r="AD541" t="s">
        <v>3889</v>
      </c>
      <c r="AE541">
        <v>54</v>
      </c>
      <c r="AH541">
        <v>0</v>
      </c>
      <c r="AI541">
        <v>4</v>
      </c>
      <c r="AJ541">
        <v>0</v>
      </c>
      <c r="AK541">
        <v>155.34</v>
      </c>
      <c r="AN541" t="s">
        <v>4126</v>
      </c>
      <c r="AO541">
        <v>40000</v>
      </c>
      <c r="AU541">
        <v>0.2</v>
      </c>
      <c r="AV541" t="s">
        <v>180</v>
      </c>
      <c r="AW541" t="s">
        <v>124</v>
      </c>
      <c r="AX541" t="s">
        <v>4266</v>
      </c>
      <c r="AY541" t="s">
        <v>2224</v>
      </c>
      <c r="AZ541" t="s">
        <v>2224</v>
      </c>
    </row>
    <row r="542" spans="1:52">
      <c r="A542" s="1">
        <f>HYPERLINK("https://lsnyc.legalserver.org/matter/dynamic-profile/view/1905021","19-1905021")</f>
        <v>0</v>
      </c>
      <c r="B542" t="s">
        <v>105</v>
      </c>
      <c r="C542" t="s">
        <v>155</v>
      </c>
      <c r="D542" t="s">
        <v>274</v>
      </c>
      <c r="F542" t="s">
        <v>685</v>
      </c>
      <c r="G542" t="s">
        <v>1236</v>
      </c>
      <c r="H542" t="s">
        <v>1804</v>
      </c>
      <c r="I542" t="s">
        <v>1997</v>
      </c>
      <c r="J542" t="s">
        <v>2195</v>
      </c>
      <c r="K542">
        <v>10304</v>
      </c>
      <c r="L542" t="s">
        <v>2224</v>
      </c>
      <c r="M542" t="s">
        <v>2226</v>
      </c>
      <c r="N542" t="s">
        <v>2454</v>
      </c>
      <c r="O542" t="s">
        <v>2535</v>
      </c>
      <c r="P542" t="s">
        <v>2558</v>
      </c>
      <c r="R542" t="s">
        <v>2569</v>
      </c>
      <c r="S542" t="s">
        <v>2225</v>
      </c>
      <c r="U542" t="s">
        <v>2578</v>
      </c>
      <c r="V542" t="s">
        <v>2588</v>
      </c>
      <c r="W542" t="s">
        <v>274</v>
      </c>
      <c r="X542">
        <v>463</v>
      </c>
      <c r="Y542" t="s">
        <v>2606</v>
      </c>
      <c r="Z542" t="s">
        <v>2613</v>
      </c>
      <c r="AB542" t="s">
        <v>3126</v>
      </c>
      <c r="AD542" t="s">
        <v>3890</v>
      </c>
      <c r="AE542">
        <v>131</v>
      </c>
      <c r="AF542" t="s">
        <v>4104</v>
      </c>
      <c r="AG542" t="s">
        <v>4112</v>
      </c>
      <c r="AH542">
        <v>8</v>
      </c>
      <c r="AI542">
        <v>3</v>
      </c>
      <c r="AJ542">
        <v>0</v>
      </c>
      <c r="AK542">
        <v>156.02</v>
      </c>
      <c r="AN542" t="s">
        <v>4126</v>
      </c>
      <c r="AO542">
        <v>33279.96</v>
      </c>
      <c r="AU542">
        <v>7.95</v>
      </c>
      <c r="AV542" t="s">
        <v>202</v>
      </c>
      <c r="AW542" t="s">
        <v>4230</v>
      </c>
      <c r="AX542" t="s">
        <v>4266</v>
      </c>
      <c r="AY542" t="s">
        <v>2224</v>
      </c>
      <c r="AZ542" t="s">
        <v>2224</v>
      </c>
    </row>
    <row r="543" spans="1:52">
      <c r="A543" s="1">
        <f>HYPERLINK("https://lsnyc.legalserver.org/matter/dynamic-profile/view/1910598","19-1910598")</f>
        <v>0</v>
      </c>
      <c r="B543" t="s">
        <v>74</v>
      </c>
      <c r="C543" t="s">
        <v>155</v>
      </c>
      <c r="D543" t="s">
        <v>156</v>
      </c>
      <c r="F543" t="s">
        <v>686</v>
      </c>
      <c r="G543" t="s">
        <v>1237</v>
      </c>
      <c r="H543" t="s">
        <v>1574</v>
      </c>
      <c r="I543" t="s">
        <v>2014</v>
      </c>
      <c r="J543" t="s">
        <v>2196</v>
      </c>
      <c r="K543">
        <v>10040</v>
      </c>
      <c r="L543" t="s">
        <v>2224</v>
      </c>
      <c r="M543" t="s">
        <v>2226</v>
      </c>
      <c r="O543" t="s">
        <v>2534</v>
      </c>
      <c r="P543" t="s">
        <v>2559</v>
      </c>
      <c r="R543" t="s">
        <v>2569</v>
      </c>
      <c r="S543" t="s">
        <v>2224</v>
      </c>
      <c r="U543" t="s">
        <v>2578</v>
      </c>
      <c r="W543" t="s">
        <v>156</v>
      </c>
      <c r="X543">
        <v>671.64</v>
      </c>
      <c r="Y543" t="s">
        <v>2607</v>
      </c>
      <c r="Z543" t="s">
        <v>2617</v>
      </c>
      <c r="AB543" t="s">
        <v>3127</v>
      </c>
      <c r="AE543">
        <v>77</v>
      </c>
      <c r="AF543" t="s">
        <v>4099</v>
      </c>
      <c r="AG543" t="s">
        <v>4116</v>
      </c>
      <c r="AH543">
        <v>48</v>
      </c>
      <c r="AI543">
        <v>1</v>
      </c>
      <c r="AJ543">
        <v>0</v>
      </c>
      <c r="AK543">
        <v>156.12</v>
      </c>
      <c r="AN543" t="s">
        <v>4126</v>
      </c>
      <c r="AO543">
        <v>19499.52</v>
      </c>
      <c r="AU543">
        <v>0.7</v>
      </c>
      <c r="AV543" t="s">
        <v>241</v>
      </c>
      <c r="AW543" t="s">
        <v>80</v>
      </c>
      <c r="AX543" t="s">
        <v>4266</v>
      </c>
      <c r="AY543" t="s">
        <v>2226</v>
      </c>
      <c r="AZ543" t="s">
        <v>2226</v>
      </c>
    </row>
    <row r="544" spans="1:52">
      <c r="A544" s="1">
        <f>HYPERLINK("https://lsnyc.legalserver.org/matter/dynamic-profile/view/1905267","19-1905267")</f>
        <v>0</v>
      </c>
      <c r="B544" t="s">
        <v>116</v>
      </c>
      <c r="C544" t="s">
        <v>155</v>
      </c>
      <c r="D544" t="s">
        <v>198</v>
      </c>
      <c r="F544" t="s">
        <v>557</v>
      </c>
      <c r="G544" t="s">
        <v>1238</v>
      </c>
      <c r="H544" t="s">
        <v>1805</v>
      </c>
      <c r="I544" t="s">
        <v>2135</v>
      </c>
      <c r="J544" t="s">
        <v>2194</v>
      </c>
      <c r="K544">
        <v>10451</v>
      </c>
      <c r="L544" t="s">
        <v>2224</v>
      </c>
      <c r="M544" t="s">
        <v>2226</v>
      </c>
      <c r="N544" t="s">
        <v>2244</v>
      </c>
      <c r="O544" t="s">
        <v>2238</v>
      </c>
      <c r="P544" t="s">
        <v>2556</v>
      </c>
      <c r="R544" t="s">
        <v>2569</v>
      </c>
      <c r="S544" t="s">
        <v>2225</v>
      </c>
      <c r="U544" t="s">
        <v>2578</v>
      </c>
      <c r="W544" t="s">
        <v>214</v>
      </c>
      <c r="X544">
        <v>1630</v>
      </c>
      <c r="Y544" t="s">
        <v>2605</v>
      </c>
      <c r="Z544" t="s">
        <v>2614</v>
      </c>
      <c r="AB544" t="s">
        <v>3128</v>
      </c>
      <c r="AE544">
        <v>260</v>
      </c>
      <c r="AF544" t="s">
        <v>4105</v>
      </c>
      <c r="AG544" t="s">
        <v>2255</v>
      </c>
      <c r="AH544">
        <v>16</v>
      </c>
      <c r="AI544">
        <v>1</v>
      </c>
      <c r="AJ544">
        <v>0</v>
      </c>
      <c r="AK544">
        <v>156.61</v>
      </c>
      <c r="AN544" t="s">
        <v>4126</v>
      </c>
      <c r="AO544">
        <v>19560</v>
      </c>
      <c r="AU544">
        <v>1.1</v>
      </c>
      <c r="AV544" t="s">
        <v>272</v>
      </c>
      <c r="AW544" t="s">
        <v>116</v>
      </c>
      <c r="AX544" t="s">
        <v>4266</v>
      </c>
      <c r="AY544" t="s">
        <v>2224</v>
      </c>
      <c r="AZ544" t="s">
        <v>2224</v>
      </c>
    </row>
    <row r="545" spans="1:52">
      <c r="A545" s="1">
        <f>HYPERLINK("https://lsnyc.legalserver.org/matter/dynamic-profile/view/1910889","19-1910889")</f>
        <v>0</v>
      </c>
      <c r="B545" t="s">
        <v>95</v>
      </c>
      <c r="C545" t="s">
        <v>155</v>
      </c>
      <c r="D545" t="s">
        <v>166</v>
      </c>
      <c r="F545" t="s">
        <v>687</v>
      </c>
      <c r="G545" t="s">
        <v>324</v>
      </c>
      <c r="H545" t="s">
        <v>1806</v>
      </c>
      <c r="J545" t="s">
        <v>2192</v>
      </c>
      <c r="K545">
        <v>11212</v>
      </c>
      <c r="L545" t="s">
        <v>2224</v>
      </c>
      <c r="M545" t="s">
        <v>2226</v>
      </c>
      <c r="N545" t="s">
        <v>2237</v>
      </c>
      <c r="O545" t="s">
        <v>2238</v>
      </c>
      <c r="P545" t="s">
        <v>2561</v>
      </c>
      <c r="R545" t="s">
        <v>2569</v>
      </c>
      <c r="S545" t="s">
        <v>2225</v>
      </c>
      <c r="U545" t="s">
        <v>2578</v>
      </c>
      <c r="V545" t="s">
        <v>2588</v>
      </c>
      <c r="W545" t="s">
        <v>214</v>
      </c>
      <c r="X545">
        <v>911.8</v>
      </c>
      <c r="Y545" t="s">
        <v>2604</v>
      </c>
      <c r="Z545" t="s">
        <v>2611</v>
      </c>
      <c r="AB545" t="s">
        <v>3129</v>
      </c>
      <c r="AC545" t="s">
        <v>2244</v>
      </c>
      <c r="AD545" t="s">
        <v>3891</v>
      </c>
      <c r="AE545">
        <v>71</v>
      </c>
      <c r="AF545" t="s">
        <v>4099</v>
      </c>
      <c r="AG545" t="s">
        <v>2255</v>
      </c>
      <c r="AH545">
        <v>30</v>
      </c>
      <c r="AI545">
        <v>2</v>
      </c>
      <c r="AJ545">
        <v>0</v>
      </c>
      <c r="AK545">
        <v>157.89</v>
      </c>
      <c r="AN545" t="s">
        <v>4126</v>
      </c>
      <c r="AO545">
        <v>26700</v>
      </c>
      <c r="AU545">
        <v>6</v>
      </c>
      <c r="AV545" t="s">
        <v>169</v>
      </c>
      <c r="AW545" t="s">
        <v>4226</v>
      </c>
      <c r="AX545" t="s">
        <v>4266</v>
      </c>
      <c r="AY545" t="s">
        <v>2224</v>
      </c>
      <c r="AZ545" t="s">
        <v>2224</v>
      </c>
    </row>
    <row r="546" spans="1:52">
      <c r="A546" s="1">
        <f>HYPERLINK("https://lsnyc.legalserver.org/matter/dynamic-profile/view/1902689","19-1902689")</f>
        <v>0</v>
      </c>
      <c r="B546" t="s">
        <v>120</v>
      </c>
      <c r="C546" t="s">
        <v>155</v>
      </c>
      <c r="D546" t="s">
        <v>201</v>
      </c>
      <c r="F546" t="s">
        <v>688</v>
      </c>
      <c r="G546" t="s">
        <v>1239</v>
      </c>
      <c r="H546" t="s">
        <v>1807</v>
      </c>
      <c r="I546" t="s">
        <v>1991</v>
      </c>
      <c r="J546" t="s">
        <v>2195</v>
      </c>
      <c r="K546">
        <v>10301</v>
      </c>
      <c r="L546" t="s">
        <v>2224</v>
      </c>
      <c r="M546" t="s">
        <v>2226</v>
      </c>
      <c r="N546" t="s">
        <v>2455</v>
      </c>
      <c r="O546" t="s">
        <v>2533</v>
      </c>
      <c r="P546" t="s">
        <v>2558</v>
      </c>
      <c r="R546" t="s">
        <v>2569</v>
      </c>
      <c r="S546" t="s">
        <v>2225</v>
      </c>
      <c r="U546" t="s">
        <v>2578</v>
      </c>
      <c r="V546" t="s">
        <v>2588</v>
      </c>
      <c r="W546" t="s">
        <v>201</v>
      </c>
      <c r="X546">
        <v>1025</v>
      </c>
      <c r="Y546" t="s">
        <v>2606</v>
      </c>
      <c r="Z546" t="s">
        <v>2618</v>
      </c>
      <c r="AB546" t="s">
        <v>3130</v>
      </c>
      <c r="AD546" t="s">
        <v>3892</v>
      </c>
      <c r="AE546">
        <v>2</v>
      </c>
      <c r="AF546" t="s">
        <v>4098</v>
      </c>
      <c r="AG546" t="s">
        <v>2255</v>
      </c>
      <c r="AH546">
        <v>6</v>
      </c>
      <c r="AI546">
        <v>1</v>
      </c>
      <c r="AJ546">
        <v>0</v>
      </c>
      <c r="AK546">
        <v>158.21</v>
      </c>
      <c r="AN546" t="s">
        <v>4126</v>
      </c>
      <c r="AO546">
        <v>19760</v>
      </c>
      <c r="AQ546" t="s">
        <v>4180</v>
      </c>
      <c r="AU546">
        <v>29.3</v>
      </c>
      <c r="AV546" t="s">
        <v>163</v>
      </c>
      <c r="AW546" t="s">
        <v>4230</v>
      </c>
      <c r="AX546" t="s">
        <v>4266</v>
      </c>
      <c r="AY546" t="s">
        <v>2224</v>
      </c>
      <c r="AZ546" t="s">
        <v>2224</v>
      </c>
    </row>
    <row r="547" spans="1:52">
      <c r="A547" s="1">
        <f>HYPERLINK("https://lsnyc.legalserver.org/matter/dynamic-profile/view/1903631","19-1903631")</f>
        <v>0</v>
      </c>
      <c r="B547" t="s">
        <v>111</v>
      </c>
      <c r="C547" t="s">
        <v>154</v>
      </c>
      <c r="D547" t="s">
        <v>252</v>
      </c>
      <c r="E547" t="s">
        <v>200</v>
      </c>
      <c r="F547" t="s">
        <v>689</v>
      </c>
      <c r="G547" t="s">
        <v>1240</v>
      </c>
      <c r="H547" t="s">
        <v>1808</v>
      </c>
      <c r="I547" t="s">
        <v>2120</v>
      </c>
      <c r="J547" t="s">
        <v>2196</v>
      </c>
      <c r="K547">
        <v>10021</v>
      </c>
      <c r="L547" t="s">
        <v>2224</v>
      </c>
      <c r="M547" t="s">
        <v>2226</v>
      </c>
      <c r="N547" t="s">
        <v>2456</v>
      </c>
      <c r="O547" t="s">
        <v>2535</v>
      </c>
      <c r="P547" t="s">
        <v>2556</v>
      </c>
      <c r="Q547" t="s">
        <v>2563</v>
      </c>
      <c r="R547" t="s">
        <v>2569</v>
      </c>
      <c r="S547" t="s">
        <v>2225</v>
      </c>
      <c r="U547" t="s">
        <v>2578</v>
      </c>
      <c r="W547" t="s">
        <v>200</v>
      </c>
      <c r="X547">
        <v>830.13</v>
      </c>
      <c r="Y547" t="s">
        <v>2607</v>
      </c>
      <c r="Z547" t="s">
        <v>2614</v>
      </c>
      <c r="AA547" t="s">
        <v>2626</v>
      </c>
      <c r="AB547" t="s">
        <v>3131</v>
      </c>
      <c r="AD547" t="s">
        <v>3893</v>
      </c>
      <c r="AE547">
        <v>20</v>
      </c>
      <c r="AF547" t="s">
        <v>4099</v>
      </c>
      <c r="AH547">
        <v>43</v>
      </c>
      <c r="AI547">
        <v>1</v>
      </c>
      <c r="AJ547">
        <v>0</v>
      </c>
      <c r="AK547">
        <v>158.33</v>
      </c>
      <c r="AN547" t="s">
        <v>4126</v>
      </c>
      <c r="AO547">
        <v>19776</v>
      </c>
      <c r="AU547">
        <v>0.8</v>
      </c>
      <c r="AV547" t="s">
        <v>178</v>
      </c>
      <c r="AW547" t="s">
        <v>4262</v>
      </c>
      <c r="AX547" t="s">
        <v>4266</v>
      </c>
      <c r="AY547" t="s">
        <v>2226</v>
      </c>
      <c r="AZ547" t="s">
        <v>2225</v>
      </c>
    </row>
    <row r="548" spans="1:52">
      <c r="A548" s="1">
        <f>HYPERLINK("https://lsnyc.legalserver.org/matter/dynamic-profile/view/1912555","19-1912555")</f>
        <v>0</v>
      </c>
      <c r="B548" t="s">
        <v>60</v>
      </c>
      <c r="C548" t="s">
        <v>155</v>
      </c>
      <c r="D548" t="s">
        <v>157</v>
      </c>
      <c r="F548" t="s">
        <v>380</v>
      </c>
      <c r="G548" t="s">
        <v>927</v>
      </c>
      <c r="H548" t="s">
        <v>1809</v>
      </c>
      <c r="I548">
        <v>2</v>
      </c>
      <c r="J548" t="s">
        <v>2192</v>
      </c>
      <c r="K548">
        <v>11233</v>
      </c>
      <c r="L548" t="s">
        <v>2224</v>
      </c>
      <c r="M548" t="s">
        <v>2226</v>
      </c>
      <c r="N548" t="s">
        <v>2457</v>
      </c>
      <c r="O548" t="s">
        <v>2535</v>
      </c>
      <c r="P548" t="s">
        <v>2559</v>
      </c>
      <c r="R548" t="s">
        <v>2569</v>
      </c>
      <c r="S548" t="s">
        <v>2225</v>
      </c>
      <c r="U548" t="s">
        <v>2578</v>
      </c>
      <c r="W548" t="s">
        <v>199</v>
      </c>
      <c r="X548">
        <v>2400</v>
      </c>
      <c r="Y548" t="s">
        <v>2604</v>
      </c>
      <c r="Z548" t="s">
        <v>2618</v>
      </c>
      <c r="AB548" t="s">
        <v>2723</v>
      </c>
      <c r="AC548" t="s">
        <v>3445</v>
      </c>
      <c r="AD548" t="s">
        <v>3523</v>
      </c>
      <c r="AE548">
        <v>2</v>
      </c>
      <c r="AF548" t="s">
        <v>4098</v>
      </c>
      <c r="AG548" t="s">
        <v>2255</v>
      </c>
      <c r="AH548">
        <v>0</v>
      </c>
      <c r="AI548">
        <v>2</v>
      </c>
      <c r="AJ548">
        <v>2</v>
      </c>
      <c r="AK548">
        <v>159.22</v>
      </c>
      <c r="AN548" t="s">
        <v>4126</v>
      </c>
      <c r="AO548">
        <v>41000</v>
      </c>
      <c r="AU548">
        <v>0</v>
      </c>
      <c r="AW548" t="s">
        <v>127</v>
      </c>
      <c r="AX548" t="s">
        <v>4266</v>
      </c>
      <c r="AY548" t="s">
        <v>2226</v>
      </c>
      <c r="AZ548" t="s">
        <v>2226</v>
      </c>
    </row>
    <row r="549" spans="1:52">
      <c r="A549" s="1">
        <f>HYPERLINK("https://lsnyc.legalserver.org/matter/dynamic-profile/view/1910497","19-1910497")</f>
        <v>0</v>
      </c>
      <c r="B549" t="s">
        <v>62</v>
      </c>
      <c r="C549" t="s">
        <v>155</v>
      </c>
      <c r="D549" t="s">
        <v>178</v>
      </c>
      <c r="F549" t="s">
        <v>690</v>
      </c>
      <c r="G549" t="s">
        <v>1241</v>
      </c>
      <c r="H549" t="s">
        <v>1810</v>
      </c>
      <c r="I549" t="s">
        <v>1962</v>
      </c>
      <c r="J549" t="s">
        <v>2192</v>
      </c>
      <c r="K549">
        <v>11208</v>
      </c>
      <c r="L549" t="s">
        <v>2224</v>
      </c>
      <c r="M549" t="s">
        <v>2226</v>
      </c>
      <c r="N549" t="s">
        <v>2458</v>
      </c>
      <c r="O549" t="s">
        <v>2535</v>
      </c>
      <c r="P549" t="s">
        <v>2560</v>
      </c>
      <c r="R549" t="s">
        <v>2569</v>
      </c>
      <c r="S549" t="s">
        <v>2225</v>
      </c>
      <c r="U549" t="s">
        <v>2579</v>
      </c>
      <c r="V549" t="s">
        <v>2588</v>
      </c>
      <c r="W549" t="s">
        <v>272</v>
      </c>
      <c r="X549">
        <v>1515</v>
      </c>
      <c r="Y549" t="s">
        <v>2604</v>
      </c>
      <c r="Z549" t="s">
        <v>2613</v>
      </c>
      <c r="AB549" t="s">
        <v>3132</v>
      </c>
      <c r="AC549" t="s">
        <v>3446</v>
      </c>
      <c r="AD549" t="s">
        <v>3894</v>
      </c>
      <c r="AE549">
        <v>6</v>
      </c>
      <c r="AF549" t="s">
        <v>4099</v>
      </c>
      <c r="AG549" t="s">
        <v>4117</v>
      </c>
      <c r="AH549">
        <v>3</v>
      </c>
      <c r="AI549">
        <v>1</v>
      </c>
      <c r="AJ549">
        <v>2</v>
      </c>
      <c r="AK549">
        <v>159.4</v>
      </c>
      <c r="AN549" t="s">
        <v>4126</v>
      </c>
      <c r="AO549">
        <v>34000</v>
      </c>
      <c r="AU549">
        <v>7.25</v>
      </c>
      <c r="AV549" t="s">
        <v>168</v>
      </c>
      <c r="AW549" t="s">
        <v>4226</v>
      </c>
      <c r="AX549" t="s">
        <v>4266</v>
      </c>
      <c r="AY549" t="s">
        <v>2224</v>
      </c>
      <c r="AZ549" t="s">
        <v>2224</v>
      </c>
    </row>
    <row r="550" spans="1:52">
      <c r="A550" s="1">
        <f>HYPERLINK("https://lsnyc.legalserver.org/matter/dynamic-profile/view/1911026","19-1911026")</f>
        <v>0</v>
      </c>
      <c r="B550" t="s">
        <v>88</v>
      </c>
      <c r="C550" t="s">
        <v>155</v>
      </c>
      <c r="D550" t="s">
        <v>225</v>
      </c>
      <c r="F550" t="s">
        <v>691</v>
      </c>
      <c r="G550" t="s">
        <v>1047</v>
      </c>
      <c r="H550" t="s">
        <v>1811</v>
      </c>
      <c r="I550" t="s">
        <v>1951</v>
      </c>
      <c r="J550" t="s">
        <v>2196</v>
      </c>
      <c r="K550">
        <v>10034</v>
      </c>
      <c r="L550" t="s">
        <v>2224</v>
      </c>
      <c r="M550" t="s">
        <v>2226</v>
      </c>
      <c r="O550" t="s">
        <v>2238</v>
      </c>
      <c r="P550" t="s">
        <v>2559</v>
      </c>
      <c r="R550" t="s">
        <v>2569</v>
      </c>
      <c r="S550" t="s">
        <v>2225</v>
      </c>
      <c r="U550" t="s">
        <v>2578</v>
      </c>
      <c r="V550" t="s">
        <v>2588</v>
      </c>
      <c r="W550" t="s">
        <v>225</v>
      </c>
      <c r="X550">
        <v>1607</v>
      </c>
      <c r="Y550" t="s">
        <v>2607</v>
      </c>
      <c r="Z550" t="s">
        <v>2613</v>
      </c>
      <c r="AB550" t="s">
        <v>3133</v>
      </c>
      <c r="AD550" t="s">
        <v>3895</v>
      </c>
      <c r="AE550">
        <v>70</v>
      </c>
      <c r="AF550" t="s">
        <v>4099</v>
      </c>
      <c r="AG550" t="s">
        <v>2255</v>
      </c>
      <c r="AH550">
        <v>12</v>
      </c>
      <c r="AI550">
        <v>1</v>
      </c>
      <c r="AJ550">
        <v>0</v>
      </c>
      <c r="AK550">
        <v>159.49</v>
      </c>
      <c r="AN550" t="s">
        <v>4126</v>
      </c>
      <c r="AO550">
        <v>19920</v>
      </c>
      <c r="AU550">
        <v>0.5</v>
      </c>
      <c r="AV550" t="s">
        <v>225</v>
      </c>
      <c r="AW550" t="s">
        <v>4237</v>
      </c>
      <c r="AX550" t="s">
        <v>4266</v>
      </c>
      <c r="AY550" t="s">
        <v>2226</v>
      </c>
      <c r="AZ550" t="s">
        <v>2226</v>
      </c>
    </row>
    <row r="551" spans="1:52">
      <c r="A551" s="1">
        <f>HYPERLINK("https://lsnyc.legalserver.org/matter/dynamic-profile/view/1912271","19-1912271")</f>
        <v>0</v>
      </c>
      <c r="B551" t="s">
        <v>70</v>
      </c>
      <c r="C551" t="s">
        <v>154</v>
      </c>
      <c r="D551" t="s">
        <v>199</v>
      </c>
      <c r="E551" t="s">
        <v>188</v>
      </c>
      <c r="F551" t="s">
        <v>692</v>
      </c>
      <c r="G551" t="s">
        <v>1242</v>
      </c>
      <c r="H551" t="s">
        <v>1812</v>
      </c>
      <c r="I551" t="s">
        <v>2136</v>
      </c>
      <c r="J551" t="s">
        <v>2194</v>
      </c>
      <c r="K551">
        <v>10457</v>
      </c>
      <c r="L551" t="s">
        <v>2224</v>
      </c>
      <c r="M551" t="s">
        <v>2226</v>
      </c>
      <c r="O551" t="s">
        <v>2238</v>
      </c>
      <c r="P551" t="s">
        <v>2561</v>
      </c>
      <c r="Q551" t="s">
        <v>2566</v>
      </c>
      <c r="R551" t="s">
        <v>2569</v>
      </c>
      <c r="U551" t="s">
        <v>2578</v>
      </c>
      <c r="W551" t="s">
        <v>218</v>
      </c>
      <c r="X551">
        <v>867.4400000000001</v>
      </c>
      <c r="Y551" t="s">
        <v>2605</v>
      </c>
      <c r="Z551" t="s">
        <v>2611</v>
      </c>
      <c r="AA551" t="s">
        <v>2630</v>
      </c>
      <c r="AB551" t="s">
        <v>3134</v>
      </c>
      <c r="AD551" t="s">
        <v>3896</v>
      </c>
      <c r="AE551">
        <v>50</v>
      </c>
      <c r="AF551" t="s">
        <v>4099</v>
      </c>
      <c r="AG551" t="s">
        <v>4116</v>
      </c>
      <c r="AH551">
        <v>49</v>
      </c>
      <c r="AI551">
        <v>1</v>
      </c>
      <c r="AJ551">
        <v>0</v>
      </c>
      <c r="AK551">
        <v>159.68</v>
      </c>
      <c r="AN551" t="s">
        <v>4126</v>
      </c>
      <c r="AO551">
        <v>19944</v>
      </c>
      <c r="AU551">
        <v>2</v>
      </c>
      <c r="AV551" t="s">
        <v>188</v>
      </c>
      <c r="AW551" t="s">
        <v>4229</v>
      </c>
      <c r="AX551" t="s">
        <v>4266</v>
      </c>
      <c r="AY551" t="s">
        <v>2224</v>
      </c>
      <c r="AZ551" t="s">
        <v>2224</v>
      </c>
    </row>
    <row r="552" spans="1:52">
      <c r="A552" s="1">
        <f>HYPERLINK("https://lsnyc.legalserver.org/matter/dynamic-profile/view/1909569","19-1909569")</f>
        <v>0</v>
      </c>
      <c r="B552" t="s">
        <v>52</v>
      </c>
      <c r="C552" t="s">
        <v>154</v>
      </c>
      <c r="D552" t="s">
        <v>161</v>
      </c>
      <c r="E552" t="s">
        <v>281</v>
      </c>
      <c r="F552" t="s">
        <v>693</v>
      </c>
      <c r="G552" t="s">
        <v>1243</v>
      </c>
      <c r="H552" t="s">
        <v>1813</v>
      </c>
      <c r="I552" t="s">
        <v>1994</v>
      </c>
      <c r="J552" t="s">
        <v>2221</v>
      </c>
      <c r="K552">
        <v>11422</v>
      </c>
      <c r="L552" t="s">
        <v>2224</v>
      </c>
      <c r="M552" t="s">
        <v>2226</v>
      </c>
      <c r="N552" t="s">
        <v>2459</v>
      </c>
      <c r="O552" t="s">
        <v>2533</v>
      </c>
      <c r="P552" t="s">
        <v>2556</v>
      </c>
      <c r="Q552" t="s">
        <v>2563</v>
      </c>
      <c r="R552" t="s">
        <v>2569</v>
      </c>
      <c r="S552" t="s">
        <v>2225</v>
      </c>
      <c r="U552" t="s">
        <v>2578</v>
      </c>
      <c r="V552" t="s">
        <v>2588</v>
      </c>
      <c r="W552" t="s">
        <v>161</v>
      </c>
      <c r="X552">
        <v>1500</v>
      </c>
      <c r="Y552" t="s">
        <v>2603</v>
      </c>
      <c r="Z552" t="s">
        <v>2608</v>
      </c>
      <c r="AA552" t="s">
        <v>2626</v>
      </c>
      <c r="AB552" t="s">
        <v>3135</v>
      </c>
      <c r="AC552" t="s">
        <v>2255</v>
      </c>
      <c r="AD552" t="s">
        <v>3897</v>
      </c>
      <c r="AE552">
        <v>2</v>
      </c>
      <c r="AF552" t="s">
        <v>4098</v>
      </c>
      <c r="AG552" t="s">
        <v>2255</v>
      </c>
      <c r="AH552">
        <v>1</v>
      </c>
      <c r="AI552">
        <v>1</v>
      </c>
      <c r="AJ552">
        <v>0</v>
      </c>
      <c r="AK552">
        <v>160.13</v>
      </c>
      <c r="AN552" t="s">
        <v>4126</v>
      </c>
      <c r="AO552">
        <v>20000</v>
      </c>
      <c r="AU552">
        <v>2.31</v>
      </c>
      <c r="AV552" t="s">
        <v>281</v>
      </c>
      <c r="AW552" t="s">
        <v>4240</v>
      </c>
      <c r="AX552" t="s">
        <v>4266</v>
      </c>
      <c r="AY552" t="s">
        <v>2224</v>
      </c>
      <c r="AZ552" t="s">
        <v>2224</v>
      </c>
    </row>
    <row r="553" spans="1:52">
      <c r="A553" s="1">
        <f>HYPERLINK("https://lsnyc.legalserver.org/matter/dynamic-profile/view/1909089","19-1909089")</f>
        <v>0</v>
      </c>
      <c r="B553" t="s">
        <v>59</v>
      </c>
      <c r="C553" t="s">
        <v>155</v>
      </c>
      <c r="D553" t="s">
        <v>212</v>
      </c>
      <c r="F553" t="s">
        <v>694</v>
      </c>
      <c r="G553" t="s">
        <v>1244</v>
      </c>
      <c r="H553" t="s">
        <v>1410</v>
      </c>
      <c r="I553" t="s">
        <v>2137</v>
      </c>
      <c r="J553" t="s">
        <v>2192</v>
      </c>
      <c r="K553">
        <v>11233</v>
      </c>
      <c r="L553" t="s">
        <v>2224</v>
      </c>
      <c r="M553" t="s">
        <v>2226</v>
      </c>
      <c r="N553" t="s">
        <v>2235</v>
      </c>
      <c r="O553" t="s">
        <v>2537</v>
      </c>
      <c r="P553" t="s">
        <v>2560</v>
      </c>
      <c r="R553" t="s">
        <v>2569</v>
      </c>
      <c r="S553" t="s">
        <v>2224</v>
      </c>
      <c r="U553" t="s">
        <v>2578</v>
      </c>
      <c r="V553" t="s">
        <v>2588</v>
      </c>
      <c r="W553" t="s">
        <v>2594</v>
      </c>
      <c r="X553">
        <v>879</v>
      </c>
      <c r="Y553" t="s">
        <v>2604</v>
      </c>
      <c r="Z553" t="s">
        <v>2611</v>
      </c>
      <c r="AB553" t="s">
        <v>3136</v>
      </c>
      <c r="AE553">
        <v>359</v>
      </c>
      <c r="AF553" t="s">
        <v>4099</v>
      </c>
      <c r="AG553" t="s">
        <v>2255</v>
      </c>
      <c r="AH553">
        <v>28</v>
      </c>
      <c r="AI553">
        <v>1</v>
      </c>
      <c r="AJ553">
        <v>0</v>
      </c>
      <c r="AK553">
        <v>160.13</v>
      </c>
      <c r="AN553" t="s">
        <v>4126</v>
      </c>
      <c r="AO553">
        <v>20000</v>
      </c>
      <c r="AP553" t="s">
        <v>4158</v>
      </c>
      <c r="AU553">
        <v>0</v>
      </c>
      <c r="AW553" t="s">
        <v>127</v>
      </c>
      <c r="AX553" t="s">
        <v>2255</v>
      </c>
      <c r="AY553" t="s">
        <v>2224</v>
      </c>
      <c r="AZ553" t="s">
        <v>2224</v>
      </c>
    </row>
    <row r="554" spans="1:52">
      <c r="A554" s="1">
        <f>HYPERLINK("https://lsnyc.legalserver.org/matter/dynamic-profile/view/1907781","19-1907781")</f>
        <v>0</v>
      </c>
      <c r="B554" t="s">
        <v>63</v>
      </c>
      <c r="C554" t="s">
        <v>155</v>
      </c>
      <c r="D554" t="s">
        <v>183</v>
      </c>
      <c r="F554" t="s">
        <v>695</v>
      </c>
      <c r="G554" t="s">
        <v>1245</v>
      </c>
      <c r="H554" t="s">
        <v>1814</v>
      </c>
      <c r="I554" t="s">
        <v>1972</v>
      </c>
      <c r="J554" t="s">
        <v>2192</v>
      </c>
      <c r="K554">
        <v>11233</v>
      </c>
      <c r="L554" t="s">
        <v>2224</v>
      </c>
      <c r="M554" t="s">
        <v>2226</v>
      </c>
      <c r="N554" t="s">
        <v>2237</v>
      </c>
      <c r="O554" t="s">
        <v>2238</v>
      </c>
      <c r="P554" t="s">
        <v>2556</v>
      </c>
      <c r="R554" t="s">
        <v>2569</v>
      </c>
      <c r="S554" t="s">
        <v>2225</v>
      </c>
      <c r="U554" t="s">
        <v>2578</v>
      </c>
      <c r="V554" t="s">
        <v>2588</v>
      </c>
      <c r="W554" t="s">
        <v>183</v>
      </c>
      <c r="X554">
        <v>835</v>
      </c>
      <c r="Y554" t="s">
        <v>2604</v>
      </c>
      <c r="Z554" t="s">
        <v>2617</v>
      </c>
      <c r="AB554" t="s">
        <v>3137</v>
      </c>
      <c r="AC554" t="s">
        <v>2244</v>
      </c>
      <c r="AD554" t="s">
        <v>3898</v>
      </c>
      <c r="AE554">
        <v>6</v>
      </c>
      <c r="AF554" t="s">
        <v>4099</v>
      </c>
      <c r="AG554" t="s">
        <v>2255</v>
      </c>
      <c r="AH554">
        <v>1</v>
      </c>
      <c r="AI554">
        <v>1</v>
      </c>
      <c r="AJ554">
        <v>0</v>
      </c>
      <c r="AK554">
        <v>160.13</v>
      </c>
      <c r="AN554" t="s">
        <v>4126</v>
      </c>
      <c r="AO554">
        <v>20000</v>
      </c>
      <c r="AU554">
        <v>2.75</v>
      </c>
      <c r="AV554" t="s">
        <v>222</v>
      </c>
      <c r="AW554" t="s">
        <v>4226</v>
      </c>
      <c r="AX554" t="s">
        <v>4266</v>
      </c>
      <c r="AY554" t="s">
        <v>2224</v>
      </c>
      <c r="AZ554" t="s">
        <v>2224</v>
      </c>
    </row>
    <row r="555" spans="1:52">
      <c r="A555" s="1">
        <f>HYPERLINK("https://lsnyc.legalserver.org/matter/dynamic-profile/view/1911212","19-1911212")</f>
        <v>0</v>
      </c>
      <c r="B555" t="s">
        <v>95</v>
      </c>
      <c r="C555" t="s">
        <v>155</v>
      </c>
      <c r="D555" t="s">
        <v>272</v>
      </c>
      <c r="F555" t="s">
        <v>696</v>
      </c>
      <c r="G555" t="s">
        <v>1246</v>
      </c>
      <c r="H555" t="s">
        <v>1478</v>
      </c>
      <c r="J555" t="s">
        <v>2192</v>
      </c>
      <c r="K555">
        <v>11213</v>
      </c>
      <c r="L555" t="s">
        <v>2224</v>
      </c>
      <c r="M555" t="s">
        <v>2226</v>
      </c>
      <c r="N555" t="s">
        <v>2460</v>
      </c>
      <c r="O555" t="s">
        <v>2535</v>
      </c>
      <c r="P555" t="s">
        <v>2558</v>
      </c>
      <c r="R555" t="s">
        <v>2569</v>
      </c>
      <c r="S555" t="s">
        <v>2225</v>
      </c>
      <c r="U555" t="s">
        <v>2578</v>
      </c>
      <c r="V555" t="s">
        <v>2588</v>
      </c>
      <c r="W555" t="s">
        <v>225</v>
      </c>
      <c r="X555">
        <v>761.09</v>
      </c>
      <c r="Y555" t="s">
        <v>2604</v>
      </c>
      <c r="Z555" t="s">
        <v>2613</v>
      </c>
      <c r="AB555" t="s">
        <v>3138</v>
      </c>
      <c r="AC555" t="s">
        <v>2255</v>
      </c>
      <c r="AD555" t="s">
        <v>3899</v>
      </c>
      <c r="AE555">
        <v>35</v>
      </c>
      <c r="AF555" t="s">
        <v>4099</v>
      </c>
      <c r="AG555" t="s">
        <v>2255</v>
      </c>
      <c r="AH555">
        <v>22</v>
      </c>
      <c r="AI555">
        <v>1</v>
      </c>
      <c r="AJ555">
        <v>0</v>
      </c>
      <c r="AK555">
        <v>160.13</v>
      </c>
      <c r="AN555" t="s">
        <v>4126</v>
      </c>
      <c r="AO555">
        <v>20000</v>
      </c>
      <c r="AU555">
        <v>15</v>
      </c>
      <c r="AV555" t="s">
        <v>199</v>
      </c>
      <c r="AW555" t="s">
        <v>4226</v>
      </c>
      <c r="AX555" t="s">
        <v>4266</v>
      </c>
      <c r="AY555" t="s">
        <v>2224</v>
      </c>
      <c r="AZ555" t="s">
        <v>2224</v>
      </c>
    </row>
    <row r="556" spans="1:52">
      <c r="A556" s="1">
        <f>HYPERLINK("https://lsnyc.legalserver.org/matter/dynamic-profile/view/1903468","19-1903468")</f>
        <v>0</v>
      </c>
      <c r="B556" t="s">
        <v>112</v>
      </c>
      <c r="C556" t="s">
        <v>155</v>
      </c>
      <c r="D556" t="s">
        <v>172</v>
      </c>
      <c r="F556" t="s">
        <v>406</v>
      </c>
      <c r="G556" t="s">
        <v>1247</v>
      </c>
      <c r="H556" t="s">
        <v>1815</v>
      </c>
      <c r="I556" t="s">
        <v>2012</v>
      </c>
      <c r="J556" t="s">
        <v>2195</v>
      </c>
      <c r="K556">
        <v>10304</v>
      </c>
      <c r="L556" t="s">
        <v>2224</v>
      </c>
      <c r="M556" t="s">
        <v>2226</v>
      </c>
      <c r="N556" t="s">
        <v>2461</v>
      </c>
      <c r="O556" t="s">
        <v>2533</v>
      </c>
      <c r="P556" t="s">
        <v>2558</v>
      </c>
      <c r="R556" t="s">
        <v>2569</v>
      </c>
      <c r="S556" t="s">
        <v>2225</v>
      </c>
      <c r="U556" t="s">
        <v>2578</v>
      </c>
      <c r="V556" t="s">
        <v>2588</v>
      </c>
      <c r="W556" t="s">
        <v>172</v>
      </c>
      <c r="X556">
        <v>1200</v>
      </c>
      <c r="Y556" t="s">
        <v>2606</v>
      </c>
      <c r="Z556" t="s">
        <v>2617</v>
      </c>
      <c r="AB556" t="s">
        <v>3139</v>
      </c>
      <c r="AD556" t="s">
        <v>3900</v>
      </c>
      <c r="AE556">
        <v>2</v>
      </c>
      <c r="AF556" t="s">
        <v>4098</v>
      </c>
      <c r="AG556" t="s">
        <v>2255</v>
      </c>
      <c r="AH556">
        <v>2</v>
      </c>
      <c r="AI556">
        <v>1</v>
      </c>
      <c r="AJ556">
        <v>0</v>
      </c>
      <c r="AK556">
        <v>160.13</v>
      </c>
      <c r="AN556" t="s">
        <v>4126</v>
      </c>
      <c r="AO556">
        <v>20000</v>
      </c>
      <c r="AU556">
        <v>4.6</v>
      </c>
      <c r="AV556" t="s">
        <v>218</v>
      </c>
      <c r="AW556" t="s">
        <v>4230</v>
      </c>
      <c r="AX556" t="s">
        <v>4266</v>
      </c>
      <c r="AY556" t="s">
        <v>2224</v>
      </c>
      <c r="AZ556" t="s">
        <v>2224</v>
      </c>
    </row>
    <row r="557" spans="1:52">
      <c r="A557" s="1">
        <f>HYPERLINK("https://lsnyc.legalserver.org/matter/dynamic-profile/view/1912617","19-1912617")</f>
        <v>0</v>
      </c>
      <c r="B557" t="s">
        <v>90</v>
      </c>
      <c r="C557" t="s">
        <v>155</v>
      </c>
      <c r="D557" t="s">
        <v>157</v>
      </c>
      <c r="F557" t="s">
        <v>302</v>
      </c>
      <c r="G557" t="s">
        <v>918</v>
      </c>
      <c r="H557" t="s">
        <v>1816</v>
      </c>
      <c r="I557" t="s">
        <v>2027</v>
      </c>
      <c r="J557" t="s">
        <v>2196</v>
      </c>
      <c r="K557">
        <v>10034</v>
      </c>
      <c r="L557" t="s">
        <v>2224</v>
      </c>
      <c r="M557" t="s">
        <v>2226</v>
      </c>
      <c r="P557" t="s">
        <v>2561</v>
      </c>
      <c r="R557" t="s">
        <v>2569</v>
      </c>
      <c r="S557" t="s">
        <v>2225</v>
      </c>
      <c r="U557" t="s">
        <v>2578</v>
      </c>
      <c r="W557" t="s">
        <v>157</v>
      </c>
      <c r="X557">
        <v>1702.26</v>
      </c>
      <c r="Y557" t="s">
        <v>2607</v>
      </c>
      <c r="Z557" t="s">
        <v>2613</v>
      </c>
      <c r="AB557" t="s">
        <v>3140</v>
      </c>
      <c r="AD557" t="s">
        <v>3901</v>
      </c>
      <c r="AE557">
        <v>25</v>
      </c>
      <c r="AF557" t="s">
        <v>4099</v>
      </c>
      <c r="AG557" t="s">
        <v>2255</v>
      </c>
      <c r="AH557">
        <v>6</v>
      </c>
      <c r="AI557">
        <v>1</v>
      </c>
      <c r="AJ557">
        <v>0</v>
      </c>
      <c r="AK557">
        <v>160.13</v>
      </c>
      <c r="AN557" t="s">
        <v>4126</v>
      </c>
      <c r="AO557">
        <v>20000</v>
      </c>
      <c r="AU557">
        <v>1</v>
      </c>
      <c r="AV557" t="s">
        <v>157</v>
      </c>
      <c r="AW557" t="s">
        <v>80</v>
      </c>
      <c r="AX557" t="s">
        <v>4266</v>
      </c>
      <c r="AY557" t="s">
        <v>2226</v>
      </c>
      <c r="AZ557" t="s">
        <v>2226</v>
      </c>
    </row>
    <row r="558" spans="1:52">
      <c r="A558" s="1">
        <f>HYPERLINK("https://lsnyc.legalserver.org/matter/dynamic-profile/view/1912252","19-1912252")</f>
        <v>0</v>
      </c>
      <c r="B558" t="s">
        <v>53</v>
      </c>
      <c r="C558" t="s">
        <v>155</v>
      </c>
      <c r="D558" t="s">
        <v>199</v>
      </c>
      <c r="F558" t="s">
        <v>527</v>
      </c>
      <c r="G558" t="s">
        <v>1248</v>
      </c>
      <c r="H558" t="s">
        <v>1397</v>
      </c>
      <c r="I558" t="s">
        <v>2138</v>
      </c>
      <c r="J558" t="s">
        <v>2187</v>
      </c>
      <c r="K558">
        <v>11691</v>
      </c>
      <c r="L558" t="s">
        <v>2224</v>
      </c>
      <c r="M558" t="s">
        <v>2226</v>
      </c>
      <c r="O558" t="s">
        <v>2534</v>
      </c>
      <c r="P558" t="s">
        <v>2558</v>
      </c>
      <c r="R558" t="s">
        <v>2569</v>
      </c>
      <c r="S558" t="s">
        <v>2224</v>
      </c>
      <c r="U558" t="s">
        <v>2578</v>
      </c>
      <c r="W558" t="s">
        <v>199</v>
      </c>
      <c r="X558">
        <v>540</v>
      </c>
      <c r="Y558" t="s">
        <v>2603</v>
      </c>
      <c r="Z558" t="s">
        <v>2609</v>
      </c>
      <c r="AB558" t="s">
        <v>3141</v>
      </c>
      <c r="AD558" t="s">
        <v>3902</v>
      </c>
      <c r="AE558">
        <v>43</v>
      </c>
      <c r="AF558" t="s">
        <v>4099</v>
      </c>
      <c r="AG558" t="s">
        <v>2255</v>
      </c>
      <c r="AH558">
        <v>40</v>
      </c>
      <c r="AI558">
        <v>2</v>
      </c>
      <c r="AJ558">
        <v>0</v>
      </c>
      <c r="AK558">
        <v>160.52</v>
      </c>
      <c r="AN558" t="s">
        <v>4126</v>
      </c>
      <c r="AO558">
        <v>27144</v>
      </c>
      <c r="AU558">
        <v>0.4</v>
      </c>
      <c r="AV558" t="s">
        <v>199</v>
      </c>
      <c r="AW558" t="s">
        <v>4224</v>
      </c>
      <c r="AX558" t="s">
        <v>4266</v>
      </c>
      <c r="AY558" t="s">
        <v>2226</v>
      </c>
      <c r="AZ558" t="s">
        <v>2226</v>
      </c>
    </row>
    <row r="559" spans="1:52">
      <c r="A559" s="1">
        <f>HYPERLINK("https://lsnyc.legalserver.org/matter/dynamic-profile/view/1903859","19-1903859")</f>
        <v>0</v>
      </c>
      <c r="B559" t="s">
        <v>146</v>
      </c>
      <c r="C559" t="s">
        <v>155</v>
      </c>
      <c r="D559" t="s">
        <v>201</v>
      </c>
      <c r="F559" t="s">
        <v>370</v>
      </c>
      <c r="G559" t="s">
        <v>972</v>
      </c>
      <c r="H559" t="s">
        <v>1817</v>
      </c>
      <c r="I559">
        <v>10</v>
      </c>
      <c r="J559" t="s">
        <v>2196</v>
      </c>
      <c r="K559">
        <v>10025</v>
      </c>
      <c r="L559" t="s">
        <v>2224</v>
      </c>
      <c r="M559" t="s">
        <v>2226</v>
      </c>
      <c r="O559" t="s">
        <v>2541</v>
      </c>
      <c r="P559" t="s">
        <v>2557</v>
      </c>
      <c r="R559" t="s">
        <v>2569</v>
      </c>
      <c r="S559" t="s">
        <v>2225</v>
      </c>
      <c r="U559" t="s">
        <v>2578</v>
      </c>
      <c r="V559" t="s">
        <v>2588</v>
      </c>
      <c r="W559" t="s">
        <v>201</v>
      </c>
      <c r="X559">
        <v>679.8200000000001</v>
      </c>
      <c r="Y559" t="s">
        <v>2607</v>
      </c>
      <c r="Z559" t="s">
        <v>2623</v>
      </c>
      <c r="AB559" t="s">
        <v>3142</v>
      </c>
      <c r="AD559" t="s">
        <v>3903</v>
      </c>
      <c r="AE559">
        <v>16</v>
      </c>
      <c r="AF559" t="s">
        <v>4110</v>
      </c>
      <c r="AG559" t="s">
        <v>2255</v>
      </c>
      <c r="AH559">
        <v>40</v>
      </c>
      <c r="AI559">
        <v>1</v>
      </c>
      <c r="AJ559">
        <v>0</v>
      </c>
      <c r="AK559">
        <v>160.92</v>
      </c>
      <c r="AN559" t="s">
        <v>4127</v>
      </c>
      <c r="AO559">
        <v>20098.56</v>
      </c>
      <c r="AU559">
        <v>3</v>
      </c>
      <c r="AV559" t="s">
        <v>201</v>
      </c>
      <c r="AW559" t="s">
        <v>4237</v>
      </c>
      <c r="AX559" t="s">
        <v>4266</v>
      </c>
      <c r="AY559" t="s">
        <v>2226</v>
      </c>
      <c r="AZ559" t="s">
        <v>2226</v>
      </c>
    </row>
    <row r="560" spans="1:52">
      <c r="A560" s="1">
        <f>HYPERLINK("https://lsnyc.legalserver.org/matter/dynamic-profile/view/1904718","19-1904718")</f>
        <v>0</v>
      </c>
      <c r="B560" t="s">
        <v>147</v>
      </c>
      <c r="C560" t="s">
        <v>155</v>
      </c>
      <c r="D560" t="s">
        <v>192</v>
      </c>
      <c r="F560" t="s">
        <v>697</v>
      </c>
      <c r="G560" t="s">
        <v>1249</v>
      </c>
      <c r="H560" t="s">
        <v>1438</v>
      </c>
      <c r="I560" t="s">
        <v>1975</v>
      </c>
      <c r="J560" t="s">
        <v>2196</v>
      </c>
      <c r="K560">
        <v>10040</v>
      </c>
      <c r="L560" t="s">
        <v>2224</v>
      </c>
      <c r="M560" t="s">
        <v>2226</v>
      </c>
      <c r="P560" t="s">
        <v>2559</v>
      </c>
      <c r="R560" t="s">
        <v>2569</v>
      </c>
      <c r="S560" t="s">
        <v>2225</v>
      </c>
      <c r="U560" t="s">
        <v>2578</v>
      </c>
      <c r="W560" t="s">
        <v>192</v>
      </c>
      <c r="X560">
        <v>1116.26</v>
      </c>
      <c r="Y560" t="s">
        <v>2607</v>
      </c>
      <c r="Z560" t="s">
        <v>2617</v>
      </c>
      <c r="AB560" t="s">
        <v>3143</v>
      </c>
      <c r="AD560" t="s">
        <v>3904</v>
      </c>
      <c r="AE560">
        <v>42</v>
      </c>
      <c r="AF560" t="s">
        <v>4099</v>
      </c>
      <c r="AG560" t="s">
        <v>2255</v>
      </c>
      <c r="AH560">
        <v>22</v>
      </c>
      <c r="AI560">
        <v>2</v>
      </c>
      <c r="AJ560">
        <v>0</v>
      </c>
      <c r="AK560">
        <v>161.44</v>
      </c>
      <c r="AN560" t="s">
        <v>4127</v>
      </c>
      <c r="AO560">
        <v>27300</v>
      </c>
      <c r="AU560">
        <v>8</v>
      </c>
      <c r="AV560" t="s">
        <v>272</v>
      </c>
      <c r="AW560" t="s">
        <v>80</v>
      </c>
      <c r="AX560" t="s">
        <v>4266</v>
      </c>
      <c r="AY560" t="s">
        <v>2226</v>
      </c>
      <c r="AZ560" t="s">
        <v>2226</v>
      </c>
    </row>
    <row r="561" spans="1:52">
      <c r="A561" s="1">
        <f>HYPERLINK("https://lsnyc.legalserver.org/matter/dynamic-profile/view/1910038","19-1910038")</f>
        <v>0</v>
      </c>
      <c r="B561" t="s">
        <v>96</v>
      </c>
      <c r="C561" t="s">
        <v>155</v>
      </c>
      <c r="D561" t="s">
        <v>211</v>
      </c>
      <c r="F561" t="s">
        <v>415</v>
      </c>
      <c r="G561" t="s">
        <v>935</v>
      </c>
      <c r="H561" t="s">
        <v>1818</v>
      </c>
      <c r="J561" t="s">
        <v>2192</v>
      </c>
      <c r="K561">
        <v>11212</v>
      </c>
      <c r="L561" t="s">
        <v>2224</v>
      </c>
      <c r="M561" t="s">
        <v>2226</v>
      </c>
      <c r="N561" t="s">
        <v>2462</v>
      </c>
      <c r="O561" t="s">
        <v>2533</v>
      </c>
      <c r="P561" t="s">
        <v>2561</v>
      </c>
      <c r="R561" t="s">
        <v>2569</v>
      </c>
      <c r="S561" t="s">
        <v>2225</v>
      </c>
      <c r="U561" t="s">
        <v>2578</v>
      </c>
      <c r="V561" t="s">
        <v>2588</v>
      </c>
      <c r="W561" t="s">
        <v>156</v>
      </c>
      <c r="X561">
        <v>900</v>
      </c>
      <c r="Y561" t="s">
        <v>2604</v>
      </c>
      <c r="AB561" t="s">
        <v>3144</v>
      </c>
      <c r="AC561" t="s">
        <v>2513</v>
      </c>
      <c r="AD561" t="s">
        <v>3905</v>
      </c>
      <c r="AE561">
        <v>2</v>
      </c>
      <c r="AF561" t="s">
        <v>4098</v>
      </c>
      <c r="AG561" t="s">
        <v>2611</v>
      </c>
      <c r="AH561">
        <v>17</v>
      </c>
      <c r="AI561">
        <v>3</v>
      </c>
      <c r="AJ561">
        <v>1</v>
      </c>
      <c r="AK561">
        <v>161.48</v>
      </c>
      <c r="AN561" t="s">
        <v>4126</v>
      </c>
      <c r="AO561">
        <v>41580</v>
      </c>
      <c r="AU561">
        <v>4.4</v>
      </c>
      <c r="AV561" t="s">
        <v>214</v>
      </c>
      <c r="AW561" t="s">
        <v>4227</v>
      </c>
      <c r="AX561" t="s">
        <v>4266</v>
      </c>
      <c r="AY561" t="s">
        <v>2224</v>
      </c>
      <c r="AZ561" t="s">
        <v>2224</v>
      </c>
    </row>
    <row r="562" spans="1:52">
      <c r="A562" s="1">
        <f>HYPERLINK("https://lsnyc.legalserver.org/matter/dynamic-profile/view/1909921","19-1909921")</f>
        <v>0</v>
      </c>
      <c r="B562" t="s">
        <v>92</v>
      </c>
      <c r="C562" t="s">
        <v>155</v>
      </c>
      <c r="D562" t="s">
        <v>211</v>
      </c>
      <c r="F562" t="s">
        <v>698</v>
      </c>
      <c r="G562" t="s">
        <v>1250</v>
      </c>
      <c r="H562" t="s">
        <v>1819</v>
      </c>
      <c r="J562" t="s">
        <v>2195</v>
      </c>
      <c r="K562">
        <v>10301</v>
      </c>
      <c r="L562" t="s">
        <v>2224</v>
      </c>
      <c r="M562" t="s">
        <v>2226</v>
      </c>
      <c r="N562" t="s">
        <v>2463</v>
      </c>
      <c r="O562" t="s">
        <v>2535</v>
      </c>
      <c r="P562" t="s">
        <v>2558</v>
      </c>
      <c r="R562" t="s">
        <v>2569</v>
      </c>
      <c r="S562" t="s">
        <v>2225</v>
      </c>
      <c r="U562" t="s">
        <v>2578</v>
      </c>
      <c r="V562" t="s">
        <v>2588</v>
      </c>
      <c r="W562" t="s">
        <v>268</v>
      </c>
      <c r="X562">
        <v>2500</v>
      </c>
      <c r="Y562" t="s">
        <v>2606</v>
      </c>
      <c r="Z562" t="s">
        <v>2617</v>
      </c>
      <c r="AB562" t="s">
        <v>3145</v>
      </c>
      <c r="AD562" t="s">
        <v>3906</v>
      </c>
      <c r="AE562">
        <v>1</v>
      </c>
      <c r="AF562" t="s">
        <v>4098</v>
      </c>
      <c r="AH562">
        <v>1</v>
      </c>
      <c r="AI562">
        <v>1</v>
      </c>
      <c r="AJ562">
        <v>0</v>
      </c>
      <c r="AK562">
        <v>162.37</v>
      </c>
      <c r="AN562" t="s">
        <v>4126</v>
      </c>
      <c r="AO562">
        <v>20280</v>
      </c>
      <c r="AU562">
        <v>6.7</v>
      </c>
      <c r="AV562" t="s">
        <v>188</v>
      </c>
      <c r="AW562" t="s">
        <v>4264</v>
      </c>
      <c r="AX562" t="s">
        <v>4266</v>
      </c>
      <c r="AY562" t="s">
        <v>2226</v>
      </c>
      <c r="AZ562" t="s">
        <v>2226</v>
      </c>
    </row>
    <row r="563" spans="1:52">
      <c r="A563" s="1">
        <f>HYPERLINK("https://lsnyc.legalserver.org/matter/dynamic-profile/view/1907837","19-1907837")</f>
        <v>0</v>
      </c>
      <c r="B563" t="s">
        <v>89</v>
      </c>
      <c r="C563" t="s">
        <v>155</v>
      </c>
      <c r="D563" t="s">
        <v>247</v>
      </c>
      <c r="F563" t="s">
        <v>699</v>
      </c>
      <c r="G563" t="s">
        <v>1251</v>
      </c>
      <c r="H563" t="s">
        <v>1642</v>
      </c>
      <c r="I563" t="s">
        <v>1952</v>
      </c>
      <c r="J563" t="s">
        <v>2204</v>
      </c>
      <c r="K563">
        <v>11377</v>
      </c>
      <c r="L563" t="s">
        <v>2224</v>
      </c>
      <c r="M563" t="s">
        <v>2226</v>
      </c>
      <c r="N563" t="s">
        <v>2356</v>
      </c>
      <c r="O563" t="s">
        <v>2537</v>
      </c>
      <c r="P563" t="s">
        <v>2560</v>
      </c>
      <c r="R563" t="s">
        <v>2569</v>
      </c>
      <c r="S563" t="s">
        <v>2224</v>
      </c>
      <c r="U563" t="s">
        <v>2578</v>
      </c>
      <c r="W563" t="s">
        <v>247</v>
      </c>
      <c r="X563">
        <v>892.88</v>
      </c>
      <c r="Y563" t="s">
        <v>2603</v>
      </c>
      <c r="Z563" t="s">
        <v>2614</v>
      </c>
      <c r="AB563" t="s">
        <v>3146</v>
      </c>
      <c r="AC563" t="s">
        <v>3447</v>
      </c>
      <c r="AD563" t="s">
        <v>3907</v>
      </c>
      <c r="AE563">
        <v>67</v>
      </c>
      <c r="AF563" t="s">
        <v>4099</v>
      </c>
      <c r="AG563" t="s">
        <v>4116</v>
      </c>
      <c r="AH563">
        <v>61</v>
      </c>
      <c r="AI563">
        <v>1</v>
      </c>
      <c r="AJ563">
        <v>0</v>
      </c>
      <c r="AK563">
        <v>162.66</v>
      </c>
      <c r="AN563" t="s">
        <v>4126</v>
      </c>
      <c r="AO563">
        <v>20316</v>
      </c>
      <c r="AU563">
        <v>0.4</v>
      </c>
      <c r="AV563" t="s">
        <v>247</v>
      </c>
      <c r="AW563" t="s">
        <v>4224</v>
      </c>
      <c r="AX563" t="s">
        <v>4266</v>
      </c>
      <c r="AY563" t="s">
        <v>2224</v>
      </c>
      <c r="AZ563" t="s">
        <v>2224</v>
      </c>
    </row>
    <row r="564" spans="1:52">
      <c r="A564" s="1">
        <f>HYPERLINK("https://lsnyc.legalserver.org/matter/dynamic-profile/view/1902243","19-1902243")</f>
        <v>0</v>
      </c>
      <c r="B564" t="s">
        <v>65</v>
      </c>
      <c r="C564" t="s">
        <v>154</v>
      </c>
      <c r="D564" t="s">
        <v>279</v>
      </c>
      <c r="E564" t="s">
        <v>194</v>
      </c>
      <c r="F564" t="s">
        <v>700</v>
      </c>
      <c r="G564" t="s">
        <v>760</v>
      </c>
      <c r="H564" t="s">
        <v>1820</v>
      </c>
      <c r="I564" t="s">
        <v>2139</v>
      </c>
      <c r="J564" t="s">
        <v>2192</v>
      </c>
      <c r="K564">
        <v>11234</v>
      </c>
      <c r="L564" t="s">
        <v>2224</v>
      </c>
      <c r="M564" t="s">
        <v>2226</v>
      </c>
      <c r="N564" t="s">
        <v>2464</v>
      </c>
      <c r="O564" t="s">
        <v>2534</v>
      </c>
      <c r="P564" t="s">
        <v>2556</v>
      </c>
      <c r="Q564" t="s">
        <v>2563</v>
      </c>
      <c r="R564" t="s">
        <v>2569</v>
      </c>
      <c r="S564" t="s">
        <v>2225</v>
      </c>
      <c r="U564" t="s">
        <v>2578</v>
      </c>
      <c r="V564" t="s">
        <v>2588</v>
      </c>
      <c r="W564" t="s">
        <v>254</v>
      </c>
      <c r="X564">
        <v>0</v>
      </c>
      <c r="Y564" t="s">
        <v>2604</v>
      </c>
      <c r="Z564" t="s">
        <v>2608</v>
      </c>
      <c r="AA564" t="s">
        <v>2626</v>
      </c>
      <c r="AB564" t="s">
        <v>3147</v>
      </c>
      <c r="AC564" t="s">
        <v>3448</v>
      </c>
      <c r="AD564" t="s">
        <v>3908</v>
      </c>
      <c r="AE564">
        <v>710</v>
      </c>
      <c r="AF564" t="s">
        <v>2518</v>
      </c>
      <c r="AH564">
        <v>0</v>
      </c>
      <c r="AI564">
        <v>1</v>
      </c>
      <c r="AJ564">
        <v>1</v>
      </c>
      <c r="AK564">
        <v>162.67</v>
      </c>
      <c r="AN564" t="s">
        <v>4126</v>
      </c>
      <c r="AO564">
        <v>27508</v>
      </c>
      <c r="AU564">
        <v>0.1</v>
      </c>
      <c r="AV564" t="s">
        <v>251</v>
      </c>
      <c r="AW564" t="s">
        <v>4239</v>
      </c>
      <c r="AX564" t="s">
        <v>4266</v>
      </c>
      <c r="AY564" t="s">
        <v>2226</v>
      </c>
      <c r="AZ564" t="s">
        <v>2225</v>
      </c>
    </row>
    <row r="565" spans="1:52">
      <c r="A565" s="1">
        <f>HYPERLINK("https://lsnyc.legalserver.org/matter/dynamic-profile/view/1905584","19-1905584")</f>
        <v>0</v>
      </c>
      <c r="B565" t="s">
        <v>52</v>
      </c>
      <c r="C565" t="s">
        <v>155</v>
      </c>
      <c r="D565" t="s">
        <v>274</v>
      </c>
      <c r="F565" t="s">
        <v>701</v>
      </c>
      <c r="G565" t="s">
        <v>965</v>
      </c>
      <c r="H565" t="s">
        <v>1821</v>
      </c>
      <c r="I565" t="s">
        <v>1958</v>
      </c>
      <c r="J565" t="s">
        <v>2207</v>
      </c>
      <c r="K565">
        <v>11365</v>
      </c>
      <c r="L565" t="s">
        <v>2224</v>
      </c>
      <c r="M565" t="s">
        <v>2226</v>
      </c>
      <c r="N565" t="s">
        <v>2465</v>
      </c>
      <c r="O565" t="s">
        <v>2533</v>
      </c>
      <c r="P565" t="s">
        <v>2558</v>
      </c>
      <c r="R565" t="s">
        <v>2570</v>
      </c>
      <c r="S565" t="s">
        <v>2225</v>
      </c>
      <c r="U565" t="s">
        <v>2578</v>
      </c>
      <c r="V565" t="s">
        <v>2587</v>
      </c>
      <c r="W565" t="s">
        <v>172</v>
      </c>
      <c r="X565">
        <v>1350</v>
      </c>
      <c r="Y565" t="s">
        <v>2603</v>
      </c>
      <c r="Z565" t="s">
        <v>2610</v>
      </c>
      <c r="AB565" t="s">
        <v>3148</v>
      </c>
      <c r="AC565" t="s">
        <v>2255</v>
      </c>
      <c r="AD565" t="s">
        <v>3909</v>
      </c>
      <c r="AE565">
        <v>5</v>
      </c>
      <c r="AF565" t="s">
        <v>4098</v>
      </c>
      <c r="AG565" t="s">
        <v>2255</v>
      </c>
      <c r="AH565">
        <v>9</v>
      </c>
      <c r="AI565">
        <v>1</v>
      </c>
      <c r="AJ565">
        <v>0</v>
      </c>
      <c r="AK565">
        <v>163.33</v>
      </c>
      <c r="AL565" t="s">
        <v>4121</v>
      </c>
      <c r="AM565" t="s">
        <v>4123</v>
      </c>
      <c r="AN565" t="s">
        <v>4126</v>
      </c>
      <c r="AO565">
        <v>20400</v>
      </c>
      <c r="AU565">
        <v>33.11</v>
      </c>
      <c r="AV565" t="s">
        <v>188</v>
      </c>
      <c r="AW565" t="s">
        <v>52</v>
      </c>
      <c r="AX565" t="s">
        <v>4266</v>
      </c>
      <c r="AY565" t="s">
        <v>2224</v>
      </c>
      <c r="AZ565" t="s">
        <v>2224</v>
      </c>
    </row>
    <row r="566" spans="1:52">
      <c r="A566" s="1">
        <f>HYPERLINK("https://lsnyc.legalserver.org/matter/dynamic-profile/view/1907066","19-1907066")</f>
        <v>0</v>
      </c>
      <c r="B566" t="s">
        <v>90</v>
      </c>
      <c r="C566" t="s">
        <v>155</v>
      </c>
      <c r="D566" t="s">
        <v>193</v>
      </c>
      <c r="F566" t="s">
        <v>489</v>
      </c>
      <c r="G566" t="s">
        <v>1252</v>
      </c>
      <c r="H566" t="s">
        <v>1811</v>
      </c>
      <c r="I566" t="s">
        <v>2048</v>
      </c>
      <c r="J566" t="s">
        <v>2196</v>
      </c>
      <c r="K566">
        <v>10034</v>
      </c>
      <c r="L566" t="s">
        <v>2224</v>
      </c>
      <c r="M566" t="s">
        <v>2226</v>
      </c>
      <c r="O566" t="s">
        <v>2238</v>
      </c>
      <c r="P566" t="s">
        <v>2561</v>
      </c>
      <c r="R566" t="s">
        <v>2569</v>
      </c>
      <c r="S566" t="s">
        <v>2225</v>
      </c>
      <c r="U566" t="s">
        <v>2578</v>
      </c>
      <c r="W566" t="s">
        <v>193</v>
      </c>
      <c r="X566">
        <v>1220</v>
      </c>
      <c r="Y566" t="s">
        <v>2607</v>
      </c>
      <c r="Z566" t="s">
        <v>2613</v>
      </c>
      <c r="AB566" t="s">
        <v>3149</v>
      </c>
      <c r="AD566" t="s">
        <v>3910</v>
      </c>
      <c r="AE566">
        <v>70</v>
      </c>
      <c r="AF566" t="s">
        <v>4099</v>
      </c>
      <c r="AG566" t="s">
        <v>2255</v>
      </c>
      <c r="AH566">
        <v>33</v>
      </c>
      <c r="AI566">
        <v>1</v>
      </c>
      <c r="AJ566">
        <v>0</v>
      </c>
      <c r="AK566">
        <v>163.33</v>
      </c>
      <c r="AN566" t="s">
        <v>4127</v>
      </c>
      <c r="AO566">
        <v>20400</v>
      </c>
      <c r="AU566">
        <v>4.1</v>
      </c>
      <c r="AV566" t="s">
        <v>176</v>
      </c>
      <c r="AW566" t="s">
        <v>80</v>
      </c>
      <c r="AX566" t="s">
        <v>4266</v>
      </c>
      <c r="AY566" t="s">
        <v>2226</v>
      </c>
      <c r="AZ566" t="s">
        <v>2226</v>
      </c>
    </row>
    <row r="567" spans="1:52">
      <c r="A567" s="1">
        <f>HYPERLINK("https://lsnyc.legalserver.org/matter/dynamic-profile/view/1907775","19-1907775")</f>
        <v>0</v>
      </c>
      <c r="B567" t="s">
        <v>75</v>
      </c>
      <c r="C567" t="s">
        <v>154</v>
      </c>
      <c r="D567" t="s">
        <v>183</v>
      </c>
      <c r="E567" t="s">
        <v>194</v>
      </c>
      <c r="F567" t="s">
        <v>489</v>
      </c>
      <c r="G567" t="s">
        <v>1252</v>
      </c>
      <c r="H567" t="s">
        <v>1811</v>
      </c>
      <c r="I567" t="s">
        <v>2048</v>
      </c>
      <c r="J567" t="s">
        <v>2196</v>
      </c>
      <c r="K567">
        <v>10034</v>
      </c>
      <c r="L567" t="s">
        <v>2225</v>
      </c>
      <c r="M567" t="s">
        <v>2226</v>
      </c>
      <c r="O567" t="s">
        <v>2541</v>
      </c>
      <c r="P567" t="s">
        <v>2556</v>
      </c>
      <c r="Q567" t="s">
        <v>2563</v>
      </c>
      <c r="R567" t="s">
        <v>2569</v>
      </c>
      <c r="S567" t="s">
        <v>2225</v>
      </c>
      <c r="U567" t="s">
        <v>2584</v>
      </c>
      <c r="W567" t="s">
        <v>183</v>
      </c>
      <c r="X567">
        <v>1200</v>
      </c>
      <c r="Y567" t="s">
        <v>2607</v>
      </c>
      <c r="AA567" t="s">
        <v>2634</v>
      </c>
      <c r="AB567" t="s">
        <v>3149</v>
      </c>
      <c r="AD567" t="s">
        <v>3910</v>
      </c>
      <c r="AE567">
        <v>0</v>
      </c>
      <c r="AF567" t="s">
        <v>2518</v>
      </c>
      <c r="AG567" t="s">
        <v>4116</v>
      </c>
      <c r="AH567">
        <v>33</v>
      </c>
      <c r="AI567">
        <v>1</v>
      </c>
      <c r="AJ567">
        <v>0</v>
      </c>
      <c r="AK567">
        <v>163.33</v>
      </c>
      <c r="AN567" t="s">
        <v>4127</v>
      </c>
      <c r="AO567">
        <v>20400</v>
      </c>
      <c r="AU567">
        <v>0.8</v>
      </c>
      <c r="AV567" t="s">
        <v>183</v>
      </c>
      <c r="AW567" t="s">
        <v>4238</v>
      </c>
      <c r="AX567" t="s">
        <v>2255</v>
      </c>
      <c r="AY567" t="s">
        <v>2226</v>
      </c>
      <c r="AZ567" t="s">
        <v>2225</v>
      </c>
    </row>
    <row r="568" spans="1:52">
      <c r="A568" s="1">
        <f>HYPERLINK("https://lsnyc.legalserver.org/matter/dynamic-profile/view/1909597","19-1909597")</f>
        <v>0</v>
      </c>
      <c r="B568" t="s">
        <v>87</v>
      </c>
      <c r="C568" t="s">
        <v>155</v>
      </c>
      <c r="D568" t="s">
        <v>242</v>
      </c>
      <c r="F568" t="s">
        <v>541</v>
      </c>
      <c r="G568" t="s">
        <v>406</v>
      </c>
      <c r="H568" t="s">
        <v>1731</v>
      </c>
      <c r="I568" t="s">
        <v>2058</v>
      </c>
      <c r="J568" t="s">
        <v>2196</v>
      </c>
      <c r="K568">
        <v>10035</v>
      </c>
      <c r="L568" t="s">
        <v>2224</v>
      </c>
      <c r="M568" t="s">
        <v>2226</v>
      </c>
      <c r="O568" t="s">
        <v>2534</v>
      </c>
      <c r="P568" t="s">
        <v>2558</v>
      </c>
      <c r="R568" t="s">
        <v>2569</v>
      </c>
      <c r="S568" t="s">
        <v>2224</v>
      </c>
      <c r="U568" t="s">
        <v>2578</v>
      </c>
      <c r="V568" t="s">
        <v>2588</v>
      </c>
      <c r="W568" t="s">
        <v>161</v>
      </c>
      <c r="X568">
        <v>793</v>
      </c>
      <c r="Y568" t="s">
        <v>2607</v>
      </c>
      <c r="Z568" t="s">
        <v>2611</v>
      </c>
      <c r="AB568" t="s">
        <v>3150</v>
      </c>
      <c r="AD568" t="s">
        <v>3911</v>
      </c>
      <c r="AE568">
        <v>60</v>
      </c>
      <c r="AF568" t="s">
        <v>4099</v>
      </c>
      <c r="AG568" t="s">
        <v>4112</v>
      </c>
      <c r="AH568">
        <v>14</v>
      </c>
      <c r="AI568">
        <v>2</v>
      </c>
      <c r="AJ568">
        <v>1</v>
      </c>
      <c r="AK568">
        <v>164.09</v>
      </c>
      <c r="AN568" t="s">
        <v>4126</v>
      </c>
      <c r="AO568">
        <v>35000</v>
      </c>
      <c r="AU568">
        <v>0</v>
      </c>
      <c r="AW568" t="s">
        <v>4237</v>
      </c>
      <c r="AX568" t="s">
        <v>4266</v>
      </c>
      <c r="AY568" t="s">
        <v>2224</v>
      </c>
      <c r="AZ568" t="s">
        <v>2224</v>
      </c>
    </row>
    <row r="569" spans="1:52">
      <c r="A569" s="1">
        <f>HYPERLINK("https://lsnyc.legalserver.org/matter/dynamic-profile/view/1906762","19-1906762")</f>
        <v>0</v>
      </c>
      <c r="B569" t="s">
        <v>104</v>
      </c>
      <c r="C569" t="s">
        <v>155</v>
      </c>
      <c r="D569" t="s">
        <v>187</v>
      </c>
      <c r="F569" t="s">
        <v>702</v>
      </c>
      <c r="G569" t="s">
        <v>1253</v>
      </c>
      <c r="H569" t="s">
        <v>1822</v>
      </c>
      <c r="I569">
        <v>12</v>
      </c>
      <c r="J569" t="s">
        <v>2196</v>
      </c>
      <c r="K569">
        <v>10034</v>
      </c>
      <c r="L569" t="s">
        <v>2224</v>
      </c>
      <c r="M569" t="s">
        <v>2226</v>
      </c>
      <c r="N569" t="s">
        <v>2466</v>
      </c>
      <c r="O569" t="s">
        <v>2535</v>
      </c>
      <c r="P569" t="s">
        <v>2558</v>
      </c>
      <c r="R569" t="s">
        <v>2569</v>
      </c>
      <c r="S569" t="s">
        <v>2225</v>
      </c>
      <c r="U569" t="s">
        <v>2578</v>
      </c>
      <c r="V569" t="s">
        <v>2588</v>
      </c>
      <c r="W569" t="s">
        <v>187</v>
      </c>
      <c r="X569">
        <v>889</v>
      </c>
      <c r="Y569" t="s">
        <v>2607</v>
      </c>
      <c r="Z569" t="s">
        <v>2613</v>
      </c>
      <c r="AB569" t="s">
        <v>3151</v>
      </c>
      <c r="AD569" t="s">
        <v>3912</v>
      </c>
      <c r="AE569">
        <v>22</v>
      </c>
      <c r="AF569" t="s">
        <v>4099</v>
      </c>
      <c r="AG569" t="s">
        <v>4112</v>
      </c>
      <c r="AH569">
        <v>27</v>
      </c>
      <c r="AI569">
        <v>3</v>
      </c>
      <c r="AJ569">
        <v>0</v>
      </c>
      <c r="AK569">
        <v>164.41</v>
      </c>
      <c r="AN569" t="s">
        <v>4127</v>
      </c>
      <c r="AO569">
        <v>35068.8</v>
      </c>
      <c r="AU569">
        <v>2.6</v>
      </c>
      <c r="AV569" t="s">
        <v>211</v>
      </c>
      <c r="AW569" t="s">
        <v>80</v>
      </c>
      <c r="AX569" t="s">
        <v>4266</v>
      </c>
      <c r="AY569" t="s">
        <v>2224</v>
      </c>
      <c r="AZ569" t="s">
        <v>2224</v>
      </c>
    </row>
    <row r="570" spans="1:52">
      <c r="A570" s="1">
        <f>HYPERLINK("https://lsnyc.legalserver.org/matter/dynamic-profile/view/1906497","19-1906497")</f>
        <v>0</v>
      </c>
      <c r="B570" t="s">
        <v>148</v>
      </c>
      <c r="C570" t="s">
        <v>155</v>
      </c>
      <c r="D570" t="s">
        <v>244</v>
      </c>
      <c r="F570" t="s">
        <v>587</v>
      </c>
      <c r="G570" t="s">
        <v>1254</v>
      </c>
      <c r="H570" t="s">
        <v>1624</v>
      </c>
      <c r="I570" t="s">
        <v>2140</v>
      </c>
      <c r="J570" t="s">
        <v>2187</v>
      </c>
      <c r="K570">
        <v>11691</v>
      </c>
      <c r="L570" t="s">
        <v>2224</v>
      </c>
      <c r="M570" t="s">
        <v>2226</v>
      </c>
      <c r="N570" t="s">
        <v>2467</v>
      </c>
      <c r="O570" t="s">
        <v>2535</v>
      </c>
      <c r="P570" t="s">
        <v>2556</v>
      </c>
      <c r="R570" t="s">
        <v>2569</v>
      </c>
      <c r="S570" t="s">
        <v>2225</v>
      </c>
      <c r="U570" t="s">
        <v>2578</v>
      </c>
      <c r="V570" t="s">
        <v>2589</v>
      </c>
      <c r="W570" t="s">
        <v>244</v>
      </c>
      <c r="X570">
        <v>1185</v>
      </c>
      <c r="Y570" t="s">
        <v>2603</v>
      </c>
      <c r="Z570" t="s">
        <v>2608</v>
      </c>
      <c r="AB570" t="s">
        <v>3152</v>
      </c>
      <c r="AD570" t="s">
        <v>3913</v>
      </c>
      <c r="AE570">
        <v>200</v>
      </c>
      <c r="AF570" t="s">
        <v>4101</v>
      </c>
      <c r="AG570" t="s">
        <v>4112</v>
      </c>
      <c r="AH570">
        <v>2</v>
      </c>
      <c r="AI570">
        <v>2</v>
      </c>
      <c r="AJ570">
        <v>0</v>
      </c>
      <c r="AK570">
        <v>165.58</v>
      </c>
      <c r="AN570" t="s">
        <v>4126</v>
      </c>
      <c r="AO570">
        <v>28000</v>
      </c>
      <c r="AU570">
        <v>1.25</v>
      </c>
      <c r="AV570" t="s">
        <v>194</v>
      </c>
      <c r="AW570" t="s">
        <v>4224</v>
      </c>
      <c r="AX570" t="s">
        <v>4266</v>
      </c>
      <c r="AY570" t="s">
        <v>2226</v>
      </c>
      <c r="AZ570" t="s">
        <v>2226</v>
      </c>
    </row>
    <row r="571" spans="1:52">
      <c r="A571" s="1">
        <f>HYPERLINK("https://lsnyc.legalserver.org/matter/dynamic-profile/view/1903783","19-1903783")</f>
        <v>0</v>
      </c>
      <c r="B571" t="s">
        <v>96</v>
      </c>
      <c r="C571" t="s">
        <v>155</v>
      </c>
      <c r="D571" t="s">
        <v>254</v>
      </c>
      <c r="F571" t="s">
        <v>703</v>
      </c>
      <c r="G571" t="s">
        <v>1255</v>
      </c>
      <c r="H571" t="s">
        <v>1823</v>
      </c>
      <c r="I571" t="s">
        <v>2070</v>
      </c>
      <c r="J571" t="s">
        <v>2192</v>
      </c>
      <c r="K571">
        <v>11208</v>
      </c>
      <c r="L571" t="s">
        <v>2224</v>
      </c>
      <c r="M571" t="s">
        <v>2226</v>
      </c>
      <c r="N571" t="s">
        <v>2237</v>
      </c>
      <c r="O571" t="s">
        <v>2539</v>
      </c>
      <c r="P571" t="s">
        <v>2561</v>
      </c>
      <c r="R571" t="s">
        <v>2569</v>
      </c>
      <c r="S571" t="s">
        <v>2225</v>
      </c>
      <c r="U571" t="s">
        <v>2578</v>
      </c>
      <c r="V571" t="s">
        <v>2588</v>
      </c>
      <c r="W571" t="s">
        <v>254</v>
      </c>
      <c r="X571">
        <v>1350</v>
      </c>
      <c r="Y571" t="s">
        <v>2604</v>
      </c>
      <c r="Z571" t="s">
        <v>2613</v>
      </c>
      <c r="AB571" t="s">
        <v>3153</v>
      </c>
      <c r="AC571" t="s">
        <v>3449</v>
      </c>
      <c r="AD571" t="s">
        <v>3914</v>
      </c>
      <c r="AE571">
        <v>15</v>
      </c>
      <c r="AF571" t="s">
        <v>4099</v>
      </c>
      <c r="AG571" t="s">
        <v>2255</v>
      </c>
      <c r="AH571">
        <v>2</v>
      </c>
      <c r="AI571">
        <v>2</v>
      </c>
      <c r="AJ571">
        <v>3</v>
      </c>
      <c r="AK571">
        <v>165.81</v>
      </c>
      <c r="AN571" t="s">
        <v>4126</v>
      </c>
      <c r="AO571">
        <v>50024</v>
      </c>
      <c r="AU571">
        <v>0.1</v>
      </c>
      <c r="AV571" t="s">
        <v>201</v>
      </c>
      <c r="AW571" t="s">
        <v>4226</v>
      </c>
      <c r="AX571" t="s">
        <v>4267</v>
      </c>
      <c r="AY571" t="s">
        <v>2226</v>
      </c>
      <c r="AZ571" t="s">
        <v>2226</v>
      </c>
    </row>
    <row r="572" spans="1:52">
      <c r="A572" s="1">
        <f>HYPERLINK("https://lsnyc.legalserver.org/matter/dynamic-profile/view/1912533","19-1912533")</f>
        <v>0</v>
      </c>
      <c r="B572" t="s">
        <v>53</v>
      </c>
      <c r="C572" t="s">
        <v>155</v>
      </c>
      <c r="D572" t="s">
        <v>157</v>
      </c>
      <c r="F572" t="s">
        <v>704</v>
      </c>
      <c r="G572" t="s">
        <v>885</v>
      </c>
      <c r="H572" t="s">
        <v>1397</v>
      </c>
      <c r="I572" t="s">
        <v>2010</v>
      </c>
      <c r="J572" t="s">
        <v>2187</v>
      </c>
      <c r="K572">
        <v>11691</v>
      </c>
      <c r="L572" t="s">
        <v>2224</v>
      </c>
      <c r="M572" t="s">
        <v>2226</v>
      </c>
      <c r="O572" t="s">
        <v>2534</v>
      </c>
      <c r="P572" t="s">
        <v>2558</v>
      </c>
      <c r="R572" t="s">
        <v>2569</v>
      </c>
      <c r="S572" t="s">
        <v>2225</v>
      </c>
      <c r="U572" t="s">
        <v>2578</v>
      </c>
      <c r="W572" t="s">
        <v>157</v>
      </c>
      <c r="X572">
        <v>637</v>
      </c>
      <c r="Y572" t="s">
        <v>2603</v>
      </c>
      <c r="Z572" t="s">
        <v>2609</v>
      </c>
      <c r="AB572" t="s">
        <v>3154</v>
      </c>
      <c r="AD572" t="s">
        <v>3915</v>
      </c>
      <c r="AE572">
        <v>43</v>
      </c>
      <c r="AF572" t="s">
        <v>4099</v>
      </c>
      <c r="AG572" t="s">
        <v>2255</v>
      </c>
      <c r="AH572">
        <v>20</v>
      </c>
      <c r="AI572">
        <v>1</v>
      </c>
      <c r="AJ572">
        <v>0</v>
      </c>
      <c r="AK572">
        <v>166.53</v>
      </c>
      <c r="AN572" t="s">
        <v>4126</v>
      </c>
      <c r="AO572">
        <v>20800</v>
      </c>
      <c r="AU572">
        <v>0.4</v>
      </c>
      <c r="AV572" t="s">
        <v>157</v>
      </c>
      <c r="AW572" t="s">
        <v>4224</v>
      </c>
      <c r="AX572" t="s">
        <v>4266</v>
      </c>
      <c r="AY572" t="s">
        <v>2226</v>
      </c>
      <c r="AZ572" t="s">
        <v>2226</v>
      </c>
    </row>
    <row r="573" spans="1:52">
      <c r="A573" s="1">
        <f>HYPERLINK("https://lsnyc.legalserver.org/matter/dynamic-profile/view/1905577","19-1905577")</f>
        <v>0</v>
      </c>
      <c r="B573" t="s">
        <v>60</v>
      </c>
      <c r="C573" t="s">
        <v>154</v>
      </c>
      <c r="D573" t="s">
        <v>274</v>
      </c>
      <c r="E573" t="s">
        <v>263</v>
      </c>
      <c r="F573" t="s">
        <v>705</v>
      </c>
      <c r="G573" t="s">
        <v>1256</v>
      </c>
      <c r="H573" t="s">
        <v>1824</v>
      </c>
      <c r="I573" t="s">
        <v>2031</v>
      </c>
      <c r="J573" t="s">
        <v>2192</v>
      </c>
      <c r="K573">
        <v>11239</v>
      </c>
      <c r="L573" t="s">
        <v>2224</v>
      </c>
      <c r="M573" t="s">
        <v>2226</v>
      </c>
      <c r="N573" t="s">
        <v>2468</v>
      </c>
      <c r="O573" t="s">
        <v>2535</v>
      </c>
      <c r="P573" t="s">
        <v>2556</v>
      </c>
      <c r="Q573" t="s">
        <v>2563</v>
      </c>
      <c r="R573" t="s">
        <v>2569</v>
      </c>
      <c r="S573" t="s">
        <v>2225</v>
      </c>
      <c r="U573" t="s">
        <v>2578</v>
      </c>
      <c r="V573" t="s">
        <v>2588</v>
      </c>
      <c r="W573" t="s">
        <v>191</v>
      </c>
      <c r="X573">
        <v>989</v>
      </c>
      <c r="Y573" t="s">
        <v>2604</v>
      </c>
      <c r="Z573" t="s">
        <v>2618</v>
      </c>
      <c r="AA573" t="s">
        <v>2626</v>
      </c>
      <c r="AB573" t="s">
        <v>3155</v>
      </c>
      <c r="AC573" t="s">
        <v>2244</v>
      </c>
      <c r="AD573" t="s">
        <v>3916</v>
      </c>
      <c r="AE573">
        <v>55</v>
      </c>
      <c r="AF573" t="s">
        <v>2518</v>
      </c>
      <c r="AG573" t="s">
        <v>2255</v>
      </c>
      <c r="AH573">
        <v>6</v>
      </c>
      <c r="AI573">
        <v>1</v>
      </c>
      <c r="AJ573">
        <v>0</v>
      </c>
      <c r="AK573">
        <v>166.53</v>
      </c>
      <c r="AN573" t="s">
        <v>4126</v>
      </c>
      <c r="AO573">
        <v>20800</v>
      </c>
      <c r="AU573">
        <v>0.6</v>
      </c>
      <c r="AV573" t="s">
        <v>263</v>
      </c>
      <c r="AW573" t="s">
        <v>4242</v>
      </c>
      <c r="AX573" t="s">
        <v>4266</v>
      </c>
      <c r="AY573" t="s">
        <v>2226</v>
      </c>
      <c r="AZ573" t="s">
        <v>2225</v>
      </c>
    </row>
    <row r="574" spans="1:52">
      <c r="A574" s="1">
        <f>HYPERLINK("https://lsnyc.legalserver.org/matter/dynamic-profile/view/1911924","19-1911924")</f>
        <v>0</v>
      </c>
      <c r="B574" t="s">
        <v>88</v>
      </c>
      <c r="C574" t="s">
        <v>155</v>
      </c>
      <c r="D574" t="s">
        <v>197</v>
      </c>
      <c r="F574" t="s">
        <v>706</v>
      </c>
      <c r="G574" t="s">
        <v>1257</v>
      </c>
      <c r="H574" t="s">
        <v>1641</v>
      </c>
      <c r="I574" t="s">
        <v>2141</v>
      </c>
      <c r="J574" t="s">
        <v>2196</v>
      </c>
      <c r="K574">
        <v>10037</v>
      </c>
      <c r="L574" t="s">
        <v>2224</v>
      </c>
      <c r="M574" t="s">
        <v>2226</v>
      </c>
      <c r="N574" t="s">
        <v>2469</v>
      </c>
      <c r="O574" t="s">
        <v>2535</v>
      </c>
      <c r="P574" t="s">
        <v>2558</v>
      </c>
      <c r="R574" t="s">
        <v>2569</v>
      </c>
      <c r="S574" t="s">
        <v>2224</v>
      </c>
      <c r="U574" t="s">
        <v>2578</v>
      </c>
      <c r="V574" t="s">
        <v>2588</v>
      </c>
      <c r="W574" t="s">
        <v>174</v>
      </c>
      <c r="X574">
        <v>0</v>
      </c>
      <c r="Y574" t="s">
        <v>2607</v>
      </c>
      <c r="Z574" t="s">
        <v>2609</v>
      </c>
      <c r="AB574" t="s">
        <v>3156</v>
      </c>
      <c r="AD574" t="s">
        <v>3917</v>
      </c>
      <c r="AE574">
        <v>771</v>
      </c>
      <c r="AF574" t="s">
        <v>4099</v>
      </c>
      <c r="AG574" t="s">
        <v>2255</v>
      </c>
      <c r="AH574">
        <v>10</v>
      </c>
      <c r="AI574">
        <v>1</v>
      </c>
      <c r="AJ574">
        <v>0</v>
      </c>
      <c r="AK574">
        <v>166.53</v>
      </c>
      <c r="AN574" t="s">
        <v>4126</v>
      </c>
      <c r="AO574">
        <v>20800</v>
      </c>
      <c r="AU574">
        <v>1.95</v>
      </c>
      <c r="AV574" t="s">
        <v>199</v>
      </c>
      <c r="AW574" t="s">
        <v>4237</v>
      </c>
      <c r="AX574" t="s">
        <v>4266</v>
      </c>
      <c r="AY574" t="s">
        <v>2226</v>
      </c>
      <c r="AZ574" t="s">
        <v>2226</v>
      </c>
    </row>
    <row r="575" spans="1:52">
      <c r="A575" s="1">
        <f>HYPERLINK("https://lsnyc.legalserver.org/matter/dynamic-profile/view/1909630","19-1909630")</f>
        <v>0</v>
      </c>
      <c r="B575" t="s">
        <v>78</v>
      </c>
      <c r="C575" t="s">
        <v>155</v>
      </c>
      <c r="D575" t="s">
        <v>242</v>
      </c>
      <c r="F575" t="s">
        <v>707</v>
      </c>
      <c r="G575" t="s">
        <v>1000</v>
      </c>
      <c r="H575" t="s">
        <v>1825</v>
      </c>
      <c r="I575">
        <v>48</v>
      </c>
      <c r="J575" t="s">
        <v>2196</v>
      </c>
      <c r="K575">
        <v>10032</v>
      </c>
      <c r="L575" t="s">
        <v>2224</v>
      </c>
      <c r="M575" t="s">
        <v>2226</v>
      </c>
      <c r="P575" t="s">
        <v>2559</v>
      </c>
      <c r="R575" t="s">
        <v>2569</v>
      </c>
      <c r="S575" t="s">
        <v>2225</v>
      </c>
      <c r="U575" t="s">
        <v>2578</v>
      </c>
      <c r="W575" t="s">
        <v>242</v>
      </c>
      <c r="X575">
        <v>419.62</v>
      </c>
      <c r="Y575" t="s">
        <v>2607</v>
      </c>
      <c r="Z575" t="s">
        <v>2613</v>
      </c>
      <c r="AB575" t="s">
        <v>3157</v>
      </c>
      <c r="AD575" t="s">
        <v>3918</v>
      </c>
      <c r="AE575">
        <v>70</v>
      </c>
      <c r="AF575" t="s">
        <v>4099</v>
      </c>
      <c r="AG575" t="s">
        <v>2255</v>
      </c>
      <c r="AH575">
        <v>57</v>
      </c>
      <c r="AI575">
        <v>1</v>
      </c>
      <c r="AJ575">
        <v>0</v>
      </c>
      <c r="AK575">
        <v>166.79</v>
      </c>
      <c r="AN575" t="s">
        <v>4126</v>
      </c>
      <c r="AO575">
        <v>20832</v>
      </c>
      <c r="AU575">
        <v>0.5</v>
      </c>
      <c r="AV575" t="s">
        <v>214</v>
      </c>
      <c r="AW575" t="s">
        <v>80</v>
      </c>
      <c r="AX575" t="s">
        <v>4266</v>
      </c>
      <c r="AY575" t="s">
        <v>2226</v>
      </c>
      <c r="AZ575" t="s">
        <v>2226</v>
      </c>
    </row>
    <row r="576" spans="1:52">
      <c r="A576" s="1">
        <f>HYPERLINK("https://lsnyc.legalserver.org/matter/dynamic-profile/view/1904303","19-1904303")</f>
        <v>0</v>
      </c>
      <c r="B576" t="s">
        <v>86</v>
      </c>
      <c r="C576" t="s">
        <v>155</v>
      </c>
      <c r="D576" t="s">
        <v>158</v>
      </c>
      <c r="F576" t="s">
        <v>495</v>
      </c>
      <c r="G576" t="s">
        <v>1082</v>
      </c>
      <c r="H576" t="s">
        <v>1826</v>
      </c>
      <c r="I576">
        <v>33</v>
      </c>
      <c r="J576" t="s">
        <v>2196</v>
      </c>
      <c r="K576">
        <v>10034</v>
      </c>
      <c r="L576" t="s">
        <v>2224</v>
      </c>
      <c r="M576" t="s">
        <v>2226</v>
      </c>
      <c r="N576" t="s">
        <v>2470</v>
      </c>
      <c r="O576" t="s">
        <v>2535</v>
      </c>
      <c r="P576" t="s">
        <v>2558</v>
      </c>
      <c r="R576" t="s">
        <v>2569</v>
      </c>
      <c r="S576" t="s">
        <v>2225</v>
      </c>
      <c r="U576" t="s">
        <v>2578</v>
      </c>
      <c r="W576" t="s">
        <v>158</v>
      </c>
      <c r="X576">
        <v>818</v>
      </c>
      <c r="Y576" t="s">
        <v>2607</v>
      </c>
      <c r="Z576" t="s">
        <v>2613</v>
      </c>
      <c r="AB576" t="s">
        <v>3158</v>
      </c>
      <c r="AD576" t="s">
        <v>3919</v>
      </c>
      <c r="AE576">
        <v>25</v>
      </c>
      <c r="AF576" t="s">
        <v>4099</v>
      </c>
      <c r="AG576" t="s">
        <v>2255</v>
      </c>
      <c r="AH576">
        <v>18</v>
      </c>
      <c r="AI576">
        <v>3</v>
      </c>
      <c r="AJ576">
        <v>0</v>
      </c>
      <c r="AK576">
        <v>166.9</v>
      </c>
      <c r="AN576" t="s">
        <v>4127</v>
      </c>
      <c r="AO576">
        <v>35600</v>
      </c>
      <c r="AU576">
        <v>30.42</v>
      </c>
      <c r="AV576" t="s">
        <v>275</v>
      </c>
      <c r="AW576" t="s">
        <v>80</v>
      </c>
      <c r="AX576" t="s">
        <v>4266</v>
      </c>
      <c r="AY576" t="s">
        <v>2224</v>
      </c>
      <c r="AZ576" t="s">
        <v>2224</v>
      </c>
    </row>
    <row r="577" spans="1:52">
      <c r="A577" s="1">
        <f>HYPERLINK("https://lsnyc.legalserver.org/matter/dynamic-profile/view/1912403","19-1912403")</f>
        <v>0</v>
      </c>
      <c r="B577" t="s">
        <v>53</v>
      </c>
      <c r="C577" t="s">
        <v>155</v>
      </c>
      <c r="D577" t="s">
        <v>230</v>
      </c>
      <c r="F577" t="s">
        <v>708</v>
      </c>
      <c r="G577" t="s">
        <v>1178</v>
      </c>
      <c r="H577" t="s">
        <v>1397</v>
      </c>
      <c r="I577" t="s">
        <v>2034</v>
      </c>
      <c r="J577" t="s">
        <v>2187</v>
      </c>
      <c r="K577">
        <v>11691</v>
      </c>
      <c r="L577" t="s">
        <v>2224</v>
      </c>
      <c r="M577" t="s">
        <v>2226</v>
      </c>
      <c r="O577" t="s">
        <v>2534</v>
      </c>
      <c r="P577" t="s">
        <v>2558</v>
      </c>
      <c r="R577" t="s">
        <v>2569</v>
      </c>
      <c r="S577" t="s">
        <v>2224</v>
      </c>
      <c r="U577" t="s">
        <v>2578</v>
      </c>
      <c r="W577" t="s">
        <v>230</v>
      </c>
      <c r="X577">
        <v>637</v>
      </c>
      <c r="Y577" t="s">
        <v>2603</v>
      </c>
      <c r="Z577" t="s">
        <v>2609</v>
      </c>
      <c r="AB577" t="s">
        <v>3159</v>
      </c>
      <c r="AD577" t="s">
        <v>3920</v>
      </c>
      <c r="AE577">
        <v>43</v>
      </c>
      <c r="AF577" t="s">
        <v>4099</v>
      </c>
      <c r="AG577" t="s">
        <v>2255</v>
      </c>
      <c r="AH577">
        <v>30</v>
      </c>
      <c r="AI577">
        <v>4</v>
      </c>
      <c r="AJ577">
        <v>0</v>
      </c>
      <c r="AK577">
        <v>166.99</v>
      </c>
      <c r="AN577" t="s">
        <v>4126</v>
      </c>
      <c r="AO577">
        <v>43000</v>
      </c>
      <c r="AU577">
        <v>0.3</v>
      </c>
      <c r="AV577" t="s">
        <v>230</v>
      </c>
      <c r="AW577" t="s">
        <v>4224</v>
      </c>
      <c r="AX577" t="s">
        <v>4266</v>
      </c>
      <c r="AY577" t="s">
        <v>2226</v>
      </c>
      <c r="AZ577" t="s">
        <v>2226</v>
      </c>
    </row>
    <row r="578" spans="1:52">
      <c r="A578" s="1">
        <f>HYPERLINK("https://lsnyc.legalserver.org/matter/dynamic-profile/view/1912394","19-1912394")</f>
        <v>0</v>
      </c>
      <c r="B578" t="s">
        <v>53</v>
      </c>
      <c r="C578" t="s">
        <v>155</v>
      </c>
      <c r="D578" t="s">
        <v>230</v>
      </c>
      <c r="F578" t="s">
        <v>708</v>
      </c>
      <c r="G578" t="s">
        <v>1178</v>
      </c>
      <c r="H578" t="s">
        <v>1397</v>
      </c>
      <c r="I578" t="s">
        <v>2142</v>
      </c>
      <c r="J578" t="s">
        <v>2187</v>
      </c>
      <c r="K578">
        <v>11691</v>
      </c>
      <c r="L578" t="s">
        <v>2224</v>
      </c>
      <c r="M578" t="s">
        <v>2226</v>
      </c>
      <c r="O578" t="s">
        <v>2535</v>
      </c>
      <c r="P578" t="s">
        <v>2557</v>
      </c>
      <c r="R578" t="s">
        <v>2569</v>
      </c>
      <c r="S578" t="s">
        <v>2224</v>
      </c>
      <c r="U578" t="s">
        <v>2578</v>
      </c>
      <c r="W578" t="s">
        <v>230</v>
      </c>
      <c r="X578">
        <v>637</v>
      </c>
      <c r="Y578" t="s">
        <v>2603</v>
      </c>
      <c r="Z578" t="s">
        <v>2609</v>
      </c>
      <c r="AB578" t="s">
        <v>3159</v>
      </c>
      <c r="AD578" t="s">
        <v>3920</v>
      </c>
      <c r="AE578">
        <v>43</v>
      </c>
      <c r="AF578" t="s">
        <v>4099</v>
      </c>
      <c r="AG578" t="s">
        <v>2255</v>
      </c>
      <c r="AH578">
        <v>30</v>
      </c>
      <c r="AI578">
        <v>4</v>
      </c>
      <c r="AJ578">
        <v>0</v>
      </c>
      <c r="AK578">
        <v>166.99</v>
      </c>
      <c r="AN578" t="s">
        <v>4126</v>
      </c>
      <c r="AO578">
        <v>43000</v>
      </c>
      <c r="AU578">
        <v>0.4</v>
      </c>
      <c r="AV578" t="s">
        <v>230</v>
      </c>
      <c r="AW578" t="s">
        <v>4224</v>
      </c>
      <c r="AX578" t="s">
        <v>4266</v>
      </c>
      <c r="AY578" t="s">
        <v>2226</v>
      </c>
      <c r="AZ578" t="s">
        <v>2226</v>
      </c>
    </row>
    <row r="579" spans="1:52">
      <c r="A579" s="1">
        <f>HYPERLINK("https://lsnyc.legalserver.org/matter/dynamic-profile/view/1907897","19-1907897")</f>
        <v>0</v>
      </c>
      <c r="B579" t="s">
        <v>59</v>
      </c>
      <c r="C579" t="s">
        <v>155</v>
      </c>
      <c r="D579" t="s">
        <v>247</v>
      </c>
      <c r="F579" t="s">
        <v>709</v>
      </c>
      <c r="G579" t="s">
        <v>1169</v>
      </c>
      <c r="H579" t="s">
        <v>1827</v>
      </c>
      <c r="I579" t="s">
        <v>2114</v>
      </c>
      <c r="J579" t="s">
        <v>2192</v>
      </c>
      <c r="K579">
        <v>11233</v>
      </c>
      <c r="L579" t="s">
        <v>2224</v>
      </c>
      <c r="M579" t="s">
        <v>2226</v>
      </c>
      <c r="N579" t="s">
        <v>2255</v>
      </c>
      <c r="O579" t="s">
        <v>2539</v>
      </c>
      <c r="P579" t="s">
        <v>2561</v>
      </c>
      <c r="R579" t="s">
        <v>2569</v>
      </c>
      <c r="S579" t="s">
        <v>2225</v>
      </c>
      <c r="U579" t="s">
        <v>2578</v>
      </c>
      <c r="V579" t="s">
        <v>2588</v>
      </c>
      <c r="W579" t="s">
        <v>247</v>
      </c>
      <c r="X579">
        <v>482.02</v>
      </c>
      <c r="Y579" t="s">
        <v>2604</v>
      </c>
      <c r="Z579" t="s">
        <v>2613</v>
      </c>
      <c r="AB579" t="s">
        <v>3160</v>
      </c>
      <c r="AD579" t="s">
        <v>3921</v>
      </c>
      <c r="AE579">
        <v>8</v>
      </c>
      <c r="AF579" t="s">
        <v>4108</v>
      </c>
      <c r="AH579">
        <v>13</v>
      </c>
      <c r="AI579">
        <v>2</v>
      </c>
      <c r="AJ579">
        <v>2</v>
      </c>
      <c r="AK579">
        <v>166.99</v>
      </c>
      <c r="AN579" t="s">
        <v>4126</v>
      </c>
      <c r="AO579">
        <v>43000</v>
      </c>
      <c r="AU579">
        <v>1.6</v>
      </c>
      <c r="AV579" t="s">
        <v>242</v>
      </c>
      <c r="AW579" t="s">
        <v>59</v>
      </c>
      <c r="AX579" t="s">
        <v>4266</v>
      </c>
      <c r="AY579" t="s">
        <v>2224</v>
      </c>
      <c r="AZ579" t="s">
        <v>2224</v>
      </c>
    </row>
    <row r="580" spans="1:52">
      <c r="A580" s="1">
        <f>HYPERLINK("https://lsnyc.legalserver.org/matter/dynamic-profile/view/1905550","19-1905550")</f>
        <v>0</v>
      </c>
      <c r="B580" t="s">
        <v>104</v>
      </c>
      <c r="C580" t="s">
        <v>155</v>
      </c>
      <c r="D580" t="s">
        <v>274</v>
      </c>
      <c r="F580" t="s">
        <v>710</v>
      </c>
      <c r="G580" t="s">
        <v>1258</v>
      </c>
      <c r="H580" t="s">
        <v>1828</v>
      </c>
      <c r="I580" t="s">
        <v>1965</v>
      </c>
      <c r="J580" t="s">
        <v>2196</v>
      </c>
      <c r="K580">
        <v>10035</v>
      </c>
      <c r="L580" t="s">
        <v>2224</v>
      </c>
      <c r="M580" t="s">
        <v>2226</v>
      </c>
      <c r="N580" t="s">
        <v>2471</v>
      </c>
      <c r="O580" t="s">
        <v>2554</v>
      </c>
      <c r="P580" t="s">
        <v>2558</v>
      </c>
      <c r="R580" t="s">
        <v>2569</v>
      </c>
      <c r="S580" t="s">
        <v>2225</v>
      </c>
      <c r="U580" t="s">
        <v>2578</v>
      </c>
      <c r="W580" t="s">
        <v>274</v>
      </c>
      <c r="X580">
        <v>1575</v>
      </c>
      <c r="Y580" t="s">
        <v>2607</v>
      </c>
      <c r="Z580" t="s">
        <v>2613</v>
      </c>
      <c r="AB580" t="s">
        <v>3161</v>
      </c>
      <c r="AD580" t="s">
        <v>3922</v>
      </c>
      <c r="AE580">
        <v>10</v>
      </c>
      <c r="AF580" t="s">
        <v>4099</v>
      </c>
      <c r="AG580" t="s">
        <v>2255</v>
      </c>
      <c r="AH580">
        <v>0</v>
      </c>
      <c r="AI580">
        <v>3</v>
      </c>
      <c r="AJ580">
        <v>1</v>
      </c>
      <c r="AK580">
        <v>166.99</v>
      </c>
      <c r="AN580" t="s">
        <v>4126</v>
      </c>
      <c r="AO580">
        <v>43000</v>
      </c>
      <c r="AU580">
        <v>4</v>
      </c>
      <c r="AV580" t="s">
        <v>222</v>
      </c>
      <c r="AW580" t="s">
        <v>80</v>
      </c>
      <c r="AX580" t="s">
        <v>4266</v>
      </c>
      <c r="AY580" t="s">
        <v>2224</v>
      </c>
      <c r="AZ580" t="s">
        <v>2224</v>
      </c>
    </row>
    <row r="581" spans="1:52">
      <c r="A581" s="1">
        <f>HYPERLINK("https://lsnyc.legalserver.org/matter/dynamic-profile/view/1905547","19-1905547")</f>
        <v>0</v>
      </c>
      <c r="B581" t="s">
        <v>104</v>
      </c>
      <c r="C581" t="s">
        <v>154</v>
      </c>
      <c r="D581" t="s">
        <v>274</v>
      </c>
      <c r="E581" t="s">
        <v>274</v>
      </c>
      <c r="F581" t="s">
        <v>710</v>
      </c>
      <c r="G581" t="s">
        <v>1258</v>
      </c>
      <c r="H581" t="s">
        <v>1828</v>
      </c>
      <c r="I581" t="s">
        <v>1965</v>
      </c>
      <c r="J581" t="s">
        <v>2196</v>
      </c>
      <c r="K581">
        <v>10035</v>
      </c>
      <c r="L581" t="s">
        <v>2224</v>
      </c>
      <c r="M581" t="s">
        <v>2226</v>
      </c>
      <c r="N581" t="s">
        <v>2472</v>
      </c>
      <c r="O581" t="s">
        <v>2537</v>
      </c>
      <c r="P581" t="s">
        <v>2560</v>
      </c>
      <c r="Q581" t="s">
        <v>2567</v>
      </c>
      <c r="R581" t="s">
        <v>2569</v>
      </c>
      <c r="S581" t="s">
        <v>2225</v>
      </c>
      <c r="U581" t="s">
        <v>2578</v>
      </c>
      <c r="W581" t="s">
        <v>274</v>
      </c>
      <c r="X581">
        <v>1575</v>
      </c>
      <c r="Y581" t="s">
        <v>2607</v>
      </c>
      <c r="Z581" t="s">
        <v>2613</v>
      </c>
      <c r="AA581" t="s">
        <v>2630</v>
      </c>
      <c r="AB581" t="s">
        <v>3161</v>
      </c>
      <c r="AD581" t="s">
        <v>3922</v>
      </c>
      <c r="AE581">
        <v>10</v>
      </c>
      <c r="AF581" t="s">
        <v>4099</v>
      </c>
      <c r="AG581" t="s">
        <v>2255</v>
      </c>
      <c r="AH581">
        <v>0</v>
      </c>
      <c r="AI581">
        <v>3</v>
      </c>
      <c r="AJ581">
        <v>1</v>
      </c>
      <c r="AK581">
        <v>166.99</v>
      </c>
      <c r="AN581" t="s">
        <v>4126</v>
      </c>
      <c r="AO581">
        <v>43000</v>
      </c>
      <c r="AU581">
        <v>0.1</v>
      </c>
      <c r="AV581" t="s">
        <v>274</v>
      </c>
      <c r="AW581" t="s">
        <v>80</v>
      </c>
      <c r="AX581" t="s">
        <v>4266</v>
      </c>
      <c r="AY581" t="s">
        <v>2224</v>
      </c>
      <c r="AZ581" t="s">
        <v>2224</v>
      </c>
    </row>
    <row r="582" spans="1:52">
      <c r="A582" s="1">
        <f>HYPERLINK("https://lsnyc.legalserver.org/matter/dynamic-profile/view/1904010","19-1904010")</f>
        <v>0</v>
      </c>
      <c r="B582" t="s">
        <v>77</v>
      </c>
      <c r="C582" t="s">
        <v>155</v>
      </c>
      <c r="D582" t="s">
        <v>267</v>
      </c>
      <c r="F582" t="s">
        <v>626</v>
      </c>
      <c r="G582" t="s">
        <v>1259</v>
      </c>
      <c r="H582" t="s">
        <v>1829</v>
      </c>
      <c r="I582" t="s">
        <v>2000</v>
      </c>
      <c r="J582" t="s">
        <v>2196</v>
      </c>
      <c r="K582">
        <v>10024</v>
      </c>
      <c r="L582" t="s">
        <v>2224</v>
      </c>
      <c r="M582" t="s">
        <v>2226</v>
      </c>
      <c r="O582" t="s">
        <v>2534</v>
      </c>
      <c r="P582" t="s">
        <v>2559</v>
      </c>
      <c r="R582" t="s">
        <v>2569</v>
      </c>
      <c r="S582" t="s">
        <v>2224</v>
      </c>
      <c r="U582" t="s">
        <v>2578</v>
      </c>
      <c r="V582" t="s">
        <v>2588</v>
      </c>
      <c r="W582" t="s">
        <v>267</v>
      </c>
      <c r="X582">
        <v>495</v>
      </c>
      <c r="Y582" t="s">
        <v>2607</v>
      </c>
      <c r="Z582" t="s">
        <v>2614</v>
      </c>
      <c r="AB582" t="s">
        <v>2795</v>
      </c>
      <c r="AD582" t="s">
        <v>3923</v>
      </c>
      <c r="AE582">
        <v>29</v>
      </c>
      <c r="AF582" t="s">
        <v>4110</v>
      </c>
      <c r="AG582" t="s">
        <v>2255</v>
      </c>
      <c r="AH582">
        <v>31</v>
      </c>
      <c r="AI582">
        <v>4</v>
      </c>
      <c r="AJ582">
        <v>0</v>
      </c>
      <c r="AK582">
        <v>166.99</v>
      </c>
      <c r="AN582" t="s">
        <v>4126</v>
      </c>
      <c r="AO582">
        <v>43000</v>
      </c>
      <c r="AU582">
        <v>1.5</v>
      </c>
      <c r="AV582" t="s">
        <v>173</v>
      </c>
      <c r="AW582" t="s">
        <v>4237</v>
      </c>
      <c r="AX582" t="s">
        <v>4266</v>
      </c>
      <c r="AY582" t="s">
        <v>2226</v>
      </c>
      <c r="AZ582" t="s">
        <v>2226</v>
      </c>
    </row>
    <row r="583" spans="1:52">
      <c r="A583" s="1">
        <f>HYPERLINK("https://lsnyc.legalserver.org/matter/dynamic-profile/view/1903512","19-1903512")</f>
        <v>0</v>
      </c>
      <c r="B583" t="s">
        <v>89</v>
      </c>
      <c r="C583" t="s">
        <v>155</v>
      </c>
      <c r="D583" t="s">
        <v>246</v>
      </c>
      <c r="F583" t="s">
        <v>711</v>
      </c>
      <c r="G583" t="s">
        <v>1260</v>
      </c>
      <c r="H583" t="s">
        <v>1830</v>
      </c>
      <c r="I583" t="s">
        <v>2114</v>
      </c>
      <c r="J583" t="s">
        <v>2202</v>
      </c>
      <c r="K583">
        <v>11101</v>
      </c>
      <c r="L583" t="s">
        <v>2224</v>
      </c>
      <c r="M583" t="s">
        <v>2226</v>
      </c>
      <c r="N583" t="s">
        <v>2473</v>
      </c>
      <c r="O583" t="s">
        <v>2535</v>
      </c>
      <c r="P583" t="s">
        <v>2558</v>
      </c>
      <c r="R583" t="s">
        <v>2569</v>
      </c>
      <c r="S583" t="s">
        <v>2225</v>
      </c>
      <c r="U583" t="s">
        <v>2578</v>
      </c>
      <c r="V583" t="s">
        <v>2588</v>
      </c>
      <c r="W583" t="s">
        <v>265</v>
      </c>
      <c r="X583">
        <v>1800</v>
      </c>
      <c r="Y583" t="s">
        <v>2603</v>
      </c>
      <c r="Z583" t="s">
        <v>2611</v>
      </c>
      <c r="AB583" t="s">
        <v>3162</v>
      </c>
      <c r="AD583" t="s">
        <v>3924</v>
      </c>
      <c r="AE583">
        <v>6</v>
      </c>
      <c r="AF583" t="s">
        <v>4098</v>
      </c>
      <c r="AG583" t="s">
        <v>2255</v>
      </c>
      <c r="AH583">
        <v>2</v>
      </c>
      <c r="AI583">
        <v>2</v>
      </c>
      <c r="AJ583">
        <v>2</v>
      </c>
      <c r="AK583">
        <v>167.77</v>
      </c>
      <c r="AN583" t="s">
        <v>4127</v>
      </c>
      <c r="AO583">
        <v>43200</v>
      </c>
      <c r="AU583">
        <v>11.16</v>
      </c>
      <c r="AV583" t="s">
        <v>225</v>
      </c>
      <c r="AW583" t="s">
        <v>4249</v>
      </c>
      <c r="AX583" t="s">
        <v>4266</v>
      </c>
      <c r="AY583" t="s">
        <v>2224</v>
      </c>
      <c r="AZ583" t="s">
        <v>2224</v>
      </c>
    </row>
    <row r="584" spans="1:52">
      <c r="A584" s="1">
        <f>HYPERLINK("https://lsnyc.legalserver.org/matter/dynamic-profile/view/1907245","19-1907245")</f>
        <v>0</v>
      </c>
      <c r="B584" t="s">
        <v>120</v>
      </c>
      <c r="C584" t="s">
        <v>155</v>
      </c>
      <c r="D584" t="s">
        <v>190</v>
      </c>
      <c r="F584" t="s">
        <v>712</v>
      </c>
      <c r="G584" t="s">
        <v>828</v>
      </c>
      <c r="H584" t="s">
        <v>1606</v>
      </c>
      <c r="I584" t="s">
        <v>2143</v>
      </c>
      <c r="J584" t="s">
        <v>2195</v>
      </c>
      <c r="K584">
        <v>10304</v>
      </c>
      <c r="L584" t="s">
        <v>2224</v>
      </c>
      <c r="M584" t="s">
        <v>2226</v>
      </c>
      <c r="N584" t="s">
        <v>2474</v>
      </c>
      <c r="O584" t="s">
        <v>2535</v>
      </c>
      <c r="P584" t="s">
        <v>2558</v>
      </c>
      <c r="R584" t="s">
        <v>2569</v>
      </c>
      <c r="S584" t="s">
        <v>2225</v>
      </c>
      <c r="U584" t="s">
        <v>2583</v>
      </c>
      <c r="V584" t="s">
        <v>2588</v>
      </c>
      <c r="W584" t="s">
        <v>190</v>
      </c>
      <c r="X584">
        <v>213</v>
      </c>
      <c r="Y584" t="s">
        <v>2606</v>
      </c>
      <c r="Z584" t="s">
        <v>2618</v>
      </c>
      <c r="AB584" t="s">
        <v>3163</v>
      </c>
      <c r="AD584" t="s">
        <v>3925</v>
      </c>
      <c r="AE584">
        <v>403</v>
      </c>
      <c r="AF584" t="s">
        <v>4104</v>
      </c>
      <c r="AG584" t="s">
        <v>2255</v>
      </c>
      <c r="AH584">
        <v>7</v>
      </c>
      <c r="AI584">
        <v>1</v>
      </c>
      <c r="AJ584">
        <v>1</v>
      </c>
      <c r="AK584">
        <v>167.9</v>
      </c>
      <c r="AN584" t="s">
        <v>4126</v>
      </c>
      <c r="AO584">
        <v>28392</v>
      </c>
      <c r="AU584">
        <v>5.85</v>
      </c>
      <c r="AV584" t="s">
        <v>196</v>
      </c>
      <c r="AW584" t="s">
        <v>4230</v>
      </c>
      <c r="AX584" t="s">
        <v>4266</v>
      </c>
      <c r="AY584" t="s">
        <v>2224</v>
      </c>
      <c r="AZ584" t="s">
        <v>2224</v>
      </c>
    </row>
    <row r="585" spans="1:52">
      <c r="A585" s="1">
        <f>HYPERLINK("https://lsnyc.legalserver.org/matter/dynamic-profile/view/1910905","19-1910905")</f>
        <v>0</v>
      </c>
      <c r="B585" t="s">
        <v>134</v>
      </c>
      <c r="C585" t="s">
        <v>155</v>
      </c>
      <c r="D585" t="s">
        <v>166</v>
      </c>
      <c r="F585" t="s">
        <v>567</v>
      </c>
      <c r="G585" t="s">
        <v>853</v>
      </c>
      <c r="H585" t="s">
        <v>1831</v>
      </c>
      <c r="I585" t="s">
        <v>2008</v>
      </c>
      <c r="J585" t="s">
        <v>2196</v>
      </c>
      <c r="K585">
        <v>10034</v>
      </c>
      <c r="L585" t="s">
        <v>2224</v>
      </c>
      <c r="M585" t="s">
        <v>2226</v>
      </c>
      <c r="O585" t="s">
        <v>2536</v>
      </c>
      <c r="P585" t="s">
        <v>2559</v>
      </c>
      <c r="R585" t="s">
        <v>2569</v>
      </c>
      <c r="S585" t="s">
        <v>2225</v>
      </c>
      <c r="U585" t="s">
        <v>2578</v>
      </c>
      <c r="W585" t="s">
        <v>166</v>
      </c>
      <c r="X585">
        <v>1191.97</v>
      </c>
      <c r="Y585" t="s">
        <v>2607</v>
      </c>
      <c r="Z585" t="s">
        <v>2613</v>
      </c>
      <c r="AB585" t="s">
        <v>3164</v>
      </c>
      <c r="AD585" t="s">
        <v>3926</v>
      </c>
      <c r="AE585">
        <v>48</v>
      </c>
      <c r="AF585" t="s">
        <v>4099</v>
      </c>
      <c r="AG585" t="s">
        <v>4116</v>
      </c>
      <c r="AH585">
        <v>24</v>
      </c>
      <c r="AI585">
        <v>1</v>
      </c>
      <c r="AJ585">
        <v>0</v>
      </c>
      <c r="AK585">
        <v>168.07</v>
      </c>
      <c r="AN585" t="s">
        <v>4127</v>
      </c>
      <c r="AO585">
        <v>20991.6</v>
      </c>
      <c r="AU585">
        <v>0.5</v>
      </c>
      <c r="AV585" t="s">
        <v>166</v>
      </c>
      <c r="AW585" t="s">
        <v>80</v>
      </c>
      <c r="AY585" t="s">
        <v>2226</v>
      </c>
      <c r="AZ585" t="s">
        <v>2226</v>
      </c>
    </row>
    <row r="586" spans="1:52">
      <c r="A586" s="1">
        <f>HYPERLINK("https://lsnyc.legalserver.org/matter/dynamic-profile/view/1907797","19-1907797")</f>
        <v>0</v>
      </c>
      <c r="B586" t="s">
        <v>81</v>
      </c>
      <c r="C586" t="s">
        <v>155</v>
      </c>
      <c r="D586" t="s">
        <v>183</v>
      </c>
      <c r="F586" t="s">
        <v>701</v>
      </c>
      <c r="G586" t="s">
        <v>1261</v>
      </c>
      <c r="H586" t="s">
        <v>1450</v>
      </c>
      <c r="I586" t="s">
        <v>2015</v>
      </c>
      <c r="J586" t="s">
        <v>2192</v>
      </c>
      <c r="K586">
        <v>11212</v>
      </c>
      <c r="L586" t="s">
        <v>2224</v>
      </c>
      <c r="M586" t="s">
        <v>2226</v>
      </c>
      <c r="N586" t="s">
        <v>2255</v>
      </c>
      <c r="O586" t="s">
        <v>2539</v>
      </c>
      <c r="P586" t="s">
        <v>2561</v>
      </c>
      <c r="R586" t="s">
        <v>2569</v>
      </c>
      <c r="S586" t="s">
        <v>2224</v>
      </c>
      <c r="U586" t="s">
        <v>2578</v>
      </c>
      <c r="V586" t="s">
        <v>2588</v>
      </c>
      <c r="W586" t="s">
        <v>173</v>
      </c>
      <c r="X586">
        <v>1050</v>
      </c>
      <c r="Y586" t="s">
        <v>2604</v>
      </c>
      <c r="Z586" t="s">
        <v>2614</v>
      </c>
      <c r="AB586" t="s">
        <v>3165</v>
      </c>
      <c r="AD586" t="s">
        <v>3927</v>
      </c>
      <c r="AE586">
        <v>96</v>
      </c>
      <c r="AF586" t="s">
        <v>4099</v>
      </c>
      <c r="AG586" t="s">
        <v>4116</v>
      </c>
      <c r="AH586">
        <v>30</v>
      </c>
      <c r="AI586">
        <v>1</v>
      </c>
      <c r="AJ586">
        <v>0</v>
      </c>
      <c r="AK586">
        <v>168.13</v>
      </c>
      <c r="AN586" t="s">
        <v>4126</v>
      </c>
      <c r="AO586">
        <v>21000</v>
      </c>
      <c r="AU586">
        <v>18.08</v>
      </c>
      <c r="AV586" t="s">
        <v>197</v>
      </c>
      <c r="AW586" t="s">
        <v>127</v>
      </c>
      <c r="AX586" t="s">
        <v>4266</v>
      </c>
      <c r="AY586" t="s">
        <v>2224</v>
      </c>
      <c r="AZ586" t="s">
        <v>2224</v>
      </c>
    </row>
    <row r="587" spans="1:52">
      <c r="A587" s="1">
        <f>HYPERLINK("https://lsnyc.legalserver.org/matter/dynamic-profile/view/1913306","19-1913306")</f>
        <v>0</v>
      </c>
      <c r="B587" t="s">
        <v>135</v>
      </c>
      <c r="C587" t="s">
        <v>155</v>
      </c>
      <c r="D587" t="s">
        <v>280</v>
      </c>
      <c r="F587" t="s">
        <v>580</v>
      </c>
      <c r="G587" t="s">
        <v>1262</v>
      </c>
      <c r="H587" t="s">
        <v>1788</v>
      </c>
      <c r="I587">
        <v>47</v>
      </c>
      <c r="J587" t="s">
        <v>2192</v>
      </c>
      <c r="K587">
        <v>11213</v>
      </c>
      <c r="L587" t="s">
        <v>2224</v>
      </c>
      <c r="M587" t="s">
        <v>2226</v>
      </c>
      <c r="O587" t="s">
        <v>2238</v>
      </c>
      <c r="P587" t="s">
        <v>2561</v>
      </c>
      <c r="R587" t="s">
        <v>2569</v>
      </c>
      <c r="S587" t="s">
        <v>2224</v>
      </c>
      <c r="U587" t="s">
        <v>2578</v>
      </c>
      <c r="W587" t="s">
        <v>280</v>
      </c>
      <c r="X587">
        <v>1017.21</v>
      </c>
      <c r="Y587" t="s">
        <v>2604</v>
      </c>
      <c r="Z587" t="s">
        <v>2609</v>
      </c>
      <c r="AB587" t="s">
        <v>3166</v>
      </c>
      <c r="AD587" t="s">
        <v>3928</v>
      </c>
      <c r="AE587">
        <v>31</v>
      </c>
      <c r="AF587" t="s">
        <v>4099</v>
      </c>
      <c r="AH587">
        <v>22</v>
      </c>
      <c r="AI587">
        <v>2</v>
      </c>
      <c r="AJ587">
        <v>1</v>
      </c>
      <c r="AK587">
        <v>168.78</v>
      </c>
      <c r="AN587" t="s">
        <v>4126</v>
      </c>
      <c r="AO587">
        <v>36000</v>
      </c>
      <c r="AU587">
        <v>1.5</v>
      </c>
      <c r="AV587" t="s">
        <v>280</v>
      </c>
      <c r="AW587" t="s">
        <v>135</v>
      </c>
      <c r="AX587" t="s">
        <v>4266</v>
      </c>
      <c r="AY587" t="s">
        <v>2226</v>
      </c>
      <c r="AZ587" t="s">
        <v>2226</v>
      </c>
    </row>
    <row r="588" spans="1:52">
      <c r="A588" s="1">
        <f>HYPERLINK("https://lsnyc.legalserver.org/matter/dynamic-profile/view/1910829","19-1910829")</f>
        <v>0</v>
      </c>
      <c r="B588" t="s">
        <v>95</v>
      </c>
      <c r="C588" t="s">
        <v>155</v>
      </c>
      <c r="D588" t="s">
        <v>214</v>
      </c>
      <c r="F588" t="s">
        <v>713</v>
      </c>
      <c r="G588" t="s">
        <v>1263</v>
      </c>
      <c r="H588" t="s">
        <v>1832</v>
      </c>
      <c r="J588" t="s">
        <v>2192</v>
      </c>
      <c r="K588">
        <v>11207</v>
      </c>
      <c r="L588" t="s">
        <v>2224</v>
      </c>
      <c r="M588" t="s">
        <v>2226</v>
      </c>
      <c r="N588" t="s">
        <v>2475</v>
      </c>
      <c r="O588" t="s">
        <v>2533</v>
      </c>
      <c r="P588" t="s">
        <v>2561</v>
      </c>
      <c r="R588" t="s">
        <v>2569</v>
      </c>
      <c r="S588" t="s">
        <v>2225</v>
      </c>
      <c r="U588" t="s">
        <v>2578</v>
      </c>
      <c r="V588" t="s">
        <v>2588</v>
      </c>
      <c r="W588" t="s">
        <v>200</v>
      </c>
      <c r="X588">
        <v>2400</v>
      </c>
      <c r="Y588" t="s">
        <v>2604</v>
      </c>
      <c r="Z588" t="s">
        <v>2618</v>
      </c>
      <c r="AB588" t="s">
        <v>3167</v>
      </c>
      <c r="AC588" t="s">
        <v>3450</v>
      </c>
      <c r="AD588" t="s">
        <v>3929</v>
      </c>
      <c r="AE588">
        <v>3</v>
      </c>
      <c r="AF588" t="s">
        <v>4098</v>
      </c>
      <c r="AG588" t="s">
        <v>2255</v>
      </c>
      <c r="AH588">
        <v>8</v>
      </c>
      <c r="AI588">
        <v>1</v>
      </c>
      <c r="AJ588">
        <v>2</v>
      </c>
      <c r="AK588">
        <v>168.78</v>
      </c>
      <c r="AN588" t="s">
        <v>4126</v>
      </c>
      <c r="AO588">
        <v>36000</v>
      </c>
      <c r="AU588">
        <v>2.5</v>
      </c>
      <c r="AV588" t="s">
        <v>204</v>
      </c>
      <c r="AW588" t="s">
        <v>4226</v>
      </c>
      <c r="AX588" t="s">
        <v>4267</v>
      </c>
      <c r="AY588" t="s">
        <v>2226</v>
      </c>
      <c r="AZ588" t="s">
        <v>2226</v>
      </c>
    </row>
    <row r="589" spans="1:52">
      <c r="A589" s="1">
        <f>HYPERLINK("https://lsnyc.legalserver.org/matter/dynamic-profile/view/1908602","19-1908602")</f>
        <v>0</v>
      </c>
      <c r="B589" t="s">
        <v>89</v>
      </c>
      <c r="C589" t="s">
        <v>155</v>
      </c>
      <c r="D589" t="s">
        <v>216</v>
      </c>
      <c r="F589" t="s">
        <v>714</v>
      </c>
      <c r="G589" t="s">
        <v>1264</v>
      </c>
      <c r="H589" t="s">
        <v>1833</v>
      </c>
      <c r="J589" t="s">
        <v>2221</v>
      </c>
      <c r="K589">
        <v>11422</v>
      </c>
      <c r="L589" t="s">
        <v>2224</v>
      </c>
      <c r="M589" t="s">
        <v>2226</v>
      </c>
      <c r="N589" t="s">
        <v>2476</v>
      </c>
      <c r="O589" t="s">
        <v>2533</v>
      </c>
      <c r="P589" t="s">
        <v>2559</v>
      </c>
      <c r="R589" t="s">
        <v>2569</v>
      </c>
      <c r="S589" t="s">
        <v>2225</v>
      </c>
      <c r="U589" t="s">
        <v>2578</v>
      </c>
      <c r="V589" t="s">
        <v>2587</v>
      </c>
      <c r="W589" t="s">
        <v>216</v>
      </c>
      <c r="X589">
        <v>1028</v>
      </c>
      <c r="Y589" t="s">
        <v>2603</v>
      </c>
      <c r="Z589" t="s">
        <v>2608</v>
      </c>
      <c r="AB589" t="s">
        <v>3168</v>
      </c>
      <c r="AC589" t="s">
        <v>3451</v>
      </c>
      <c r="AD589" t="s">
        <v>3930</v>
      </c>
      <c r="AE589">
        <v>2</v>
      </c>
      <c r="AF589" t="s">
        <v>4105</v>
      </c>
      <c r="AG589" t="s">
        <v>2255</v>
      </c>
      <c r="AH589">
        <v>13</v>
      </c>
      <c r="AI589">
        <v>1</v>
      </c>
      <c r="AJ589">
        <v>0</v>
      </c>
      <c r="AK589">
        <v>169.48</v>
      </c>
      <c r="AN589" t="s">
        <v>4126</v>
      </c>
      <c r="AO589">
        <v>21168</v>
      </c>
      <c r="AU589">
        <v>1.36</v>
      </c>
      <c r="AV589" t="s">
        <v>167</v>
      </c>
      <c r="AW589" t="s">
        <v>4224</v>
      </c>
      <c r="AX589" t="s">
        <v>4266</v>
      </c>
      <c r="AY589" t="s">
        <v>2226</v>
      </c>
      <c r="AZ589" t="s">
        <v>2226</v>
      </c>
    </row>
    <row r="590" spans="1:52">
      <c r="A590" s="1">
        <f>HYPERLINK("https://lsnyc.legalserver.org/matter/dynamic-profile/view/1909513","19-1909513")</f>
        <v>0</v>
      </c>
      <c r="B590" t="s">
        <v>104</v>
      </c>
      <c r="C590" t="s">
        <v>155</v>
      </c>
      <c r="D590" t="s">
        <v>161</v>
      </c>
      <c r="F590" t="s">
        <v>715</v>
      </c>
      <c r="G590" t="s">
        <v>868</v>
      </c>
      <c r="H590" t="s">
        <v>1816</v>
      </c>
      <c r="I590" t="s">
        <v>2008</v>
      </c>
      <c r="J590" t="s">
        <v>2196</v>
      </c>
      <c r="K590">
        <v>10034</v>
      </c>
      <c r="L590" t="s">
        <v>2224</v>
      </c>
      <c r="M590" t="s">
        <v>2226</v>
      </c>
      <c r="O590" t="s">
        <v>2536</v>
      </c>
      <c r="P590" t="s">
        <v>2559</v>
      </c>
      <c r="R590" t="s">
        <v>2569</v>
      </c>
      <c r="S590" t="s">
        <v>2225</v>
      </c>
      <c r="U590" t="s">
        <v>2578</v>
      </c>
      <c r="W590" t="s">
        <v>161</v>
      </c>
      <c r="X590">
        <v>1525</v>
      </c>
      <c r="Y590" t="s">
        <v>2607</v>
      </c>
      <c r="Z590" t="s">
        <v>2613</v>
      </c>
      <c r="AB590" t="s">
        <v>3169</v>
      </c>
      <c r="AD590" t="s">
        <v>3931</v>
      </c>
      <c r="AE590">
        <v>25</v>
      </c>
      <c r="AF590" t="s">
        <v>4099</v>
      </c>
      <c r="AG590" t="s">
        <v>2255</v>
      </c>
      <c r="AH590">
        <v>8</v>
      </c>
      <c r="AI590">
        <v>4</v>
      </c>
      <c r="AJ590">
        <v>0</v>
      </c>
      <c r="AK590">
        <v>171.25</v>
      </c>
      <c r="AN590" t="s">
        <v>4127</v>
      </c>
      <c r="AO590">
        <v>44096</v>
      </c>
      <c r="AU590">
        <v>1.9</v>
      </c>
      <c r="AV590" t="s">
        <v>169</v>
      </c>
      <c r="AW590" t="s">
        <v>80</v>
      </c>
      <c r="AX590" t="s">
        <v>4266</v>
      </c>
      <c r="AY590" t="s">
        <v>2226</v>
      </c>
      <c r="AZ590" t="s">
        <v>2226</v>
      </c>
    </row>
    <row r="591" spans="1:52">
      <c r="A591" s="1">
        <f>HYPERLINK("https://lsnyc.legalserver.org/matter/dynamic-profile/view/1912469","19-1912469")</f>
        <v>0</v>
      </c>
      <c r="B591" t="s">
        <v>53</v>
      </c>
      <c r="C591" t="s">
        <v>155</v>
      </c>
      <c r="D591" t="s">
        <v>230</v>
      </c>
      <c r="F591" t="s">
        <v>331</v>
      </c>
      <c r="G591" t="s">
        <v>1265</v>
      </c>
      <c r="H591" t="s">
        <v>1397</v>
      </c>
      <c r="I591" t="s">
        <v>2081</v>
      </c>
      <c r="J591" t="s">
        <v>2187</v>
      </c>
      <c r="K591">
        <v>11691</v>
      </c>
      <c r="L591" t="s">
        <v>2224</v>
      </c>
      <c r="M591" t="s">
        <v>2226</v>
      </c>
      <c r="O591" t="s">
        <v>2534</v>
      </c>
      <c r="P591" t="s">
        <v>2558</v>
      </c>
      <c r="R591" t="s">
        <v>2569</v>
      </c>
      <c r="S591" t="s">
        <v>2225</v>
      </c>
      <c r="U591" t="s">
        <v>2578</v>
      </c>
      <c r="W591" t="s">
        <v>230</v>
      </c>
      <c r="X591">
        <v>675</v>
      </c>
      <c r="Y591" t="s">
        <v>2603</v>
      </c>
      <c r="Z591" t="s">
        <v>2609</v>
      </c>
      <c r="AB591" t="s">
        <v>3170</v>
      </c>
      <c r="AD591" t="s">
        <v>3932</v>
      </c>
      <c r="AE591">
        <v>43</v>
      </c>
      <c r="AF591" t="s">
        <v>4099</v>
      </c>
      <c r="AG591" t="s">
        <v>2255</v>
      </c>
      <c r="AH591">
        <v>5</v>
      </c>
      <c r="AI591">
        <v>2</v>
      </c>
      <c r="AJ591">
        <v>0</v>
      </c>
      <c r="AK591">
        <v>172.21</v>
      </c>
      <c r="AN591" t="s">
        <v>4126</v>
      </c>
      <c r="AO591">
        <v>29120</v>
      </c>
      <c r="AU591">
        <v>0.5</v>
      </c>
      <c r="AV591" t="s">
        <v>230</v>
      </c>
      <c r="AW591" t="s">
        <v>4224</v>
      </c>
      <c r="AX591" t="s">
        <v>4266</v>
      </c>
      <c r="AY591" t="s">
        <v>2226</v>
      </c>
      <c r="AZ591" t="s">
        <v>2226</v>
      </c>
    </row>
    <row r="592" spans="1:52">
      <c r="A592" s="1">
        <f>HYPERLINK("https://lsnyc.legalserver.org/matter/dynamic-profile/view/1912457","19-1912457")</f>
        <v>0</v>
      </c>
      <c r="B592" t="s">
        <v>53</v>
      </c>
      <c r="C592" t="s">
        <v>155</v>
      </c>
      <c r="D592" t="s">
        <v>230</v>
      </c>
      <c r="F592" t="s">
        <v>331</v>
      </c>
      <c r="G592" t="s">
        <v>1265</v>
      </c>
      <c r="H592" t="s">
        <v>1397</v>
      </c>
      <c r="I592" t="s">
        <v>2081</v>
      </c>
      <c r="J592" t="s">
        <v>2187</v>
      </c>
      <c r="K592">
        <v>11691</v>
      </c>
      <c r="L592" t="s">
        <v>2224</v>
      </c>
      <c r="M592" t="s">
        <v>2226</v>
      </c>
      <c r="O592" t="s">
        <v>2535</v>
      </c>
      <c r="P592" t="s">
        <v>2557</v>
      </c>
      <c r="R592" t="s">
        <v>2569</v>
      </c>
      <c r="S592" t="s">
        <v>2224</v>
      </c>
      <c r="U592" t="s">
        <v>2578</v>
      </c>
      <c r="W592" t="s">
        <v>230</v>
      </c>
      <c r="X592">
        <v>675</v>
      </c>
      <c r="Y592" t="s">
        <v>2603</v>
      </c>
      <c r="Z592" t="s">
        <v>2609</v>
      </c>
      <c r="AB592" t="s">
        <v>3170</v>
      </c>
      <c r="AD592" t="s">
        <v>3932</v>
      </c>
      <c r="AE592">
        <v>43</v>
      </c>
      <c r="AF592" t="s">
        <v>4099</v>
      </c>
      <c r="AG592" t="s">
        <v>2255</v>
      </c>
      <c r="AH592">
        <v>5</v>
      </c>
      <c r="AI592">
        <v>2</v>
      </c>
      <c r="AJ592">
        <v>0</v>
      </c>
      <c r="AK592">
        <v>172.21</v>
      </c>
      <c r="AN592" t="s">
        <v>4126</v>
      </c>
      <c r="AO592">
        <v>29120</v>
      </c>
      <c r="AU592">
        <v>0.5</v>
      </c>
      <c r="AV592" t="s">
        <v>230</v>
      </c>
      <c r="AW592" t="s">
        <v>4224</v>
      </c>
      <c r="AX592" t="s">
        <v>4266</v>
      </c>
      <c r="AY592" t="s">
        <v>2226</v>
      </c>
      <c r="AZ592" t="s">
        <v>2226</v>
      </c>
    </row>
    <row r="593" spans="1:52">
      <c r="A593" s="1">
        <f>HYPERLINK("https://lsnyc.legalserver.org/matter/dynamic-profile/view/1908592","19-1908592")</f>
        <v>0</v>
      </c>
      <c r="B593" t="s">
        <v>119</v>
      </c>
      <c r="C593" t="s">
        <v>155</v>
      </c>
      <c r="D593" t="s">
        <v>216</v>
      </c>
      <c r="F593" t="s">
        <v>299</v>
      </c>
      <c r="G593" t="s">
        <v>972</v>
      </c>
      <c r="H593" t="s">
        <v>1834</v>
      </c>
      <c r="I593" t="s">
        <v>1979</v>
      </c>
      <c r="J593" t="s">
        <v>2223</v>
      </c>
      <c r="K593">
        <v>11375</v>
      </c>
      <c r="L593" t="s">
        <v>2224</v>
      </c>
      <c r="M593" t="s">
        <v>2226</v>
      </c>
      <c r="N593" t="s">
        <v>2477</v>
      </c>
      <c r="O593" t="s">
        <v>2535</v>
      </c>
      <c r="P593" t="s">
        <v>2558</v>
      </c>
      <c r="R593" t="s">
        <v>2569</v>
      </c>
      <c r="S593" t="s">
        <v>2225</v>
      </c>
      <c r="U593" t="s">
        <v>2578</v>
      </c>
      <c r="V593" t="s">
        <v>2588</v>
      </c>
      <c r="W593" t="s">
        <v>216</v>
      </c>
      <c r="X593">
        <v>1413.52</v>
      </c>
      <c r="Y593" t="s">
        <v>2603</v>
      </c>
      <c r="Z593" t="s">
        <v>2608</v>
      </c>
      <c r="AB593" t="s">
        <v>3171</v>
      </c>
      <c r="AC593" t="s">
        <v>3452</v>
      </c>
      <c r="AD593" t="s">
        <v>3933</v>
      </c>
      <c r="AE593">
        <v>40</v>
      </c>
      <c r="AF593" t="s">
        <v>2518</v>
      </c>
      <c r="AG593" t="s">
        <v>2255</v>
      </c>
      <c r="AH593">
        <v>15</v>
      </c>
      <c r="AI593">
        <v>3</v>
      </c>
      <c r="AJ593">
        <v>0</v>
      </c>
      <c r="AK593">
        <v>172.53</v>
      </c>
      <c r="AN593" t="s">
        <v>4126</v>
      </c>
      <c r="AO593">
        <v>36800</v>
      </c>
      <c r="AU593">
        <v>19.96</v>
      </c>
      <c r="AV593" t="s">
        <v>174</v>
      </c>
      <c r="AW593" t="s">
        <v>4224</v>
      </c>
      <c r="AX593" t="s">
        <v>4266</v>
      </c>
      <c r="AY593" t="s">
        <v>2226</v>
      </c>
      <c r="AZ593" t="s">
        <v>2226</v>
      </c>
    </row>
    <row r="594" spans="1:52">
      <c r="A594" s="1">
        <f>HYPERLINK("https://lsnyc.legalserver.org/matter/dynamic-profile/view/1909766","19-1909766")</f>
        <v>0</v>
      </c>
      <c r="B594" t="s">
        <v>105</v>
      </c>
      <c r="C594" t="s">
        <v>155</v>
      </c>
      <c r="D594" t="s">
        <v>268</v>
      </c>
      <c r="F594" t="s">
        <v>716</v>
      </c>
      <c r="G594" t="s">
        <v>1266</v>
      </c>
      <c r="H594" t="s">
        <v>1835</v>
      </c>
      <c r="I594" t="s">
        <v>2144</v>
      </c>
      <c r="J594" t="s">
        <v>2195</v>
      </c>
      <c r="K594">
        <v>10304</v>
      </c>
      <c r="L594" t="s">
        <v>2224</v>
      </c>
      <c r="M594" t="s">
        <v>2226</v>
      </c>
      <c r="N594" t="s">
        <v>2237</v>
      </c>
      <c r="O594" t="s">
        <v>2238</v>
      </c>
      <c r="P594" t="s">
        <v>2556</v>
      </c>
      <c r="R594" t="s">
        <v>2569</v>
      </c>
      <c r="S594" t="s">
        <v>2225</v>
      </c>
      <c r="U594" t="s">
        <v>2578</v>
      </c>
      <c r="V594" t="s">
        <v>2588</v>
      </c>
      <c r="W594" t="s">
        <v>268</v>
      </c>
      <c r="X594">
        <v>694</v>
      </c>
      <c r="Y594" t="s">
        <v>2606</v>
      </c>
      <c r="Z594" t="s">
        <v>2612</v>
      </c>
      <c r="AB594" t="s">
        <v>3172</v>
      </c>
      <c r="AD594" t="s">
        <v>3934</v>
      </c>
      <c r="AE594">
        <v>150</v>
      </c>
      <c r="AF594" t="s">
        <v>4104</v>
      </c>
      <c r="AG594" t="s">
        <v>4112</v>
      </c>
      <c r="AH594">
        <v>4</v>
      </c>
      <c r="AI594">
        <v>1</v>
      </c>
      <c r="AJ594">
        <v>0</v>
      </c>
      <c r="AK594">
        <v>172.55</v>
      </c>
      <c r="AO594">
        <v>21552</v>
      </c>
      <c r="AU594">
        <v>1.4</v>
      </c>
      <c r="AV594" t="s">
        <v>222</v>
      </c>
      <c r="AW594" t="s">
        <v>4230</v>
      </c>
      <c r="AX594" t="s">
        <v>4266</v>
      </c>
      <c r="AY594" t="s">
        <v>2224</v>
      </c>
      <c r="AZ594" t="s">
        <v>2224</v>
      </c>
    </row>
    <row r="595" spans="1:52">
      <c r="A595" s="1">
        <f>HYPERLINK("https://lsnyc.legalserver.org/matter/dynamic-profile/view/1902184","19-1902184")</f>
        <v>0</v>
      </c>
      <c r="B595" t="s">
        <v>65</v>
      </c>
      <c r="C595" t="s">
        <v>154</v>
      </c>
      <c r="D595" t="s">
        <v>279</v>
      </c>
      <c r="E595" t="s">
        <v>186</v>
      </c>
      <c r="F595" t="s">
        <v>717</v>
      </c>
      <c r="G595" t="s">
        <v>1130</v>
      </c>
      <c r="H595" t="s">
        <v>1836</v>
      </c>
      <c r="I595">
        <v>2</v>
      </c>
      <c r="J595" t="s">
        <v>2192</v>
      </c>
      <c r="K595">
        <v>11207</v>
      </c>
      <c r="L595" t="s">
        <v>2224</v>
      </c>
      <c r="M595" t="s">
        <v>2226</v>
      </c>
      <c r="N595" t="s">
        <v>2478</v>
      </c>
      <c r="O595" t="s">
        <v>2534</v>
      </c>
      <c r="P595" t="s">
        <v>2561</v>
      </c>
      <c r="Q595" t="s">
        <v>2566</v>
      </c>
      <c r="R595" t="s">
        <v>2569</v>
      </c>
      <c r="S595" t="s">
        <v>2225</v>
      </c>
      <c r="U595" t="s">
        <v>2578</v>
      </c>
      <c r="V595" t="s">
        <v>2588</v>
      </c>
      <c r="W595" t="s">
        <v>254</v>
      </c>
      <c r="X595">
        <v>2379</v>
      </c>
      <c r="Y595" t="s">
        <v>2604</v>
      </c>
      <c r="Z595" t="s">
        <v>2617</v>
      </c>
      <c r="AA595" t="s">
        <v>2629</v>
      </c>
      <c r="AB595" t="s">
        <v>3173</v>
      </c>
      <c r="AC595" t="s">
        <v>3372</v>
      </c>
      <c r="AD595" t="s">
        <v>3935</v>
      </c>
      <c r="AE595">
        <v>4</v>
      </c>
      <c r="AF595" t="s">
        <v>4098</v>
      </c>
      <c r="AG595" t="s">
        <v>4112</v>
      </c>
      <c r="AH595">
        <v>0</v>
      </c>
      <c r="AI595">
        <v>1</v>
      </c>
      <c r="AJ595">
        <v>2</v>
      </c>
      <c r="AK595">
        <v>173.46</v>
      </c>
      <c r="AN595" t="s">
        <v>4126</v>
      </c>
      <c r="AO595">
        <v>37000</v>
      </c>
      <c r="AU595">
        <v>1.7</v>
      </c>
      <c r="AV595" t="s">
        <v>267</v>
      </c>
      <c r="AW595" t="s">
        <v>4246</v>
      </c>
      <c r="AX595" t="s">
        <v>4266</v>
      </c>
      <c r="AY595" t="s">
        <v>2224</v>
      </c>
      <c r="AZ595" t="s">
        <v>2224</v>
      </c>
    </row>
    <row r="596" spans="1:52">
      <c r="A596" s="1">
        <f>HYPERLINK("https://lsnyc.legalserver.org/matter/dynamic-profile/view/1911533","19-1911533")</f>
        <v>0</v>
      </c>
      <c r="B596" t="s">
        <v>104</v>
      </c>
      <c r="C596" t="s">
        <v>155</v>
      </c>
      <c r="D596" t="s">
        <v>179</v>
      </c>
      <c r="F596" t="s">
        <v>718</v>
      </c>
      <c r="G596" t="s">
        <v>1267</v>
      </c>
      <c r="H596" t="s">
        <v>1550</v>
      </c>
      <c r="J596" t="s">
        <v>2196</v>
      </c>
      <c r="K596">
        <v>10040</v>
      </c>
      <c r="L596" t="s">
        <v>2224</v>
      </c>
      <c r="M596" t="s">
        <v>2226</v>
      </c>
      <c r="O596" t="s">
        <v>2546</v>
      </c>
      <c r="P596" t="s">
        <v>2558</v>
      </c>
      <c r="R596" t="s">
        <v>2569</v>
      </c>
      <c r="S596" t="s">
        <v>2224</v>
      </c>
      <c r="U596" t="s">
        <v>2578</v>
      </c>
      <c r="W596" t="s">
        <v>179</v>
      </c>
      <c r="X596">
        <v>10296</v>
      </c>
      <c r="Y596" t="s">
        <v>2607</v>
      </c>
      <c r="Z596" t="s">
        <v>2613</v>
      </c>
      <c r="AB596" t="s">
        <v>3174</v>
      </c>
      <c r="AD596" t="s">
        <v>3936</v>
      </c>
      <c r="AE596">
        <v>44</v>
      </c>
      <c r="AF596" t="s">
        <v>4099</v>
      </c>
      <c r="AG596" t="s">
        <v>2255</v>
      </c>
      <c r="AH596">
        <v>11</v>
      </c>
      <c r="AI596">
        <v>3</v>
      </c>
      <c r="AJ596">
        <v>0</v>
      </c>
      <c r="AK596">
        <v>173.46</v>
      </c>
      <c r="AN596" t="s">
        <v>4127</v>
      </c>
      <c r="AO596">
        <v>37000</v>
      </c>
      <c r="AU596">
        <v>0.1</v>
      </c>
      <c r="AV596" t="s">
        <v>197</v>
      </c>
      <c r="AW596" t="s">
        <v>80</v>
      </c>
      <c r="AX596" t="s">
        <v>4266</v>
      </c>
      <c r="AY596" t="s">
        <v>2226</v>
      </c>
      <c r="AZ596" t="s">
        <v>2226</v>
      </c>
    </row>
    <row r="597" spans="1:52">
      <c r="A597" s="1">
        <f>HYPERLINK("https://lsnyc.legalserver.org/matter/dynamic-profile/view/1912332","19-1912332")</f>
        <v>0</v>
      </c>
      <c r="B597" t="s">
        <v>104</v>
      </c>
      <c r="C597" t="s">
        <v>155</v>
      </c>
      <c r="D597" t="s">
        <v>169</v>
      </c>
      <c r="F597" t="s">
        <v>718</v>
      </c>
      <c r="G597" t="s">
        <v>1267</v>
      </c>
      <c r="H597" t="s">
        <v>1550</v>
      </c>
      <c r="J597" t="s">
        <v>2196</v>
      </c>
      <c r="K597">
        <v>10040</v>
      </c>
      <c r="L597" t="s">
        <v>2224</v>
      </c>
      <c r="M597" t="s">
        <v>2226</v>
      </c>
      <c r="O597" t="s">
        <v>2537</v>
      </c>
      <c r="P597" t="s">
        <v>2558</v>
      </c>
      <c r="R597" t="s">
        <v>2569</v>
      </c>
      <c r="S597" t="s">
        <v>2224</v>
      </c>
      <c r="U597" t="s">
        <v>2578</v>
      </c>
      <c r="W597" t="s">
        <v>169</v>
      </c>
      <c r="X597">
        <v>1296</v>
      </c>
      <c r="Y597" t="s">
        <v>2607</v>
      </c>
      <c r="Z597" t="s">
        <v>2613</v>
      </c>
      <c r="AB597" t="s">
        <v>3174</v>
      </c>
      <c r="AD597" t="s">
        <v>3936</v>
      </c>
      <c r="AE597">
        <v>44</v>
      </c>
      <c r="AF597" t="s">
        <v>4099</v>
      </c>
      <c r="AG597" t="s">
        <v>2255</v>
      </c>
      <c r="AH597">
        <v>11</v>
      </c>
      <c r="AI597">
        <v>3</v>
      </c>
      <c r="AJ597">
        <v>0</v>
      </c>
      <c r="AK597">
        <v>173.46</v>
      </c>
      <c r="AN597" t="s">
        <v>4127</v>
      </c>
      <c r="AO597">
        <v>37000</v>
      </c>
      <c r="AU597">
        <v>0</v>
      </c>
      <c r="AW597" t="s">
        <v>80</v>
      </c>
      <c r="AX597" t="s">
        <v>4266</v>
      </c>
      <c r="AY597" t="s">
        <v>2226</v>
      </c>
      <c r="AZ597" t="s">
        <v>2226</v>
      </c>
    </row>
    <row r="598" spans="1:52">
      <c r="A598" s="1">
        <f>HYPERLINK("https://lsnyc.legalserver.org/matter/dynamic-profile/view/1912491","19-1912491")</f>
        <v>0</v>
      </c>
      <c r="B598" t="s">
        <v>104</v>
      </c>
      <c r="C598" t="s">
        <v>155</v>
      </c>
      <c r="D598" t="s">
        <v>230</v>
      </c>
      <c r="F598" t="s">
        <v>718</v>
      </c>
      <c r="G598" t="s">
        <v>1267</v>
      </c>
      <c r="H598" t="s">
        <v>1550</v>
      </c>
      <c r="J598" t="s">
        <v>2196</v>
      </c>
      <c r="K598">
        <v>10040</v>
      </c>
      <c r="L598" t="s">
        <v>2224</v>
      </c>
      <c r="M598" t="s">
        <v>2226</v>
      </c>
      <c r="O598" t="s">
        <v>2537</v>
      </c>
      <c r="P598" t="s">
        <v>2558</v>
      </c>
      <c r="R598" t="s">
        <v>2569</v>
      </c>
      <c r="S598" t="s">
        <v>2224</v>
      </c>
      <c r="U598" t="s">
        <v>2578</v>
      </c>
      <c r="W598" t="s">
        <v>230</v>
      </c>
      <c r="X598">
        <v>1296</v>
      </c>
      <c r="Y598" t="s">
        <v>2607</v>
      </c>
      <c r="Z598" t="s">
        <v>2613</v>
      </c>
      <c r="AB598" t="s">
        <v>3174</v>
      </c>
      <c r="AD598" t="s">
        <v>3936</v>
      </c>
      <c r="AE598">
        <v>44</v>
      </c>
      <c r="AG598" t="s">
        <v>2255</v>
      </c>
      <c r="AH598">
        <v>11</v>
      </c>
      <c r="AI598">
        <v>3</v>
      </c>
      <c r="AJ598">
        <v>0</v>
      </c>
      <c r="AK598">
        <v>173.46</v>
      </c>
      <c r="AN598" t="s">
        <v>4127</v>
      </c>
      <c r="AO598">
        <v>37000</v>
      </c>
      <c r="AU598">
        <v>0</v>
      </c>
      <c r="AW598" t="s">
        <v>80</v>
      </c>
      <c r="AX598" t="s">
        <v>4266</v>
      </c>
      <c r="AY598" t="s">
        <v>2226</v>
      </c>
      <c r="AZ598" t="s">
        <v>2226</v>
      </c>
    </row>
    <row r="599" spans="1:52">
      <c r="A599" s="1">
        <f>HYPERLINK("https://lsnyc.legalserver.org/matter/dynamic-profile/view/1908285","19-1908285")</f>
        <v>0</v>
      </c>
      <c r="B599" t="s">
        <v>60</v>
      </c>
      <c r="C599" t="s">
        <v>154</v>
      </c>
      <c r="D599" t="s">
        <v>177</v>
      </c>
      <c r="E599" t="s">
        <v>188</v>
      </c>
      <c r="F599" t="s">
        <v>719</v>
      </c>
      <c r="G599" t="s">
        <v>940</v>
      </c>
      <c r="H599" t="s">
        <v>1837</v>
      </c>
      <c r="I599" t="s">
        <v>2145</v>
      </c>
      <c r="J599" t="s">
        <v>2192</v>
      </c>
      <c r="K599">
        <v>11233</v>
      </c>
      <c r="L599" t="s">
        <v>2224</v>
      </c>
      <c r="M599" t="s">
        <v>2226</v>
      </c>
      <c r="N599" t="s">
        <v>2479</v>
      </c>
      <c r="O599" t="s">
        <v>2535</v>
      </c>
      <c r="P599" t="s">
        <v>2558</v>
      </c>
      <c r="Q599" t="s">
        <v>2564</v>
      </c>
      <c r="R599" t="s">
        <v>2569</v>
      </c>
      <c r="S599" t="s">
        <v>2225</v>
      </c>
      <c r="U599" t="s">
        <v>2578</v>
      </c>
      <c r="V599" t="s">
        <v>2588</v>
      </c>
      <c r="W599" t="s">
        <v>263</v>
      </c>
      <c r="X599">
        <v>1000</v>
      </c>
      <c r="Y599" t="s">
        <v>2604</v>
      </c>
      <c r="Z599" t="s">
        <v>2613</v>
      </c>
      <c r="AA599" t="s">
        <v>2628</v>
      </c>
      <c r="AB599" t="s">
        <v>3175</v>
      </c>
      <c r="AC599" t="s">
        <v>2255</v>
      </c>
      <c r="AD599" t="s">
        <v>3937</v>
      </c>
      <c r="AE599">
        <v>3</v>
      </c>
      <c r="AF599" t="s">
        <v>4110</v>
      </c>
      <c r="AG599" t="s">
        <v>2255</v>
      </c>
      <c r="AH599">
        <v>7</v>
      </c>
      <c r="AI599">
        <v>2</v>
      </c>
      <c r="AJ599">
        <v>2</v>
      </c>
      <c r="AK599">
        <v>174.76</v>
      </c>
      <c r="AN599" t="s">
        <v>4126</v>
      </c>
      <c r="AO599">
        <v>45000</v>
      </c>
      <c r="AU599">
        <v>2.5</v>
      </c>
      <c r="AV599" t="s">
        <v>197</v>
      </c>
      <c r="AW599" t="s">
        <v>127</v>
      </c>
      <c r="AX599" t="s">
        <v>4266</v>
      </c>
      <c r="AY599" t="s">
        <v>2224</v>
      </c>
      <c r="AZ599" t="s">
        <v>2224</v>
      </c>
    </row>
    <row r="600" spans="1:52">
      <c r="A600" s="1">
        <f>HYPERLINK("https://lsnyc.legalserver.org/matter/dynamic-profile/view/1910993","19-1910993")</f>
        <v>0</v>
      </c>
      <c r="B600" t="s">
        <v>88</v>
      </c>
      <c r="C600" t="s">
        <v>155</v>
      </c>
      <c r="D600" t="s">
        <v>225</v>
      </c>
      <c r="F600" t="s">
        <v>602</v>
      </c>
      <c r="G600" t="s">
        <v>1178</v>
      </c>
      <c r="H600" t="s">
        <v>1731</v>
      </c>
      <c r="I600" t="s">
        <v>2000</v>
      </c>
      <c r="J600" t="s">
        <v>2196</v>
      </c>
      <c r="K600">
        <v>10035</v>
      </c>
      <c r="L600" t="s">
        <v>2224</v>
      </c>
      <c r="M600" t="s">
        <v>2226</v>
      </c>
      <c r="O600" t="s">
        <v>2534</v>
      </c>
      <c r="P600" t="s">
        <v>2559</v>
      </c>
      <c r="R600" t="s">
        <v>2569</v>
      </c>
      <c r="S600" t="s">
        <v>2224</v>
      </c>
      <c r="U600" t="s">
        <v>2578</v>
      </c>
      <c r="V600" t="s">
        <v>2588</v>
      </c>
      <c r="W600" t="s">
        <v>225</v>
      </c>
      <c r="X600">
        <v>1044</v>
      </c>
      <c r="Y600" t="s">
        <v>2607</v>
      </c>
      <c r="Z600" t="s">
        <v>2621</v>
      </c>
      <c r="AB600" t="s">
        <v>3176</v>
      </c>
      <c r="AD600" t="s">
        <v>3938</v>
      </c>
      <c r="AE600">
        <v>60</v>
      </c>
      <c r="AF600" t="s">
        <v>4099</v>
      </c>
      <c r="AG600" t="s">
        <v>2255</v>
      </c>
      <c r="AH600">
        <v>15</v>
      </c>
      <c r="AI600">
        <v>3</v>
      </c>
      <c r="AJ600">
        <v>1</v>
      </c>
      <c r="AK600">
        <v>174.76</v>
      </c>
      <c r="AN600" t="s">
        <v>4126</v>
      </c>
      <c r="AO600">
        <v>45000</v>
      </c>
      <c r="AU600">
        <v>1</v>
      </c>
      <c r="AV600" t="s">
        <v>163</v>
      </c>
      <c r="AW600" t="s">
        <v>4237</v>
      </c>
      <c r="AX600" t="s">
        <v>4266</v>
      </c>
      <c r="AY600" t="s">
        <v>2224</v>
      </c>
      <c r="AZ600" t="s">
        <v>2224</v>
      </c>
    </row>
    <row r="601" spans="1:52">
      <c r="A601" s="1">
        <f>HYPERLINK("https://lsnyc.legalserver.org/matter/dynamic-profile/view/1902323","19-1902323")</f>
        <v>0</v>
      </c>
      <c r="B601" t="s">
        <v>65</v>
      </c>
      <c r="C601" t="s">
        <v>154</v>
      </c>
      <c r="D601" t="s">
        <v>159</v>
      </c>
      <c r="E601" t="s">
        <v>194</v>
      </c>
      <c r="F601" t="s">
        <v>720</v>
      </c>
      <c r="G601" t="s">
        <v>1268</v>
      </c>
      <c r="H601" t="s">
        <v>1838</v>
      </c>
      <c r="I601" t="s">
        <v>1962</v>
      </c>
      <c r="J601" t="s">
        <v>2192</v>
      </c>
      <c r="K601">
        <v>11217</v>
      </c>
      <c r="L601" t="s">
        <v>2224</v>
      </c>
      <c r="M601" t="s">
        <v>2226</v>
      </c>
      <c r="N601" t="s">
        <v>2238</v>
      </c>
      <c r="O601" t="s">
        <v>2534</v>
      </c>
      <c r="P601" t="s">
        <v>2561</v>
      </c>
      <c r="Q601" t="s">
        <v>2566</v>
      </c>
      <c r="R601" t="s">
        <v>2569</v>
      </c>
      <c r="S601" t="s">
        <v>2225</v>
      </c>
      <c r="U601" t="s">
        <v>2578</v>
      </c>
      <c r="W601" t="s">
        <v>254</v>
      </c>
      <c r="X601">
        <v>1550</v>
      </c>
      <c r="Y601" t="s">
        <v>2604</v>
      </c>
      <c r="Z601" t="s">
        <v>2611</v>
      </c>
      <c r="AA601" t="s">
        <v>2629</v>
      </c>
      <c r="AB601" t="s">
        <v>3177</v>
      </c>
      <c r="AD601" t="s">
        <v>3939</v>
      </c>
      <c r="AE601">
        <v>6</v>
      </c>
      <c r="AG601" t="s">
        <v>2255</v>
      </c>
      <c r="AH601">
        <v>9</v>
      </c>
      <c r="AI601">
        <v>1</v>
      </c>
      <c r="AJ601">
        <v>0</v>
      </c>
      <c r="AK601">
        <v>175.13</v>
      </c>
      <c r="AN601" t="s">
        <v>4126</v>
      </c>
      <c r="AO601">
        <v>21874</v>
      </c>
      <c r="AU601">
        <v>2.1</v>
      </c>
      <c r="AV601" t="s">
        <v>267</v>
      </c>
      <c r="AW601" t="s">
        <v>4253</v>
      </c>
      <c r="AX601" t="s">
        <v>4266</v>
      </c>
      <c r="AY601" t="s">
        <v>2226</v>
      </c>
      <c r="AZ601" t="s">
        <v>2225</v>
      </c>
    </row>
    <row r="602" spans="1:52">
      <c r="A602" s="1">
        <f>HYPERLINK("https://lsnyc.legalserver.org/matter/dynamic-profile/view/1908712","19-1908712")</f>
        <v>0</v>
      </c>
      <c r="B602" t="s">
        <v>72</v>
      </c>
      <c r="C602" t="s">
        <v>155</v>
      </c>
      <c r="D602" t="s">
        <v>194</v>
      </c>
      <c r="F602" t="s">
        <v>682</v>
      </c>
      <c r="G602" t="s">
        <v>965</v>
      </c>
      <c r="H602" t="s">
        <v>1839</v>
      </c>
      <c r="I602">
        <v>2</v>
      </c>
      <c r="J602" t="s">
        <v>2195</v>
      </c>
      <c r="K602">
        <v>10304</v>
      </c>
      <c r="L602" t="s">
        <v>2224</v>
      </c>
      <c r="M602" t="s">
        <v>2226</v>
      </c>
      <c r="N602" t="s">
        <v>2237</v>
      </c>
      <c r="O602" t="s">
        <v>2238</v>
      </c>
      <c r="P602" t="s">
        <v>2557</v>
      </c>
      <c r="R602" t="s">
        <v>2569</v>
      </c>
      <c r="U602" t="s">
        <v>2578</v>
      </c>
      <c r="W602" t="s">
        <v>194</v>
      </c>
      <c r="X602">
        <v>1200</v>
      </c>
      <c r="Y602" t="s">
        <v>2606</v>
      </c>
      <c r="Z602" t="s">
        <v>2617</v>
      </c>
      <c r="AB602" t="s">
        <v>3178</v>
      </c>
      <c r="AD602" t="s">
        <v>3419</v>
      </c>
      <c r="AE602">
        <v>2</v>
      </c>
      <c r="AF602" t="s">
        <v>4098</v>
      </c>
      <c r="AG602" t="s">
        <v>2255</v>
      </c>
      <c r="AH602">
        <v>14</v>
      </c>
      <c r="AI602">
        <v>1</v>
      </c>
      <c r="AJ602">
        <v>1</v>
      </c>
      <c r="AK602">
        <v>175.28</v>
      </c>
      <c r="AN602" t="s">
        <v>4127</v>
      </c>
      <c r="AO602">
        <v>29640</v>
      </c>
      <c r="AU602">
        <v>2</v>
      </c>
      <c r="AV602" t="s">
        <v>194</v>
      </c>
      <c r="AW602" t="s">
        <v>4230</v>
      </c>
      <c r="AX602" t="s">
        <v>4266</v>
      </c>
      <c r="AY602" t="s">
        <v>2224</v>
      </c>
      <c r="AZ602" t="s">
        <v>2224</v>
      </c>
    </row>
    <row r="603" spans="1:52">
      <c r="A603" s="1">
        <f>HYPERLINK("https://lsnyc.legalserver.org/matter/dynamic-profile/view/1908072","19-1908072")</f>
        <v>0</v>
      </c>
      <c r="B603" t="s">
        <v>101</v>
      </c>
      <c r="C603" t="s">
        <v>155</v>
      </c>
      <c r="D603" t="s">
        <v>206</v>
      </c>
      <c r="F603" t="s">
        <v>721</v>
      </c>
      <c r="G603" t="s">
        <v>1269</v>
      </c>
      <c r="H603" t="s">
        <v>1840</v>
      </c>
      <c r="I603" t="s">
        <v>2114</v>
      </c>
      <c r="J603" t="s">
        <v>2192</v>
      </c>
      <c r="K603">
        <v>11233</v>
      </c>
      <c r="L603" t="s">
        <v>2224</v>
      </c>
      <c r="M603" t="s">
        <v>2226</v>
      </c>
      <c r="N603" t="s">
        <v>2480</v>
      </c>
      <c r="O603" t="s">
        <v>2535</v>
      </c>
      <c r="P603" t="s">
        <v>2558</v>
      </c>
      <c r="R603" t="s">
        <v>2569</v>
      </c>
      <c r="S603" t="s">
        <v>2225</v>
      </c>
      <c r="U603" t="s">
        <v>2578</v>
      </c>
      <c r="V603" t="s">
        <v>2591</v>
      </c>
      <c r="W603" t="s">
        <v>289</v>
      </c>
      <c r="X603">
        <v>1132</v>
      </c>
      <c r="Y603" t="s">
        <v>2604</v>
      </c>
      <c r="AB603" t="s">
        <v>3179</v>
      </c>
      <c r="AD603" t="s">
        <v>3940</v>
      </c>
      <c r="AE603">
        <v>6</v>
      </c>
      <c r="AF603" t="s">
        <v>4099</v>
      </c>
      <c r="AH603">
        <v>10</v>
      </c>
      <c r="AI603">
        <v>1</v>
      </c>
      <c r="AJ603">
        <v>0</v>
      </c>
      <c r="AK603">
        <v>175.53</v>
      </c>
      <c r="AN603" t="s">
        <v>4126</v>
      </c>
      <c r="AO603">
        <v>21924</v>
      </c>
      <c r="AU603">
        <v>2.5</v>
      </c>
      <c r="AV603" t="s">
        <v>174</v>
      </c>
      <c r="AW603" t="s">
        <v>4227</v>
      </c>
      <c r="AX603" t="s">
        <v>4266</v>
      </c>
      <c r="AY603" t="s">
        <v>2226</v>
      </c>
      <c r="AZ603" t="s">
        <v>2226</v>
      </c>
    </row>
    <row r="604" spans="1:52">
      <c r="A604" s="1">
        <f>HYPERLINK("https://lsnyc.legalserver.org/matter/dynamic-profile/view/1911749","19-1911749")</f>
        <v>0</v>
      </c>
      <c r="B604" t="s">
        <v>134</v>
      </c>
      <c r="C604" t="s">
        <v>155</v>
      </c>
      <c r="D604" t="s">
        <v>174</v>
      </c>
      <c r="F604" t="s">
        <v>722</v>
      </c>
      <c r="G604" t="s">
        <v>1270</v>
      </c>
      <c r="H604" t="s">
        <v>1841</v>
      </c>
      <c r="I604">
        <v>23</v>
      </c>
      <c r="J604" t="s">
        <v>2196</v>
      </c>
      <c r="K604">
        <v>10032</v>
      </c>
      <c r="L604" t="s">
        <v>2224</v>
      </c>
      <c r="M604" t="s">
        <v>2226</v>
      </c>
      <c r="O604" t="s">
        <v>2534</v>
      </c>
      <c r="P604" t="s">
        <v>2558</v>
      </c>
      <c r="R604" t="s">
        <v>2569</v>
      </c>
      <c r="S604" t="s">
        <v>2225</v>
      </c>
      <c r="U604" t="s">
        <v>2578</v>
      </c>
      <c r="W604" t="s">
        <v>174</v>
      </c>
      <c r="X604">
        <v>1076</v>
      </c>
      <c r="Y604" t="s">
        <v>2607</v>
      </c>
      <c r="Z604" t="s">
        <v>2613</v>
      </c>
      <c r="AB604" t="s">
        <v>3180</v>
      </c>
      <c r="AD604" t="s">
        <v>3941</v>
      </c>
      <c r="AE604">
        <v>28</v>
      </c>
      <c r="AF604" t="s">
        <v>4099</v>
      </c>
      <c r="AG604" t="s">
        <v>2255</v>
      </c>
      <c r="AH604">
        <v>30</v>
      </c>
      <c r="AI604">
        <v>2</v>
      </c>
      <c r="AJ604">
        <v>0</v>
      </c>
      <c r="AK604">
        <v>176.82</v>
      </c>
      <c r="AN604" t="s">
        <v>4126</v>
      </c>
      <c r="AO604">
        <v>29900</v>
      </c>
      <c r="AU604">
        <v>15.25</v>
      </c>
      <c r="AV604" t="s">
        <v>280</v>
      </c>
      <c r="AW604" t="s">
        <v>134</v>
      </c>
      <c r="AX604" t="s">
        <v>4266</v>
      </c>
      <c r="AY604" t="s">
        <v>2224</v>
      </c>
      <c r="AZ604" t="s">
        <v>2224</v>
      </c>
    </row>
    <row r="605" spans="1:52">
      <c r="A605" s="1">
        <f>HYPERLINK("https://lsnyc.legalserver.org/matter/dynamic-profile/view/1910937","19-1910937")</f>
        <v>0</v>
      </c>
      <c r="B605" t="s">
        <v>134</v>
      </c>
      <c r="C605" t="s">
        <v>155</v>
      </c>
      <c r="D605" t="s">
        <v>166</v>
      </c>
      <c r="F605" t="s">
        <v>722</v>
      </c>
      <c r="G605" t="s">
        <v>1270</v>
      </c>
      <c r="H605" t="s">
        <v>1841</v>
      </c>
      <c r="I605">
        <v>23</v>
      </c>
      <c r="J605" t="s">
        <v>2196</v>
      </c>
      <c r="K605">
        <v>10032</v>
      </c>
      <c r="L605" t="s">
        <v>2224</v>
      </c>
      <c r="M605" t="s">
        <v>2226</v>
      </c>
      <c r="P605" t="s">
        <v>2559</v>
      </c>
      <c r="R605" t="s">
        <v>2569</v>
      </c>
      <c r="S605" t="s">
        <v>2225</v>
      </c>
      <c r="U605" t="s">
        <v>2578</v>
      </c>
      <c r="W605" t="s">
        <v>166</v>
      </c>
      <c r="X605">
        <v>1076</v>
      </c>
      <c r="Y605" t="s">
        <v>2607</v>
      </c>
      <c r="Z605" t="s">
        <v>2613</v>
      </c>
      <c r="AB605" t="s">
        <v>3180</v>
      </c>
      <c r="AD605" t="s">
        <v>3941</v>
      </c>
      <c r="AE605">
        <v>28</v>
      </c>
      <c r="AF605" t="s">
        <v>4099</v>
      </c>
      <c r="AG605" t="s">
        <v>2255</v>
      </c>
      <c r="AH605">
        <v>30</v>
      </c>
      <c r="AI605">
        <v>2</v>
      </c>
      <c r="AJ605">
        <v>0</v>
      </c>
      <c r="AK605">
        <v>176.82</v>
      </c>
      <c r="AN605" t="s">
        <v>4126</v>
      </c>
      <c r="AO605">
        <v>29900</v>
      </c>
      <c r="AU605">
        <v>49.4</v>
      </c>
      <c r="AV605" t="s">
        <v>188</v>
      </c>
      <c r="AW605" t="s">
        <v>80</v>
      </c>
      <c r="AX605" t="s">
        <v>4266</v>
      </c>
      <c r="AY605" t="s">
        <v>2224</v>
      </c>
      <c r="AZ605" t="s">
        <v>2224</v>
      </c>
    </row>
    <row r="606" spans="1:52">
      <c r="A606" s="1">
        <f>HYPERLINK("https://lsnyc.legalserver.org/matter/dynamic-profile/view/1905630","19-1905630")</f>
        <v>0</v>
      </c>
      <c r="B606" t="s">
        <v>66</v>
      </c>
      <c r="C606" t="s">
        <v>155</v>
      </c>
      <c r="D606" t="s">
        <v>274</v>
      </c>
      <c r="F606" t="s">
        <v>723</v>
      </c>
      <c r="G606" t="s">
        <v>925</v>
      </c>
      <c r="H606" t="s">
        <v>1525</v>
      </c>
      <c r="I606" t="s">
        <v>2018</v>
      </c>
      <c r="J606" t="s">
        <v>2192</v>
      </c>
      <c r="K606">
        <v>11226</v>
      </c>
      <c r="L606" t="s">
        <v>2224</v>
      </c>
      <c r="M606" t="s">
        <v>2226</v>
      </c>
      <c r="O606" t="s">
        <v>2534</v>
      </c>
      <c r="P606" t="s">
        <v>2558</v>
      </c>
      <c r="R606" t="s">
        <v>2569</v>
      </c>
      <c r="S606" t="s">
        <v>2224</v>
      </c>
      <c r="T606" t="s">
        <v>2571</v>
      </c>
      <c r="U606" t="s">
        <v>2578</v>
      </c>
      <c r="W606" t="s">
        <v>274</v>
      </c>
      <c r="X606">
        <v>1165.29</v>
      </c>
      <c r="Y606" t="s">
        <v>2604</v>
      </c>
      <c r="AB606" t="s">
        <v>3181</v>
      </c>
      <c r="AD606" t="s">
        <v>3942</v>
      </c>
      <c r="AE606">
        <v>0</v>
      </c>
      <c r="AH606">
        <v>19</v>
      </c>
      <c r="AI606">
        <v>2</v>
      </c>
      <c r="AJ606">
        <v>0</v>
      </c>
      <c r="AK606">
        <v>177.41</v>
      </c>
      <c r="AN606" t="s">
        <v>4127</v>
      </c>
      <c r="AO606">
        <v>30000</v>
      </c>
      <c r="AU606">
        <v>0.2</v>
      </c>
      <c r="AV606" t="s">
        <v>164</v>
      </c>
      <c r="AW606" t="s">
        <v>153</v>
      </c>
      <c r="AX606" t="s">
        <v>4266</v>
      </c>
      <c r="AY606" t="s">
        <v>2224</v>
      </c>
      <c r="AZ606" t="s">
        <v>2224</v>
      </c>
    </row>
    <row r="607" spans="1:52">
      <c r="A607" s="1">
        <f>HYPERLINK("https://lsnyc.legalserver.org/matter/dynamic-profile/view/1905330","19-1905330")</f>
        <v>0</v>
      </c>
      <c r="B607" t="s">
        <v>88</v>
      </c>
      <c r="C607" t="s">
        <v>154</v>
      </c>
      <c r="D607" t="s">
        <v>205</v>
      </c>
      <c r="E607" t="s">
        <v>240</v>
      </c>
      <c r="F607" t="s">
        <v>391</v>
      </c>
      <c r="G607" t="s">
        <v>972</v>
      </c>
      <c r="H607" t="s">
        <v>1842</v>
      </c>
      <c r="I607">
        <v>307</v>
      </c>
      <c r="J607" t="s">
        <v>2196</v>
      </c>
      <c r="K607">
        <v>10029</v>
      </c>
      <c r="L607" t="s">
        <v>2224</v>
      </c>
      <c r="M607" t="s">
        <v>2226</v>
      </c>
      <c r="O607" t="s">
        <v>2238</v>
      </c>
      <c r="P607" t="s">
        <v>2556</v>
      </c>
      <c r="Q607" t="s">
        <v>2563</v>
      </c>
      <c r="R607" t="s">
        <v>2569</v>
      </c>
      <c r="S607" t="s">
        <v>2225</v>
      </c>
      <c r="U607" t="s">
        <v>2578</v>
      </c>
      <c r="V607" t="s">
        <v>2588</v>
      </c>
      <c r="W607" t="s">
        <v>205</v>
      </c>
      <c r="X607">
        <v>3682</v>
      </c>
      <c r="Y607" t="s">
        <v>2607</v>
      </c>
      <c r="Z607" t="s">
        <v>2617</v>
      </c>
      <c r="AA607" t="s">
        <v>2626</v>
      </c>
      <c r="AB607" t="s">
        <v>3182</v>
      </c>
      <c r="AD607" t="s">
        <v>3943</v>
      </c>
      <c r="AE607">
        <v>78</v>
      </c>
      <c r="AF607" t="s">
        <v>4099</v>
      </c>
      <c r="AG607" t="s">
        <v>4112</v>
      </c>
      <c r="AH607">
        <v>24</v>
      </c>
      <c r="AI607">
        <v>3</v>
      </c>
      <c r="AJ607">
        <v>0</v>
      </c>
      <c r="AK607">
        <v>177.67</v>
      </c>
      <c r="AN607" t="s">
        <v>4126</v>
      </c>
      <c r="AO607">
        <v>37896</v>
      </c>
      <c r="AU607">
        <v>0.3</v>
      </c>
      <c r="AV607" t="s">
        <v>205</v>
      </c>
      <c r="AW607" t="s">
        <v>4237</v>
      </c>
      <c r="AX607" t="s">
        <v>4266</v>
      </c>
      <c r="AY607" t="s">
        <v>2226</v>
      </c>
      <c r="AZ607" t="s">
        <v>2225</v>
      </c>
    </row>
    <row r="608" spans="1:52">
      <c r="A608" s="1">
        <f>HYPERLINK("https://lsnyc.legalserver.org/matter/dynamic-profile/view/1910169","19-1910169")</f>
        <v>0</v>
      </c>
      <c r="B608" t="s">
        <v>86</v>
      </c>
      <c r="C608" t="s">
        <v>155</v>
      </c>
      <c r="D608" t="s">
        <v>232</v>
      </c>
      <c r="F608" t="s">
        <v>724</v>
      </c>
      <c r="G608" t="s">
        <v>1271</v>
      </c>
      <c r="H608" t="s">
        <v>1843</v>
      </c>
      <c r="J608" t="s">
        <v>2196</v>
      </c>
      <c r="K608">
        <v>10032</v>
      </c>
      <c r="L608" t="s">
        <v>2224</v>
      </c>
      <c r="M608" t="s">
        <v>2226</v>
      </c>
      <c r="P608" t="s">
        <v>2558</v>
      </c>
      <c r="R608" t="s">
        <v>2569</v>
      </c>
      <c r="S608" t="s">
        <v>2224</v>
      </c>
      <c r="U608" t="s">
        <v>2578</v>
      </c>
      <c r="W608" t="s">
        <v>232</v>
      </c>
      <c r="X608">
        <v>1036</v>
      </c>
      <c r="Y608" t="s">
        <v>2607</v>
      </c>
      <c r="Z608" t="s">
        <v>2617</v>
      </c>
      <c r="AB608" t="s">
        <v>3183</v>
      </c>
      <c r="AE608">
        <v>41</v>
      </c>
      <c r="AF608" t="s">
        <v>4099</v>
      </c>
      <c r="AG608" t="s">
        <v>2255</v>
      </c>
      <c r="AH608">
        <v>21</v>
      </c>
      <c r="AI608">
        <v>5</v>
      </c>
      <c r="AJ608">
        <v>0</v>
      </c>
      <c r="AK608">
        <v>178.56</v>
      </c>
      <c r="AN608" t="s">
        <v>4127</v>
      </c>
      <c r="AO608">
        <v>53872</v>
      </c>
      <c r="AU608">
        <v>1</v>
      </c>
      <c r="AV608" t="s">
        <v>232</v>
      </c>
      <c r="AW608" t="s">
        <v>80</v>
      </c>
      <c r="AX608" t="s">
        <v>4266</v>
      </c>
      <c r="AY608" t="s">
        <v>2224</v>
      </c>
      <c r="AZ608" t="s">
        <v>2224</v>
      </c>
    </row>
    <row r="609" spans="1:52">
      <c r="A609" s="1">
        <f>HYPERLINK("https://lsnyc.legalserver.org/matter/dynamic-profile/view/1906036","19-1906036")</f>
        <v>0</v>
      </c>
      <c r="B609" t="s">
        <v>93</v>
      </c>
      <c r="C609" t="s">
        <v>155</v>
      </c>
      <c r="D609" t="s">
        <v>173</v>
      </c>
      <c r="F609" t="s">
        <v>725</v>
      </c>
      <c r="G609" t="s">
        <v>1272</v>
      </c>
      <c r="H609" t="s">
        <v>1844</v>
      </c>
      <c r="J609" t="s">
        <v>2188</v>
      </c>
      <c r="K609">
        <v>11435</v>
      </c>
      <c r="L609" t="s">
        <v>2224</v>
      </c>
      <c r="M609" t="s">
        <v>2226</v>
      </c>
      <c r="N609" t="s">
        <v>2481</v>
      </c>
      <c r="O609" t="s">
        <v>2534</v>
      </c>
      <c r="P609" t="s">
        <v>2558</v>
      </c>
      <c r="R609" t="s">
        <v>2569</v>
      </c>
      <c r="S609" t="s">
        <v>2225</v>
      </c>
      <c r="U609" t="s">
        <v>2578</v>
      </c>
      <c r="V609" t="s">
        <v>2588</v>
      </c>
      <c r="W609" t="s">
        <v>173</v>
      </c>
      <c r="X609">
        <v>2010</v>
      </c>
      <c r="Y609" t="s">
        <v>2603</v>
      </c>
      <c r="Z609" t="s">
        <v>2617</v>
      </c>
      <c r="AB609" t="s">
        <v>3184</v>
      </c>
      <c r="AD609" t="s">
        <v>3944</v>
      </c>
      <c r="AE609">
        <v>2</v>
      </c>
      <c r="AF609" t="s">
        <v>4098</v>
      </c>
      <c r="AG609" t="s">
        <v>2255</v>
      </c>
      <c r="AH609">
        <v>-1</v>
      </c>
      <c r="AI609">
        <v>2</v>
      </c>
      <c r="AJ609">
        <v>3</v>
      </c>
      <c r="AK609">
        <v>178.99</v>
      </c>
      <c r="AN609" t="s">
        <v>4126</v>
      </c>
      <c r="AO609">
        <v>54000</v>
      </c>
      <c r="AU609">
        <v>5.91</v>
      </c>
      <c r="AV609" t="s">
        <v>194</v>
      </c>
      <c r="AW609" t="s">
        <v>93</v>
      </c>
      <c r="AX609" t="s">
        <v>4266</v>
      </c>
      <c r="AY609" t="s">
        <v>2224</v>
      </c>
      <c r="AZ609" t="s">
        <v>2224</v>
      </c>
    </row>
    <row r="610" spans="1:52">
      <c r="A610" s="1">
        <f>HYPERLINK("https://lsnyc.legalserver.org/matter/dynamic-profile/view/1910272","19-1910272")</f>
        <v>0</v>
      </c>
      <c r="B610" t="s">
        <v>93</v>
      </c>
      <c r="C610" t="s">
        <v>155</v>
      </c>
      <c r="D610" t="s">
        <v>281</v>
      </c>
      <c r="F610" t="s">
        <v>725</v>
      </c>
      <c r="G610" t="s">
        <v>1272</v>
      </c>
      <c r="H610" t="s">
        <v>1844</v>
      </c>
      <c r="J610" t="s">
        <v>2188</v>
      </c>
      <c r="K610">
        <v>11435</v>
      </c>
      <c r="L610" t="s">
        <v>2224</v>
      </c>
      <c r="M610" t="s">
        <v>2226</v>
      </c>
      <c r="N610" t="s">
        <v>2482</v>
      </c>
      <c r="O610" t="s">
        <v>2535</v>
      </c>
      <c r="P610" t="s">
        <v>2558</v>
      </c>
      <c r="R610" t="s">
        <v>2569</v>
      </c>
      <c r="S610" t="s">
        <v>2225</v>
      </c>
      <c r="U610" t="s">
        <v>2578</v>
      </c>
      <c r="V610" t="s">
        <v>2588</v>
      </c>
      <c r="W610" t="s">
        <v>281</v>
      </c>
      <c r="X610">
        <v>2010</v>
      </c>
      <c r="Y610" t="s">
        <v>2603</v>
      </c>
      <c r="Z610" t="s">
        <v>2620</v>
      </c>
      <c r="AB610" t="s">
        <v>3184</v>
      </c>
      <c r="AD610" t="s">
        <v>3944</v>
      </c>
      <c r="AE610">
        <v>2</v>
      </c>
      <c r="AF610" t="s">
        <v>4098</v>
      </c>
      <c r="AG610" t="s">
        <v>2255</v>
      </c>
      <c r="AH610">
        <v>-1</v>
      </c>
      <c r="AI610">
        <v>2</v>
      </c>
      <c r="AJ610">
        <v>3</v>
      </c>
      <c r="AK610">
        <v>178.99</v>
      </c>
      <c r="AN610" t="s">
        <v>4126</v>
      </c>
      <c r="AO610">
        <v>54000</v>
      </c>
      <c r="AU610">
        <v>2.45</v>
      </c>
      <c r="AV610" t="s">
        <v>157</v>
      </c>
      <c r="AW610" t="s">
        <v>93</v>
      </c>
      <c r="AX610" t="s">
        <v>4266</v>
      </c>
      <c r="AY610" t="s">
        <v>2224</v>
      </c>
      <c r="AZ610" t="s">
        <v>2224</v>
      </c>
    </row>
    <row r="611" spans="1:52">
      <c r="A611" s="1">
        <f>HYPERLINK("https://lsnyc.legalserver.org/matter/dynamic-profile/view/1910406","19-1910406")</f>
        <v>0</v>
      </c>
      <c r="B611" t="s">
        <v>75</v>
      </c>
      <c r="C611" t="s">
        <v>155</v>
      </c>
      <c r="D611" t="s">
        <v>178</v>
      </c>
      <c r="F611" t="s">
        <v>393</v>
      </c>
      <c r="G611" t="s">
        <v>938</v>
      </c>
      <c r="H611" t="s">
        <v>1492</v>
      </c>
      <c r="J611" t="s">
        <v>2196</v>
      </c>
      <c r="K611">
        <v>10033</v>
      </c>
      <c r="L611" t="s">
        <v>2224</v>
      </c>
      <c r="M611" t="s">
        <v>2226</v>
      </c>
      <c r="O611" t="s">
        <v>2541</v>
      </c>
      <c r="P611" t="s">
        <v>2561</v>
      </c>
      <c r="R611" t="s">
        <v>2569</v>
      </c>
      <c r="S611" t="s">
        <v>2225</v>
      </c>
      <c r="U611" t="s">
        <v>2578</v>
      </c>
      <c r="W611" t="s">
        <v>178</v>
      </c>
      <c r="X611">
        <v>811.77</v>
      </c>
      <c r="Y611" t="s">
        <v>2607</v>
      </c>
      <c r="Z611" t="s">
        <v>2613</v>
      </c>
      <c r="AB611" t="s">
        <v>2736</v>
      </c>
      <c r="AD611" t="s">
        <v>3534</v>
      </c>
      <c r="AE611">
        <v>24</v>
      </c>
      <c r="AF611" t="s">
        <v>4099</v>
      </c>
      <c r="AG611" t="s">
        <v>4116</v>
      </c>
      <c r="AH611">
        <v>45</v>
      </c>
      <c r="AI611">
        <v>2</v>
      </c>
      <c r="AJ611">
        <v>0</v>
      </c>
      <c r="AK611">
        <v>179.82</v>
      </c>
      <c r="AN611" t="s">
        <v>4127</v>
      </c>
      <c r="AO611">
        <v>30408</v>
      </c>
      <c r="AU611">
        <v>1.9</v>
      </c>
      <c r="AV611" t="s">
        <v>218</v>
      </c>
      <c r="AW611" t="s">
        <v>80</v>
      </c>
      <c r="AX611" t="s">
        <v>4266</v>
      </c>
      <c r="AY611" t="s">
        <v>2224</v>
      </c>
      <c r="AZ611" t="s">
        <v>2224</v>
      </c>
    </row>
    <row r="612" spans="1:52">
      <c r="A612" s="1">
        <f>HYPERLINK("https://lsnyc.legalserver.org/matter/dynamic-profile/view/1912884","19-1912884")</f>
        <v>0</v>
      </c>
      <c r="B612" t="s">
        <v>70</v>
      </c>
      <c r="C612" t="s">
        <v>154</v>
      </c>
      <c r="D612" t="s">
        <v>204</v>
      </c>
      <c r="E612" t="s">
        <v>188</v>
      </c>
      <c r="F612" t="s">
        <v>726</v>
      </c>
      <c r="G612" t="s">
        <v>972</v>
      </c>
      <c r="H612" t="s">
        <v>1845</v>
      </c>
      <c r="I612" t="s">
        <v>2146</v>
      </c>
      <c r="J612" t="s">
        <v>2194</v>
      </c>
      <c r="K612">
        <v>10452</v>
      </c>
      <c r="L612" t="s">
        <v>2224</v>
      </c>
      <c r="M612" t="s">
        <v>2226</v>
      </c>
      <c r="O612" t="s">
        <v>2537</v>
      </c>
      <c r="P612" t="s">
        <v>2561</v>
      </c>
      <c r="Q612" t="s">
        <v>2566</v>
      </c>
      <c r="R612" t="s">
        <v>2569</v>
      </c>
      <c r="S612" t="s">
        <v>2225</v>
      </c>
      <c r="U612" t="s">
        <v>2578</v>
      </c>
      <c r="W612" t="s">
        <v>204</v>
      </c>
      <c r="X612">
        <v>895.65</v>
      </c>
      <c r="Y612" t="s">
        <v>2605</v>
      </c>
      <c r="Z612" t="s">
        <v>2614</v>
      </c>
      <c r="AA612" t="s">
        <v>2630</v>
      </c>
      <c r="AB612" t="s">
        <v>3185</v>
      </c>
      <c r="AD612" t="s">
        <v>3945</v>
      </c>
      <c r="AE612">
        <v>61</v>
      </c>
      <c r="AF612" t="s">
        <v>4099</v>
      </c>
      <c r="AG612" t="s">
        <v>2255</v>
      </c>
      <c r="AH612">
        <v>30</v>
      </c>
      <c r="AI612">
        <v>1</v>
      </c>
      <c r="AJ612">
        <v>0</v>
      </c>
      <c r="AK612">
        <v>180.05</v>
      </c>
      <c r="AN612" t="s">
        <v>4127</v>
      </c>
      <c r="AO612">
        <v>22488</v>
      </c>
      <c r="AU612">
        <v>1.7</v>
      </c>
      <c r="AV612" t="s">
        <v>188</v>
      </c>
      <c r="AW612" t="s">
        <v>70</v>
      </c>
      <c r="AX612" t="s">
        <v>4266</v>
      </c>
      <c r="AY612" t="s">
        <v>2224</v>
      </c>
      <c r="AZ612" t="s">
        <v>2224</v>
      </c>
    </row>
    <row r="613" spans="1:52">
      <c r="A613" s="1">
        <f>HYPERLINK("https://lsnyc.legalserver.org/matter/dynamic-profile/view/1913025","19-1913025")</f>
        <v>0</v>
      </c>
      <c r="B613" t="s">
        <v>70</v>
      </c>
      <c r="C613" t="s">
        <v>154</v>
      </c>
      <c r="D613" t="s">
        <v>241</v>
      </c>
      <c r="E613" t="s">
        <v>188</v>
      </c>
      <c r="F613" t="s">
        <v>726</v>
      </c>
      <c r="G613" t="s">
        <v>972</v>
      </c>
      <c r="H613" t="s">
        <v>1845</v>
      </c>
      <c r="I613" t="s">
        <v>2146</v>
      </c>
      <c r="J613" t="s">
        <v>2194</v>
      </c>
      <c r="K613">
        <v>10452</v>
      </c>
      <c r="L613" t="s">
        <v>2224</v>
      </c>
      <c r="M613" t="s">
        <v>2226</v>
      </c>
      <c r="O613" t="s">
        <v>2541</v>
      </c>
      <c r="P613" t="s">
        <v>2561</v>
      </c>
      <c r="Q613" t="s">
        <v>2566</v>
      </c>
      <c r="R613" t="s">
        <v>2569</v>
      </c>
      <c r="S613" t="s">
        <v>2225</v>
      </c>
      <c r="U613" t="s">
        <v>2578</v>
      </c>
      <c r="W613" t="s">
        <v>218</v>
      </c>
      <c r="X613">
        <v>895.65</v>
      </c>
      <c r="Y613" t="s">
        <v>2605</v>
      </c>
      <c r="Z613" t="s">
        <v>2614</v>
      </c>
      <c r="AA613" t="s">
        <v>2630</v>
      </c>
      <c r="AB613" t="s">
        <v>3185</v>
      </c>
      <c r="AD613" t="s">
        <v>3945</v>
      </c>
      <c r="AE613">
        <v>61</v>
      </c>
      <c r="AF613" t="s">
        <v>4099</v>
      </c>
      <c r="AG613" t="s">
        <v>2255</v>
      </c>
      <c r="AH613">
        <v>30</v>
      </c>
      <c r="AI613">
        <v>1</v>
      </c>
      <c r="AJ613">
        <v>0</v>
      </c>
      <c r="AK613">
        <v>180.05</v>
      </c>
      <c r="AN613" t="s">
        <v>4127</v>
      </c>
      <c r="AO613">
        <v>22488</v>
      </c>
      <c r="AU613">
        <v>1.8</v>
      </c>
      <c r="AV613" t="s">
        <v>188</v>
      </c>
      <c r="AW613" t="s">
        <v>70</v>
      </c>
      <c r="AX613" t="s">
        <v>4266</v>
      </c>
      <c r="AY613" t="s">
        <v>2224</v>
      </c>
      <c r="AZ613" t="s">
        <v>2224</v>
      </c>
    </row>
    <row r="614" spans="1:52">
      <c r="A614" s="1">
        <f>HYPERLINK("https://lsnyc.legalserver.org/matter/dynamic-profile/view/1910350","19-1910350")</f>
        <v>0</v>
      </c>
      <c r="B614" t="s">
        <v>83</v>
      </c>
      <c r="C614" t="s">
        <v>155</v>
      </c>
      <c r="D614" t="s">
        <v>229</v>
      </c>
      <c r="F614" t="s">
        <v>727</v>
      </c>
      <c r="G614" t="s">
        <v>606</v>
      </c>
      <c r="H614" t="s">
        <v>1528</v>
      </c>
      <c r="I614" t="s">
        <v>2010</v>
      </c>
      <c r="J614" t="s">
        <v>2192</v>
      </c>
      <c r="K614">
        <v>11212</v>
      </c>
      <c r="L614" t="s">
        <v>2224</v>
      </c>
      <c r="M614" t="s">
        <v>2226</v>
      </c>
      <c r="N614" t="s">
        <v>2228</v>
      </c>
      <c r="O614" t="s">
        <v>2539</v>
      </c>
      <c r="P614" t="s">
        <v>2561</v>
      </c>
      <c r="R614" t="s">
        <v>2569</v>
      </c>
      <c r="S614" t="s">
        <v>2224</v>
      </c>
      <c r="U614" t="s">
        <v>2578</v>
      </c>
      <c r="V614" t="s">
        <v>2588</v>
      </c>
      <c r="W614" t="s">
        <v>176</v>
      </c>
      <c r="X614">
        <v>1400</v>
      </c>
      <c r="Y614" t="s">
        <v>2604</v>
      </c>
      <c r="Z614" t="s">
        <v>2613</v>
      </c>
      <c r="AB614" t="s">
        <v>3186</v>
      </c>
      <c r="AC614" t="s">
        <v>2255</v>
      </c>
      <c r="AD614" t="s">
        <v>3946</v>
      </c>
      <c r="AE614">
        <v>4</v>
      </c>
      <c r="AF614" t="s">
        <v>4099</v>
      </c>
      <c r="AG614" t="s">
        <v>2255</v>
      </c>
      <c r="AH614">
        <v>4</v>
      </c>
      <c r="AI614">
        <v>1</v>
      </c>
      <c r="AJ614">
        <v>0</v>
      </c>
      <c r="AK614">
        <v>181.49</v>
      </c>
      <c r="AN614" t="s">
        <v>4126</v>
      </c>
      <c r="AO614">
        <v>22668</v>
      </c>
      <c r="AU614">
        <v>0.1</v>
      </c>
      <c r="AV614" t="s">
        <v>179</v>
      </c>
      <c r="AW614" t="s">
        <v>4226</v>
      </c>
      <c r="AX614" t="s">
        <v>4266</v>
      </c>
      <c r="AY614" t="s">
        <v>2224</v>
      </c>
      <c r="AZ614" t="s">
        <v>2224</v>
      </c>
    </row>
    <row r="615" spans="1:52">
      <c r="A615" s="1">
        <f>HYPERLINK("https://lsnyc.legalserver.org/matter/dynamic-profile/view/1900422","19-1900422")</f>
        <v>0</v>
      </c>
      <c r="B615" t="s">
        <v>111</v>
      </c>
      <c r="C615" t="s">
        <v>155</v>
      </c>
      <c r="D615" t="s">
        <v>282</v>
      </c>
      <c r="F615" t="s">
        <v>622</v>
      </c>
      <c r="G615" t="s">
        <v>1273</v>
      </c>
      <c r="H615" t="s">
        <v>1846</v>
      </c>
      <c r="J615" t="s">
        <v>2196</v>
      </c>
      <c r="K615">
        <v>10031</v>
      </c>
      <c r="L615" t="s">
        <v>2224</v>
      </c>
      <c r="M615" t="s">
        <v>2226</v>
      </c>
      <c r="N615" t="s">
        <v>2483</v>
      </c>
      <c r="O615" t="s">
        <v>2535</v>
      </c>
      <c r="P615" t="s">
        <v>2558</v>
      </c>
      <c r="R615" t="s">
        <v>2569</v>
      </c>
      <c r="S615" t="s">
        <v>2225</v>
      </c>
      <c r="U615" t="s">
        <v>2578</v>
      </c>
      <c r="W615" t="s">
        <v>2594</v>
      </c>
      <c r="X615">
        <v>818.59</v>
      </c>
      <c r="Y615" t="s">
        <v>2607</v>
      </c>
      <c r="Z615" t="s">
        <v>2618</v>
      </c>
      <c r="AB615" t="s">
        <v>3187</v>
      </c>
      <c r="AD615" t="s">
        <v>3947</v>
      </c>
      <c r="AE615">
        <v>46</v>
      </c>
      <c r="AF615" t="s">
        <v>4099</v>
      </c>
      <c r="AH615">
        <v>40</v>
      </c>
      <c r="AI615">
        <v>1</v>
      </c>
      <c r="AJ615">
        <v>0</v>
      </c>
      <c r="AK615">
        <v>181.68</v>
      </c>
      <c r="AN615" t="s">
        <v>4126</v>
      </c>
      <c r="AO615">
        <v>22692</v>
      </c>
      <c r="AU615">
        <v>8.050000000000001</v>
      </c>
      <c r="AV615" t="s">
        <v>175</v>
      </c>
      <c r="AW615" t="s">
        <v>4265</v>
      </c>
      <c r="AX615" t="s">
        <v>4266</v>
      </c>
      <c r="AY615" t="s">
        <v>2226</v>
      </c>
      <c r="AZ615" t="s">
        <v>2226</v>
      </c>
    </row>
    <row r="616" spans="1:52">
      <c r="A616" s="1">
        <f>HYPERLINK("https://lsnyc.legalserver.org/matter/dynamic-profile/view/1888046","19-1888046")</f>
        <v>0</v>
      </c>
      <c r="B616" t="s">
        <v>65</v>
      </c>
      <c r="C616" t="s">
        <v>154</v>
      </c>
      <c r="D616" t="s">
        <v>283</v>
      </c>
      <c r="E616" t="s">
        <v>194</v>
      </c>
      <c r="F616" t="s">
        <v>728</v>
      </c>
      <c r="G616" t="s">
        <v>1274</v>
      </c>
      <c r="H616" t="s">
        <v>1847</v>
      </c>
      <c r="I616">
        <v>401</v>
      </c>
      <c r="J616" t="s">
        <v>2192</v>
      </c>
      <c r="K616">
        <v>11201</v>
      </c>
      <c r="L616" t="s">
        <v>2224</v>
      </c>
      <c r="M616" t="s">
        <v>2226</v>
      </c>
      <c r="N616" t="s">
        <v>2238</v>
      </c>
      <c r="O616" t="s">
        <v>2238</v>
      </c>
      <c r="P616" t="s">
        <v>2561</v>
      </c>
      <c r="Q616" t="s">
        <v>2566</v>
      </c>
      <c r="R616" t="s">
        <v>2569</v>
      </c>
      <c r="S616" t="s">
        <v>2225</v>
      </c>
      <c r="T616" t="s">
        <v>2576</v>
      </c>
      <c r="U616" t="s">
        <v>2578</v>
      </c>
      <c r="W616" t="s">
        <v>254</v>
      </c>
      <c r="X616">
        <v>1096</v>
      </c>
      <c r="Y616" t="s">
        <v>2604</v>
      </c>
      <c r="Z616" t="s">
        <v>2620</v>
      </c>
      <c r="AA616" t="s">
        <v>2629</v>
      </c>
      <c r="AB616" t="s">
        <v>3188</v>
      </c>
      <c r="AD616" t="s">
        <v>3948</v>
      </c>
      <c r="AE616">
        <v>156</v>
      </c>
      <c r="AF616" t="s">
        <v>2518</v>
      </c>
      <c r="AG616" t="s">
        <v>2255</v>
      </c>
      <c r="AH616">
        <v>11</v>
      </c>
      <c r="AI616">
        <v>2</v>
      </c>
      <c r="AJ616">
        <v>0</v>
      </c>
      <c r="AK616">
        <v>182.26</v>
      </c>
      <c r="AN616" t="s">
        <v>4126</v>
      </c>
      <c r="AO616">
        <v>30000</v>
      </c>
      <c r="AU616">
        <v>2</v>
      </c>
      <c r="AV616" t="s">
        <v>267</v>
      </c>
      <c r="AW616" t="s">
        <v>4239</v>
      </c>
      <c r="AX616" t="s">
        <v>4266</v>
      </c>
      <c r="AY616" t="s">
        <v>2224</v>
      </c>
      <c r="AZ616" t="s">
        <v>2224</v>
      </c>
    </row>
    <row r="617" spans="1:52">
      <c r="A617" s="1">
        <f>HYPERLINK("https://lsnyc.legalserver.org/matter/dynamic-profile/view/1904033","19-1904033")</f>
        <v>0</v>
      </c>
      <c r="B617" t="s">
        <v>65</v>
      </c>
      <c r="C617" t="s">
        <v>155</v>
      </c>
      <c r="D617" t="s">
        <v>160</v>
      </c>
      <c r="F617" t="s">
        <v>729</v>
      </c>
      <c r="G617" t="s">
        <v>1275</v>
      </c>
      <c r="H617" t="s">
        <v>1848</v>
      </c>
      <c r="I617" t="s">
        <v>2000</v>
      </c>
      <c r="J617" t="s">
        <v>2192</v>
      </c>
      <c r="K617">
        <v>11233</v>
      </c>
      <c r="L617" t="s">
        <v>2224</v>
      </c>
      <c r="M617" t="s">
        <v>2226</v>
      </c>
      <c r="N617" t="s">
        <v>2484</v>
      </c>
      <c r="O617" t="s">
        <v>2535</v>
      </c>
      <c r="P617" t="s">
        <v>2558</v>
      </c>
      <c r="R617" t="s">
        <v>2569</v>
      </c>
      <c r="S617" t="s">
        <v>2225</v>
      </c>
      <c r="U617" t="s">
        <v>2578</v>
      </c>
      <c r="V617" t="s">
        <v>2588</v>
      </c>
      <c r="W617" t="s">
        <v>274</v>
      </c>
      <c r="X617">
        <v>900</v>
      </c>
      <c r="Y617" t="s">
        <v>2604</v>
      </c>
      <c r="Z617" t="s">
        <v>2618</v>
      </c>
      <c r="AB617" t="s">
        <v>3189</v>
      </c>
      <c r="AC617" t="s">
        <v>2244</v>
      </c>
      <c r="AD617" t="s">
        <v>3949</v>
      </c>
      <c r="AE617">
        <v>97</v>
      </c>
      <c r="AF617" t="s">
        <v>4104</v>
      </c>
      <c r="AG617" t="s">
        <v>4114</v>
      </c>
      <c r="AH617">
        <v>7</v>
      </c>
      <c r="AI617">
        <v>3</v>
      </c>
      <c r="AJ617">
        <v>0</v>
      </c>
      <c r="AK617">
        <v>182.33</v>
      </c>
      <c r="AN617" t="s">
        <v>4126</v>
      </c>
      <c r="AO617">
        <v>38892</v>
      </c>
      <c r="AU617">
        <v>13.6</v>
      </c>
      <c r="AV617" t="s">
        <v>197</v>
      </c>
      <c r="AW617" t="s">
        <v>4226</v>
      </c>
      <c r="AX617" t="s">
        <v>4266</v>
      </c>
      <c r="AY617" t="s">
        <v>2224</v>
      </c>
      <c r="AZ617" t="s">
        <v>2224</v>
      </c>
    </row>
    <row r="618" spans="1:52">
      <c r="A618" s="1">
        <f>HYPERLINK("https://lsnyc.legalserver.org/matter/dynamic-profile/view/1906517","19-1906517")</f>
        <v>0</v>
      </c>
      <c r="B618" t="s">
        <v>55</v>
      </c>
      <c r="C618" t="s">
        <v>155</v>
      </c>
      <c r="D618" t="s">
        <v>244</v>
      </c>
      <c r="F618" t="s">
        <v>730</v>
      </c>
      <c r="G618" t="s">
        <v>1276</v>
      </c>
      <c r="H618" t="s">
        <v>1849</v>
      </c>
      <c r="I618" t="s">
        <v>2147</v>
      </c>
      <c r="J618" t="s">
        <v>2202</v>
      </c>
      <c r="K618">
        <v>11101</v>
      </c>
      <c r="L618" t="s">
        <v>2224</v>
      </c>
      <c r="M618" t="s">
        <v>2226</v>
      </c>
      <c r="N618" t="s">
        <v>2485</v>
      </c>
      <c r="O618" t="s">
        <v>2535</v>
      </c>
      <c r="P618" t="s">
        <v>2558</v>
      </c>
      <c r="R618" t="s">
        <v>2569</v>
      </c>
      <c r="S618" t="s">
        <v>2224</v>
      </c>
      <c r="U618" t="s">
        <v>2578</v>
      </c>
      <c r="V618" t="s">
        <v>2591</v>
      </c>
      <c r="W618" t="s">
        <v>244</v>
      </c>
      <c r="X618">
        <v>1558</v>
      </c>
      <c r="Y618" t="s">
        <v>2603</v>
      </c>
      <c r="Z618" t="s">
        <v>2608</v>
      </c>
      <c r="AB618" t="s">
        <v>3190</v>
      </c>
      <c r="AC618" t="s">
        <v>3453</v>
      </c>
      <c r="AD618" t="s">
        <v>3950</v>
      </c>
      <c r="AE618">
        <v>900</v>
      </c>
      <c r="AF618" t="s">
        <v>4099</v>
      </c>
      <c r="AG618" t="s">
        <v>4115</v>
      </c>
      <c r="AH618">
        <v>1</v>
      </c>
      <c r="AI618">
        <v>1</v>
      </c>
      <c r="AJ618">
        <v>0</v>
      </c>
      <c r="AK618">
        <v>182.55</v>
      </c>
      <c r="AN618" t="s">
        <v>4126</v>
      </c>
      <c r="AO618">
        <v>22800</v>
      </c>
      <c r="AR618" t="s">
        <v>2611</v>
      </c>
      <c r="AS618" t="s">
        <v>4188</v>
      </c>
      <c r="AT618" t="s">
        <v>4193</v>
      </c>
      <c r="AU618">
        <v>7.07</v>
      </c>
      <c r="AV618" t="s">
        <v>200</v>
      </c>
      <c r="AW618" t="s">
        <v>4223</v>
      </c>
      <c r="AX618" t="s">
        <v>4266</v>
      </c>
      <c r="AY618" t="s">
        <v>2224</v>
      </c>
      <c r="AZ618" t="s">
        <v>2224</v>
      </c>
    </row>
    <row r="619" spans="1:52">
      <c r="A619" s="1">
        <f>HYPERLINK("https://lsnyc.legalserver.org/matter/dynamic-profile/view/1910509","19-1910509")</f>
        <v>0</v>
      </c>
      <c r="B619" t="s">
        <v>66</v>
      </c>
      <c r="C619" t="s">
        <v>155</v>
      </c>
      <c r="D619" t="s">
        <v>178</v>
      </c>
      <c r="F619" t="s">
        <v>731</v>
      </c>
      <c r="G619" t="s">
        <v>1277</v>
      </c>
      <c r="H619" t="s">
        <v>1850</v>
      </c>
      <c r="I619">
        <v>26</v>
      </c>
      <c r="J619" t="s">
        <v>2192</v>
      </c>
      <c r="K619">
        <v>11215</v>
      </c>
      <c r="L619" t="s">
        <v>2224</v>
      </c>
      <c r="M619" t="s">
        <v>2226</v>
      </c>
      <c r="P619" t="s">
        <v>2561</v>
      </c>
      <c r="R619" t="s">
        <v>2569</v>
      </c>
      <c r="S619" t="s">
        <v>2225</v>
      </c>
      <c r="U619" t="s">
        <v>2578</v>
      </c>
      <c r="V619" t="s">
        <v>2588</v>
      </c>
      <c r="W619" t="s">
        <v>178</v>
      </c>
      <c r="X619">
        <v>1380.54</v>
      </c>
      <c r="Y619" t="s">
        <v>2604</v>
      </c>
      <c r="Z619" t="s">
        <v>2608</v>
      </c>
      <c r="AB619" t="s">
        <v>3191</v>
      </c>
      <c r="AD619" t="s">
        <v>3951</v>
      </c>
      <c r="AE619">
        <v>26</v>
      </c>
      <c r="AF619" t="s">
        <v>4099</v>
      </c>
      <c r="AG619" t="s">
        <v>2255</v>
      </c>
      <c r="AH619">
        <v>7</v>
      </c>
      <c r="AI619">
        <v>1</v>
      </c>
      <c r="AJ619">
        <v>2</v>
      </c>
      <c r="AK619">
        <v>182.84</v>
      </c>
      <c r="AN619" t="s">
        <v>4126</v>
      </c>
      <c r="AO619">
        <v>39000</v>
      </c>
      <c r="AU619">
        <v>4.6</v>
      </c>
      <c r="AV619" t="s">
        <v>188</v>
      </c>
      <c r="AW619" t="s">
        <v>66</v>
      </c>
      <c r="AY619" t="s">
        <v>2226</v>
      </c>
      <c r="AZ619" t="s">
        <v>2226</v>
      </c>
    </row>
    <row r="620" spans="1:52">
      <c r="A620" s="1">
        <f>HYPERLINK("https://lsnyc.legalserver.org/matter/dynamic-profile/view/1910219","19-1910219")</f>
        <v>0</v>
      </c>
      <c r="B620" t="s">
        <v>73</v>
      </c>
      <c r="C620" t="s">
        <v>155</v>
      </c>
      <c r="D620" t="s">
        <v>178</v>
      </c>
      <c r="F620" t="s">
        <v>504</v>
      </c>
      <c r="G620" t="s">
        <v>987</v>
      </c>
      <c r="H620" t="s">
        <v>1851</v>
      </c>
      <c r="J620" t="s">
        <v>2195</v>
      </c>
      <c r="K620">
        <v>10304</v>
      </c>
      <c r="L620" t="s">
        <v>2224</v>
      </c>
      <c r="M620" t="s">
        <v>2226</v>
      </c>
      <c r="N620" t="s">
        <v>2486</v>
      </c>
      <c r="O620" t="s">
        <v>2535</v>
      </c>
      <c r="P620" t="s">
        <v>2558</v>
      </c>
      <c r="R620" t="s">
        <v>2569</v>
      </c>
      <c r="S620" t="s">
        <v>2225</v>
      </c>
      <c r="U620" t="s">
        <v>2578</v>
      </c>
      <c r="W620" t="s">
        <v>178</v>
      </c>
      <c r="X620">
        <v>1700</v>
      </c>
      <c r="Y620" t="s">
        <v>2606</v>
      </c>
      <c r="Z620" t="s">
        <v>2624</v>
      </c>
      <c r="AB620" t="s">
        <v>3192</v>
      </c>
      <c r="AD620" t="s">
        <v>3952</v>
      </c>
      <c r="AE620">
        <v>2</v>
      </c>
      <c r="AF620" t="s">
        <v>4098</v>
      </c>
      <c r="AG620" t="s">
        <v>2255</v>
      </c>
      <c r="AH620">
        <v>3</v>
      </c>
      <c r="AI620">
        <v>2</v>
      </c>
      <c r="AJ620">
        <v>0</v>
      </c>
      <c r="AK620">
        <v>183.44</v>
      </c>
      <c r="AN620" t="s">
        <v>4126</v>
      </c>
      <c r="AO620">
        <v>31020</v>
      </c>
      <c r="AU620">
        <v>9.6</v>
      </c>
      <c r="AV620" t="s">
        <v>218</v>
      </c>
      <c r="AW620" t="s">
        <v>4230</v>
      </c>
      <c r="AX620" t="s">
        <v>4266</v>
      </c>
      <c r="AY620" t="s">
        <v>2224</v>
      </c>
      <c r="AZ620" t="s">
        <v>2224</v>
      </c>
    </row>
    <row r="621" spans="1:52">
      <c r="A621" s="1">
        <f>HYPERLINK("https://lsnyc.legalserver.org/matter/dynamic-profile/view/1910195","19-1910195")</f>
        <v>0</v>
      </c>
      <c r="B621" t="s">
        <v>124</v>
      </c>
      <c r="C621" t="s">
        <v>155</v>
      </c>
      <c r="D621" t="s">
        <v>232</v>
      </c>
      <c r="F621" t="s">
        <v>732</v>
      </c>
      <c r="G621" t="s">
        <v>1278</v>
      </c>
      <c r="H621" t="s">
        <v>1852</v>
      </c>
      <c r="I621" t="s">
        <v>2148</v>
      </c>
      <c r="J621" t="s">
        <v>2192</v>
      </c>
      <c r="K621">
        <v>11223</v>
      </c>
      <c r="L621" t="s">
        <v>2224</v>
      </c>
      <c r="M621" t="s">
        <v>2226</v>
      </c>
      <c r="O621" t="s">
        <v>2539</v>
      </c>
      <c r="P621" t="s">
        <v>2557</v>
      </c>
      <c r="R621" t="s">
        <v>2569</v>
      </c>
      <c r="U621" t="s">
        <v>2578</v>
      </c>
      <c r="W621" t="s">
        <v>211</v>
      </c>
      <c r="X621">
        <v>0</v>
      </c>
      <c r="Y621" t="s">
        <v>2604</v>
      </c>
      <c r="AB621" t="s">
        <v>3193</v>
      </c>
      <c r="AE621">
        <v>0</v>
      </c>
      <c r="AH621">
        <v>0</v>
      </c>
      <c r="AI621">
        <v>1</v>
      </c>
      <c r="AJ621">
        <v>0</v>
      </c>
      <c r="AK621">
        <v>184.15</v>
      </c>
      <c r="AN621" t="s">
        <v>4132</v>
      </c>
      <c r="AO621">
        <v>23000</v>
      </c>
      <c r="AU621">
        <v>7.7</v>
      </c>
      <c r="AV621" t="s">
        <v>241</v>
      </c>
      <c r="AW621" t="s">
        <v>124</v>
      </c>
      <c r="AY621" t="s">
        <v>2224</v>
      </c>
      <c r="AZ621" t="s">
        <v>2224</v>
      </c>
    </row>
    <row r="622" spans="1:52">
      <c r="A622" s="1">
        <f>HYPERLINK("https://lsnyc.legalserver.org/matter/dynamic-profile/view/1907496","19-1907496")</f>
        <v>0</v>
      </c>
      <c r="B622" t="s">
        <v>60</v>
      </c>
      <c r="C622" t="s">
        <v>155</v>
      </c>
      <c r="D622" t="s">
        <v>162</v>
      </c>
      <c r="F622" t="s">
        <v>733</v>
      </c>
      <c r="G622" t="s">
        <v>1279</v>
      </c>
      <c r="H622" t="s">
        <v>1853</v>
      </c>
      <c r="I622" t="s">
        <v>2035</v>
      </c>
      <c r="J622" t="s">
        <v>2192</v>
      </c>
      <c r="K622">
        <v>11212</v>
      </c>
      <c r="L622" t="s">
        <v>2224</v>
      </c>
      <c r="M622" t="s">
        <v>2226</v>
      </c>
      <c r="N622" t="s">
        <v>2487</v>
      </c>
      <c r="O622" t="s">
        <v>2535</v>
      </c>
      <c r="P622" t="s">
        <v>2558</v>
      </c>
      <c r="R622" t="s">
        <v>2569</v>
      </c>
      <c r="S622" t="s">
        <v>2225</v>
      </c>
      <c r="U622" t="s">
        <v>2578</v>
      </c>
      <c r="V622" t="s">
        <v>2588</v>
      </c>
      <c r="W622" t="s">
        <v>235</v>
      </c>
      <c r="X622">
        <v>800.29</v>
      </c>
      <c r="Y622" t="s">
        <v>2604</v>
      </c>
      <c r="Z622" t="s">
        <v>2613</v>
      </c>
      <c r="AB622" t="s">
        <v>3194</v>
      </c>
      <c r="AD622" t="s">
        <v>3953</v>
      </c>
      <c r="AE622">
        <v>48</v>
      </c>
      <c r="AF622" t="s">
        <v>4099</v>
      </c>
      <c r="AG622" t="s">
        <v>2255</v>
      </c>
      <c r="AH622">
        <v>47</v>
      </c>
      <c r="AI622">
        <v>1</v>
      </c>
      <c r="AJ622">
        <v>0</v>
      </c>
      <c r="AK622">
        <v>184.15</v>
      </c>
      <c r="AN622" t="s">
        <v>4126</v>
      </c>
      <c r="AO622">
        <v>23000</v>
      </c>
      <c r="AU622">
        <v>6.5</v>
      </c>
      <c r="AV622" t="s">
        <v>168</v>
      </c>
      <c r="AW622" t="s">
        <v>127</v>
      </c>
      <c r="AX622" t="s">
        <v>4266</v>
      </c>
      <c r="AY622" t="s">
        <v>2226</v>
      </c>
      <c r="AZ622" t="s">
        <v>2226</v>
      </c>
    </row>
    <row r="623" spans="1:52">
      <c r="A623" s="1">
        <f>HYPERLINK("https://lsnyc.legalserver.org/matter/dynamic-profile/view/1912044","19-1912044")</f>
        <v>0</v>
      </c>
      <c r="B623" t="s">
        <v>87</v>
      </c>
      <c r="C623" t="s">
        <v>155</v>
      </c>
      <c r="D623" t="s">
        <v>261</v>
      </c>
      <c r="F623" t="s">
        <v>734</v>
      </c>
      <c r="G623" t="s">
        <v>1280</v>
      </c>
      <c r="H623" t="s">
        <v>1442</v>
      </c>
      <c r="I623" t="s">
        <v>2149</v>
      </c>
      <c r="J623" t="s">
        <v>2196</v>
      </c>
      <c r="K623">
        <v>10037</v>
      </c>
      <c r="L623" t="s">
        <v>2224</v>
      </c>
      <c r="M623" t="s">
        <v>2226</v>
      </c>
      <c r="O623" t="s">
        <v>2238</v>
      </c>
      <c r="P623" t="s">
        <v>2561</v>
      </c>
      <c r="R623" t="s">
        <v>2569</v>
      </c>
      <c r="S623" t="s">
        <v>2225</v>
      </c>
      <c r="U623" t="s">
        <v>2578</v>
      </c>
      <c r="V623" t="s">
        <v>2588</v>
      </c>
      <c r="W623" t="s">
        <v>261</v>
      </c>
      <c r="X623">
        <v>787.5700000000001</v>
      </c>
      <c r="Y623" t="s">
        <v>2607</v>
      </c>
      <c r="Z623" t="s">
        <v>2609</v>
      </c>
      <c r="AB623" t="s">
        <v>3195</v>
      </c>
      <c r="AD623" t="s">
        <v>3954</v>
      </c>
      <c r="AE623">
        <v>1000</v>
      </c>
      <c r="AF623" t="s">
        <v>4099</v>
      </c>
      <c r="AG623" t="s">
        <v>2255</v>
      </c>
      <c r="AH623">
        <v>19</v>
      </c>
      <c r="AI623">
        <v>1</v>
      </c>
      <c r="AJ623">
        <v>0</v>
      </c>
      <c r="AK623">
        <v>184.15</v>
      </c>
      <c r="AO623">
        <v>23000</v>
      </c>
      <c r="AU623">
        <v>0</v>
      </c>
      <c r="AW623" t="s">
        <v>4237</v>
      </c>
      <c r="AX623" t="s">
        <v>4266</v>
      </c>
      <c r="AY623" t="s">
        <v>2224</v>
      </c>
      <c r="AZ623" t="s">
        <v>2224</v>
      </c>
    </row>
    <row r="624" spans="1:52">
      <c r="A624" s="1">
        <f>HYPERLINK("https://lsnyc.legalserver.org/matter/dynamic-profile/view/1906984","19-1906984")</f>
        <v>0</v>
      </c>
      <c r="B624" t="s">
        <v>70</v>
      </c>
      <c r="C624" t="s">
        <v>154</v>
      </c>
      <c r="D624" t="s">
        <v>181</v>
      </c>
      <c r="E624" t="s">
        <v>247</v>
      </c>
      <c r="F624" t="s">
        <v>300</v>
      </c>
      <c r="G624" t="s">
        <v>562</v>
      </c>
      <c r="H624" t="s">
        <v>1854</v>
      </c>
      <c r="I624" t="s">
        <v>2150</v>
      </c>
      <c r="J624" t="s">
        <v>2194</v>
      </c>
      <c r="K624">
        <v>10475</v>
      </c>
      <c r="L624" t="s">
        <v>2224</v>
      </c>
      <c r="M624" t="s">
        <v>2226</v>
      </c>
      <c r="O624" t="s">
        <v>2541</v>
      </c>
      <c r="P624" t="s">
        <v>2561</v>
      </c>
      <c r="Q624" t="s">
        <v>2566</v>
      </c>
      <c r="R624" t="s">
        <v>2569</v>
      </c>
      <c r="S624" t="s">
        <v>2225</v>
      </c>
      <c r="U624" t="s">
        <v>2578</v>
      </c>
      <c r="W624" t="s">
        <v>183</v>
      </c>
      <c r="X624">
        <v>801.79</v>
      </c>
      <c r="Y624" t="s">
        <v>2605</v>
      </c>
      <c r="Z624" t="s">
        <v>2614</v>
      </c>
      <c r="AA624" t="s">
        <v>2630</v>
      </c>
      <c r="AB624" t="s">
        <v>3196</v>
      </c>
      <c r="AD624" t="s">
        <v>3955</v>
      </c>
      <c r="AE624">
        <v>10914</v>
      </c>
      <c r="AF624" t="s">
        <v>4101</v>
      </c>
      <c r="AG624" t="s">
        <v>2255</v>
      </c>
      <c r="AH624">
        <v>5</v>
      </c>
      <c r="AI624">
        <v>1</v>
      </c>
      <c r="AJ624">
        <v>0</v>
      </c>
      <c r="AK624">
        <v>186.87</v>
      </c>
      <c r="AN624" t="s">
        <v>4126</v>
      </c>
      <c r="AO624">
        <v>23340</v>
      </c>
      <c r="AU624">
        <v>1.4</v>
      </c>
      <c r="AV624" t="s">
        <v>247</v>
      </c>
      <c r="AW624" t="s">
        <v>70</v>
      </c>
      <c r="AX624" t="s">
        <v>4266</v>
      </c>
      <c r="AY624" t="s">
        <v>2224</v>
      </c>
      <c r="AZ624" t="s">
        <v>2224</v>
      </c>
    </row>
    <row r="625" spans="1:52">
      <c r="A625" s="1">
        <f>HYPERLINK("https://lsnyc.legalserver.org/matter/dynamic-profile/view/1906449","19-1906449")</f>
        <v>0</v>
      </c>
      <c r="B625" t="s">
        <v>60</v>
      </c>
      <c r="C625" t="s">
        <v>155</v>
      </c>
      <c r="D625" t="s">
        <v>191</v>
      </c>
      <c r="F625" t="s">
        <v>735</v>
      </c>
      <c r="G625" t="s">
        <v>1281</v>
      </c>
      <c r="H625" t="s">
        <v>1855</v>
      </c>
      <c r="I625" t="s">
        <v>2015</v>
      </c>
      <c r="J625" t="s">
        <v>2192</v>
      </c>
      <c r="K625">
        <v>11239</v>
      </c>
      <c r="L625" t="s">
        <v>2224</v>
      </c>
      <c r="M625" t="s">
        <v>2226</v>
      </c>
      <c r="N625" t="s">
        <v>2488</v>
      </c>
      <c r="O625" t="s">
        <v>2535</v>
      </c>
      <c r="P625" t="s">
        <v>2558</v>
      </c>
      <c r="R625" t="s">
        <v>2569</v>
      </c>
      <c r="S625" t="s">
        <v>2225</v>
      </c>
      <c r="U625" t="s">
        <v>2578</v>
      </c>
      <c r="V625" t="s">
        <v>2588</v>
      </c>
      <c r="W625" t="s">
        <v>181</v>
      </c>
      <c r="X625">
        <v>1205</v>
      </c>
      <c r="Y625" t="s">
        <v>2604</v>
      </c>
      <c r="Z625" t="s">
        <v>2619</v>
      </c>
      <c r="AB625" t="s">
        <v>3197</v>
      </c>
      <c r="AC625" t="s">
        <v>2244</v>
      </c>
      <c r="AD625" t="s">
        <v>3956</v>
      </c>
      <c r="AE625">
        <v>80</v>
      </c>
      <c r="AF625" t="s">
        <v>4099</v>
      </c>
      <c r="AG625" t="s">
        <v>4114</v>
      </c>
      <c r="AH625">
        <v>9</v>
      </c>
      <c r="AI625">
        <v>1</v>
      </c>
      <c r="AJ625">
        <v>0</v>
      </c>
      <c r="AK625">
        <v>187.35</v>
      </c>
      <c r="AN625" t="s">
        <v>4126</v>
      </c>
      <c r="AO625">
        <v>23400</v>
      </c>
      <c r="AU625">
        <v>11.3</v>
      </c>
      <c r="AV625" t="s">
        <v>218</v>
      </c>
      <c r="AW625" t="s">
        <v>4232</v>
      </c>
      <c r="AX625" t="s">
        <v>4266</v>
      </c>
      <c r="AY625" t="s">
        <v>2224</v>
      </c>
      <c r="AZ625" t="s">
        <v>2224</v>
      </c>
    </row>
    <row r="626" spans="1:52">
      <c r="A626" s="1">
        <f>HYPERLINK("https://lsnyc.legalserver.org/matter/dynamic-profile/view/1910082","19-1910082")</f>
        <v>0</v>
      </c>
      <c r="B626" t="s">
        <v>70</v>
      </c>
      <c r="C626" t="s">
        <v>154</v>
      </c>
      <c r="D626" t="s">
        <v>211</v>
      </c>
      <c r="E626" t="s">
        <v>179</v>
      </c>
      <c r="F626" t="s">
        <v>702</v>
      </c>
      <c r="G626" t="s">
        <v>1282</v>
      </c>
      <c r="H626" t="s">
        <v>1856</v>
      </c>
      <c r="I626" t="s">
        <v>1951</v>
      </c>
      <c r="J626" t="s">
        <v>2194</v>
      </c>
      <c r="K626">
        <v>10452</v>
      </c>
      <c r="L626" t="s">
        <v>2224</v>
      </c>
      <c r="M626" t="s">
        <v>2226</v>
      </c>
      <c r="O626" t="s">
        <v>2238</v>
      </c>
      <c r="P626" t="s">
        <v>2556</v>
      </c>
      <c r="Q626" t="s">
        <v>2563</v>
      </c>
      <c r="R626" t="s">
        <v>2569</v>
      </c>
      <c r="S626" t="s">
        <v>2225</v>
      </c>
      <c r="U626" t="s">
        <v>2578</v>
      </c>
      <c r="W626" t="s">
        <v>214</v>
      </c>
      <c r="X626">
        <v>1350</v>
      </c>
      <c r="Y626" t="s">
        <v>2605</v>
      </c>
      <c r="Z626" t="s">
        <v>2614</v>
      </c>
      <c r="AA626" t="s">
        <v>2626</v>
      </c>
      <c r="AB626" t="s">
        <v>3198</v>
      </c>
      <c r="AD626" t="s">
        <v>3957</v>
      </c>
      <c r="AE626">
        <v>67</v>
      </c>
      <c r="AF626" t="s">
        <v>4099</v>
      </c>
      <c r="AG626" t="s">
        <v>2255</v>
      </c>
      <c r="AH626">
        <v>3</v>
      </c>
      <c r="AI626">
        <v>1</v>
      </c>
      <c r="AJ626">
        <v>0</v>
      </c>
      <c r="AK626">
        <v>187.35</v>
      </c>
      <c r="AN626" t="s">
        <v>4126</v>
      </c>
      <c r="AO626">
        <v>23400</v>
      </c>
      <c r="AU626">
        <v>1.5</v>
      </c>
      <c r="AV626" t="s">
        <v>179</v>
      </c>
      <c r="AW626" t="s">
        <v>70</v>
      </c>
      <c r="AX626" t="s">
        <v>4266</v>
      </c>
      <c r="AY626" t="s">
        <v>2226</v>
      </c>
      <c r="AZ626" t="s">
        <v>2225</v>
      </c>
    </row>
    <row r="627" spans="1:52">
      <c r="A627" s="1">
        <f>HYPERLINK("https://lsnyc.legalserver.org/matter/dynamic-profile/view/1908507","19-1908507")</f>
        <v>0</v>
      </c>
      <c r="B627" t="s">
        <v>93</v>
      </c>
      <c r="C627" t="s">
        <v>155</v>
      </c>
      <c r="D627" t="s">
        <v>240</v>
      </c>
      <c r="F627" t="s">
        <v>736</v>
      </c>
      <c r="G627" t="s">
        <v>1283</v>
      </c>
      <c r="H627" t="s">
        <v>1857</v>
      </c>
      <c r="I627" t="s">
        <v>2048</v>
      </c>
      <c r="J627" t="s">
        <v>2199</v>
      </c>
      <c r="K627">
        <v>11354</v>
      </c>
      <c r="L627" t="s">
        <v>2224</v>
      </c>
      <c r="M627" t="s">
        <v>2226</v>
      </c>
      <c r="N627" t="s">
        <v>2489</v>
      </c>
      <c r="O627" t="s">
        <v>2535</v>
      </c>
      <c r="P627" t="s">
        <v>2556</v>
      </c>
      <c r="R627" t="s">
        <v>2569</v>
      </c>
      <c r="S627" t="s">
        <v>2225</v>
      </c>
      <c r="U627" t="s">
        <v>2578</v>
      </c>
      <c r="V627" t="s">
        <v>2588</v>
      </c>
      <c r="W627" t="s">
        <v>240</v>
      </c>
      <c r="X627">
        <v>1550</v>
      </c>
      <c r="Y627" t="s">
        <v>2603</v>
      </c>
      <c r="Z627" t="s">
        <v>2608</v>
      </c>
      <c r="AB627" t="s">
        <v>3199</v>
      </c>
      <c r="AD627" t="s">
        <v>3958</v>
      </c>
      <c r="AE627">
        <v>24</v>
      </c>
      <c r="AF627" t="s">
        <v>2518</v>
      </c>
      <c r="AG627" t="s">
        <v>2255</v>
      </c>
      <c r="AH627">
        <v>4</v>
      </c>
      <c r="AI627">
        <v>1</v>
      </c>
      <c r="AJ627">
        <v>2</v>
      </c>
      <c r="AK627">
        <v>187.53</v>
      </c>
      <c r="AN627" t="s">
        <v>4126</v>
      </c>
      <c r="AO627">
        <v>40000</v>
      </c>
      <c r="AU627">
        <v>1.35</v>
      </c>
      <c r="AV627" t="s">
        <v>242</v>
      </c>
      <c r="AW627" t="s">
        <v>4224</v>
      </c>
      <c r="AX627" t="s">
        <v>4266</v>
      </c>
      <c r="AY627" t="s">
        <v>2226</v>
      </c>
      <c r="AZ627" t="s">
        <v>2226</v>
      </c>
    </row>
    <row r="628" spans="1:52">
      <c r="A628" s="1">
        <f>HYPERLINK("https://lsnyc.legalserver.org/matter/dynamic-profile/view/1910645","19-1910645")</f>
        <v>0</v>
      </c>
      <c r="B628" t="s">
        <v>88</v>
      </c>
      <c r="C628" t="s">
        <v>155</v>
      </c>
      <c r="D628" t="s">
        <v>156</v>
      </c>
      <c r="F628" t="s">
        <v>737</v>
      </c>
      <c r="G628" t="s">
        <v>907</v>
      </c>
      <c r="H628" t="s">
        <v>1731</v>
      </c>
      <c r="I628" t="s">
        <v>2075</v>
      </c>
      <c r="J628" t="s">
        <v>2196</v>
      </c>
      <c r="K628">
        <v>10035</v>
      </c>
      <c r="L628" t="s">
        <v>2224</v>
      </c>
      <c r="M628" t="s">
        <v>2226</v>
      </c>
      <c r="O628" t="s">
        <v>2537</v>
      </c>
      <c r="P628" t="s">
        <v>2557</v>
      </c>
      <c r="R628" t="s">
        <v>2569</v>
      </c>
      <c r="S628" t="s">
        <v>2224</v>
      </c>
      <c r="U628" t="s">
        <v>2578</v>
      </c>
      <c r="V628" t="s">
        <v>2590</v>
      </c>
      <c r="W628" t="s">
        <v>268</v>
      </c>
      <c r="X628">
        <v>1461</v>
      </c>
      <c r="Y628" t="s">
        <v>2607</v>
      </c>
      <c r="Z628" t="s">
        <v>2609</v>
      </c>
      <c r="AB628" t="s">
        <v>3200</v>
      </c>
      <c r="AD628" t="s">
        <v>3959</v>
      </c>
      <c r="AE628">
        <v>60</v>
      </c>
      <c r="AF628" t="s">
        <v>4099</v>
      </c>
      <c r="AG628" t="s">
        <v>4112</v>
      </c>
      <c r="AH628">
        <v>15</v>
      </c>
      <c r="AI628">
        <v>2</v>
      </c>
      <c r="AJ628">
        <v>1</v>
      </c>
      <c r="AK628">
        <v>187.53</v>
      </c>
      <c r="AN628" t="s">
        <v>4126</v>
      </c>
      <c r="AO628">
        <v>40000</v>
      </c>
      <c r="AU628">
        <v>0.2</v>
      </c>
      <c r="AV628" t="s">
        <v>156</v>
      </c>
      <c r="AW628" t="s">
        <v>4237</v>
      </c>
      <c r="AX628" t="s">
        <v>4266</v>
      </c>
      <c r="AY628" t="s">
        <v>2224</v>
      </c>
      <c r="AZ628" t="s">
        <v>2224</v>
      </c>
    </row>
    <row r="629" spans="1:52">
      <c r="A629" s="1">
        <f>HYPERLINK("https://lsnyc.legalserver.org/matter/dynamic-profile/view/1910642","19-1910642")</f>
        <v>0</v>
      </c>
      <c r="B629" t="s">
        <v>88</v>
      </c>
      <c r="C629" t="s">
        <v>155</v>
      </c>
      <c r="D629" t="s">
        <v>156</v>
      </c>
      <c r="F629" t="s">
        <v>737</v>
      </c>
      <c r="G629" t="s">
        <v>907</v>
      </c>
      <c r="H629" t="s">
        <v>1731</v>
      </c>
      <c r="I629" t="s">
        <v>2075</v>
      </c>
      <c r="J629" t="s">
        <v>2196</v>
      </c>
      <c r="K629">
        <v>10035</v>
      </c>
      <c r="L629" t="s">
        <v>2224</v>
      </c>
      <c r="M629" t="s">
        <v>2226</v>
      </c>
      <c r="O629" t="s">
        <v>2238</v>
      </c>
      <c r="P629" t="s">
        <v>2557</v>
      </c>
      <c r="R629" t="s">
        <v>2569</v>
      </c>
      <c r="S629" t="s">
        <v>2224</v>
      </c>
      <c r="U629" t="s">
        <v>2578</v>
      </c>
      <c r="V629" t="s">
        <v>2588</v>
      </c>
      <c r="W629" t="s">
        <v>268</v>
      </c>
      <c r="X629">
        <v>1461</v>
      </c>
      <c r="Y629" t="s">
        <v>2607</v>
      </c>
      <c r="Z629" t="s">
        <v>2609</v>
      </c>
      <c r="AB629" t="s">
        <v>3200</v>
      </c>
      <c r="AD629" t="s">
        <v>3959</v>
      </c>
      <c r="AE629">
        <v>60</v>
      </c>
      <c r="AF629" t="s">
        <v>4099</v>
      </c>
      <c r="AG629" t="s">
        <v>4112</v>
      </c>
      <c r="AH629">
        <v>15</v>
      </c>
      <c r="AI629">
        <v>2</v>
      </c>
      <c r="AJ629">
        <v>1</v>
      </c>
      <c r="AK629">
        <v>187.53</v>
      </c>
      <c r="AN629" t="s">
        <v>4126</v>
      </c>
      <c r="AO629">
        <v>40000</v>
      </c>
      <c r="AU629">
        <v>0.2</v>
      </c>
      <c r="AV629" t="s">
        <v>156</v>
      </c>
      <c r="AW629" t="s">
        <v>4237</v>
      </c>
      <c r="AX629" t="s">
        <v>4266</v>
      </c>
      <c r="AY629" t="s">
        <v>2224</v>
      </c>
      <c r="AZ629" t="s">
        <v>2224</v>
      </c>
    </row>
    <row r="630" spans="1:52">
      <c r="A630" s="1">
        <f>HYPERLINK("https://lsnyc.legalserver.org/matter/dynamic-profile/view/1911557","19-1911557")</f>
        <v>0</v>
      </c>
      <c r="B630" t="s">
        <v>104</v>
      </c>
      <c r="C630" t="s">
        <v>155</v>
      </c>
      <c r="D630" t="s">
        <v>179</v>
      </c>
      <c r="F630" t="s">
        <v>738</v>
      </c>
      <c r="G630" t="s">
        <v>1284</v>
      </c>
      <c r="H630" t="s">
        <v>1550</v>
      </c>
      <c r="I630" t="s">
        <v>2040</v>
      </c>
      <c r="J630" t="s">
        <v>2196</v>
      </c>
      <c r="K630">
        <v>10040</v>
      </c>
      <c r="L630" t="s">
        <v>2224</v>
      </c>
      <c r="M630" t="s">
        <v>2226</v>
      </c>
      <c r="O630" t="s">
        <v>2546</v>
      </c>
      <c r="P630" t="s">
        <v>2558</v>
      </c>
      <c r="R630" t="s">
        <v>2569</v>
      </c>
      <c r="S630" t="s">
        <v>2224</v>
      </c>
      <c r="U630" t="s">
        <v>2578</v>
      </c>
      <c r="W630" t="s">
        <v>179</v>
      </c>
      <c r="X630">
        <v>700</v>
      </c>
      <c r="Y630" t="s">
        <v>2607</v>
      </c>
      <c r="Z630" t="s">
        <v>2617</v>
      </c>
      <c r="AB630" t="s">
        <v>3201</v>
      </c>
      <c r="AD630" t="s">
        <v>3960</v>
      </c>
      <c r="AE630">
        <v>44</v>
      </c>
      <c r="AF630" t="s">
        <v>4099</v>
      </c>
      <c r="AG630" t="s">
        <v>2255</v>
      </c>
      <c r="AH630">
        <v>47</v>
      </c>
      <c r="AI630">
        <v>1</v>
      </c>
      <c r="AJ630">
        <v>0</v>
      </c>
      <c r="AK630">
        <v>187.64</v>
      </c>
      <c r="AN630" t="s">
        <v>4127</v>
      </c>
      <c r="AO630">
        <v>23436</v>
      </c>
      <c r="AU630">
        <v>0.1</v>
      </c>
      <c r="AV630" t="s">
        <v>197</v>
      </c>
      <c r="AW630" t="s">
        <v>80</v>
      </c>
      <c r="AX630" t="s">
        <v>4266</v>
      </c>
      <c r="AY630" t="s">
        <v>2226</v>
      </c>
      <c r="AZ630" t="s">
        <v>2226</v>
      </c>
    </row>
    <row r="631" spans="1:52">
      <c r="A631" s="1">
        <f>HYPERLINK("https://lsnyc.legalserver.org/matter/dynamic-profile/view/1913174","19-1913174")</f>
        <v>0</v>
      </c>
      <c r="B631" t="s">
        <v>90</v>
      </c>
      <c r="C631" t="s">
        <v>155</v>
      </c>
      <c r="D631" t="s">
        <v>163</v>
      </c>
      <c r="F631" t="s">
        <v>738</v>
      </c>
      <c r="G631" t="s">
        <v>1284</v>
      </c>
      <c r="H631" t="s">
        <v>1550</v>
      </c>
      <c r="I631" t="s">
        <v>2040</v>
      </c>
      <c r="J631" t="s">
        <v>2196</v>
      </c>
      <c r="K631">
        <v>10040</v>
      </c>
      <c r="L631" t="s">
        <v>2224</v>
      </c>
      <c r="M631" t="s">
        <v>2226</v>
      </c>
      <c r="O631" t="s">
        <v>2534</v>
      </c>
      <c r="P631" t="s">
        <v>2558</v>
      </c>
      <c r="R631" t="s">
        <v>2569</v>
      </c>
      <c r="S631" t="s">
        <v>2224</v>
      </c>
      <c r="U631" t="s">
        <v>2578</v>
      </c>
      <c r="W631" t="s">
        <v>163</v>
      </c>
      <c r="X631">
        <v>700</v>
      </c>
      <c r="Y631" t="s">
        <v>2607</v>
      </c>
      <c r="Z631" t="s">
        <v>2613</v>
      </c>
      <c r="AB631" t="s">
        <v>3201</v>
      </c>
      <c r="AD631" t="s">
        <v>3960</v>
      </c>
      <c r="AE631">
        <v>44</v>
      </c>
      <c r="AF631" t="s">
        <v>4099</v>
      </c>
      <c r="AG631" t="s">
        <v>2255</v>
      </c>
      <c r="AH631">
        <v>47</v>
      </c>
      <c r="AI631">
        <v>1</v>
      </c>
      <c r="AJ631">
        <v>0</v>
      </c>
      <c r="AK631">
        <v>187.64</v>
      </c>
      <c r="AN631" t="s">
        <v>4127</v>
      </c>
      <c r="AO631">
        <v>23436</v>
      </c>
      <c r="AU631">
        <v>0</v>
      </c>
      <c r="AW631" t="s">
        <v>80</v>
      </c>
      <c r="AX631" t="s">
        <v>4266</v>
      </c>
      <c r="AY631" t="s">
        <v>2226</v>
      </c>
      <c r="AZ631" t="s">
        <v>2226</v>
      </c>
    </row>
    <row r="632" spans="1:52">
      <c r="A632" s="1">
        <f>HYPERLINK("https://lsnyc.legalserver.org/matter/dynamic-profile/view/1904977","19-1904977")</f>
        <v>0</v>
      </c>
      <c r="B632" t="s">
        <v>84</v>
      </c>
      <c r="C632" t="s">
        <v>155</v>
      </c>
      <c r="D632" t="s">
        <v>210</v>
      </c>
      <c r="F632" t="s">
        <v>739</v>
      </c>
      <c r="G632" t="s">
        <v>1285</v>
      </c>
      <c r="H632" t="s">
        <v>1516</v>
      </c>
      <c r="I632" t="s">
        <v>2018</v>
      </c>
      <c r="J632" t="s">
        <v>2194</v>
      </c>
      <c r="K632">
        <v>10453</v>
      </c>
      <c r="L632" t="s">
        <v>2224</v>
      </c>
      <c r="M632" t="s">
        <v>2226</v>
      </c>
      <c r="N632" t="s">
        <v>2292</v>
      </c>
      <c r="O632" t="s">
        <v>2537</v>
      </c>
      <c r="P632" t="s">
        <v>2560</v>
      </c>
      <c r="R632" t="s">
        <v>2569</v>
      </c>
      <c r="S632" t="s">
        <v>2224</v>
      </c>
      <c r="U632" t="s">
        <v>2578</v>
      </c>
      <c r="W632" t="s">
        <v>2597</v>
      </c>
      <c r="X632">
        <v>1140</v>
      </c>
      <c r="Y632" t="s">
        <v>2605</v>
      </c>
      <c r="Z632" t="s">
        <v>2614</v>
      </c>
      <c r="AB632" t="s">
        <v>3202</v>
      </c>
      <c r="AD632" t="s">
        <v>3961</v>
      </c>
      <c r="AE632">
        <v>170</v>
      </c>
      <c r="AF632" t="s">
        <v>4099</v>
      </c>
      <c r="AG632" t="s">
        <v>2255</v>
      </c>
      <c r="AH632">
        <v>6</v>
      </c>
      <c r="AI632">
        <v>1</v>
      </c>
      <c r="AJ632">
        <v>1</v>
      </c>
      <c r="AK632">
        <v>187.89</v>
      </c>
      <c r="AN632" t="s">
        <v>4127</v>
      </c>
      <c r="AO632">
        <v>31772</v>
      </c>
      <c r="AU632">
        <v>0</v>
      </c>
      <c r="AW632" t="s">
        <v>4248</v>
      </c>
      <c r="AX632" t="s">
        <v>4266</v>
      </c>
      <c r="AY632" t="s">
        <v>2224</v>
      </c>
      <c r="AZ632" t="s">
        <v>2224</v>
      </c>
    </row>
    <row r="633" spans="1:52">
      <c r="A633" s="1">
        <f>HYPERLINK("https://lsnyc.legalserver.org/matter/dynamic-profile/view/1908595","19-1908595")</f>
        <v>0</v>
      </c>
      <c r="B633" t="s">
        <v>65</v>
      </c>
      <c r="C633" t="s">
        <v>154</v>
      </c>
      <c r="D633" t="s">
        <v>216</v>
      </c>
      <c r="E633" t="s">
        <v>222</v>
      </c>
      <c r="F633" t="s">
        <v>729</v>
      </c>
      <c r="G633" t="s">
        <v>966</v>
      </c>
      <c r="H633" t="s">
        <v>1858</v>
      </c>
      <c r="J633" t="s">
        <v>2192</v>
      </c>
      <c r="K633">
        <v>11209</v>
      </c>
      <c r="L633" t="s">
        <v>2224</v>
      </c>
      <c r="M633" t="s">
        <v>2226</v>
      </c>
      <c r="N633" t="s">
        <v>2244</v>
      </c>
      <c r="O633" t="s">
        <v>2534</v>
      </c>
      <c r="P633" t="s">
        <v>2556</v>
      </c>
      <c r="Q633" t="s">
        <v>2563</v>
      </c>
      <c r="R633" t="s">
        <v>2569</v>
      </c>
      <c r="S633" t="s">
        <v>2225</v>
      </c>
      <c r="U633" t="s">
        <v>2578</v>
      </c>
      <c r="V633" t="s">
        <v>2588</v>
      </c>
      <c r="W633" t="s">
        <v>186</v>
      </c>
      <c r="X633">
        <v>3000</v>
      </c>
      <c r="Y633" t="s">
        <v>2604</v>
      </c>
      <c r="Z633" t="s">
        <v>2619</v>
      </c>
      <c r="AA633" t="s">
        <v>2626</v>
      </c>
      <c r="AB633" t="s">
        <v>3203</v>
      </c>
      <c r="AC633" t="s">
        <v>2244</v>
      </c>
      <c r="AD633" t="s">
        <v>3962</v>
      </c>
      <c r="AE633">
        <v>1</v>
      </c>
      <c r="AF633" t="s">
        <v>2518</v>
      </c>
      <c r="AG633" t="s">
        <v>2255</v>
      </c>
      <c r="AH633">
        <v>2</v>
      </c>
      <c r="AI633">
        <v>2</v>
      </c>
      <c r="AJ633">
        <v>1</v>
      </c>
      <c r="AK633">
        <v>188.99</v>
      </c>
      <c r="AN633" t="s">
        <v>4126</v>
      </c>
      <c r="AO633">
        <v>40312</v>
      </c>
      <c r="AU633">
        <v>2.1</v>
      </c>
      <c r="AV633" t="s">
        <v>186</v>
      </c>
      <c r="AW633" t="s">
        <v>4229</v>
      </c>
      <c r="AX633" t="s">
        <v>4266</v>
      </c>
      <c r="AY633" t="s">
        <v>2224</v>
      </c>
      <c r="AZ633" t="s">
        <v>2224</v>
      </c>
    </row>
    <row r="634" spans="1:52">
      <c r="A634" s="1">
        <f>HYPERLINK("https://lsnyc.legalserver.org/matter/dynamic-profile/view/1909245","19-1909245")</f>
        <v>0</v>
      </c>
      <c r="B634" t="s">
        <v>113</v>
      </c>
      <c r="C634" t="s">
        <v>155</v>
      </c>
      <c r="D634" t="s">
        <v>186</v>
      </c>
      <c r="F634" t="s">
        <v>740</v>
      </c>
      <c r="G634" t="s">
        <v>1286</v>
      </c>
      <c r="H634" t="s">
        <v>1798</v>
      </c>
      <c r="I634" t="s">
        <v>1984</v>
      </c>
      <c r="J634" t="s">
        <v>2192</v>
      </c>
      <c r="K634">
        <v>11219</v>
      </c>
      <c r="L634" t="s">
        <v>2224</v>
      </c>
      <c r="M634" t="s">
        <v>2226</v>
      </c>
      <c r="P634" t="s">
        <v>2558</v>
      </c>
      <c r="R634" t="s">
        <v>2569</v>
      </c>
      <c r="S634" t="s">
        <v>2225</v>
      </c>
      <c r="U634" t="s">
        <v>2578</v>
      </c>
      <c r="W634" t="s">
        <v>186</v>
      </c>
      <c r="X634">
        <v>1737.44</v>
      </c>
      <c r="Y634" t="s">
        <v>2604</v>
      </c>
      <c r="AB634" t="s">
        <v>3204</v>
      </c>
      <c r="AD634" t="s">
        <v>3963</v>
      </c>
      <c r="AE634">
        <v>20</v>
      </c>
      <c r="AH634">
        <v>8</v>
      </c>
      <c r="AI634">
        <v>2</v>
      </c>
      <c r="AJ634">
        <v>1</v>
      </c>
      <c r="AK634">
        <v>191.84</v>
      </c>
      <c r="AN634" t="s">
        <v>4126</v>
      </c>
      <c r="AO634">
        <v>40920</v>
      </c>
      <c r="AU634">
        <v>0</v>
      </c>
      <c r="AW634" t="s">
        <v>153</v>
      </c>
      <c r="AX634" t="s">
        <v>4266</v>
      </c>
      <c r="AY634" t="s">
        <v>2224</v>
      </c>
      <c r="AZ634" t="s">
        <v>2224</v>
      </c>
    </row>
    <row r="635" spans="1:52">
      <c r="A635" s="1">
        <f>HYPERLINK("https://lsnyc.legalserver.org/matter/dynamic-profile/view/1908549","19-1908549")</f>
        <v>0</v>
      </c>
      <c r="B635" t="s">
        <v>56</v>
      </c>
      <c r="C635" t="s">
        <v>155</v>
      </c>
      <c r="D635" t="s">
        <v>240</v>
      </c>
      <c r="F635" t="s">
        <v>605</v>
      </c>
      <c r="G635" t="s">
        <v>1287</v>
      </c>
      <c r="H635" t="s">
        <v>1859</v>
      </c>
      <c r="I635">
        <v>4</v>
      </c>
      <c r="J635" t="s">
        <v>2193</v>
      </c>
      <c r="K635">
        <v>11103</v>
      </c>
      <c r="L635" t="s">
        <v>2224</v>
      </c>
      <c r="M635" t="s">
        <v>2226</v>
      </c>
      <c r="O635" t="s">
        <v>2536</v>
      </c>
      <c r="P635" t="s">
        <v>2561</v>
      </c>
      <c r="R635" t="s">
        <v>2569</v>
      </c>
      <c r="S635" t="s">
        <v>2225</v>
      </c>
      <c r="U635" t="s">
        <v>2578</v>
      </c>
      <c r="V635" t="s">
        <v>2588</v>
      </c>
      <c r="W635" t="s">
        <v>281</v>
      </c>
      <c r="X635">
        <v>630</v>
      </c>
      <c r="Y635" t="s">
        <v>2603</v>
      </c>
      <c r="Z635" t="s">
        <v>2625</v>
      </c>
      <c r="AB635" t="s">
        <v>3205</v>
      </c>
      <c r="AD635" t="s">
        <v>3964</v>
      </c>
      <c r="AE635">
        <v>25</v>
      </c>
      <c r="AF635" t="s">
        <v>4099</v>
      </c>
      <c r="AG635" t="s">
        <v>2611</v>
      </c>
      <c r="AH635">
        <v>50</v>
      </c>
      <c r="AI635">
        <v>1</v>
      </c>
      <c r="AJ635">
        <v>0</v>
      </c>
      <c r="AK635">
        <v>192.15</v>
      </c>
      <c r="AN635" t="s">
        <v>4126</v>
      </c>
      <c r="AO635">
        <v>24000</v>
      </c>
      <c r="AU635">
        <v>1.95</v>
      </c>
      <c r="AV635" t="s">
        <v>241</v>
      </c>
      <c r="AW635" t="s">
        <v>4227</v>
      </c>
      <c r="AX635" t="s">
        <v>4266</v>
      </c>
      <c r="AY635" t="s">
        <v>2224</v>
      </c>
      <c r="AZ635" t="s">
        <v>2224</v>
      </c>
    </row>
    <row r="636" spans="1:52">
      <c r="A636" s="1">
        <f>HYPERLINK("https://lsnyc.legalserver.org/matter/dynamic-profile/view/1909504","19-1909504")</f>
        <v>0</v>
      </c>
      <c r="B636" t="s">
        <v>86</v>
      </c>
      <c r="C636" t="s">
        <v>155</v>
      </c>
      <c r="D636" t="s">
        <v>161</v>
      </c>
      <c r="F636" t="s">
        <v>741</v>
      </c>
      <c r="G636" t="s">
        <v>1288</v>
      </c>
      <c r="H636" t="s">
        <v>1574</v>
      </c>
      <c r="I636" t="s">
        <v>2068</v>
      </c>
      <c r="J636" t="s">
        <v>2196</v>
      </c>
      <c r="K636">
        <v>10040</v>
      </c>
      <c r="L636" t="s">
        <v>2224</v>
      </c>
      <c r="M636" t="s">
        <v>2226</v>
      </c>
      <c r="O636" t="s">
        <v>2534</v>
      </c>
      <c r="P636" t="s">
        <v>2559</v>
      </c>
      <c r="R636" t="s">
        <v>2569</v>
      </c>
      <c r="S636" t="s">
        <v>2224</v>
      </c>
      <c r="U636" t="s">
        <v>2578</v>
      </c>
      <c r="W636" t="s">
        <v>161</v>
      </c>
      <c r="X636">
        <v>0</v>
      </c>
      <c r="Y636" t="s">
        <v>2607</v>
      </c>
      <c r="Z636" t="s">
        <v>2617</v>
      </c>
      <c r="AB636" t="s">
        <v>3206</v>
      </c>
      <c r="AD636" t="s">
        <v>3965</v>
      </c>
      <c r="AE636">
        <v>77</v>
      </c>
      <c r="AF636" t="s">
        <v>4099</v>
      </c>
      <c r="AG636" t="s">
        <v>4115</v>
      </c>
      <c r="AH636">
        <v>4</v>
      </c>
      <c r="AI636">
        <v>1</v>
      </c>
      <c r="AJ636">
        <v>0</v>
      </c>
      <c r="AK636">
        <v>192.15</v>
      </c>
      <c r="AN636" t="s">
        <v>4126</v>
      </c>
      <c r="AO636">
        <v>24000</v>
      </c>
      <c r="AU636">
        <v>12.1</v>
      </c>
      <c r="AV636" t="s">
        <v>241</v>
      </c>
      <c r="AW636" t="s">
        <v>80</v>
      </c>
      <c r="AX636" t="s">
        <v>4266</v>
      </c>
      <c r="AY636" t="s">
        <v>2226</v>
      </c>
      <c r="AZ636" t="s">
        <v>2226</v>
      </c>
    </row>
    <row r="637" spans="1:52">
      <c r="A637" s="1">
        <f>HYPERLINK("https://lsnyc.legalserver.org/matter/dynamic-profile/view/1904895","19-1904895")</f>
        <v>0</v>
      </c>
      <c r="B637" t="s">
        <v>98</v>
      </c>
      <c r="C637" t="s">
        <v>155</v>
      </c>
      <c r="D637" t="s">
        <v>210</v>
      </c>
      <c r="F637" t="s">
        <v>742</v>
      </c>
      <c r="G637" t="s">
        <v>1289</v>
      </c>
      <c r="H637" t="s">
        <v>1860</v>
      </c>
      <c r="I637" t="s">
        <v>2023</v>
      </c>
      <c r="J637" t="s">
        <v>2196</v>
      </c>
      <c r="K637">
        <v>10034</v>
      </c>
      <c r="L637" t="s">
        <v>2224</v>
      </c>
      <c r="M637" t="s">
        <v>2226</v>
      </c>
      <c r="P637" t="s">
        <v>2561</v>
      </c>
      <c r="R637" t="s">
        <v>2569</v>
      </c>
      <c r="S637" t="s">
        <v>2225</v>
      </c>
      <c r="U637" t="s">
        <v>2578</v>
      </c>
      <c r="W637" t="s">
        <v>210</v>
      </c>
      <c r="X637">
        <v>2350</v>
      </c>
      <c r="Y637" t="s">
        <v>2607</v>
      </c>
      <c r="Z637" t="s">
        <v>2617</v>
      </c>
      <c r="AB637" t="s">
        <v>3207</v>
      </c>
      <c r="AD637" t="s">
        <v>3966</v>
      </c>
      <c r="AE637">
        <v>41</v>
      </c>
      <c r="AF637" t="s">
        <v>4098</v>
      </c>
      <c r="AG637" t="s">
        <v>2255</v>
      </c>
      <c r="AH637">
        <v>3</v>
      </c>
      <c r="AI637">
        <v>1</v>
      </c>
      <c r="AJ637">
        <v>0</v>
      </c>
      <c r="AK637">
        <v>192.15</v>
      </c>
      <c r="AN637" t="s">
        <v>4126</v>
      </c>
      <c r="AO637">
        <v>24000</v>
      </c>
      <c r="AU637">
        <v>3.5</v>
      </c>
      <c r="AV637" t="s">
        <v>272</v>
      </c>
      <c r="AW637" t="s">
        <v>80</v>
      </c>
      <c r="AX637" t="s">
        <v>4266</v>
      </c>
      <c r="AY637" t="s">
        <v>2224</v>
      </c>
      <c r="AZ637" t="s">
        <v>2224</v>
      </c>
    </row>
    <row r="638" spans="1:52">
      <c r="A638" s="1">
        <f>HYPERLINK("https://lsnyc.legalserver.org/matter/dynamic-profile/view/1905964","19-1905964")</f>
        <v>0</v>
      </c>
      <c r="B638" t="s">
        <v>111</v>
      </c>
      <c r="C638" t="s">
        <v>154</v>
      </c>
      <c r="D638" t="s">
        <v>223</v>
      </c>
      <c r="E638" t="s">
        <v>200</v>
      </c>
      <c r="F638" t="s">
        <v>743</v>
      </c>
      <c r="G638" t="s">
        <v>1290</v>
      </c>
      <c r="H638" t="s">
        <v>1861</v>
      </c>
      <c r="I638" t="s">
        <v>1960</v>
      </c>
      <c r="J638" t="s">
        <v>2196</v>
      </c>
      <c r="K638">
        <v>10030</v>
      </c>
      <c r="L638" t="s">
        <v>2224</v>
      </c>
      <c r="M638" t="s">
        <v>2226</v>
      </c>
      <c r="N638" t="s">
        <v>2490</v>
      </c>
      <c r="O638" t="s">
        <v>2533</v>
      </c>
      <c r="P638" t="s">
        <v>2556</v>
      </c>
      <c r="Q638" t="s">
        <v>2563</v>
      </c>
      <c r="R638" t="s">
        <v>2569</v>
      </c>
      <c r="S638" t="s">
        <v>2225</v>
      </c>
      <c r="U638" t="s">
        <v>2578</v>
      </c>
      <c r="W638" t="s">
        <v>223</v>
      </c>
      <c r="X638">
        <v>1130</v>
      </c>
      <c r="Y638" t="s">
        <v>2607</v>
      </c>
      <c r="Z638" t="s">
        <v>2614</v>
      </c>
      <c r="AA638" t="s">
        <v>2626</v>
      </c>
      <c r="AB638" t="s">
        <v>3208</v>
      </c>
      <c r="AD638" t="s">
        <v>3967</v>
      </c>
      <c r="AE638">
        <v>17</v>
      </c>
      <c r="AF638" t="s">
        <v>4099</v>
      </c>
      <c r="AG638" t="s">
        <v>2255</v>
      </c>
      <c r="AH638">
        <v>10</v>
      </c>
      <c r="AI638">
        <v>1</v>
      </c>
      <c r="AJ638">
        <v>0</v>
      </c>
      <c r="AK638">
        <v>192.15</v>
      </c>
      <c r="AN638" t="s">
        <v>4126</v>
      </c>
      <c r="AO638">
        <v>24000</v>
      </c>
      <c r="AU638">
        <v>0.1</v>
      </c>
      <c r="AV638" t="s">
        <v>223</v>
      </c>
      <c r="AW638" t="s">
        <v>4238</v>
      </c>
      <c r="AX638" t="s">
        <v>4266</v>
      </c>
      <c r="AY638" t="s">
        <v>2226</v>
      </c>
      <c r="AZ638" t="s">
        <v>2225</v>
      </c>
    </row>
    <row r="639" spans="1:52">
      <c r="A639" s="1">
        <f>HYPERLINK("https://lsnyc.legalserver.org/matter/dynamic-profile/view/1911549","19-1911549")</f>
        <v>0</v>
      </c>
      <c r="B639" t="s">
        <v>104</v>
      </c>
      <c r="C639" t="s">
        <v>155</v>
      </c>
      <c r="D639" t="s">
        <v>179</v>
      </c>
      <c r="F639" t="s">
        <v>744</v>
      </c>
      <c r="G639" t="s">
        <v>907</v>
      </c>
      <c r="H639" t="s">
        <v>1550</v>
      </c>
      <c r="I639" t="s">
        <v>2015</v>
      </c>
      <c r="J639" t="s">
        <v>2196</v>
      </c>
      <c r="K639">
        <v>10040</v>
      </c>
      <c r="L639" t="s">
        <v>2224</v>
      </c>
      <c r="M639" t="s">
        <v>2226</v>
      </c>
      <c r="O639" t="s">
        <v>2546</v>
      </c>
      <c r="P639" t="s">
        <v>2558</v>
      </c>
      <c r="R639" t="s">
        <v>2569</v>
      </c>
      <c r="S639" t="s">
        <v>2224</v>
      </c>
      <c r="U639" t="s">
        <v>2578</v>
      </c>
      <c r="W639" t="s">
        <v>179</v>
      </c>
      <c r="X639">
        <v>1600</v>
      </c>
      <c r="Y639" t="s">
        <v>2607</v>
      </c>
      <c r="Z639" t="s">
        <v>2613</v>
      </c>
      <c r="AB639" t="s">
        <v>3209</v>
      </c>
      <c r="AD639" t="s">
        <v>3968</v>
      </c>
      <c r="AE639">
        <v>44</v>
      </c>
      <c r="AF639" t="s">
        <v>4099</v>
      </c>
      <c r="AG639" t="s">
        <v>2255</v>
      </c>
      <c r="AH639">
        <v>39</v>
      </c>
      <c r="AI639">
        <v>4</v>
      </c>
      <c r="AJ639">
        <v>2</v>
      </c>
      <c r="AK639">
        <v>193.7</v>
      </c>
      <c r="AN639" t="s">
        <v>4126</v>
      </c>
      <c r="AO639">
        <v>67000</v>
      </c>
      <c r="AU639">
        <v>0.1</v>
      </c>
      <c r="AV639" t="s">
        <v>197</v>
      </c>
      <c r="AW639" t="s">
        <v>80</v>
      </c>
      <c r="AX639" t="s">
        <v>4266</v>
      </c>
      <c r="AY639" t="s">
        <v>2226</v>
      </c>
      <c r="AZ639" t="s">
        <v>2226</v>
      </c>
    </row>
    <row r="640" spans="1:52">
      <c r="A640" s="1">
        <f>HYPERLINK("https://lsnyc.legalserver.org/matter/dynamic-profile/view/1911659","19-1911659")</f>
        <v>0</v>
      </c>
      <c r="B640" t="s">
        <v>63</v>
      </c>
      <c r="C640" t="s">
        <v>155</v>
      </c>
      <c r="D640" t="s">
        <v>263</v>
      </c>
      <c r="F640" t="s">
        <v>300</v>
      </c>
      <c r="G640" t="s">
        <v>1178</v>
      </c>
      <c r="H640" t="s">
        <v>1415</v>
      </c>
      <c r="J640" t="s">
        <v>2192</v>
      </c>
      <c r="K640">
        <v>11233</v>
      </c>
      <c r="L640" t="s">
        <v>2224</v>
      </c>
      <c r="M640" t="s">
        <v>2226</v>
      </c>
      <c r="N640" t="s">
        <v>2238</v>
      </c>
      <c r="O640" t="s">
        <v>2238</v>
      </c>
      <c r="R640" t="s">
        <v>2569</v>
      </c>
      <c r="S640" t="s">
        <v>2224</v>
      </c>
      <c r="U640" t="s">
        <v>2578</v>
      </c>
      <c r="V640" t="s">
        <v>2588</v>
      </c>
      <c r="W640" t="s">
        <v>225</v>
      </c>
      <c r="X640">
        <v>1029.4</v>
      </c>
      <c r="Y640" t="s">
        <v>2604</v>
      </c>
      <c r="Z640" t="s">
        <v>2620</v>
      </c>
      <c r="AB640" t="s">
        <v>3210</v>
      </c>
      <c r="AD640" t="s">
        <v>3969</v>
      </c>
      <c r="AE640">
        <v>359</v>
      </c>
      <c r="AF640" t="s">
        <v>4099</v>
      </c>
      <c r="AG640" t="s">
        <v>4116</v>
      </c>
      <c r="AH640">
        <v>35</v>
      </c>
      <c r="AI640">
        <v>1</v>
      </c>
      <c r="AJ640">
        <v>0</v>
      </c>
      <c r="AK640">
        <v>194.56</v>
      </c>
      <c r="AN640" t="s">
        <v>4126</v>
      </c>
      <c r="AO640">
        <v>24300</v>
      </c>
      <c r="AU640">
        <v>0</v>
      </c>
      <c r="AW640" t="s">
        <v>4226</v>
      </c>
      <c r="AX640" t="s">
        <v>4266</v>
      </c>
      <c r="AY640" t="s">
        <v>2224</v>
      </c>
      <c r="AZ640" t="s">
        <v>2224</v>
      </c>
    </row>
    <row r="641" spans="1:52">
      <c r="A641" s="1">
        <f>HYPERLINK("https://lsnyc.legalserver.org/matter/dynamic-profile/view/1905259","19-1905259")</f>
        <v>0</v>
      </c>
      <c r="B641" t="s">
        <v>71</v>
      </c>
      <c r="C641" t="s">
        <v>154</v>
      </c>
      <c r="D641" t="s">
        <v>198</v>
      </c>
      <c r="E641" t="s">
        <v>173</v>
      </c>
      <c r="F641" t="s">
        <v>745</v>
      </c>
      <c r="G641" t="s">
        <v>1291</v>
      </c>
      <c r="H641" t="s">
        <v>1862</v>
      </c>
      <c r="I641" t="s">
        <v>2106</v>
      </c>
      <c r="J641" t="s">
        <v>2194</v>
      </c>
      <c r="K641">
        <v>10452</v>
      </c>
      <c r="L641" t="s">
        <v>2224</v>
      </c>
      <c r="M641" t="s">
        <v>2226</v>
      </c>
      <c r="O641" t="s">
        <v>2541</v>
      </c>
      <c r="P641" t="s">
        <v>2561</v>
      </c>
      <c r="Q641" t="s">
        <v>2566</v>
      </c>
      <c r="R641" t="s">
        <v>2569</v>
      </c>
      <c r="S641" t="s">
        <v>2225</v>
      </c>
      <c r="U641" t="s">
        <v>2578</v>
      </c>
      <c r="V641" t="s">
        <v>2588</v>
      </c>
      <c r="W641" t="s">
        <v>191</v>
      </c>
      <c r="X641">
        <v>1085</v>
      </c>
      <c r="Y641" t="s">
        <v>2605</v>
      </c>
      <c r="Z641" t="s">
        <v>2613</v>
      </c>
      <c r="AA641" t="s">
        <v>2630</v>
      </c>
      <c r="AB641" t="s">
        <v>2657</v>
      </c>
      <c r="AD641" t="s">
        <v>3970</v>
      </c>
      <c r="AE641">
        <v>39</v>
      </c>
      <c r="AF641" t="s">
        <v>4099</v>
      </c>
      <c r="AG641" t="s">
        <v>2255</v>
      </c>
      <c r="AH641">
        <v>20</v>
      </c>
      <c r="AI641">
        <v>1</v>
      </c>
      <c r="AJ641">
        <v>0</v>
      </c>
      <c r="AK641">
        <v>195.11</v>
      </c>
      <c r="AN641" t="s">
        <v>4126</v>
      </c>
      <c r="AO641">
        <v>24369</v>
      </c>
      <c r="AU641">
        <v>1.75</v>
      </c>
      <c r="AV641" t="s">
        <v>174</v>
      </c>
      <c r="AW641" t="s">
        <v>116</v>
      </c>
      <c r="AX641" t="s">
        <v>4266</v>
      </c>
      <c r="AY641" t="s">
        <v>2224</v>
      </c>
      <c r="AZ641" t="s">
        <v>2224</v>
      </c>
    </row>
    <row r="642" spans="1:52">
      <c r="A642" s="1">
        <f>HYPERLINK("https://lsnyc.legalserver.org/matter/dynamic-profile/view/1903879","19-1903879")</f>
        <v>0</v>
      </c>
      <c r="B642" t="s">
        <v>124</v>
      </c>
      <c r="C642" t="s">
        <v>154</v>
      </c>
      <c r="D642" t="s">
        <v>201</v>
      </c>
      <c r="E642" t="s">
        <v>156</v>
      </c>
      <c r="F642" t="s">
        <v>444</v>
      </c>
      <c r="G642" t="s">
        <v>1292</v>
      </c>
      <c r="H642" t="s">
        <v>1863</v>
      </c>
      <c r="I642" t="s">
        <v>2151</v>
      </c>
      <c r="J642" t="s">
        <v>2192</v>
      </c>
      <c r="K642">
        <v>11210</v>
      </c>
      <c r="L642" t="s">
        <v>2224</v>
      </c>
      <c r="M642" t="s">
        <v>2226</v>
      </c>
      <c r="O642" t="s">
        <v>2539</v>
      </c>
      <c r="P642" t="s">
        <v>2561</v>
      </c>
      <c r="Q642" t="s">
        <v>2566</v>
      </c>
      <c r="R642" t="s">
        <v>2569</v>
      </c>
      <c r="U642" t="s">
        <v>2578</v>
      </c>
      <c r="W642" t="s">
        <v>201</v>
      </c>
      <c r="X642">
        <v>0</v>
      </c>
      <c r="Y642" t="s">
        <v>2604</v>
      </c>
      <c r="AA642" t="s">
        <v>2629</v>
      </c>
      <c r="AB642" t="s">
        <v>3211</v>
      </c>
      <c r="AE642">
        <v>38</v>
      </c>
      <c r="AH642">
        <v>0</v>
      </c>
      <c r="AI642">
        <v>5</v>
      </c>
      <c r="AJ642">
        <v>0</v>
      </c>
      <c r="AK642">
        <v>195.56</v>
      </c>
      <c r="AN642" t="s">
        <v>4126</v>
      </c>
      <c r="AO642">
        <v>59000</v>
      </c>
      <c r="AU642">
        <v>7.6</v>
      </c>
      <c r="AV642" t="s">
        <v>156</v>
      </c>
      <c r="AW642" t="s">
        <v>124</v>
      </c>
      <c r="AX642" t="s">
        <v>4266</v>
      </c>
      <c r="AY642" t="s">
        <v>2224</v>
      </c>
      <c r="AZ642" t="s">
        <v>2224</v>
      </c>
    </row>
    <row r="643" spans="1:52">
      <c r="A643" s="1">
        <f>HYPERLINK("https://lsnyc.legalserver.org/matter/dynamic-profile/view/1913235","19-1913235")</f>
        <v>0</v>
      </c>
      <c r="B643" t="s">
        <v>60</v>
      </c>
      <c r="C643" t="s">
        <v>155</v>
      </c>
      <c r="D643" t="s">
        <v>280</v>
      </c>
      <c r="F643" t="s">
        <v>746</v>
      </c>
      <c r="G643" t="s">
        <v>1293</v>
      </c>
      <c r="H643" t="s">
        <v>1864</v>
      </c>
      <c r="I643" t="s">
        <v>1975</v>
      </c>
      <c r="J643" t="s">
        <v>2192</v>
      </c>
      <c r="K643">
        <v>11239</v>
      </c>
      <c r="L643" t="s">
        <v>2224</v>
      </c>
      <c r="M643" t="s">
        <v>2226</v>
      </c>
      <c r="N643" t="s">
        <v>2491</v>
      </c>
      <c r="O643" t="s">
        <v>2535</v>
      </c>
      <c r="R643" t="s">
        <v>2569</v>
      </c>
      <c r="S643" t="s">
        <v>2225</v>
      </c>
      <c r="U643" t="s">
        <v>2578</v>
      </c>
      <c r="V643" t="s">
        <v>2588</v>
      </c>
      <c r="W643" t="s">
        <v>218</v>
      </c>
      <c r="X643">
        <v>1200</v>
      </c>
      <c r="Y643" t="s">
        <v>2604</v>
      </c>
      <c r="Z643" t="s">
        <v>2618</v>
      </c>
      <c r="AB643" t="s">
        <v>3212</v>
      </c>
      <c r="AC643" t="s">
        <v>2244</v>
      </c>
      <c r="AD643" t="s">
        <v>3971</v>
      </c>
      <c r="AE643">
        <v>1092</v>
      </c>
      <c r="AF643" t="s">
        <v>4104</v>
      </c>
      <c r="AG643" t="s">
        <v>4112</v>
      </c>
      <c r="AH643">
        <v>22</v>
      </c>
      <c r="AI643">
        <v>2</v>
      </c>
      <c r="AJ643">
        <v>0</v>
      </c>
      <c r="AK643">
        <v>198.7</v>
      </c>
      <c r="AN643" t="s">
        <v>4126</v>
      </c>
      <c r="AO643">
        <v>33600</v>
      </c>
      <c r="AU643">
        <v>1.5</v>
      </c>
      <c r="AV643" t="s">
        <v>188</v>
      </c>
      <c r="AW643" t="s">
        <v>4226</v>
      </c>
      <c r="AX643" t="s">
        <v>4266</v>
      </c>
      <c r="AY643" t="s">
        <v>2224</v>
      </c>
      <c r="AZ643" t="s">
        <v>2224</v>
      </c>
    </row>
    <row r="644" spans="1:52">
      <c r="A644" s="1">
        <f>HYPERLINK("https://lsnyc.legalserver.org/matter/dynamic-profile/view/1912988","19-1912988")</f>
        <v>0</v>
      </c>
      <c r="B644" t="s">
        <v>83</v>
      </c>
      <c r="C644" t="s">
        <v>155</v>
      </c>
      <c r="D644" t="s">
        <v>168</v>
      </c>
      <c r="F644" t="s">
        <v>659</v>
      </c>
      <c r="G644" t="s">
        <v>918</v>
      </c>
      <c r="H644" t="s">
        <v>1865</v>
      </c>
      <c r="I644">
        <v>1</v>
      </c>
      <c r="J644" t="s">
        <v>2192</v>
      </c>
      <c r="K644">
        <v>11208</v>
      </c>
      <c r="L644" t="s">
        <v>2224</v>
      </c>
      <c r="M644" t="s">
        <v>2226</v>
      </c>
      <c r="N644" t="s">
        <v>2237</v>
      </c>
      <c r="O644" t="s">
        <v>2238</v>
      </c>
      <c r="R644" t="s">
        <v>2569</v>
      </c>
      <c r="S644" t="s">
        <v>2225</v>
      </c>
      <c r="U644" t="s">
        <v>2586</v>
      </c>
      <c r="V644" t="s">
        <v>2588</v>
      </c>
      <c r="W644" t="s">
        <v>157</v>
      </c>
      <c r="X644">
        <v>0</v>
      </c>
      <c r="Y644" t="s">
        <v>2604</v>
      </c>
      <c r="AB644" t="s">
        <v>3213</v>
      </c>
      <c r="AC644" t="s">
        <v>2255</v>
      </c>
      <c r="AD644" t="s">
        <v>3972</v>
      </c>
      <c r="AE644">
        <v>0</v>
      </c>
      <c r="AG644" t="s">
        <v>2255</v>
      </c>
      <c r="AH644">
        <v>0</v>
      </c>
      <c r="AI644">
        <v>1</v>
      </c>
      <c r="AJ644">
        <v>1</v>
      </c>
      <c r="AK644">
        <v>198.7</v>
      </c>
      <c r="AN644" t="s">
        <v>4127</v>
      </c>
      <c r="AO644">
        <v>33600</v>
      </c>
      <c r="AU644">
        <v>0</v>
      </c>
      <c r="AW644" t="s">
        <v>4226</v>
      </c>
      <c r="AX644" t="s">
        <v>4266</v>
      </c>
      <c r="AY644" t="s">
        <v>2226</v>
      </c>
      <c r="AZ644" t="s">
        <v>2226</v>
      </c>
    </row>
    <row r="645" spans="1:52">
      <c r="A645" s="1">
        <f>HYPERLINK("https://lsnyc.legalserver.org/matter/dynamic-profile/view/1907847","19-1907847")</f>
        <v>0</v>
      </c>
      <c r="B645" t="s">
        <v>116</v>
      </c>
      <c r="C645" t="s">
        <v>155</v>
      </c>
      <c r="D645" t="s">
        <v>247</v>
      </c>
      <c r="F645" t="s">
        <v>628</v>
      </c>
      <c r="G645" t="s">
        <v>1294</v>
      </c>
      <c r="H645" t="s">
        <v>1866</v>
      </c>
      <c r="I645" t="s">
        <v>2152</v>
      </c>
      <c r="J645" t="s">
        <v>2194</v>
      </c>
      <c r="K645">
        <v>10472</v>
      </c>
      <c r="L645" t="s">
        <v>2224</v>
      </c>
      <c r="M645" t="s">
        <v>2226</v>
      </c>
      <c r="O645" t="s">
        <v>2238</v>
      </c>
      <c r="P645" t="s">
        <v>2556</v>
      </c>
      <c r="R645" t="s">
        <v>2569</v>
      </c>
      <c r="S645" t="s">
        <v>2225</v>
      </c>
      <c r="U645" t="s">
        <v>2578</v>
      </c>
      <c r="W645" t="s">
        <v>214</v>
      </c>
      <c r="X645">
        <v>1908</v>
      </c>
      <c r="Y645" t="s">
        <v>2605</v>
      </c>
      <c r="Z645" t="s">
        <v>2614</v>
      </c>
      <c r="AB645" t="s">
        <v>3214</v>
      </c>
      <c r="AD645" t="s">
        <v>3973</v>
      </c>
      <c r="AE645">
        <v>60</v>
      </c>
      <c r="AF645" t="s">
        <v>4099</v>
      </c>
      <c r="AG645" t="s">
        <v>2255</v>
      </c>
      <c r="AH645">
        <v>7</v>
      </c>
      <c r="AI645">
        <v>2</v>
      </c>
      <c r="AJ645">
        <v>3</v>
      </c>
      <c r="AK645">
        <v>198.87</v>
      </c>
      <c r="AN645" t="s">
        <v>4126</v>
      </c>
      <c r="AO645">
        <v>60000</v>
      </c>
      <c r="AU645">
        <v>2.1</v>
      </c>
      <c r="AV645" t="s">
        <v>272</v>
      </c>
      <c r="AW645" t="s">
        <v>116</v>
      </c>
      <c r="AX645" t="s">
        <v>4266</v>
      </c>
      <c r="AY645" t="s">
        <v>2224</v>
      </c>
      <c r="AZ645" t="s">
        <v>2224</v>
      </c>
    </row>
    <row r="646" spans="1:52">
      <c r="A646" s="1">
        <f>HYPERLINK("https://lsnyc.legalserver.org/matter/dynamic-profile/view/1909594","19-1909594")</f>
        <v>0</v>
      </c>
      <c r="B646" t="s">
        <v>78</v>
      </c>
      <c r="C646" t="s">
        <v>155</v>
      </c>
      <c r="D646" t="s">
        <v>242</v>
      </c>
      <c r="F646" t="s">
        <v>747</v>
      </c>
      <c r="G646" t="s">
        <v>1295</v>
      </c>
      <c r="H646" t="s">
        <v>1867</v>
      </c>
      <c r="J646" t="s">
        <v>2196</v>
      </c>
      <c r="K646">
        <v>10032</v>
      </c>
      <c r="L646" t="s">
        <v>2224</v>
      </c>
      <c r="M646" t="s">
        <v>2226</v>
      </c>
      <c r="O646" t="s">
        <v>2536</v>
      </c>
      <c r="P646" t="s">
        <v>2559</v>
      </c>
      <c r="R646" t="s">
        <v>2569</v>
      </c>
      <c r="S646" t="s">
        <v>2225</v>
      </c>
      <c r="U646" t="s">
        <v>2578</v>
      </c>
      <c r="W646" t="s">
        <v>242</v>
      </c>
      <c r="X646">
        <v>1285</v>
      </c>
      <c r="Y646" t="s">
        <v>2607</v>
      </c>
      <c r="Z646" t="s">
        <v>2623</v>
      </c>
      <c r="AB646" t="s">
        <v>3215</v>
      </c>
      <c r="AD646" t="s">
        <v>3974</v>
      </c>
      <c r="AE646">
        <v>4</v>
      </c>
      <c r="AF646" t="s">
        <v>4099</v>
      </c>
      <c r="AG646" t="s">
        <v>4112</v>
      </c>
      <c r="AH646">
        <v>3</v>
      </c>
      <c r="AI646">
        <v>2</v>
      </c>
      <c r="AJ646">
        <v>0</v>
      </c>
      <c r="AK646">
        <v>199.27</v>
      </c>
      <c r="AN646" t="s">
        <v>4127</v>
      </c>
      <c r="AO646">
        <v>33696</v>
      </c>
      <c r="AU646">
        <v>0.3</v>
      </c>
      <c r="AV646" t="s">
        <v>214</v>
      </c>
      <c r="AW646" t="s">
        <v>80</v>
      </c>
      <c r="AX646" t="s">
        <v>4266</v>
      </c>
      <c r="AY646" t="s">
        <v>2226</v>
      </c>
      <c r="AZ646" t="s">
        <v>2226</v>
      </c>
    </row>
    <row r="647" spans="1:52">
      <c r="A647" s="1">
        <f>HYPERLINK("https://lsnyc.legalserver.org/matter/dynamic-profile/view/1891669","19-1891669")</f>
        <v>0</v>
      </c>
      <c r="B647" t="s">
        <v>89</v>
      </c>
      <c r="C647" t="s">
        <v>155</v>
      </c>
      <c r="D647" t="s">
        <v>284</v>
      </c>
      <c r="F647" t="s">
        <v>748</v>
      </c>
      <c r="G647" t="s">
        <v>849</v>
      </c>
      <c r="H647" t="s">
        <v>1868</v>
      </c>
      <c r="I647">
        <v>1</v>
      </c>
      <c r="J647" t="s">
        <v>2187</v>
      </c>
      <c r="K647">
        <v>11691</v>
      </c>
      <c r="L647" t="s">
        <v>2224</v>
      </c>
      <c r="M647" t="s">
        <v>2226</v>
      </c>
      <c r="N647" t="s">
        <v>2492</v>
      </c>
      <c r="O647" t="s">
        <v>2533</v>
      </c>
      <c r="P647" t="s">
        <v>2558</v>
      </c>
      <c r="R647" t="s">
        <v>2569</v>
      </c>
      <c r="S647" t="s">
        <v>2225</v>
      </c>
      <c r="U647" t="s">
        <v>2578</v>
      </c>
      <c r="V647" t="s">
        <v>2588</v>
      </c>
      <c r="W647" t="s">
        <v>2600</v>
      </c>
      <c r="X647">
        <v>1475</v>
      </c>
      <c r="Y647" t="s">
        <v>2603</v>
      </c>
      <c r="Z647" t="s">
        <v>2625</v>
      </c>
      <c r="AB647" t="s">
        <v>3216</v>
      </c>
      <c r="AC647" t="s">
        <v>3419</v>
      </c>
      <c r="AD647" t="s">
        <v>3975</v>
      </c>
      <c r="AE647">
        <v>3</v>
      </c>
      <c r="AF647" t="s">
        <v>4099</v>
      </c>
      <c r="AG647" t="s">
        <v>4112</v>
      </c>
      <c r="AH647">
        <v>9</v>
      </c>
      <c r="AI647">
        <v>1</v>
      </c>
      <c r="AJ647">
        <v>0</v>
      </c>
      <c r="AK647">
        <v>199.84</v>
      </c>
      <c r="AN647" t="s">
        <v>4126</v>
      </c>
      <c r="AO647">
        <v>24960</v>
      </c>
      <c r="AU647">
        <v>18.76</v>
      </c>
      <c r="AV647" t="s">
        <v>166</v>
      </c>
      <c r="AW647" t="s">
        <v>4246</v>
      </c>
      <c r="AX647" t="s">
        <v>4266</v>
      </c>
      <c r="AY647" t="s">
        <v>2224</v>
      </c>
      <c r="AZ647" t="s">
        <v>2224</v>
      </c>
    </row>
    <row r="648" spans="1:52">
      <c r="A648" s="1">
        <f>HYPERLINK("https://lsnyc.legalserver.org/matter/dynamic-profile/view/1903502","19-1903502")</f>
        <v>0</v>
      </c>
      <c r="B648" t="s">
        <v>130</v>
      </c>
      <c r="C648" t="s">
        <v>155</v>
      </c>
      <c r="D648" t="s">
        <v>246</v>
      </c>
      <c r="F648" t="s">
        <v>656</v>
      </c>
      <c r="G648" t="s">
        <v>966</v>
      </c>
      <c r="H648" t="s">
        <v>1869</v>
      </c>
      <c r="I648" t="s">
        <v>2088</v>
      </c>
      <c r="J648" t="s">
        <v>2194</v>
      </c>
      <c r="K648">
        <v>10453</v>
      </c>
      <c r="L648" t="s">
        <v>2224</v>
      </c>
      <c r="M648" t="s">
        <v>2226</v>
      </c>
      <c r="N648" t="s">
        <v>2493</v>
      </c>
      <c r="O648" t="s">
        <v>2533</v>
      </c>
      <c r="P648" t="s">
        <v>2558</v>
      </c>
      <c r="R648" t="s">
        <v>2569</v>
      </c>
      <c r="S648" t="s">
        <v>2225</v>
      </c>
      <c r="U648" t="s">
        <v>2578</v>
      </c>
      <c r="V648" t="s">
        <v>2588</v>
      </c>
      <c r="W648" t="s">
        <v>191</v>
      </c>
      <c r="X648">
        <v>825</v>
      </c>
      <c r="Y648" t="s">
        <v>2605</v>
      </c>
      <c r="Z648" t="s">
        <v>2611</v>
      </c>
      <c r="AB648" t="s">
        <v>3217</v>
      </c>
      <c r="AD648" t="s">
        <v>3976</v>
      </c>
      <c r="AE648">
        <v>25</v>
      </c>
      <c r="AF648" t="s">
        <v>4099</v>
      </c>
      <c r="AG648" t="s">
        <v>2255</v>
      </c>
      <c r="AH648">
        <v>19</v>
      </c>
      <c r="AI648">
        <v>1</v>
      </c>
      <c r="AJ648">
        <v>0</v>
      </c>
      <c r="AK648">
        <v>199.84</v>
      </c>
      <c r="AN648" t="s">
        <v>4126</v>
      </c>
      <c r="AO648">
        <v>24960</v>
      </c>
      <c r="AU648">
        <v>28.86</v>
      </c>
      <c r="AV648" t="s">
        <v>280</v>
      </c>
      <c r="AW648" t="s">
        <v>4242</v>
      </c>
      <c r="AX648" t="s">
        <v>4266</v>
      </c>
      <c r="AY648" t="s">
        <v>2226</v>
      </c>
      <c r="AZ648" t="s">
        <v>2226</v>
      </c>
    </row>
    <row r="649" spans="1:52">
      <c r="A649" s="1">
        <f>HYPERLINK("https://lsnyc.legalserver.org/matter/dynamic-profile/view/1908034","19-1908034")</f>
        <v>0</v>
      </c>
      <c r="B649" t="s">
        <v>142</v>
      </c>
      <c r="C649" t="s">
        <v>155</v>
      </c>
      <c r="D649" t="s">
        <v>206</v>
      </c>
      <c r="F649" t="s">
        <v>364</v>
      </c>
      <c r="G649" t="s">
        <v>988</v>
      </c>
      <c r="H649" t="s">
        <v>1870</v>
      </c>
      <c r="I649" t="s">
        <v>2096</v>
      </c>
      <c r="J649" t="s">
        <v>2196</v>
      </c>
      <c r="K649">
        <v>10034</v>
      </c>
      <c r="L649" t="s">
        <v>2224</v>
      </c>
      <c r="M649" t="s">
        <v>2226</v>
      </c>
      <c r="N649" t="s">
        <v>2494</v>
      </c>
      <c r="O649" t="s">
        <v>2533</v>
      </c>
      <c r="P649" t="s">
        <v>2559</v>
      </c>
      <c r="R649" t="s">
        <v>2569</v>
      </c>
      <c r="S649" t="s">
        <v>2225</v>
      </c>
      <c r="U649" t="s">
        <v>2578</v>
      </c>
      <c r="W649" t="s">
        <v>206</v>
      </c>
      <c r="X649">
        <v>1000</v>
      </c>
      <c r="Y649" t="s">
        <v>2607</v>
      </c>
      <c r="Z649" t="s">
        <v>2608</v>
      </c>
      <c r="AB649" t="s">
        <v>3218</v>
      </c>
      <c r="AD649" t="s">
        <v>3977</v>
      </c>
      <c r="AE649">
        <v>70</v>
      </c>
      <c r="AF649" t="s">
        <v>4099</v>
      </c>
      <c r="AG649" t="s">
        <v>2255</v>
      </c>
      <c r="AH649">
        <v>8</v>
      </c>
      <c r="AI649">
        <v>5</v>
      </c>
      <c r="AJ649">
        <v>0</v>
      </c>
      <c r="AK649">
        <v>199.93</v>
      </c>
      <c r="AN649" t="s">
        <v>4127</v>
      </c>
      <c r="AO649">
        <v>60320</v>
      </c>
      <c r="AU649">
        <v>2</v>
      </c>
      <c r="AV649" t="s">
        <v>212</v>
      </c>
      <c r="AW649" t="s">
        <v>4238</v>
      </c>
      <c r="AX649" t="s">
        <v>4266</v>
      </c>
      <c r="AY649" t="s">
        <v>2226</v>
      </c>
      <c r="AZ649" t="s">
        <v>2226</v>
      </c>
    </row>
    <row r="650" spans="1:52">
      <c r="A650" s="1">
        <f>HYPERLINK("https://lsnyc.legalserver.org/matter/dynamic-profile/view/1909942","19-1909942")</f>
        <v>0</v>
      </c>
      <c r="B650" t="s">
        <v>72</v>
      </c>
      <c r="C650" t="s">
        <v>155</v>
      </c>
      <c r="D650" t="s">
        <v>214</v>
      </c>
      <c r="F650" t="s">
        <v>749</v>
      </c>
      <c r="G650" t="s">
        <v>1296</v>
      </c>
      <c r="H650" t="s">
        <v>1871</v>
      </c>
      <c r="J650" t="s">
        <v>2195</v>
      </c>
      <c r="K650">
        <v>10310</v>
      </c>
      <c r="L650" t="s">
        <v>2224</v>
      </c>
      <c r="M650" t="s">
        <v>2226</v>
      </c>
      <c r="N650" t="s">
        <v>2237</v>
      </c>
      <c r="O650" t="s">
        <v>2238</v>
      </c>
      <c r="P650" t="s">
        <v>2556</v>
      </c>
      <c r="R650" t="s">
        <v>2570</v>
      </c>
      <c r="S650" t="s">
        <v>2225</v>
      </c>
      <c r="U650" t="s">
        <v>2578</v>
      </c>
      <c r="V650" t="s">
        <v>2588</v>
      </c>
      <c r="W650" t="s">
        <v>268</v>
      </c>
      <c r="X650">
        <v>1500</v>
      </c>
      <c r="Y650" t="s">
        <v>2606</v>
      </c>
      <c r="Z650" t="s">
        <v>2610</v>
      </c>
      <c r="AB650" t="s">
        <v>3219</v>
      </c>
      <c r="AD650" t="s">
        <v>3978</v>
      </c>
      <c r="AE650">
        <v>2</v>
      </c>
      <c r="AF650" t="s">
        <v>4098</v>
      </c>
      <c r="AG650" t="s">
        <v>4113</v>
      </c>
      <c r="AH650">
        <v>0</v>
      </c>
      <c r="AI650">
        <v>1</v>
      </c>
      <c r="AJ650">
        <v>0</v>
      </c>
      <c r="AK650">
        <v>200.16</v>
      </c>
      <c r="AL650" t="s">
        <v>4121</v>
      </c>
      <c r="AM650" t="s">
        <v>4123</v>
      </c>
      <c r="AN650" t="s">
        <v>4126</v>
      </c>
      <c r="AO650">
        <v>25000</v>
      </c>
      <c r="AU650">
        <v>2.3</v>
      </c>
      <c r="AV650" t="s">
        <v>202</v>
      </c>
      <c r="AW650" t="s">
        <v>72</v>
      </c>
      <c r="AX650" t="s">
        <v>4266</v>
      </c>
      <c r="AY650" t="s">
        <v>2224</v>
      </c>
      <c r="AZ650" t="s">
        <v>2224</v>
      </c>
    </row>
    <row r="651" spans="1:52">
      <c r="A651" s="1">
        <f>HYPERLINK("https://lsnyc.legalserver.org/matter/dynamic-profile/view/1905662","19-1905662")</f>
        <v>0</v>
      </c>
      <c r="B651" t="s">
        <v>112</v>
      </c>
      <c r="C651" t="s">
        <v>154</v>
      </c>
      <c r="D651" t="s">
        <v>183</v>
      </c>
      <c r="E651" t="s">
        <v>204</v>
      </c>
      <c r="F651" t="s">
        <v>750</v>
      </c>
      <c r="G651" t="s">
        <v>1297</v>
      </c>
      <c r="H651" t="s">
        <v>1872</v>
      </c>
      <c r="I651" t="s">
        <v>2153</v>
      </c>
      <c r="J651" t="s">
        <v>2195</v>
      </c>
      <c r="K651">
        <v>10304</v>
      </c>
      <c r="L651" t="s">
        <v>2224</v>
      </c>
      <c r="M651" t="s">
        <v>2226</v>
      </c>
      <c r="N651" t="s">
        <v>2495</v>
      </c>
      <c r="O651" t="s">
        <v>2535</v>
      </c>
      <c r="P651" t="s">
        <v>2558</v>
      </c>
      <c r="Q651" t="s">
        <v>2564</v>
      </c>
      <c r="R651" t="s">
        <v>2569</v>
      </c>
      <c r="S651" t="s">
        <v>2225</v>
      </c>
      <c r="U651" t="s">
        <v>2578</v>
      </c>
      <c r="V651" t="s">
        <v>2588</v>
      </c>
      <c r="W651" t="s">
        <v>195</v>
      </c>
      <c r="X651">
        <v>583</v>
      </c>
      <c r="Y651" t="s">
        <v>2606</v>
      </c>
      <c r="Z651" t="s">
        <v>2618</v>
      </c>
      <c r="AA651" t="s">
        <v>2628</v>
      </c>
      <c r="AB651" t="s">
        <v>3220</v>
      </c>
      <c r="AD651" t="s">
        <v>3979</v>
      </c>
      <c r="AE651">
        <v>134</v>
      </c>
      <c r="AF651" t="s">
        <v>4104</v>
      </c>
      <c r="AG651" t="s">
        <v>2255</v>
      </c>
      <c r="AH651">
        <v>4</v>
      </c>
      <c r="AI651">
        <v>1</v>
      </c>
      <c r="AJ651">
        <v>0</v>
      </c>
      <c r="AK651">
        <v>200.16</v>
      </c>
      <c r="AN651" t="s">
        <v>4126</v>
      </c>
      <c r="AO651">
        <v>25000</v>
      </c>
      <c r="AQ651" t="s">
        <v>4178</v>
      </c>
      <c r="AR651" t="s">
        <v>4181</v>
      </c>
      <c r="AS651" t="s">
        <v>4188</v>
      </c>
      <c r="AT651" t="s">
        <v>4215</v>
      </c>
      <c r="AU651">
        <v>7.7</v>
      </c>
      <c r="AV651" t="s">
        <v>168</v>
      </c>
      <c r="AW651" t="s">
        <v>4263</v>
      </c>
      <c r="AX651" t="s">
        <v>4266</v>
      </c>
      <c r="AY651" t="s">
        <v>2224</v>
      </c>
      <c r="AZ651" t="s">
        <v>2224</v>
      </c>
    </row>
    <row r="652" spans="1:52">
      <c r="A652" s="1">
        <f>HYPERLINK("https://lsnyc.legalserver.org/matter/dynamic-profile/view/1909441","19-1909441")</f>
        <v>0</v>
      </c>
      <c r="B652" t="s">
        <v>105</v>
      </c>
      <c r="C652" t="s">
        <v>154</v>
      </c>
      <c r="D652" t="s">
        <v>194</v>
      </c>
      <c r="E652" t="s">
        <v>263</v>
      </c>
      <c r="F652" t="s">
        <v>751</v>
      </c>
      <c r="G652" t="s">
        <v>1298</v>
      </c>
      <c r="H652" t="s">
        <v>1873</v>
      </c>
      <c r="I652">
        <v>2</v>
      </c>
      <c r="J652" t="s">
        <v>2195</v>
      </c>
      <c r="K652">
        <v>10306</v>
      </c>
      <c r="L652" t="s">
        <v>2224</v>
      </c>
      <c r="M652" t="s">
        <v>2226</v>
      </c>
      <c r="N652" t="s">
        <v>2228</v>
      </c>
      <c r="O652" t="s">
        <v>2238</v>
      </c>
      <c r="P652" t="s">
        <v>2556</v>
      </c>
      <c r="Q652" t="s">
        <v>2563</v>
      </c>
      <c r="R652" t="s">
        <v>2570</v>
      </c>
      <c r="S652" t="s">
        <v>2225</v>
      </c>
      <c r="U652" t="s">
        <v>2578</v>
      </c>
      <c r="V652" t="s">
        <v>2588</v>
      </c>
      <c r="W652" t="s">
        <v>194</v>
      </c>
      <c r="X652">
        <v>0</v>
      </c>
      <c r="Y652" t="s">
        <v>2606</v>
      </c>
      <c r="Z652" t="s">
        <v>2610</v>
      </c>
      <c r="AA652" t="s">
        <v>2626</v>
      </c>
      <c r="AB652" t="s">
        <v>3221</v>
      </c>
      <c r="AD652" t="s">
        <v>3980</v>
      </c>
      <c r="AE652">
        <v>20</v>
      </c>
      <c r="AF652" t="s">
        <v>4098</v>
      </c>
      <c r="AG652" t="s">
        <v>2255</v>
      </c>
      <c r="AH652">
        <v>2</v>
      </c>
      <c r="AI652">
        <v>2</v>
      </c>
      <c r="AJ652">
        <v>1</v>
      </c>
      <c r="AK652">
        <v>200.79</v>
      </c>
      <c r="AL652" t="s">
        <v>4121</v>
      </c>
      <c r="AM652" t="s">
        <v>4123</v>
      </c>
      <c r="AN652" t="s">
        <v>4127</v>
      </c>
      <c r="AO652">
        <v>42828</v>
      </c>
      <c r="AU652">
        <v>1.9</v>
      </c>
      <c r="AV652" t="s">
        <v>263</v>
      </c>
      <c r="AW652" t="s">
        <v>105</v>
      </c>
      <c r="AX652" t="s">
        <v>4266</v>
      </c>
      <c r="AY652" t="s">
        <v>2224</v>
      </c>
      <c r="AZ652" t="s">
        <v>2224</v>
      </c>
    </row>
    <row r="653" spans="1:52">
      <c r="A653" s="1">
        <f>HYPERLINK("https://lsnyc.legalserver.org/matter/dynamic-profile/view/1908622","19-1908622")</f>
        <v>0</v>
      </c>
      <c r="B653" t="s">
        <v>85</v>
      </c>
      <c r="C653" t="s">
        <v>155</v>
      </c>
      <c r="D653" t="s">
        <v>216</v>
      </c>
      <c r="F653" t="s">
        <v>752</v>
      </c>
      <c r="G653" t="s">
        <v>1084</v>
      </c>
      <c r="H653" t="s">
        <v>1874</v>
      </c>
      <c r="I653" t="s">
        <v>2058</v>
      </c>
      <c r="J653" t="s">
        <v>2192</v>
      </c>
      <c r="K653">
        <v>11208</v>
      </c>
      <c r="L653" t="s">
        <v>2224</v>
      </c>
      <c r="M653" t="s">
        <v>2226</v>
      </c>
      <c r="N653" t="s">
        <v>2496</v>
      </c>
      <c r="O653" t="s">
        <v>2533</v>
      </c>
      <c r="P653" t="s">
        <v>2556</v>
      </c>
      <c r="R653" t="s">
        <v>2569</v>
      </c>
      <c r="S653" t="s">
        <v>2225</v>
      </c>
      <c r="U653" t="s">
        <v>2578</v>
      </c>
      <c r="V653" t="s">
        <v>2588</v>
      </c>
      <c r="W653" t="s">
        <v>177</v>
      </c>
      <c r="X653">
        <v>0</v>
      </c>
      <c r="Y653" t="s">
        <v>2604</v>
      </c>
      <c r="Z653" t="s">
        <v>2611</v>
      </c>
      <c r="AB653" t="s">
        <v>3222</v>
      </c>
      <c r="AC653" t="s">
        <v>2255</v>
      </c>
      <c r="AD653" t="s">
        <v>3981</v>
      </c>
      <c r="AE653">
        <v>24</v>
      </c>
      <c r="AG653" t="s">
        <v>2255</v>
      </c>
      <c r="AH653">
        <v>0</v>
      </c>
      <c r="AI653">
        <v>2</v>
      </c>
      <c r="AJ653">
        <v>0</v>
      </c>
      <c r="AK653">
        <v>201.06</v>
      </c>
      <c r="AN653" t="s">
        <v>4126</v>
      </c>
      <c r="AO653">
        <v>34000</v>
      </c>
      <c r="AU653">
        <v>3.95</v>
      </c>
      <c r="AV653" t="s">
        <v>229</v>
      </c>
      <c r="AW653" t="s">
        <v>4226</v>
      </c>
      <c r="AX653" t="s">
        <v>4266</v>
      </c>
      <c r="AY653" t="s">
        <v>2226</v>
      </c>
      <c r="AZ653" t="s">
        <v>2226</v>
      </c>
    </row>
    <row r="654" spans="1:52">
      <c r="A654" s="1">
        <f>HYPERLINK("https://lsnyc.legalserver.org/matter/dynamic-profile/view/1909087","19-1909087")</f>
        <v>0</v>
      </c>
      <c r="B654" t="s">
        <v>59</v>
      </c>
      <c r="C654" t="s">
        <v>155</v>
      </c>
      <c r="D654" t="s">
        <v>212</v>
      </c>
      <c r="F654" t="s">
        <v>753</v>
      </c>
      <c r="G654" t="s">
        <v>1299</v>
      </c>
      <c r="H654" t="s">
        <v>1737</v>
      </c>
      <c r="I654" t="s">
        <v>1960</v>
      </c>
      <c r="J654" t="s">
        <v>2192</v>
      </c>
      <c r="K654">
        <v>11233</v>
      </c>
      <c r="L654" t="s">
        <v>2224</v>
      </c>
      <c r="M654" t="s">
        <v>2226</v>
      </c>
      <c r="N654" t="s">
        <v>2235</v>
      </c>
      <c r="O654" t="s">
        <v>2537</v>
      </c>
      <c r="P654" t="s">
        <v>2560</v>
      </c>
      <c r="R654" t="s">
        <v>2569</v>
      </c>
      <c r="S654" t="s">
        <v>2224</v>
      </c>
      <c r="U654" t="s">
        <v>2578</v>
      </c>
      <c r="V654" t="s">
        <v>2588</v>
      </c>
      <c r="W654" t="s">
        <v>2594</v>
      </c>
      <c r="X654">
        <v>840.39</v>
      </c>
      <c r="Y654" t="s">
        <v>2604</v>
      </c>
      <c r="Z654" t="s">
        <v>2611</v>
      </c>
      <c r="AB654" t="s">
        <v>3223</v>
      </c>
      <c r="AE654">
        <v>359</v>
      </c>
      <c r="AF654" t="s">
        <v>4099</v>
      </c>
      <c r="AG654" t="s">
        <v>2255</v>
      </c>
      <c r="AH654">
        <v>8</v>
      </c>
      <c r="AI654">
        <v>2</v>
      </c>
      <c r="AJ654">
        <v>1</v>
      </c>
      <c r="AK654">
        <v>201.59</v>
      </c>
      <c r="AN654" t="s">
        <v>4126</v>
      </c>
      <c r="AO654">
        <v>43000</v>
      </c>
      <c r="AP654" t="s">
        <v>4159</v>
      </c>
      <c r="AU654">
        <v>0</v>
      </c>
      <c r="AW654" t="s">
        <v>127</v>
      </c>
      <c r="AX654" t="s">
        <v>2255</v>
      </c>
      <c r="AY654" t="s">
        <v>2224</v>
      </c>
      <c r="AZ654" t="s">
        <v>2224</v>
      </c>
    </row>
    <row r="655" spans="1:52">
      <c r="A655" s="1">
        <f>HYPERLINK("https://lsnyc.legalserver.org/matter/dynamic-profile/view/1908589","19-1908589")</f>
        <v>0</v>
      </c>
      <c r="B655" t="s">
        <v>79</v>
      </c>
      <c r="C655" t="s">
        <v>155</v>
      </c>
      <c r="D655" t="s">
        <v>216</v>
      </c>
      <c r="F655" t="s">
        <v>754</v>
      </c>
      <c r="G655" t="s">
        <v>1042</v>
      </c>
      <c r="H655" t="s">
        <v>1520</v>
      </c>
      <c r="I655" t="s">
        <v>2015</v>
      </c>
      <c r="J655" t="s">
        <v>2196</v>
      </c>
      <c r="K655">
        <v>10035</v>
      </c>
      <c r="L655" t="s">
        <v>2224</v>
      </c>
      <c r="M655" t="s">
        <v>2226</v>
      </c>
      <c r="N655" t="s">
        <v>2497</v>
      </c>
      <c r="O655" t="s">
        <v>2535</v>
      </c>
      <c r="P655" t="s">
        <v>2558</v>
      </c>
      <c r="R655" t="s">
        <v>2569</v>
      </c>
      <c r="S655" t="s">
        <v>2225</v>
      </c>
      <c r="U655" t="s">
        <v>2578</v>
      </c>
      <c r="V655" t="s">
        <v>2588</v>
      </c>
      <c r="W655" t="s">
        <v>183</v>
      </c>
      <c r="X655">
        <v>1794</v>
      </c>
      <c r="Y655" t="s">
        <v>2607</v>
      </c>
      <c r="Z655" t="s">
        <v>2609</v>
      </c>
      <c r="AB655" t="s">
        <v>3224</v>
      </c>
      <c r="AD655" t="s">
        <v>3982</v>
      </c>
      <c r="AE655">
        <v>72</v>
      </c>
      <c r="AF655" t="s">
        <v>4099</v>
      </c>
      <c r="AG655" t="s">
        <v>4112</v>
      </c>
      <c r="AH655">
        <v>11</v>
      </c>
      <c r="AI655">
        <v>4</v>
      </c>
      <c r="AJ655">
        <v>0</v>
      </c>
      <c r="AK655">
        <v>202.73</v>
      </c>
      <c r="AL655" t="s">
        <v>261</v>
      </c>
      <c r="AM655" t="s">
        <v>4125</v>
      </c>
      <c r="AN655" t="s">
        <v>4126</v>
      </c>
      <c r="AO655">
        <v>52204</v>
      </c>
      <c r="AU655">
        <v>3.95</v>
      </c>
      <c r="AV655" t="s">
        <v>199</v>
      </c>
      <c r="AW655" t="s">
        <v>4237</v>
      </c>
      <c r="AX655" t="s">
        <v>4266</v>
      </c>
      <c r="AY655" t="s">
        <v>2224</v>
      </c>
      <c r="AZ655" t="s">
        <v>2224</v>
      </c>
    </row>
    <row r="656" spans="1:52">
      <c r="A656" s="1">
        <f>HYPERLINK("https://lsnyc.legalserver.org/matter/dynamic-profile/view/1909432","19-1909432")</f>
        <v>0</v>
      </c>
      <c r="B656" t="s">
        <v>86</v>
      </c>
      <c r="C656" t="s">
        <v>155</v>
      </c>
      <c r="D656" t="s">
        <v>194</v>
      </c>
      <c r="F656" t="s">
        <v>755</v>
      </c>
      <c r="G656" t="s">
        <v>1300</v>
      </c>
      <c r="H656" t="s">
        <v>1574</v>
      </c>
      <c r="I656" t="s">
        <v>2070</v>
      </c>
      <c r="J656" t="s">
        <v>2196</v>
      </c>
      <c r="K656">
        <v>10040</v>
      </c>
      <c r="L656" t="s">
        <v>2224</v>
      </c>
      <c r="M656" t="s">
        <v>2226</v>
      </c>
      <c r="O656" t="s">
        <v>2534</v>
      </c>
      <c r="P656" t="s">
        <v>2558</v>
      </c>
      <c r="R656" t="s">
        <v>2569</v>
      </c>
      <c r="S656" t="s">
        <v>2224</v>
      </c>
      <c r="U656" t="s">
        <v>2578</v>
      </c>
      <c r="W656" t="s">
        <v>2601</v>
      </c>
      <c r="X656">
        <v>1200</v>
      </c>
      <c r="Y656" t="s">
        <v>2607</v>
      </c>
      <c r="Z656" t="s">
        <v>2617</v>
      </c>
      <c r="AB656" t="s">
        <v>3225</v>
      </c>
      <c r="AD656" t="s">
        <v>3983</v>
      </c>
      <c r="AE656">
        <v>77</v>
      </c>
      <c r="AF656" t="s">
        <v>4098</v>
      </c>
      <c r="AG656" t="s">
        <v>2255</v>
      </c>
      <c r="AH656">
        <v>8</v>
      </c>
      <c r="AI656">
        <v>1</v>
      </c>
      <c r="AJ656">
        <v>0</v>
      </c>
      <c r="AK656">
        <v>205.6</v>
      </c>
      <c r="AL656" t="s">
        <v>261</v>
      </c>
      <c r="AM656" t="s">
        <v>4125</v>
      </c>
      <c r="AN656" t="s">
        <v>4126</v>
      </c>
      <c r="AO656">
        <v>25680</v>
      </c>
      <c r="AU656">
        <v>0.1</v>
      </c>
      <c r="AV656" t="s">
        <v>257</v>
      </c>
      <c r="AW656" t="s">
        <v>80</v>
      </c>
      <c r="AX656" t="s">
        <v>4266</v>
      </c>
      <c r="AY656" t="s">
        <v>2226</v>
      </c>
      <c r="AZ656" t="s">
        <v>2226</v>
      </c>
    </row>
    <row r="657" spans="1:52">
      <c r="A657" s="1">
        <f>HYPERLINK("https://lsnyc.legalserver.org/matter/dynamic-profile/view/1908943","19-1908943")</f>
        <v>0</v>
      </c>
      <c r="B657" t="s">
        <v>64</v>
      </c>
      <c r="C657" t="s">
        <v>155</v>
      </c>
      <c r="D657" t="s">
        <v>235</v>
      </c>
      <c r="F657" t="s">
        <v>756</v>
      </c>
      <c r="G657" t="s">
        <v>1075</v>
      </c>
      <c r="H657" t="s">
        <v>1875</v>
      </c>
      <c r="I657">
        <v>2</v>
      </c>
      <c r="J657" t="s">
        <v>2192</v>
      </c>
      <c r="K657">
        <v>11207</v>
      </c>
      <c r="L657" t="s">
        <v>2224</v>
      </c>
      <c r="M657" t="s">
        <v>2226</v>
      </c>
      <c r="N657" t="s">
        <v>2248</v>
      </c>
      <c r="O657" t="s">
        <v>2533</v>
      </c>
      <c r="P657" t="s">
        <v>2558</v>
      </c>
      <c r="R657" t="s">
        <v>2569</v>
      </c>
      <c r="S657" t="s">
        <v>2225</v>
      </c>
      <c r="U657" t="s">
        <v>2578</v>
      </c>
      <c r="V657" t="s">
        <v>2588</v>
      </c>
      <c r="W657" t="s">
        <v>289</v>
      </c>
      <c r="X657">
        <v>1000</v>
      </c>
      <c r="Y657" t="s">
        <v>2604</v>
      </c>
      <c r="Z657" t="s">
        <v>2617</v>
      </c>
      <c r="AB657" t="s">
        <v>3226</v>
      </c>
      <c r="AC657" t="s">
        <v>2255</v>
      </c>
      <c r="AE657">
        <v>3</v>
      </c>
      <c r="AF657" t="s">
        <v>4098</v>
      </c>
      <c r="AG657" t="s">
        <v>2255</v>
      </c>
      <c r="AH657">
        <v>2</v>
      </c>
      <c r="AI657">
        <v>2</v>
      </c>
      <c r="AJ657">
        <v>0</v>
      </c>
      <c r="AK657">
        <v>206.98</v>
      </c>
      <c r="AN657" t="s">
        <v>4126</v>
      </c>
      <c r="AO657">
        <v>35000</v>
      </c>
      <c r="AU657">
        <v>0.1</v>
      </c>
      <c r="AV657" t="s">
        <v>263</v>
      </c>
      <c r="AW657" t="s">
        <v>127</v>
      </c>
      <c r="AX657" t="s">
        <v>4266</v>
      </c>
      <c r="AY657" t="s">
        <v>2224</v>
      </c>
      <c r="AZ657" t="s">
        <v>2224</v>
      </c>
    </row>
    <row r="658" spans="1:52">
      <c r="A658" s="1">
        <f>HYPERLINK("https://lsnyc.legalserver.org/matter/dynamic-profile/view/1909493","19-1909493")</f>
        <v>0</v>
      </c>
      <c r="B658" t="s">
        <v>65</v>
      </c>
      <c r="C658" t="s">
        <v>155</v>
      </c>
      <c r="D658" t="s">
        <v>161</v>
      </c>
      <c r="F658" t="s">
        <v>757</v>
      </c>
      <c r="G658" t="s">
        <v>1038</v>
      </c>
      <c r="H658" t="s">
        <v>1876</v>
      </c>
      <c r="I658" t="s">
        <v>1960</v>
      </c>
      <c r="J658" t="s">
        <v>2192</v>
      </c>
      <c r="K658">
        <v>11207</v>
      </c>
      <c r="L658" t="s">
        <v>2224</v>
      </c>
      <c r="M658" t="s">
        <v>2226</v>
      </c>
      <c r="N658" t="s">
        <v>2238</v>
      </c>
      <c r="O658" t="s">
        <v>2238</v>
      </c>
      <c r="P658" t="s">
        <v>2561</v>
      </c>
      <c r="R658" t="s">
        <v>2569</v>
      </c>
      <c r="S658" t="s">
        <v>2225</v>
      </c>
      <c r="U658" t="s">
        <v>2578</v>
      </c>
      <c r="W658" t="s">
        <v>167</v>
      </c>
      <c r="X658">
        <v>0</v>
      </c>
      <c r="Y658" t="s">
        <v>2604</v>
      </c>
      <c r="Z658" t="s">
        <v>2609</v>
      </c>
      <c r="AB658" t="s">
        <v>3227</v>
      </c>
      <c r="AD658" t="s">
        <v>3984</v>
      </c>
      <c r="AE658">
        <v>102</v>
      </c>
      <c r="AF658" t="s">
        <v>4099</v>
      </c>
      <c r="AG658" t="s">
        <v>2255</v>
      </c>
      <c r="AH658">
        <v>0</v>
      </c>
      <c r="AI658">
        <v>2</v>
      </c>
      <c r="AJ658">
        <v>0</v>
      </c>
      <c r="AK658">
        <v>210.55</v>
      </c>
      <c r="AN658" t="s">
        <v>4126</v>
      </c>
      <c r="AO658">
        <v>35604</v>
      </c>
      <c r="AU658">
        <v>3</v>
      </c>
      <c r="AV658" t="s">
        <v>241</v>
      </c>
      <c r="AW658" t="s">
        <v>127</v>
      </c>
      <c r="AX658" t="s">
        <v>4266</v>
      </c>
      <c r="AY658" t="s">
        <v>2226</v>
      </c>
      <c r="AZ658" t="s">
        <v>2226</v>
      </c>
    </row>
    <row r="659" spans="1:52">
      <c r="A659" s="1">
        <f>HYPERLINK("https://lsnyc.legalserver.org/matter/dynamic-profile/view/1906710","19-1906710")</f>
        <v>0</v>
      </c>
      <c r="B659" t="s">
        <v>67</v>
      </c>
      <c r="C659" t="s">
        <v>155</v>
      </c>
      <c r="D659" t="s">
        <v>187</v>
      </c>
      <c r="F659" t="s">
        <v>758</v>
      </c>
      <c r="G659" t="s">
        <v>1301</v>
      </c>
      <c r="H659" t="s">
        <v>1498</v>
      </c>
      <c r="I659" t="s">
        <v>1949</v>
      </c>
      <c r="J659" t="s">
        <v>2192</v>
      </c>
      <c r="K659">
        <v>11225</v>
      </c>
      <c r="L659" t="s">
        <v>2224</v>
      </c>
      <c r="M659" t="s">
        <v>2226</v>
      </c>
      <c r="O659" t="s">
        <v>2537</v>
      </c>
      <c r="P659" t="s">
        <v>2556</v>
      </c>
      <c r="R659" t="s">
        <v>2569</v>
      </c>
      <c r="S659" t="s">
        <v>2225</v>
      </c>
      <c r="T659" t="s">
        <v>2571</v>
      </c>
      <c r="U659" t="s">
        <v>2578</v>
      </c>
      <c r="W659" t="s">
        <v>173</v>
      </c>
      <c r="X659">
        <v>1976.11</v>
      </c>
      <c r="Y659" t="s">
        <v>2604</v>
      </c>
      <c r="AB659" t="s">
        <v>3228</v>
      </c>
      <c r="AD659" t="s">
        <v>3985</v>
      </c>
      <c r="AE659">
        <v>11</v>
      </c>
      <c r="AH659">
        <v>6</v>
      </c>
      <c r="AI659">
        <v>2</v>
      </c>
      <c r="AJ659">
        <v>1</v>
      </c>
      <c r="AK659">
        <v>211.25</v>
      </c>
      <c r="AN659" t="s">
        <v>4126</v>
      </c>
      <c r="AO659">
        <v>45060</v>
      </c>
      <c r="AU659">
        <v>1.6</v>
      </c>
      <c r="AV659" t="s">
        <v>211</v>
      </c>
      <c r="AW659" t="s">
        <v>153</v>
      </c>
      <c r="AX659" t="s">
        <v>4266</v>
      </c>
      <c r="AY659" t="s">
        <v>2224</v>
      </c>
      <c r="AZ659" t="s">
        <v>2224</v>
      </c>
    </row>
    <row r="660" spans="1:52">
      <c r="A660" s="1">
        <f>HYPERLINK("https://lsnyc.legalserver.org/matter/dynamic-profile/view/1906759","19-1906759")</f>
        <v>0</v>
      </c>
      <c r="B660" t="s">
        <v>67</v>
      </c>
      <c r="C660" t="s">
        <v>155</v>
      </c>
      <c r="D660" t="s">
        <v>187</v>
      </c>
      <c r="F660" t="s">
        <v>759</v>
      </c>
      <c r="G660" t="s">
        <v>1302</v>
      </c>
      <c r="H660" t="s">
        <v>1498</v>
      </c>
      <c r="J660" t="s">
        <v>2192</v>
      </c>
      <c r="K660">
        <v>11225</v>
      </c>
      <c r="L660" t="s">
        <v>2224</v>
      </c>
      <c r="M660" t="s">
        <v>2226</v>
      </c>
      <c r="O660" t="s">
        <v>2541</v>
      </c>
      <c r="P660" t="s">
        <v>2557</v>
      </c>
      <c r="R660" t="s">
        <v>2569</v>
      </c>
      <c r="T660" t="s">
        <v>2571</v>
      </c>
      <c r="U660" t="s">
        <v>2578</v>
      </c>
      <c r="W660" t="s">
        <v>173</v>
      </c>
      <c r="X660">
        <v>1976.11</v>
      </c>
      <c r="Y660" t="s">
        <v>2604</v>
      </c>
      <c r="AB660" t="s">
        <v>3229</v>
      </c>
      <c r="AE660">
        <v>11</v>
      </c>
      <c r="AH660">
        <v>6</v>
      </c>
      <c r="AI660">
        <v>2</v>
      </c>
      <c r="AJ660">
        <v>1</v>
      </c>
      <c r="AK660">
        <v>211.25</v>
      </c>
      <c r="AN660" t="s">
        <v>4126</v>
      </c>
      <c r="AO660">
        <v>45060</v>
      </c>
      <c r="AU660">
        <v>0.1</v>
      </c>
      <c r="AV660" t="s">
        <v>184</v>
      </c>
      <c r="AW660" t="s">
        <v>153</v>
      </c>
      <c r="AX660" t="s">
        <v>4266</v>
      </c>
      <c r="AY660" t="s">
        <v>2224</v>
      </c>
      <c r="AZ660" t="s">
        <v>2224</v>
      </c>
    </row>
    <row r="661" spans="1:52">
      <c r="A661" s="1">
        <f>HYPERLINK("https://lsnyc.legalserver.org/matter/dynamic-profile/view/1907750","19-1907750")</f>
        <v>0</v>
      </c>
      <c r="B661" t="s">
        <v>149</v>
      </c>
      <c r="C661" t="s">
        <v>155</v>
      </c>
      <c r="D661" t="s">
        <v>183</v>
      </c>
      <c r="F661" t="s">
        <v>760</v>
      </c>
      <c r="G661" t="s">
        <v>1303</v>
      </c>
      <c r="H661" t="s">
        <v>1877</v>
      </c>
      <c r="I661">
        <v>506</v>
      </c>
      <c r="J661" t="s">
        <v>2199</v>
      </c>
      <c r="K661">
        <v>11355</v>
      </c>
      <c r="L661" t="s">
        <v>2224</v>
      </c>
      <c r="M661" t="s">
        <v>2226</v>
      </c>
      <c r="N661" t="s">
        <v>2498</v>
      </c>
      <c r="O661" t="s">
        <v>2535</v>
      </c>
      <c r="P661" t="s">
        <v>2558</v>
      </c>
      <c r="R661" t="s">
        <v>2569</v>
      </c>
      <c r="S661" t="s">
        <v>2225</v>
      </c>
      <c r="U661" t="s">
        <v>2578</v>
      </c>
      <c r="V661" t="s">
        <v>2591</v>
      </c>
      <c r="W661" t="s">
        <v>183</v>
      </c>
      <c r="X661">
        <v>1325</v>
      </c>
      <c r="Y661" t="s">
        <v>2603</v>
      </c>
      <c r="Z661" t="s">
        <v>2613</v>
      </c>
      <c r="AB661" t="s">
        <v>3230</v>
      </c>
      <c r="AD661" t="s">
        <v>3986</v>
      </c>
      <c r="AE661">
        <v>47</v>
      </c>
      <c r="AF661" t="s">
        <v>2518</v>
      </c>
      <c r="AG661" t="s">
        <v>2255</v>
      </c>
      <c r="AH661">
        <v>3</v>
      </c>
      <c r="AI661">
        <v>2</v>
      </c>
      <c r="AJ661">
        <v>0</v>
      </c>
      <c r="AK661">
        <v>211.71</v>
      </c>
      <c r="AL661" t="s">
        <v>186</v>
      </c>
      <c r="AM661" t="s">
        <v>4125</v>
      </c>
      <c r="AN661" t="s">
        <v>4126</v>
      </c>
      <c r="AO661">
        <v>35800</v>
      </c>
      <c r="AU661">
        <v>20.6</v>
      </c>
      <c r="AV661" t="s">
        <v>204</v>
      </c>
      <c r="AW661" t="s">
        <v>4224</v>
      </c>
      <c r="AX661" t="s">
        <v>4266</v>
      </c>
      <c r="AY661" t="s">
        <v>2224</v>
      </c>
      <c r="AZ661" t="s">
        <v>2224</v>
      </c>
    </row>
    <row r="662" spans="1:52">
      <c r="A662" s="1">
        <f>HYPERLINK("https://lsnyc.legalserver.org/matter/dynamic-profile/view/1901828","19-1901828")</f>
        <v>0</v>
      </c>
      <c r="B662" t="s">
        <v>58</v>
      </c>
      <c r="C662" t="s">
        <v>155</v>
      </c>
      <c r="D662" t="s">
        <v>236</v>
      </c>
      <c r="F662" t="s">
        <v>761</v>
      </c>
      <c r="G662" t="s">
        <v>1304</v>
      </c>
      <c r="H662" t="s">
        <v>1878</v>
      </c>
      <c r="I662" t="s">
        <v>2154</v>
      </c>
      <c r="J662" t="s">
        <v>2192</v>
      </c>
      <c r="K662">
        <v>11225</v>
      </c>
      <c r="L662" t="s">
        <v>2224</v>
      </c>
      <c r="M662" t="s">
        <v>2226</v>
      </c>
      <c r="O662" t="s">
        <v>2541</v>
      </c>
      <c r="P662" t="s">
        <v>2557</v>
      </c>
      <c r="R662" t="s">
        <v>2569</v>
      </c>
      <c r="S662" t="s">
        <v>2225</v>
      </c>
      <c r="U662" t="s">
        <v>2578</v>
      </c>
      <c r="W662" t="s">
        <v>254</v>
      </c>
      <c r="X662">
        <v>0</v>
      </c>
      <c r="Y662" t="s">
        <v>2604</v>
      </c>
      <c r="AB662" t="s">
        <v>3231</v>
      </c>
      <c r="AD662" t="s">
        <v>3987</v>
      </c>
      <c r="AE662">
        <v>21</v>
      </c>
      <c r="AH662">
        <v>0</v>
      </c>
      <c r="AI662">
        <v>2</v>
      </c>
      <c r="AJ662">
        <v>0</v>
      </c>
      <c r="AK662">
        <v>214.67</v>
      </c>
      <c r="AL662" t="s">
        <v>198</v>
      </c>
      <c r="AM662" t="s">
        <v>4125</v>
      </c>
      <c r="AN662" t="s">
        <v>4126</v>
      </c>
      <c r="AO662">
        <v>36300</v>
      </c>
      <c r="AR662" t="s">
        <v>2611</v>
      </c>
      <c r="AS662" t="s">
        <v>4188</v>
      </c>
      <c r="AT662" t="s">
        <v>4216</v>
      </c>
      <c r="AU662">
        <v>4.2</v>
      </c>
      <c r="AV662" t="s">
        <v>180</v>
      </c>
      <c r="AW662" t="s">
        <v>124</v>
      </c>
      <c r="AX662" t="s">
        <v>4266</v>
      </c>
      <c r="AY662" t="s">
        <v>2226</v>
      </c>
      <c r="AZ662" t="s">
        <v>2226</v>
      </c>
    </row>
    <row r="663" spans="1:52">
      <c r="A663" s="1">
        <f>HYPERLINK("https://lsnyc.legalserver.org/matter/dynamic-profile/view/1912866","19-1912866")</f>
        <v>0</v>
      </c>
      <c r="B663" t="s">
        <v>53</v>
      </c>
      <c r="C663" t="s">
        <v>155</v>
      </c>
      <c r="D663" t="s">
        <v>204</v>
      </c>
      <c r="F663" t="s">
        <v>504</v>
      </c>
      <c r="G663" t="s">
        <v>1305</v>
      </c>
      <c r="H663" t="s">
        <v>1397</v>
      </c>
      <c r="I663" t="s">
        <v>1960</v>
      </c>
      <c r="J663" t="s">
        <v>2187</v>
      </c>
      <c r="K663">
        <v>11691</v>
      </c>
      <c r="L663" t="s">
        <v>2224</v>
      </c>
      <c r="M663" t="s">
        <v>2226</v>
      </c>
      <c r="O663" t="s">
        <v>2534</v>
      </c>
      <c r="P663" t="s">
        <v>2558</v>
      </c>
      <c r="R663" t="s">
        <v>2569</v>
      </c>
      <c r="S663" t="s">
        <v>2224</v>
      </c>
      <c r="U663" t="s">
        <v>2578</v>
      </c>
      <c r="W663" t="s">
        <v>204</v>
      </c>
      <c r="X663">
        <v>637</v>
      </c>
      <c r="Y663" t="s">
        <v>2603</v>
      </c>
      <c r="Z663" t="s">
        <v>2609</v>
      </c>
      <c r="AB663" t="s">
        <v>3232</v>
      </c>
      <c r="AD663" t="s">
        <v>3988</v>
      </c>
      <c r="AE663">
        <v>43</v>
      </c>
      <c r="AF663" t="s">
        <v>4099</v>
      </c>
      <c r="AG663" t="s">
        <v>2255</v>
      </c>
      <c r="AH663">
        <v>17</v>
      </c>
      <c r="AI663">
        <v>2</v>
      </c>
      <c r="AJ663">
        <v>0</v>
      </c>
      <c r="AK663">
        <v>215.26</v>
      </c>
      <c r="AN663" t="s">
        <v>4127</v>
      </c>
      <c r="AO663">
        <v>36400</v>
      </c>
      <c r="AU663">
        <v>0</v>
      </c>
      <c r="AW663" t="s">
        <v>4224</v>
      </c>
      <c r="AX663" t="s">
        <v>4266</v>
      </c>
      <c r="AY663" t="s">
        <v>2224</v>
      </c>
      <c r="AZ663" t="s">
        <v>2224</v>
      </c>
    </row>
    <row r="664" spans="1:52">
      <c r="A664" s="1">
        <f>HYPERLINK("https://lsnyc.legalserver.org/matter/dynamic-profile/view/1912648","19-1912648")</f>
        <v>0</v>
      </c>
      <c r="B664" t="s">
        <v>53</v>
      </c>
      <c r="C664" t="s">
        <v>155</v>
      </c>
      <c r="D664" t="s">
        <v>157</v>
      </c>
      <c r="F664" t="s">
        <v>504</v>
      </c>
      <c r="G664" t="s">
        <v>1305</v>
      </c>
      <c r="H664" t="s">
        <v>1397</v>
      </c>
      <c r="I664" t="s">
        <v>1960</v>
      </c>
      <c r="J664" t="s">
        <v>2187</v>
      </c>
      <c r="K664">
        <v>11691</v>
      </c>
      <c r="L664" t="s">
        <v>2224</v>
      </c>
      <c r="M664" t="s">
        <v>2226</v>
      </c>
      <c r="O664" t="s">
        <v>2535</v>
      </c>
      <c r="P664" t="s">
        <v>2558</v>
      </c>
      <c r="R664" t="s">
        <v>2569</v>
      </c>
      <c r="S664" t="s">
        <v>2224</v>
      </c>
      <c r="U664" t="s">
        <v>2578</v>
      </c>
      <c r="W664" t="s">
        <v>157</v>
      </c>
      <c r="X664">
        <v>637</v>
      </c>
      <c r="Y664" t="s">
        <v>2603</v>
      </c>
      <c r="Z664" t="s">
        <v>2609</v>
      </c>
      <c r="AB664" t="s">
        <v>3232</v>
      </c>
      <c r="AD664" t="s">
        <v>3988</v>
      </c>
      <c r="AE664">
        <v>43</v>
      </c>
      <c r="AF664" t="s">
        <v>4099</v>
      </c>
      <c r="AG664" t="s">
        <v>2255</v>
      </c>
      <c r="AH664">
        <v>17</v>
      </c>
      <c r="AI664">
        <v>2</v>
      </c>
      <c r="AJ664">
        <v>0</v>
      </c>
      <c r="AK664">
        <v>215.26</v>
      </c>
      <c r="AN664" t="s">
        <v>4127</v>
      </c>
      <c r="AO664">
        <v>36400</v>
      </c>
      <c r="AU664">
        <v>0.4</v>
      </c>
      <c r="AV664" t="s">
        <v>157</v>
      </c>
      <c r="AW664" t="s">
        <v>4224</v>
      </c>
      <c r="AX664" t="s">
        <v>4266</v>
      </c>
      <c r="AY664" t="s">
        <v>2224</v>
      </c>
      <c r="AZ664" t="s">
        <v>2224</v>
      </c>
    </row>
    <row r="665" spans="1:52">
      <c r="A665" s="1">
        <f>HYPERLINK("https://lsnyc.legalserver.org/matter/dynamic-profile/view/1907259","19-1907259")</f>
        <v>0</v>
      </c>
      <c r="B665" t="s">
        <v>68</v>
      </c>
      <c r="C665" t="s">
        <v>155</v>
      </c>
      <c r="D665" t="s">
        <v>185</v>
      </c>
      <c r="F665" t="s">
        <v>762</v>
      </c>
      <c r="G665" t="s">
        <v>1306</v>
      </c>
      <c r="H665" t="s">
        <v>1422</v>
      </c>
      <c r="I665" t="s">
        <v>2155</v>
      </c>
      <c r="J665" t="s">
        <v>2192</v>
      </c>
      <c r="K665">
        <v>11225</v>
      </c>
      <c r="L665" t="s">
        <v>2225</v>
      </c>
      <c r="M665" t="s">
        <v>2226</v>
      </c>
      <c r="O665" t="s">
        <v>2539</v>
      </c>
      <c r="P665" t="s">
        <v>2557</v>
      </c>
      <c r="R665" t="s">
        <v>2569</v>
      </c>
      <c r="S665" t="s">
        <v>2224</v>
      </c>
      <c r="U665" t="s">
        <v>2578</v>
      </c>
      <c r="W665" t="s">
        <v>185</v>
      </c>
      <c r="X665">
        <v>0</v>
      </c>
      <c r="Y665" t="s">
        <v>2604</v>
      </c>
      <c r="AB665" t="s">
        <v>3233</v>
      </c>
      <c r="AE665">
        <v>46</v>
      </c>
      <c r="AH665">
        <v>0</v>
      </c>
      <c r="AI665">
        <v>2</v>
      </c>
      <c r="AJ665">
        <v>0</v>
      </c>
      <c r="AK665">
        <v>215.26</v>
      </c>
      <c r="AN665" t="s">
        <v>4126</v>
      </c>
      <c r="AO665">
        <v>36400</v>
      </c>
      <c r="AU665">
        <v>9.75</v>
      </c>
      <c r="AV665" t="s">
        <v>214</v>
      </c>
      <c r="AW665" t="s">
        <v>153</v>
      </c>
      <c r="AY665" t="s">
        <v>2226</v>
      </c>
      <c r="AZ665" t="s">
        <v>2226</v>
      </c>
    </row>
    <row r="666" spans="1:52">
      <c r="A666" s="1">
        <f>HYPERLINK("https://lsnyc.legalserver.org/matter/dynamic-profile/view/1909505","19-1909505")</f>
        <v>0</v>
      </c>
      <c r="B666" t="s">
        <v>60</v>
      </c>
      <c r="C666" t="s">
        <v>155</v>
      </c>
      <c r="D666" t="s">
        <v>161</v>
      </c>
      <c r="F666" t="s">
        <v>763</v>
      </c>
      <c r="G666" t="s">
        <v>1307</v>
      </c>
      <c r="H666" t="s">
        <v>1879</v>
      </c>
      <c r="I666" t="s">
        <v>1957</v>
      </c>
      <c r="J666" t="s">
        <v>2192</v>
      </c>
      <c r="K666">
        <v>11207</v>
      </c>
      <c r="L666" t="s">
        <v>2224</v>
      </c>
      <c r="M666" t="s">
        <v>2226</v>
      </c>
      <c r="N666" t="s">
        <v>2499</v>
      </c>
      <c r="O666" t="s">
        <v>2535</v>
      </c>
      <c r="P666" t="s">
        <v>2558</v>
      </c>
      <c r="R666" t="s">
        <v>2569</v>
      </c>
      <c r="S666" t="s">
        <v>2225</v>
      </c>
      <c r="U666" t="s">
        <v>2578</v>
      </c>
      <c r="V666" t="s">
        <v>2588</v>
      </c>
      <c r="W666" t="s">
        <v>211</v>
      </c>
      <c r="X666">
        <v>538</v>
      </c>
      <c r="Y666" t="s">
        <v>2604</v>
      </c>
      <c r="Z666" t="s">
        <v>2611</v>
      </c>
      <c r="AB666" t="s">
        <v>3234</v>
      </c>
      <c r="AD666" t="s">
        <v>3989</v>
      </c>
      <c r="AE666">
        <v>60</v>
      </c>
      <c r="AF666" t="s">
        <v>4100</v>
      </c>
      <c r="AG666" t="s">
        <v>2611</v>
      </c>
      <c r="AH666">
        <v>20</v>
      </c>
      <c r="AI666">
        <v>2</v>
      </c>
      <c r="AJ666">
        <v>1</v>
      </c>
      <c r="AK666">
        <v>215.66</v>
      </c>
      <c r="AN666" t="s">
        <v>4126</v>
      </c>
      <c r="AO666">
        <v>46000</v>
      </c>
      <c r="AU666">
        <v>2.2</v>
      </c>
      <c r="AV666" t="s">
        <v>163</v>
      </c>
      <c r="AW666" t="s">
        <v>127</v>
      </c>
      <c r="AX666" t="s">
        <v>4266</v>
      </c>
      <c r="AY666" t="s">
        <v>2224</v>
      </c>
      <c r="AZ666" t="s">
        <v>2224</v>
      </c>
    </row>
    <row r="667" spans="1:52">
      <c r="A667" s="1">
        <f>HYPERLINK("https://lsnyc.legalserver.org/matter/dynamic-profile/view/1906258","19-1906258")</f>
        <v>0</v>
      </c>
      <c r="B667" t="s">
        <v>113</v>
      </c>
      <c r="C667" t="s">
        <v>155</v>
      </c>
      <c r="D667" t="s">
        <v>220</v>
      </c>
      <c r="F667" t="s">
        <v>764</v>
      </c>
      <c r="G667" t="s">
        <v>1308</v>
      </c>
      <c r="H667" t="s">
        <v>1880</v>
      </c>
      <c r="I667">
        <v>6</v>
      </c>
      <c r="J667" t="s">
        <v>2192</v>
      </c>
      <c r="K667">
        <v>11230</v>
      </c>
      <c r="L667" t="s">
        <v>2224</v>
      </c>
      <c r="M667" t="s">
        <v>2226</v>
      </c>
      <c r="O667" t="s">
        <v>2534</v>
      </c>
      <c r="P667" t="s">
        <v>2558</v>
      </c>
      <c r="R667" t="s">
        <v>2569</v>
      </c>
      <c r="S667" t="s">
        <v>2225</v>
      </c>
      <c r="U667" t="s">
        <v>2578</v>
      </c>
      <c r="W667" t="s">
        <v>220</v>
      </c>
      <c r="X667">
        <v>0</v>
      </c>
      <c r="Y667" t="s">
        <v>2604</v>
      </c>
      <c r="AB667" t="s">
        <v>3235</v>
      </c>
      <c r="AD667" t="s">
        <v>3990</v>
      </c>
      <c r="AE667">
        <v>6</v>
      </c>
      <c r="AF667" t="s">
        <v>4099</v>
      </c>
      <c r="AH667">
        <v>0</v>
      </c>
      <c r="AI667">
        <v>2</v>
      </c>
      <c r="AJ667">
        <v>1</v>
      </c>
      <c r="AK667">
        <v>216.6</v>
      </c>
      <c r="AL667" t="s">
        <v>186</v>
      </c>
      <c r="AM667" t="s">
        <v>4125</v>
      </c>
      <c r="AN667" t="s">
        <v>4127</v>
      </c>
      <c r="AO667">
        <v>46200</v>
      </c>
      <c r="AU667">
        <v>15.2</v>
      </c>
      <c r="AV667" t="s">
        <v>165</v>
      </c>
      <c r="AW667" t="s">
        <v>153</v>
      </c>
      <c r="AX667" t="s">
        <v>4266</v>
      </c>
      <c r="AY667" t="s">
        <v>2224</v>
      </c>
      <c r="AZ667" t="s">
        <v>2224</v>
      </c>
    </row>
    <row r="668" spans="1:52">
      <c r="A668" s="1">
        <f>HYPERLINK("https://lsnyc.legalserver.org/matter/dynamic-profile/view/1906473","19-1906473")</f>
        <v>0</v>
      </c>
      <c r="B668" t="s">
        <v>64</v>
      </c>
      <c r="C668" t="s">
        <v>155</v>
      </c>
      <c r="D668" t="s">
        <v>244</v>
      </c>
      <c r="F668" t="s">
        <v>765</v>
      </c>
      <c r="G668" t="s">
        <v>828</v>
      </c>
      <c r="H668" t="s">
        <v>1881</v>
      </c>
      <c r="I668" t="s">
        <v>1968</v>
      </c>
      <c r="J668" t="s">
        <v>2192</v>
      </c>
      <c r="K668">
        <v>11208</v>
      </c>
      <c r="L668" t="s">
        <v>2224</v>
      </c>
      <c r="M668" t="s">
        <v>2226</v>
      </c>
      <c r="N668" t="s">
        <v>2500</v>
      </c>
      <c r="O668" t="s">
        <v>2535</v>
      </c>
      <c r="P668" t="s">
        <v>2558</v>
      </c>
      <c r="R668" t="s">
        <v>2569</v>
      </c>
      <c r="S668" t="s">
        <v>2225</v>
      </c>
      <c r="U668" t="s">
        <v>2578</v>
      </c>
      <c r="V668" t="s">
        <v>2588</v>
      </c>
      <c r="W668" t="s">
        <v>220</v>
      </c>
      <c r="X668">
        <v>913</v>
      </c>
      <c r="Y668" t="s">
        <v>2604</v>
      </c>
      <c r="Z668" t="s">
        <v>2613</v>
      </c>
      <c r="AB668" t="s">
        <v>3236</v>
      </c>
      <c r="AC668" t="s">
        <v>2255</v>
      </c>
      <c r="AD668" t="s">
        <v>3991</v>
      </c>
      <c r="AE668">
        <v>64</v>
      </c>
      <c r="AF668" t="s">
        <v>4099</v>
      </c>
      <c r="AG668" t="s">
        <v>2255</v>
      </c>
      <c r="AH668">
        <v>5</v>
      </c>
      <c r="AI668">
        <v>2</v>
      </c>
      <c r="AJ668">
        <v>0</v>
      </c>
      <c r="AK668">
        <v>218.81</v>
      </c>
      <c r="AL668" t="s">
        <v>186</v>
      </c>
      <c r="AM668" t="s">
        <v>4125</v>
      </c>
      <c r="AN668" t="s">
        <v>4126</v>
      </c>
      <c r="AO668">
        <v>37000</v>
      </c>
      <c r="AU668">
        <v>5.7</v>
      </c>
      <c r="AV668" t="s">
        <v>261</v>
      </c>
      <c r="AW668" t="s">
        <v>4226</v>
      </c>
      <c r="AX668" t="s">
        <v>4266</v>
      </c>
      <c r="AY668" t="s">
        <v>2226</v>
      </c>
      <c r="AZ668" t="s">
        <v>2226</v>
      </c>
    </row>
    <row r="669" spans="1:52">
      <c r="A669" s="1">
        <f>HYPERLINK("https://lsnyc.legalserver.org/matter/dynamic-profile/view/1906627","19-1906627")</f>
        <v>0</v>
      </c>
      <c r="B669" t="s">
        <v>69</v>
      </c>
      <c r="C669" t="s">
        <v>155</v>
      </c>
      <c r="D669" t="s">
        <v>195</v>
      </c>
      <c r="F669" t="s">
        <v>766</v>
      </c>
      <c r="G669" t="s">
        <v>1309</v>
      </c>
      <c r="H669" t="s">
        <v>1882</v>
      </c>
      <c r="J669" t="s">
        <v>2192</v>
      </c>
      <c r="K669">
        <v>11206</v>
      </c>
      <c r="L669" t="s">
        <v>2224</v>
      </c>
      <c r="M669" t="s">
        <v>2226</v>
      </c>
      <c r="N669" t="s">
        <v>2501</v>
      </c>
      <c r="O669" t="s">
        <v>2535</v>
      </c>
      <c r="P669" t="s">
        <v>2558</v>
      </c>
      <c r="R669" t="s">
        <v>2569</v>
      </c>
      <c r="S669" t="s">
        <v>2225</v>
      </c>
      <c r="U669" t="s">
        <v>2578</v>
      </c>
      <c r="V669" t="s">
        <v>2588</v>
      </c>
      <c r="W669" t="s">
        <v>195</v>
      </c>
      <c r="X669">
        <v>588</v>
      </c>
      <c r="Y669" t="s">
        <v>2604</v>
      </c>
      <c r="Z669" t="s">
        <v>2613</v>
      </c>
      <c r="AB669" t="s">
        <v>3237</v>
      </c>
      <c r="AD669" t="s">
        <v>3992</v>
      </c>
      <c r="AE669">
        <v>8</v>
      </c>
      <c r="AF669" t="s">
        <v>4099</v>
      </c>
      <c r="AH669">
        <v>4</v>
      </c>
      <c r="AI669">
        <v>1</v>
      </c>
      <c r="AJ669">
        <v>1</v>
      </c>
      <c r="AK669">
        <v>218.81</v>
      </c>
      <c r="AL669" t="s">
        <v>186</v>
      </c>
      <c r="AM669" t="s">
        <v>4125</v>
      </c>
      <c r="AN669" t="s">
        <v>4126</v>
      </c>
      <c r="AO669">
        <v>37000</v>
      </c>
      <c r="AU669">
        <v>18.35</v>
      </c>
      <c r="AV669" t="s">
        <v>165</v>
      </c>
      <c r="AW669" t="s">
        <v>97</v>
      </c>
      <c r="AX669" t="s">
        <v>4266</v>
      </c>
      <c r="AY669" t="s">
        <v>2224</v>
      </c>
      <c r="AZ669" t="s">
        <v>2224</v>
      </c>
    </row>
    <row r="670" spans="1:52">
      <c r="A670" s="1">
        <f>HYPERLINK("https://lsnyc.legalserver.org/matter/dynamic-profile/view/1906747","19-1906747")</f>
        <v>0</v>
      </c>
      <c r="B670" t="s">
        <v>86</v>
      </c>
      <c r="C670" t="s">
        <v>154</v>
      </c>
      <c r="D670" t="s">
        <v>187</v>
      </c>
      <c r="E670" t="s">
        <v>187</v>
      </c>
      <c r="F670" t="s">
        <v>587</v>
      </c>
      <c r="G670" t="s">
        <v>1310</v>
      </c>
      <c r="H670" t="s">
        <v>1883</v>
      </c>
      <c r="I670" t="s">
        <v>2156</v>
      </c>
      <c r="J670" t="s">
        <v>2196</v>
      </c>
      <c r="K670">
        <v>10034</v>
      </c>
      <c r="L670" t="s">
        <v>2224</v>
      </c>
      <c r="M670" t="s">
        <v>2226</v>
      </c>
      <c r="N670" t="s">
        <v>2502</v>
      </c>
      <c r="O670" t="s">
        <v>2533</v>
      </c>
      <c r="P670" t="s">
        <v>2556</v>
      </c>
      <c r="Q670" t="s">
        <v>2563</v>
      </c>
      <c r="R670" t="s">
        <v>2569</v>
      </c>
      <c r="S670" t="s">
        <v>2225</v>
      </c>
      <c r="U670" t="s">
        <v>2578</v>
      </c>
      <c r="W670" t="s">
        <v>187</v>
      </c>
      <c r="X670">
        <v>965.02</v>
      </c>
      <c r="Y670" t="s">
        <v>2607</v>
      </c>
      <c r="Z670" t="s">
        <v>2615</v>
      </c>
      <c r="AA670" t="s">
        <v>2626</v>
      </c>
      <c r="AB670" t="s">
        <v>3238</v>
      </c>
      <c r="AD670" t="s">
        <v>3993</v>
      </c>
      <c r="AE670">
        <v>61</v>
      </c>
      <c r="AF670" t="s">
        <v>4099</v>
      </c>
      <c r="AG670" t="s">
        <v>2255</v>
      </c>
      <c r="AH670">
        <v>45</v>
      </c>
      <c r="AI670">
        <v>2</v>
      </c>
      <c r="AJ670">
        <v>2</v>
      </c>
      <c r="AK670">
        <v>221.36</v>
      </c>
      <c r="AN670" t="s">
        <v>4126</v>
      </c>
      <c r="AO670">
        <v>57000</v>
      </c>
      <c r="AU670">
        <v>1.7</v>
      </c>
      <c r="AV670" t="s">
        <v>268</v>
      </c>
      <c r="AW670" t="s">
        <v>80</v>
      </c>
      <c r="AX670" t="s">
        <v>4266</v>
      </c>
      <c r="AY670" t="s">
        <v>2226</v>
      </c>
      <c r="AZ670" t="s">
        <v>2225</v>
      </c>
    </row>
    <row r="671" spans="1:52">
      <c r="A671" s="1">
        <f>HYPERLINK("https://lsnyc.legalserver.org/matter/dynamic-profile/view/1909471","19-1909471")</f>
        <v>0</v>
      </c>
      <c r="B671" t="s">
        <v>64</v>
      </c>
      <c r="C671" t="s">
        <v>155</v>
      </c>
      <c r="D671" t="s">
        <v>161</v>
      </c>
      <c r="F671" t="s">
        <v>767</v>
      </c>
      <c r="G671" t="s">
        <v>1311</v>
      </c>
      <c r="H671" t="s">
        <v>1884</v>
      </c>
      <c r="I671" t="s">
        <v>1962</v>
      </c>
      <c r="J671" t="s">
        <v>2192</v>
      </c>
      <c r="K671">
        <v>11233</v>
      </c>
      <c r="L671" t="s">
        <v>2224</v>
      </c>
      <c r="M671" t="s">
        <v>2226</v>
      </c>
      <c r="N671" t="s">
        <v>2503</v>
      </c>
      <c r="O671" t="s">
        <v>2535</v>
      </c>
      <c r="P671" t="s">
        <v>2558</v>
      </c>
      <c r="R671" t="s">
        <v>2569</v>
      </c>
      <c r="S671" t="s">
        <v>2225</v>
      </c>
      <c r="U671" t="s">
        <v>2578</v>
      </c>
      <c r="V671" t="s">
        <v>2592</v>
      </c>
      <c r="W671" t="s">
        <v>268</v>
      </c>
      <c r="X671">
        <v>1300</v>
      </c>
      <c r="Y671" t="s">
        <v>2604</v>
      </c>
      <c r="Z671" t="s">
        <v>2620</v>
      </c>
      <c r="AB671" t="s">
        <v>3239</v>
      </c>
      <c r="AC671" t="s">
        <v>3368</v>
      </c>
      <c r="AD671" t="s">
        <v>3994</v>
      </c>
      <c r="AE671">
        <v>9</v>
      </c>
      <c r="AF671" t="s">
        <v>4099</v>
      </c>
      <c r="AG671" t="s">
        <v>2255</v>
      </c>
      <c r="AH671">
        <v>7</v>
      </c>
      <c r="AI671">
        <v>1</v>
      </c>
      <c r="AJ671">
        <v>1</v>
      </c>
      <c r="AK671">
        <v>222.02</v>
      </c>
      <c r="AN671" t="s">
        <v>4126</v>
      </c>
      <c r="AO671">
        <v>37544</v>
      </c>
      <c r="AP671" t="s">
        <v>4160</v>
      </c>
      <c r="AU671">
        <v>39.6</v>
      </c>
      <c r="AV671" t="s">
        <v>230</v>
      </c>
      <c r="AW671" t="s">
        <v>4226</v>
      </c>
      <c r="AX671" t="s">
        <v>4266</v>
      </c>
      <c r="AY671" t="s">
        <v>2226</v>
      </c>
      <c r="AZ671" t="s">
        <v>2226</v>
      </c>
    </row>
    <row r="672" spans="1:52">
      <c r="A672" s="1">
        <f>HYPERLINK("https://lsnyc.legalserver.org/matter/dynamic-profile/view/1912365","19-1912365")</f>
        <v>0</v>
      </c>
      <c r="B672" t="s">
        <v>104</v>
      </c>
      <c r="C672" t="s">
        <v>155</v>
      </c>
      <c r="D672" t="s">
        <v>169</v>
      </c>
      <c r="F672" t="s">
        <v>744</v>
      </c>
      <c r="G672" t="s">
        <v>907</v>
      </c>
      <c r="H672" t="s">
        <v>1550</v>
      </c>
      <c r="I672" t="s">
        <v>2015</v>
      </c>
      <c r="J672" t="s">
        <v>2196</v>
      </c>
      <c r="K672">
        <v>10040</v>
      </c>
      <c r="L672" t="s">
        <v>2224</v>
      </c>
      <c r="M672" t="s">
        <v>2226</v>
      </c>
      <c r="O672" t="s">
        <v>2537</v>
      </c>
      <c r="P672" t="s">
        <v>2558</v>
      </c>
      <c r="R672" t="s">
        <v>2569</v>
      </c>
      <c r="S672" t="s">
        <v>2224</v>
      </c>
      <c r="U672" t="s">
        <v>2578</v>
      </c>
      <c r="W672" t="s">
        <v>169</v>
      </c>
      <c r="X672">
        <v>1600</v>
      </c>
      <c r="Y672" t="s">
        <v>2607</v>
      </c>
      <c r="Z672" t="s">
        <v>2613</v>
      </c>
      <c r="AB672" t="s">
        <v>3209</v>
      </c>
      <c r="AD672" t="s">
        <v>3968</v>
      </c>
      <c r="AE672">
        <v>44</v>
      </c>
      <c r="AF672" t="s">
        <v>4099</v>
      </c>
      <c r="AG672" t="s">
        <v>2255</v>
      </c>
      <c r="AH672">
        <v>39</v>
      </c>
      <c r="AI672">
        <v>4</v>
      </c>
      <c r="AJ672">
        <v>1</v>
      </c>
      <c r="AK672">
        <v>222.07</v>
      </c>
      <c r="AN672" t="s">
        <v>4126</v>
      </c>
      <c r="AO672">
        <v>67000</v>
      </c>
      <c r="AU672">
        <v>0</v>
      </c>
      <c r="AW672" t="s">
        <v>80</v>
      </c>
      <c r="AX672" t="s">
        <v>4266</v>
      </c>
      <c r="AY672" t="s">
        <v>2226</v>
      </c>
      <c r="AZ672" t="s">
        <v>2226</v>
      </c>
    </row>
    <row r="673" spans="1:52">
      <c r="A673" s="1">
        <f>HYPERLINK("https://lsnyc.legalserver.org/matter/dynamic-profile/view/1912932","19-1912932")</f>
        <v>0</v>
      </c>
      <c r="B673" t="s">
        <v>104</v>
      </c>
      <c r="C673" t="s">
        <v>155</v>
      </c>
      <c r="D673" t="s">
        <v>168</v>
      </c>
      <c r="F673" t="s">
        <v>744</v>
      </c>
      <c r="G673" t="s">
        <v>907</v>
      </c>
      <c r="H673" t="s">
        <v>1550</v>
      </c>
      <c r="I673" t="s">
        <v>2015</v>
      </c>
      <c r="J673" t="s">
        <v>2196</v>
      </c>
      <c r="K673">
        <v>10040</v>
      </c>
      <c r="L673" t="s">
        <v>2224</v>
      </c>
      <c r="M673" t="s">
        <v>2226</v>
      </c>
      <c r="O673" t="s">
        <v>2537</v>
      </c>
      <c r="P673" t="s">
        <v>2558</v>
      </c>
      <c r="R673" t="s">
        <v>2569</v>
      </c>
      <c r="S673" t="s">
        <v>2224</v>
      </c>
      <c r="U673" t="s">
        <v>2578</v>
      </c>
      <c r="W673" t="s">
        <v>168</v>
      </c>
      <c r="X673">
        <v>1600</v>
      </c>
      <c r="Y673" t="s">
        <v>2607</v>
      </c>
      <c r="Z673" t="s">
        <v>2613</v>
      </c>
      <c r="AB673" t="s">
        <v>3209</v>
      </c>
      <c r="AD673" t="s">
        <v>3968</v>
      </c>
      <c r="AE673">
        <v>44</v>
      </c>
      <c r="AF673" t="s">
        <v>4099</v>
      </c>
      <c r="AG673" t="s">
        <v>2255</v>
      </c>
      <c r="AH673">
        <v>39</v>
      </c>
      <c r="AI673">
        <v>4</v>
      </c>
      <c r="AJ673">
        <v>1</v>
      </c>
      <c r="AK673">
        <v>222.07</v>
      </c>
      <c r="AN673" t="s">
        <v>4126</v>
      </c>
      <c r="AO673">
        <v>67000</v>
      </c>
      <c r="AU673">
        <v>0</v>
      </c>
      <c r="AW673" t="s">
        <v>80</v>
      </c>
      <c r="AX673" t="s">
        <v>4266</v>
      </c>
      <c r="AY673" t="s">
        <v>2226</v>
      </c>
      <c r="AZ673" t="s">
        <v>2226</v>
      </c>
    </row>
    <row r="674" spans="1:52">
      <c r="A674" s="1">
        <f>HYPERLINK("https://lsnyc.legalserver.org/matter/dynamic-profile/view/1908982","19-1908982")</f>
        <v>0</v>
      </c>
      <c r="B674" t="s">
        <v>70</v>
      </c>
      <c r="C674" t="s">
        <v>154</v>
      </c>
      <c r="D674" t="s">
        <v>235</v>
      </c>
      <c r="E674" t="s">
        <v>179</v>
      </c>
      <c r="F674" t="s">
        <v>768</v>
      </c>
      <c r="G674" t="s">
        <v>1312</v>
      </c>
      <c r="H674" t="s">
        <v>1516</v>
      </c>
      <c r="I674" t="s">
        <v>2126</v>
      </c>
      <c r="J674" t="s">
        <v>2194</v>
      </c>
      <c r="K674">
        <v>10453</v>
      </c>
      <c r="L674" t="s">
        <v>2224</v>
      </c>
      <c r="M674" t="s">
        <v>2226</v>
      </c>
      <c r="O674" t="s">
        <v>2238</v>
      </c>
      <c r="P674" t="s">
        <v>2556</v>
      </c>
      <c r="Q674" t="s">
        <v>2563</v>
      </c>
      <c r="R674" t="s">
        <v>2569</v>
      </c>
      <c r="S674" t="s">
        <v>2225</v>
      </c>
      <c r="U674" t="s">
        <v>2578</v>
      </c>
      <c r="W674" t="s">
        <v>214</v>
      </c>
      <c r="X674">
        <v>1336.76</v>
      </c>
      <c r="Y674" t="s">
        <v>2605</v>
      </c>
      <c r="Z674" t="s">
        <v>2613</v>
      </c>
      <c r="AA674" t="s">
        <v>2626</v>
      </c>
      <c r="AB674" t="s">
        <v>3240</v>
      </c>
      <c r="AE674">
        <v>170</v>
      </c>
      <c r="AF674" t="s">
        <v>4099</v>
      </c>
      <c r="AG674" t="s">
        <v>2255</v>
      </c>
      <c r="AH674">
        <v>3</v>
      </c>
      <c r="AI674">
        <v>2</v>
      </c>
      <c r="AJ674">
        <v>0</v>
      </c>
      <c r="AK674">
        <v>223.54</v>
      </c>
      <c r="AN674" t="s">
        <v>4127</v>
      </c>
      <c r="AO674">
        <v>37800</v>
      </c>
      <c r="AU674">
        <v>0.9</v>
      </c>
      <c r="AV674" t="s">
        <v>179</v>
      </c>
      <c r="AW674" t="s">
        <v>70</v>
      </c>
      <c r="AX674" t="s">
        <v>4266</v>
      </c>
      <c r="AY674" t="s">
        <v>2226</v>
      </c>
      <c r="AZ674" t="s">
        <v>2225</v>
      </c>
    </row>
    <row r="675" spans="1:52">
      <c r="A675" s="1">
        <f>HYPERLINK("https://lsnyc.legalserver.org/matter/dynamic-profile/view/1908556","19-1908556")</f>
        <v>0</v>
      </c>
      <c r="B675" t="s">
        <v>76</v>
      </c>
      <c r="C675" t="s">
        <v>154</v>
      </c>
      <c r="D675" t="s">
        <v>240</v>
      </c>
      <c r="E675" t="s">
        <v>197</v>
      </c>
      <c r="F675" t="s">
        <v>495</v>
      </c>
      <c r="G675" t="s">
        <v>849</v>
      </c>
      <c r="H675" t="s">
        <v>1551</v>
      </c>
      <c r="J675" t="s">
        <v>2196</v>
      </c>
      <c r="K675">
        <v>10033</v>
      </c>
      <c r="L675" t="s">
        <v>2224</v>
      </c>
      <c r="M675" t="s">
        <v>2226</v>
      </c>
      <c r="O675" t="s">
        <v>2238</v>
      </c>
      <c r="P675" t="s">
        <v>2556</v>
      </c>
      <c r="Q675" t="s">
        <v>2563</v>
      </c>
      <c r="R675" t="s">
        <v>2569</v>
      </c>
      <c r="S675" t="s">
        <v>2225</v>
      </c>
      <c r="U675" t="s">
        <v>2578</v>
      </c>
      <c r="W675" t="s">
        <v>240</v>
      </c>
      <c r="X675">
        <v>1190</v>
      </c>
      <c r="Y675" t="s">
        <v>2607</v>
      </c>
      <c r="Z675" t="s">
        <v>2609</v>
      </c>
      <c r="AA675" t="s">
        <v>2626</v>
      </c>
      <c r="AB675" t="s">
        <v>3241</v>
      </c>
      <c r="AD675" t="s">
        <v>3995</v>
      </c>
      <c r="AE675">
        <v>480</v>
      </c>
      <c r="AF675" t="s">
        <v>4099</v>
      </c>
      <c r="AG675" t="s">
        <v>4112</v>
      </c>
      <c r="AH675">
        <v>9</v>
      </c>
      <c r="AI675">
        <v>2</v>
      </c>
      <c r="AJ675">
        <v>0</v>
      </c>
      <c r="AK675">
        <v>224.72</v>
      </c>
      <c r="AN675" t="s">
        <v>4127</v>
      </c>
      <c r="AO675">
        <v>38000</v>
      </c>
      <c r="AU675">
        <v>2.7</v>
      </c>
      <c r="AV675" t="s">
        <v>211</v>
      </c>
      <c r="AW675" t="s">
        <v>4238</v>
      </c>
      <c r="AX675" t="s">
        <v>4266</v>
      </c>
      <c r="AY675" t="s">
        <v>2226</v>
      </c>
      <c r="AZ675" t="s">
        <v>2225</v>
      </c>
    </row>
    <row r="676" spans="1:52">
      <c r="A676" s="1">
        <f>HYPERLINK("https://lsnyc.legalserver.org/matter/dynamic-profile/view/1904052","19-1904052")</f>
        <v>0</v>
      </c>
      <c r="B676" t="s">
        <v>58</v>
      </c>
      <c r="C676" t="s">
        <v>155</v>
      </c>
      <c r="D676" t="s">
        <v>160</v>
      </c>
      <c r="F676" t="s">
        <v>769</v>
      </c>
      <c r="G676" t="s">
        <v>1313</v>
      </c>
      <c r="H676" t="s">
        <v>1885</v>
      </c>
      <c r="I676" t="s">
        <v>2157</v>
      </c>
      <c r="J676" t="s">
        <v>2192</v>
      </c>
      <c r="K676">
        <v>11203</v>
      </c>
      <c r="L676" t="s">
        <v>2224</v>
      </c>
      <c r="M676" t="s">
        <v>2226</v>
      </c>
      <c r="O676" t="s">
        <v>2534</v>
      </c>
      <c r="P676" t="s">
        <v>2558</v>
      </c>
      <c r="R676" t="s">
        <v>2569</v>
      </c>
      <c r="S676" t="s">
        <v>2225</v>
      </c>
      <c r="U676" t="s">
        <v>2578</v>
      </c>
      <c r="V676" t="s">
        <v>2588</v>
      </c>
      <c r="W676" t="s">
        <v>160</v>
      </c>
      <c r="X676">
        <v>0</v>
      </c>
      <c r="Y676" t="s">
        <v>2604</v>
      </c>
      <c r="Z676" t="s">
        <v>2613</v>
      </c>
      <c r="AB676" t="s">
        <v>3242</v>
      </c>
      <c r="AD676" t="s">
        <v>3996</v>
      </c>
      <c r="AE676">
        <v>42</v>
      </c>
      <c r="AF676" t="s">
        <v>4099</v>
      </c>
      <c r="AH676">
        <v>13</v>
      </c>
      <c r="AI676">
        <v>2</v>
      </c>
      <c r="AJ676">
        <v>0</v>
      </c>
      <c r="AK676">
        <v>225.03</v>
      </c>
      <c r="AL676" t="s">
        <v>158</v>
      </c>
      <c r="AM676" t="s">
        <v>4125</v>
      </c>
      <c r="AN676" t="s">
        <v>4126</v>
      </c>
      <c r="AO676">
        <v>38052</v>
      </c>
      <c r="AQ676" t="s">
        <v>4179</v>
      </c>
      <c r="AU676">
        <v>29.5</v>
      </c>
      <c r="AV676" t="s">
        <v>229</v>
      </c>
      <c r="AW676" t="s">
        <v>153</v>
      </c>
      <c r="AX676" t="s">
        <v>4266</v>
      </c>
      <c r="AY676" t="s">
        <v>2226</v>
      </c>
      <c r="AZ676" t="s">
        <v>2226</v>
      </c>
    </row>
    <row r="677" spans="1:52">
      <c r="A677" s="1">
        <f>HYPERLINK("https://lsnyc.legalserver.org/matter/dynamic-profile/view/1910981","19-1910981")</f>
        <v>0</v>
      </c>
      <c r="B677" t="s">
        <v>67</v>
      </c>
      <c r="C677" t="s">
        <v>155</v>
      </c>
      <c r="D677" t="s">
        <v>225</v>
      </c>
      <c r="F677" t="s">
        <v>770</v>
      </c>
      <c r="G677" t="s">
        <v>920</v>
      </c>
      <c r="H677" t="s">
        <v>1498</v>
      </c>
      <c r="I677" t="s">
        <v>1972</v>
      </c>
      <c r="J677" t="s">
        <v>2192</v>
      </c>
      <c r="K677">
        <v>11225</v>
      </c>
      <c r="L677" t="s">
        <v>2224</v>
      </c>
      <c r="M677" t="s">
        <v>2226</v>
      </c>
      <c r="P677" t="s">
        <v>2560</v>
      </c>
      <c r="R677" t="s">
        <v>2569</v>
      </c>
      <c r="S677" t="s">
        <v>2224</v>
      </c>
      <c r="U677" t="s">
        <v>2578</v>
      </c>
      <c r="W677" t="s">
        <v>211</v>
      </c>
      <c r="X677">
        <v>0</v>
      </c>
      <c r="Y677" t="s">
        <v>2604</v>
      </c>
      <c r="AB677" t="s">
        <v>3243</v>
      </c>
      <c r="AE677">
        <v>11</v>
      </c>
      <c r="AH677">
        <v>0</v>
      </c>
      <c r="AI677">
        <v>2</v>
      </c>
      <c r="AJ677">
        <v>0</v>
      </c>
      <c r="AK677">
        <v>225.59</v>
      </c>
      <c r="AL677" t="s">
        <v>208</v>
      </c>
      <c r="AM677" t="s">
        <v>4125</v>
      </c>
      <c r="AN677" t="s">
        <v>4126</v>
      </c>
      <c r="AO677">
        <v>38148</v>
      </c>
      <c r="AU677">
        <v>0</v>
      </c>
      <c r="AW677" t="s">
        <v>153</v>
      </c>
      <c r="AX677" t="s">
        <v>4266</v>
      </c>
      <c r="AY677" t="s">
        <v>2224</v>
      </c>
      <c r="AZ677" t="s">
        <v>2224</v>
      </c>
    </row>
    <row r="678" spans="1:52">
      <c r="A678" s="1">
        <f>HYPERLINK("https://lsnyc.legalserver.org/matter/dynamic-profile/view/1911559","19-1911559")</f>
        <v>0</v>
      </c>
      <c r="B678" t="s">
        <v>104</v>
      </c>
      <c r="C678" t="s">
        <v>155</v>
      </c>
      <c r="D678" t="s">
        <v>179</v>
      </c>
      <c r="F678" t="s">
        <v>771</v>
      </c>
      <c r="G678" t="s">
        <v>1314</v>
      </c>
      <c r="H678" t="s">
        <v>1550</v>
      </c>
      <c r="I678" t="s">
        <v>2018</v>
      </c>
      <c r="J678" t="s">
        <v>2196</v>
      </c>
      <c r="K678">
        <v>10040</v>
      </c>
      <c r="L678" t="s">
        <v>2224</v>
      </c>
      <c r="M678" t="s">
        <v>2226</v>
      </c>
      <c r="O678" t="s">
        <v>2546</v>
      </c>
      <c r="P678" t="s">
        <v>2558</v>
      </c>
      <c r="R678" t="s">
        <v>2569</v>
      </c>
      <c r="S678" t="s">
        <v>2224</v>
      </c>
      <c r="U678" t="s">
        <v>2578</v>
      </c>
      <c r="W678" t="s">
        <v>179</v>
      </c>
      <c r="X678">
        <v>1231.45</v>
      </c>
      <c r="Y678" t="s">
        <v>2607</v>
      </c>
      <c r="Z678" t="s">
        <v>2613</v>
      </c>
      <c r="AB678" t="s">
        <v>3244</v>
      </c>
      <c r="AD678" t="s">
        <v>3997</v>
      </c>
      <c r="AE678">
        <v>44</v>
      </c>
      <c r="AF678" t="s">
        <v>4099</v>
      </c>
      <c r="AG678" t="s">
        <v>2255</v>
      </c>
      <c r="AH678">
        <v>13</v>
      </c>
      <c r="AI678">
        <v>2</v>
      </c>
      <c r="AJ678">
        <v>0</v>
      </c>
      <c r="AK678">
        <v>226.64</v>
      </c>
      <c r="AN678" t="s">
        <v>4127</v>
      </c>
      <c r="AO678">
        <v>38324</v>
      </c>
      <c r="AU678">
        <v>0.1</v>
      </c>
      <c r="AV678" t="s">
        <v>197</v>
      </c>
      <c r="AW678" t="s">
        <v>80</v>
      </c>
      <c r="AX678" t="s">
        <v>4266</v>
      </c>
      <c r="AY678" t="s">
        <v>2226</v>
      </c>
      <c r="AZ678" t="s">
        <v>2226</v>
      </c>
    </row>
    <row r="679" spans="1:52">
      <c r="A679" s="1">
        <f>HYPERLINK("https://lsnyc.legalserver.org/matter/dynamic-profile/view/1911604","19-1911604")</f>
        <v>0</v>
      </c>
      <c r="B679" t="s">
        <v>104</v>
      </c>
      <c r="C679" t="s">
        <v>155</v>
      </c>
      <c r="D679" t="s">
        <v>263</v>
      </c>
      <c r="F679" t="s">
        <v>771</v>
      </c>
      <c r="G679" t="s">
        <v>1314</v>
      </c>
      <c r="H679" t="s">
        <v>1550</v>
      </c>
      <c r="I679" t="s">
        <v>2018</v>
      </c>
      <c r="J679" t="s">
        <v>2196</v>
      </c>
      <c r="K679">
        <v>10040</v>
      </c>
      <c r="L679" t="s">
        <v>2224</v>
      </c>
      <c r="M679" t="s">
        <v>2226</v>
      </c>
      <c r="O679" t="s">
        <v>2537</v>
      </c>
      <c r="P679" t="s">
        <v>2558</v>
      </c>
      <c r="R679" t="s">
        <v>2569</v>
      </c>
      <c r="S679" t="s">
        <v>2224</v>
      </c>
      <c r="U679" t="s">
        <v>2578</v>
      </c>
      <c r="W679" t="s">
        <v>263</v>
      </c>
      <c r="X679">
        <v>1231.45</v>
      </c>
      <c r="Y679" t="s">
        <v>2607</v>
      </c>
      <c r="Z679" t="s">
        <v>2613</v>
      </c>
      <c r="AB679" t="s">
        <v>3244</v>
      </c>
      <c r="AD679" t="s">
        <v>3997</v>
      </c>
      <c r="AE679">
        <v>44</v>
      </c>
      <c r="AF679" t="s">
        <v>4099</v>
      </c>
      <c r="AG679" t="s">
        <v>2255</v>
      </c>
      <c r="AH679">
        <v>13</v>
      </c>
      <c r="AI679">
        <v>2</v>
      </c>
      <c r="AJ679">
        <v>0</v>
      </c>
      <c r="AK679">
        <v>226.64</v>
      </c>
      <c r="AN679" t="s">
        <v>4127</v>
      </c>
      <c r="AO679">
        <v>38324</v>
      </c>
      <c r="AU679">
        <v>0</v>
      </c>
      <c r="AW679" t="s">
        <v>80</v>
      </c>
      <c r="AX679" t="s">
        <v>4266</v>
      </c>
      <c r="AY679" t="s">
        <v>2226</v>
      </c>
      <c r="AZ679" t="s">
        <v>2226</v>
      </c>
    </row>
    <row r="680" spans="1:52">
      <c r="A680" s="1">
        <f>HYPERLINK("https://lsnyc.legalserver.org/matter/dynamic-profile/view/1899803","19-1899803")</f>
        <v>0</v>
      </c>
      <c r="B680" t="s">
        <v>101</v>
      </c>
      <c r="C680" t="s">
        <v>155</v>
      </c>
      <c r="D680" t="s">
        <v>285</v>
      </c>
      <c r="F680" t="s">
        <v>772</v>
      </c>
      <c r="G680" t="s">
        <v>1315</v>
      </c>
      <c r="H680" t="s">
        <v>1886</v>
      </c>
      <c r="I680" t="s">
        <v>2010</v>
      </c>
      <c r="J680" t="s">
        <v>2192</v>
      </c>
      <c r="K680">
        <v>11212</v>
      </c>
      <c r="L680" t="s">
        <v>2224</v>
      </c>
      <c r="M680" t="s">
        <v>2226</v>
      </c>
      <c r="N680" t="s">
        <v>2504</v>
      </c>
      <c r="O680" t="s">
        <v>2533</v>
      </c>
      <c r="P680" t="s">
        <v>2558</v>
      </c>
      <c r="R680" t="s">
        <v>2569</v>
      </c>
      <c r="S680" t="s">
        <v>2225</v>
      </c>
      <c r="U680" t="s">
        <v>2578</v>
      </c>
      <c r="V680" t="s">
        <v>2588</v>
      </c>
      <c r="W680" t="s">
        <v>254</v>
      </c>
      <c r="X680">
        <v>2200</v>
      </c>
      <c r="Y680" t="s">
        <v>2604</v>
      </c>
      <c r="AB680" t="s">
        <v>3245</v>
      </c>
      <c r="AD680" t="s">
        <v>3998</v>
      </c>
      <c r="AE680">
        <v>5</v>
      </c>
      <c r="AF680" t="s">
        <v>4098</v>
      </c>
      <c r="AG680" t="s">
        <v>2255</v>
      </c>
      <c r="AH680">
        <v>1</v>
      </c>
      <c r="AI680">
        <v>3</v>
      </c>
      <c r="AJ680">
        <v>1</v>
      </c>
      <c r="AK680">
        <v>227.55</v>
      </c>
      <c r="AL680" t="s">
        <v>186</v>
      </c>
      <c r="AM680" t="s">
        <v>4125</v>
      </c>
      <c r="AN680" t="s">
        <v>4126</v>
      </c>
      <c r="AO680">
        <v>58595</v>
      </c>
      <c r="AU680">
        <v>39</v>
      </c>
      <c r="AV680" t="s">
        <v>156</v>
      </c>
      <c r="AW680" t="s">
        <v>4229</v>
      </c>
      <c r="AX680" t="s">
        <v>4266</v>
      </c>
      <c r="AY680" t="s">
        <v>2224</v>
      </c>
      <c r="AZ680" t="s">
        <v>2224</v>
      </c>
    </row>
    <row r="681" spans="1:52">
      <c r="A681" s="1">
        <f>HYPERLINK("https://lsnyc.legalserver.org/matter/dynamic-profile/view/1905677","19-1905677")</f>
        <v>0</v>
      </c>
      <c r="B681" t="s">
        <v>60</v>
      </c>
      <c r="C681" t="s">
        <v>155</v>
      </c>
      <c r="D681" t="s">
        <v>172</v>
      </c>
      <c r="F681" t="s">
        <v>773</v>
      </c>
      <c r="G681" t="s">
        <v>847</v>
      </c>
      <c r="H681" t="s">
        <v>1887</v>
      </c>
      <c r="I681" t="s">
        <v>2010</v>
      </c>
      <c r="J681" t="s">
        <v>2192</v>
      </c>
      <c r="K681">
        <v>11212</v>
      </c>
      <c r="L681" t="s">
        <v>2224</v>
      </c>
      <c r="M681" t="s">
        <v>2226</v>
      </c>
      <c r="N681" t="s">
        <v>2505</v>
      </c>
      <c r="O681" t="s">
        <v>2533</v>
      </c>
      <c r="P681" t="s">
        <v>2556</v>
      </c>
      <c r="R681" t="s">
        <v>2569</v>
      </c>
      <c r="S681" t="s">
        <v>2225</v>
      </c>
      <c r="U681" t="s">
        <v>2578</v>
      </c>
      <c r="V681" t="s">
        <v>2588</v>
      </c>
      <c r="W681" t="s">
        <v>204</v>
      </c>
      <c r="X681">
        <v>1100</v>
      </c>
      <c r="Y681" t="s">
        <v>2604</v>
      </c>
      <c r="Z681" t="s">
        <v>2612</v>
      </c>
      <c r="AB681" t="s">
        <v>3246</v>
      </c>
      <c r="AC681" t="s">
        <v>2244</v>
      </c>
      <c r="AD681" t="s">
        <v>3999</v>
      </c>
      <c r="AE681">
        <v>4</v>
      </c>
      <c r="AF681" t="s">
        <v>4098</v>
      </c>
      <c r="AG681" t="s">
        <v>2255</v>
      </c>
      <c r="AH681">
        <v>13</v>
      </c>
      <c r="AI681">
        <v>2</v>
      </c>
      <c r="AJ681">
        <v>1</v>
      </c>
      <c r="AK681">
        <v>227.61</v>
      </c>
      <c r="AN681" t="s">
        <v>4126</v>
      </c>
      <c r="AO681">
        <v>48550</v>
      </c>
      <c r="AP681" t="s">
        <v>4161</v>
      </c>
      <c r="AU681">
        <v>2.75</v>
      </c>
      <c r="AV681" t="s">
        <v>204</v>
      </c>
      <c r="AW681" t="s">
        <v>4242</v>
      </c>
      <c r="AX681" t="s">
        <v>4266</v>
      </c>
      <c r="AY681" t="s">
        <v>2224</v>
      </c>
      <c r="AZ681" t="s">
        <v>2224</v>
      </c>
    </row>
    <row r="682" spans="1:52">
      <c r="A682" s="1">
        <f>HYPERLINK("https://lsnyc.legalserver.org/matter/dynamic-profile/view/1907240","19-1907240")</f>
        <v>0</v>
      </c>
      <c r="B682" t="s">
        <v>69</v>
      </c>
      <c r="C682" t="s">
        <v>155</v>
      </c>
      <c r="D682" t="s">
        <v>185</v>
      </c>
      <c r="F682" t="s">
        <v>774</v>
      </c>
      <c r="G682" t="s">
        <v>1107</v>
      </c>
      <c r="H682" t="s">
        <v>1888</v>
      </c>
      <c r="I682" t="s">
        <v>2158</v>
      </c>
      <c r="J682" t="s">
        <v>2192</v>
      </c>
      <c r="K682">
        <v>11233</v>
      </c>
      <c r="L682" t="s">
        <v>2224</v>
      </c>
      <c r="M682" t="s">
        <v>2226</v>
      </c>
      <c r="N682" t="s">
        <v>2506</v>
      </c>
      <c r="O682" t="s">
        <v>2533</v>
      </c>
      <c r="P682" t="s">
        <v>2561</v>
      </c>
      <c r="R682" t="s">
        <v>2569</v>
      </c>
      <c r="S682" t="s">
        <v>2225</v>
      </c>
      <c r="U682" t="s">
        <v>2578</v>
      </c>
      <c r="V682" t="s">
        <v>2588</v>
      </c>
      <c r="W682" t="s">
        <v>156</v>
      </c>
      <c r="X682">
        <v>1660</v>
      </c>
      <c r="Y682" t="s">
        <v>2604</v>
      </c>
      <c r="Z682" t="s">
        <v>2616</v>
      </c>
      <c r="AA682" t="s">
        <v>2626</v>
      </c>
      <c r="AB682" t="s">
        <v>3247</v>
      </c>
      <c r="AD682" t="s">
        <v>4000</v>
      </c>
      <c r="AE682">
        <v>3</v>
      </c>
      <c r="AF682" t="s">
        <v>4098</v>
      </c>
      <c r="AG682" t="s">
        <v>4112</v>
      </c>
      <c r="AH682">
        <v>9</v>
      </c>
      <c r="AI682">
        <v>2</v>
      </c>
      <c r="AJ682">
        <v>2</v>
      </c>
      <c r="AK682">
        <v>228.19</v>
      </c>
      <c r="AN682" t="s">
        <v>4126</v>
      </c>
      <c r="AO682">
        <v>58760</v>
      </c>
      <c r="AU682">
        <v>2</v>
      </c>
      <c r="AV682" t="s">
        <v>156</v>
      </c>
      <c r="AW682" t="s">
        <v>4254</v>
      </c>
      <c r="AX682" t="s">
        <v>4266</v>
      </c>
      <c r="AY682" t="s">
        <v>2224</v>
      </c>
      <c r="AZ682" t="s">
        <v>2224</v>
      </c>
    </row>
    <row r="683" spans="1:52">
      <c r="A683" s="1">
        <f>HYPERLINK("https://lsnyc.legalserver.org/matter/dynamic-profile/view/1909123","19-1909123")</f>
        <v>0</v>
      </c>
      <c r="B683" t="s">
        <v>87</v>
      </c>
      <c r="C683" t="s">
        <v>155</v>
      </c>
      <c r="D683" t="s">
        <v>186</v>
      </c>
      <c r="F683" t="s">
        <v>775</v>
      </c>
      <c r="G683" t="s">
        <v>1316</v>
      </c>
      <c r="H683" t="s">
        <v>1520</v>
      </c>
      <c r="I683" t="s">
        <v>2027</v>
      </c>
      <c r="J683" t="s">
        <v>2196</v>
      </c>
      <c r="K683">
        <v>10035</v>
      </c>
      <c r="L683" t="s">
        <v>2224</v>
      </c>
      <c r="M683" t="s">
        <v>2226</v>
      </c>
      <c r="O683" t="s">
        <v>2534</v>
      </c>
      <c r="P683" t="s">
        <v>2561</v>
      </c>
      <c r="R683" t="s">
        <v>2569</v>
      </c>
      <c r="S683" t="s">
        <v>2224</v>
      </c>
      <c r="U683" t="s">
        <v>2578</v>
      </c>
      <c r="V683" t="s">
        <v>2593</v>
      </c>
      <c r="W683" t="s">
        <v>237</v>
      </c>
      <c r="X683">
        <v>1893</v>
      </c>
      <c r="Y683" t="s">
        <v>2607</v>
      </c>
      <c r="Z683" t="s">
        <v>2621</v>
      </c>
      <c r="AB683" t="s">
        <v>3248</v>
      </c>
      <c r="AD683" t="s">
        <v>4001</v>
      </c>
      <c r="AE683">
        <v>72</v>
      </c>
      <c r="AF683" t="s">
        <v>4099</v>
      </c>
      <c r="AG683" t="s">
        <v>4112</v>
      </c>
      <c r="AH683">
        <v>33</v>
      </c>
      <c r="AI683">
        <v>3</v>
      </c>
      <c r="AJ683">
        <v>1</v>
      </c>
      <c r="AK683">
        <v>229.13</v>
      </c>
      <c r="AN683" t="s">
        <v>4126</v>
      </c>
      <c r="AO683">
        <v>59000</v>
      </c>
      <c r="AU683">
        <v>5</v>
      </c>
      <c r="AV683" t="s">
        <v>169</v>
      </c>
      <c r="AW683" t="s">
        <v>4237</v>
      </c>
      <c r="AX683" t="s">
        <v>4266</v>
      </c>
      <c r="AY683" t="s">
        <v>2224</v>
      </c>
      <c r="AZ683" t="s">
        <v>2224</v>
      </c>
    </row>
    <row r="684" spans="1:52">
      <c r="A684" s="1">
        <f>HYPERLINK("https://lsnyc.legalserver.org/matter/dynamic-profile/view/1903871","19-1903871")</f>
        <v>0</v>
      </c>
      <c r="B684" t="s">
        <v>62</v>
      </c>
      <c r="C684" t="s">
        <v>154</v>
      </c>
      <c r="D684" t="s">
        <v>201</v>
      </c>
      <c r="E684" t="s">
        <v>185</v>
      </c>
      <c r="F684" t="s">
        <v>776</v>
      </c>
      <c r="G684" t="s">
        <v>1317</v>
      </c>
      <c r="H684" t="s">
        <v>1889</v>
      </c>
      <c r="I684" t="s">
        <v>2159</v>
      </c>
      <c r="J684" t="s">
        <v>2192</v>
      </c>
      <c r="K684">
        <v>11212</v>
      </c>
      <c r="L684" t="s">
        <v>2224</v>
      </c>
      <c r="M684" t="s">
        <v>2226</v>
      </c>
      <c r="N684" t="s">
        <v>2255</v>
      </c>
      <c r="O684" t="s">
        <v>2238</v>
      </c>
      <c r="P684" t="s">
        <v>2556</v>
      </c>
      <c r="Q684" t="s">
        <v>2563</v>
      </c>
      <c r="R684" t="s">
        <v>2569</v>
      </c>
      <c r="S684" t="s">
        <v>2225</v>
      </c>
      <c r="U684" t="s">
        <v>2578</v>
      </c>
      <c r="V684" t="s">
        <v>2588</v>
      </c>
      <c r="W684" t="s">
        <v>191</v>
      </c>
      <c r="X684">
        <v>1600</v>
      </c>
      <c r="Y684" t="s">
        <v>2604</v>
      </c>
      <c r="AA684" t="s">
        <v>2626</v>
      </c>
      <c r="AB684" t="s">
        <v>3249</v>
      </c>
      <c r="AC684" t="s">
        <v>2255</v>
      </c>
      <c r="AD684" t="s">
        <v>4002</v>
      </c>
      <c r="AE684">
        <v>6</v>
      </c>
      <c r="AF684" t="s">
        <v>4099</v>
      </c>
      <c r="AG684" t="s">
        <v>2255</v>
      </c>
      <c r="AH684">
        <v>0</v>
      </c>
      <c r="AI684">
        <v>1</v>
      </c>
      <c r="AJ684">
        <v>0</v>
      </c>
      <c r="AK684">
        <v>229.43</v>
      </c>
      <c r="AN684" t="s">
        <v>4126</v>
      </c>
      <c r="AO684">
        <v>28656</v>
      </c>
      <c r="AU684">
        <v>4.25</v>
      </c>
      <c r="AV684" t="s">
        <v>220</v>
      </c>
      <c r="AW684" t="s">
        <v>4249</v>
      </c>
      <c r="AX684" t="s">
        <v>4266</v>
      </c>
      <c r="AY684" t="s">
        <v>2224</v>
      </c>
      <c r="AZ684" t="s">
        <v>2224</v>
      </c>
    </row>
    <row r="685" spans="1:52">
      <c r="A685" s="1">
        <f>HYPERLINK("https://lsnyc.legalserver.org/matter/dynamic-profile/view/1905315","19-1905315")</f>
        <v>0</v>
      </c>
      <c r="B685" t="s">
        <v>60</v>
      </c>
      <c r="C685" t="s">
        <v>154</v>
      </c>
      <c r="D685" t="s">
        <v>198</v>
      </c>
      <c r="E685" t="s">
        <v>263</v>
      </c>
      <c r="F685" t="s">
        <v>777</v>
      </c>
      <c r="G685" t="s">
        <v>1318</v>
      </c>
      <c r="H685" t="s">
        <v>1890</v>
      </c>
      <c r="I685" t="s">
        <v>2160</v>
      </c>
      <c r="J685" t="s">
        <v>2192</v>
      </c>
      <c r="K685">
        <v>11208</v>
      </c>
      <c r="L685" t="s">
        <v>2224</v>
      </c>
      <c r="M685" t="s">
        <v>2226</v>
      </c>
      <c r="N685" t="s">
        <v>2507</v>
      </c>
      <c r="O685" t="s">
        <v>2535</v>
      </c>
      <c r="P685" t="s">
        <v>2561</v>
      </c>
      <c r="Q685" t="s">
        <v>2563</v>
      </c>
      <c r="R685" t="s">
        <v>2569</v>
      </c>
      <c r="S685" t="s">
        <v>2225</v>
      </c>
      <c r="U685" t="s">
        <v>2578</v>
      </c>
      <c r="V685" t="s">
        <v>2587</v>
      </c>
      <c r="W685" t="s">
        <v>198</v>
      </c>
      <c r="X685">
        <v>1146</v>
      </c>
      <c r="Y685" t="s">
        <v>2604</v>
      </c>
      <c r="Z685" t="s">
        <v>2623</v>
      </c>
      <c r="AA685" t="s">
        <v>2626</v>
      </c>
      <c r="AB685" t="s">
        <v>3250</v>
      </c>
      <c r="AD685" t="s">
        <v>4003</v>
      </c>
      <c r="AE685">
        <v>294</v>
      </c>
      <c r="AF685" t="s">
        <v>4099</v>
      </c>
      <c r="AG685" t="s">
        <v>4112</v>
      </c>
      <c r="AH685">
        <v>4</v>
      </c>
      <c r="AI685">
        <v>1</v>
      </c>
      <c r="AJ685">
        <v>0</v>
      </c>
      <c r="AK685">
        <v>230.58</v>
      </c>
      <c r="AN685" t="s">
        <v>4126</v>
      </c>
      <c r="AO685">
        <v>28800</v>
      </c>
      <c r="AU685">
        <v>0.6</v>
      </c>
      <c r="AV685" t="s">
        <v>263</v>
      </c>
      <c r="AW685" t="s">
        <v>4239</v>
      </c>
      <c r="AX685" t="s">
        <v>4266</v>
      </c>
      <c r="AY685" t="s">
        <v>2224</v>
      </c>
      <c r="AZ685" t="s">
        <v>2224</v>
      </c>
    </row>
    <row r="686" spans="1:52">
      <c r="A686" s="1">
        <f>HYPERLINK("https://lsnyc.legalserver.org/matter/dynamic-profile/view/1907712","19-1907712")</f>
        <v>0</v>
      </c>
      <c r="B686" t="s">
        <v>89</v>
      </c>
      <c r="C686" t="s">
        <v>155</v>
      </c>
      <c r="D686" t="s">
        <v>221</v>
      </c>
      <c r="F686" t="s">
        <v>391</v>
      </c>
      <c r="G686" t="s">
        <v>1319</v>
      </c>
      <c r="H686" t="s">
        <v>1891</v>
      </c>
      <c r="I686" t="s">
        <v>2161</v>
      </c>
      <c r="J686" t="s">
        <v>2204</v>
      </c>
      <c r="K686">
        <v>11377</v>
      </c>
      <c r="L686" t="s">
        <v>2224</v>
      </c>
      <c r="M686" t="s">
        <v>2226</v>
      </c>
      <c r="N686" t="s">
        <v>2508</v>
      </c>
      <c r="O686" t="s">
        <v>2537</v>
      </c>
      <c r="P686" t="s">
        <v>2560</v>
      </c>
      <c r="R686" t="s">
        <v>2569</v>
      </c>
      <c r="S686" t="s">
        <v>2224</v>
      </c>
      <c r="U686" t="s">
        <v>2578</v>
      </c>
      <c r="W686" t="s">
        <v>221</v>
      </c>
      <c r="X686">
        <v>0</v>
      </c>
      <c r="Y686" t="s">
        <v>2603</v>
      </c>
      <c r="Z686" t="s">
        <v>2614</v>
      </c>
      <c r="AB686" t="s">
        <v>3251</v>
      </c>
      <c r="AD686" t="s">
        <v>4004</v>
      </c>
      <c r="AE686">
        <v>390</v>
      </c>
      <c r="AF686" t="s">
        <v>4099</v>
      </c>
      <c r="AG686" t="s">
        <v>2255</v>
      </c>
      <c r="AH686">
        <v>32</v>
      </c>
      <c r="AI686">
        <v>4</v>
      </c>
      <c r="AJ686">
        <v>0</v>
      </c>
      <c r="AK686">
        <v>233.01</v>
      </c>
      <c r="AN686" t="s">
        <v>4127</v>
      </c>
      <c r="AO686">
        <v>60000</v>
      </c>
      <c r="AU686">
        <v>0.45</v>
      </c>
      <c r="AV686" t="s">
        <v>167</v>
      </c>
      <c r="AW686" t="s">
        <v>4224</v>
      </c>
      <c r="AX686" t="s">
        <v>4266</v>
      </c>
      <c r="AY686" t="s">
        <v>2224</v>
      </c>
      <c r="AZ686" t="s">
        <v>2224</v>
      </c>
    </row>
    <row r="687" spans="1:52">
      <c r="A687" s="1">
        <f>HYPERLINK("https://lsnyc.legalserver.org/matter/dynamic-profile/view/1911939","19-1911939")</f>
        <v>0</v>
      </c>
      <c r="B687" t="s">
        <v>87</v>
      </c>
      <c r="C687" t="s">
        <v>155</v>
      </c>
      <c r="D687" t="s">
        <v>197</v>
      </c>
      <c r="F687" t="s">
        <v>300</v>
      </c>
      <c r="G687" t="s">
        <v>1098</v>
      </c>
      <c r="H687" t="s">
        <v>1731</v>
      </c>
      <c r="I687" t="s">
        <v>2061</v>
      </c>
      <c r="J687" t="s">
        <v>2196</v>
      </c>
      <c r="K687">
        <v>10035</v>
      </c>
      <c r="L687" t="s">
        <v>2224</v>
      </c>
      <c r="M687" t="s">
        <v>2226</v>
      </c>
      <c r="O687" t="s">
        <v>2537</v>
      </c>
      <c r="P687" t="s">
        <v>2558</v>
      </c>
      <c r="R687" t="s">
        <v>2569</v>
      </c>
      <c r="S687" t="s">
        <v>2224</v>
      </c>
      <c r="U687" t="s">
        <v>2578</v>
      </c>
      <c r="V687" t="s">
        <v>2588</v>
      </c>
      <c r="W687" t="s">
        <v>197</v>
      </c>
      <c r="X687">
        <v>1116</v>
      </c>
      <c r="Y687" t="s">
        <v>2607</v>
      </c>
      <c r="Z687" t="s">
        <v>2609</v>
      </c>
      <c r="AB687" t="s">
        <v>3252</v>
      </c>
      <c r="AE687">
        <v>60</v>
      </c>
      <c r="AF687" t="s">
        <v>4099</v>
      </c>
      <c r="AG687" t="s">
        <v>2255</v>
      </c>
      <c r="AH687">
        <v>18</v>
      </c>
      <c r="AI687">
        <v>2</v>
      </c>
      <c r="AJ687">
        <v>2</v>
      </c>
      <c r="AK687">
        <v>233.01</v>
      </c>
      <c r="AN687" t="s">
        <v>4126</v>
      </c>
      <c r="AO687">
        <v>60000</v>
      </c>
      <c r="AU687">
        <v>0</v>
      </c>
      <c r="AW687" t="s">
        <v>4237</v>
      </c>
      <c r="AX687" t="s">
        <v>4266</v>
      </c>
      <c r="AY687" t="s">
        <v>2226</v>
      </c>
      <c r="AZ687" t="s">
        <v>2226</v>
      </c>
    </row>
    <row r="688" spans="1:52">
      <c r="A688" s="1">
        <f>HYPERLINK("https://lsnyc.legalserver.org/matter/dynamic-profile/view/1912664","19-1912664")</f>
        <v>0</v>
      </c>
      <c r="B688" t="s">
        <v>119</v>
      </c>
      <c r="C688" t="s">
        <v>155</v>
      </c>
      <c r="D688" t="s">
        <v>202</v>
      </c>
      <c r="F688" t="s">
        <v>599</v>
      </c>
      <c r="G688" t="s">
        <v>1280</v>
      </c>
      <c r="H688" t="s">
        <v>1407</v>
      </c>
      <c r="I688" t="s">
        <v>1981</v>
      </c>
      <c r="J688" t="s">
        <v>2191</v>
      </c>
      <c r="K688">
        <v>11368</v>
      </c>
      <c r="L688" t="s">
        <v>2225</v>
      </c>
      <c r="M688" t="s">
        <v>2226</v>
      </c>
      <c r="N688" t="s">
        <v>2509</v>
      </c>
      <c r="O688" t="s">
        <v>2535</v>
      </c>
      <c r="R688" t="s">
        <v>2569</v>
      </c>
      <c r="S688" t="s">
        <v>2224</v>
      </c>
      <c r="U688" t="s">
        <v>2578</v>
      </c>
      <c r="V688" t="s">
        <v>2588</v>
      </c>
      <c r="W688" t="s">
        <v>202</v>
      </c>
      <c r="X688">
        <v>1694.28</v>
      </c>
      <c r="Y688" t="s">
        <v>2603</v>
      </c>
      <c r="AB688" t="s">
        <v>3253</v>
      </c>
      <c r="AD688" t="s">
        <v>4005</v>
      </c>
      <c r="AE688">
        <v>237</v>
      </c>
      <c r="AF688" t="s">
        <v>4099</v>
      </c>
      <c r="AH688">
        <v>19</v>
      </c>
      <c r="AI688">
        <v>3</v>
      </c>
      <c r="AJ688">
        <v>0</v>
      </c>
      <c r="AK688">
        <v>234.41</v>
      </c>
      <c r="AN688" t="s">
        <v>4126</v>
      </c>
      <c r="AO688">
        <v>50000</v>
      </c>
      <c r="AU688">
        <v>2.5</v>
      </c>
      <c r="AV688" t="s">
        <v>202</v>
      </c>
      <c r="AW688" t="s">
        <v>119</v>
      </c>
      <c r="AY688" t="s">
        <v>2226</v>
      </c>
      <c r="AZ688" t="s">
        <v>2226</v>
      </c>
    </row>
    <row r="689" spans="1:52">
      <c r="A689" s="1">
        <f>HYPERLINK("https://lsnyc.legalserver.org/matter/dynamic-profile/view/1912056","19-1912056")</f>
        <v>0</v>
      </c>
      <c r="B689" t="s">
        <v>87</v>
      </c>
      <c r="C689" t="s">
        <v>155</v>
      </c>
      <c r="D689" t="s">
        <v>261</v>
      </c>
      <c r="F689" t="s">
        <v>369</v>
      </c>
      <c r="G689" t="s">
        <v>1320</v>
      </c>
      <c r="H689" t="s">
        <v>1520</v>
      </c>
      <c r="I689" t="s">
        <v>2058</v>
      </c>
      <c r="J689" t="s">
        <v>2196</v>
      </c>
      <c r="K689">
        <v>10035</v>
      </c>
      <c r="L689" t="s">
        <v>2224</v>
      </c>
      <c r="M689" t="s">
        <v>2226</v>
      </c>
      <c r="O689" t="s">
        <v>2534</v>
      </c>
      <c r="P689" t="s">
        <v>2559</v>
      </c>
      <c r="R689" t="s">
        <v>2569</v>
      </c>
      <c r="S689" t="s">
        <v>2224</v>
      </c>
      <c r="U689" t="s">
        <v>2578</v>
      </c>
      <c r="V689" t="s">
        <v>2588</v>
      </c>
      <c r="W689" t="s">
        <v>197</v>
      </c>
      <c r="X689">
        <v>2575</v>
      </c>
      <c r="Y689" t="s">
        <v>2607</v>
      </c>
      <c r="Z689" t="s">
        <v>2609</v>
      </c>
      <c r="AB689" t="s">
        <v>3254</v>
      </c>
      <c r="AD689" t="s">
        <v>4006</v>
      </c>
      <c r="AE689">
        <v>72</v>
      </c>
      <c r="AF689" t="s">
        <v>4098</v>
      </c>
      <c r="AG689" t="s">
        <v>2255</v>
      </c>
      <c r="AH689">
        <v>1</v>
      </c>
      <c r="AI689">
        <v>3</v>
      </c>
      <c r="AJ689">
        <v>0</v>
      </c>
      <c r="AK689">
        <v>234.41</v>
      </c>
      <c r="AN689" t="s">
        <v>4126</v>
      </c>
      <c r="AO689">
        <v>50000</v>
      </c>
      <c r="AP689" t="s">
        <v>4162</v>
      </c>
      <c r="AU689">
        <v>0</v>
      </c>
      <c r="AW689" t="s">
        <v>4237</v>
      </c>
      <c r="AX689" t="s">
        <v>4266</v>
      </c>
      <c r="AY689" t="s">
        <v>2226</v>
      </c>
      <c r="AZ689" t="s">
        <v>2226</v>
      </c>
    </row>
    <row r="690" spans="1:52">
      <c r="A690" s="1">
        <f>HYPERLINK("https://lsnyc.legalserver.org/matter/dynamic-profile/view/1908391","19-1908391")</f>
        <v>0</v>
      </c>
      <c r="B690" t="s">
        <v>113</v>
      </c>
      <c r="C690" t="s">
        <v>155</v>
      </c>
      <c r="D690" t="s">
        <v>234</v>
      </c>
      <c r="F690" t="s">
        <v>778</v>
      </c>
      <c r="G690" t="s">
        <v>1321</v>
      </c>
      <c r="H690" t="s">
        <v>1798</v>
      </c>
      <c r="I690" t="s">
        <v>2148</v>
      </c>
      <c r="J690" t="s">
        <v>2192</v>
      </c>
      <c r="K690">
        <v>11219</v>
      </c>
      <c r="L690" t="s">
        <v>2224</v>
      </c>
      <c r="M690" t="s">
        <v>2226</v>
      </c>
      <c r="P690" t="s">
        <v>2557</v>
      </c>
      <c r="R690" t="s">
        <v>2569</v>
      </c>
      <c r="U690" t="s">
        <v>2578</v>
      </c>
      <c r="W690" t="s">
        <v>234</v>
      </c>
      <c r="X690">
        <v>0</v>
      </c>
      <c r="Y690" t="s">
        <v>2604</v>
      </c>
      <c r="AB690" t="s">
        <v>3255</v>
      </c>
      <c r="AD690" t="s">
        <v>4007</v>
      </c>
      <c r="AE690">
        <v>20</v>
      </c>
      <c r="AH690">
        <v>0</v>
      </c>
      <c r="AI690">
        <v>3</v>
      </c>
      <c r="AJ690">
        <v>0</v>
      </c>
      <c r="AK690">
        <v>234.6</v>
      </c>
      <c r="AN690" t="s">
        <v>4133</v>
      </c>
      <c r="AO690">
        <v>50040</v>
      </c>
      <c r="AU690">
        <v>10.4</v>
      </c>
      <c r="AV690" t="s">
        <v>234</v>
      </c>
      <c r="AW690" t="s">
        <v>124</v>
      </c>
      <c r="AY690" t="s">
        <v>2224</v>
      </c>
      <c r="AZ690" t="s">
        <v>2224</v>
      </c>
    </row>
    <row r="691" spans="1:52">
      <c r="A691" s="1">
        <f>HYPERLINK("https://lsnyc.legalserver.org/matter/dynamic-profile/view/1906136","19-1906136")</f>
        <v>0</v>
      </c>
      <c r="B691" t="s">
        <v>96</v>
      </c>
      <c r="C691" t="s">
        <v>155</v>
      </c>
      <c r="D691" t="s">
        <v>173</v>
      </c>
      <c r="F691" t="s">
        <v>779</v>
      </c>
      <c r="G691" t="s">
        <v>1322</v>
      </c>
      <c r="H691" t="s">
        <v>1892</v>
      </c>
      <c r="I691" t="s">
        <v>2162</v>
      </c>
      <c r="J691" t="s">
        <v>2192</v>
      </c>
      <c r="K691">
        <v>11216</v>
      </c>
      <c r="L691" t="s">
        <v>2224</v>
      </c>
      <c r="M691" t="s">
        <v>2226</v>
      </c>
      <c r="N691" t="s">
        <v>2510</v>
      </c>
      <c r="O691" t="s">
        <v>2546</v>
      </c>
      <c r="P691" t="s">
        <v>2558</v>
      </c>
      <c r="R691" t="s">
        <v>2569</v>
      </c>
      <c r="S691" t="s">
        <v>2224</v>
      </c>
      <c r="U691" t="s">
        <v>2578</v>
      </c>
      <c r="V691" t="s">
        <v>2588</v>
      </c>
      <c r="W691" t="s">
        <v>173</v>
      </c>
      <c r="X691">
        <v>1550</v>
      </c>
      <c r="Y691" t="s">
        <v>2604</v>
      </c>
      <c r="Z691" t="s">
        <v>2609</v>
      </c>
      <c r="AB691" t="s">
        <v>3256</v>
      </c>
      <c r="AC691" t="s">
        <v>2255</v>
      </c>
      <c r="AD691" t="s">
        <v>4008</v>
      </c>
      <c r="AE691">
        <v>82</v>
      </c>
      <c r="AF691" t="s">
        <v>4099</v>
      </c>
      <c r="AG691" t="s">
        <v>2255</v>
      </c>
      <c r="AH691">
        <v>1</v>
      </c>
      <c r="AI691">
        <v>2</v>
      </c>
      <c r="AJ691">
        <v>0</v>
      </c>
      <c r="AK691">
        <v>236.55</v>
      </c>
      <c r="AM691" t="s">
        <v>4125</v>
      </c>
      <c r="AN691" t="s">
        <v>4126</v>
      </c>
      <c r="AO691">
        <v>40000</v>
      </c>
      <c r="AU691">
        <v>0</v>
      </c>
      <c r="AW691" t="s">
        <v>4226</v>
      </c>
      <c r="AX691" t="s">
        <v>4266</v>
      </c>
      <c r="AY691" t="s">
        <v>2226</v>
      </c>
      <c r="AZ691" t="s">
        <v>2226</v>
      </c>
    </row>
    <row r="692" spans="1:52">
      <c r="A692" s="1">
        <f>HYPERLINK("https://lsnyc.legalserver.org/matter/dynamic-profile/view/1906138","19-1906138")</f>
        <v>0</v>
      </c>
      <c r="B692" t="s">
        <v>96</v>
      </c>
      <c r="C692" t="s">
        <v>155</v>
      </c>
      <c r="D692" t="s">
        <v>173</v>
      </c>
      <c r="F692" t="s">
        <v>779</v>
      </c>
      <c r="G692" t="s">
        <v>1322</v>
      </c>
      <c r="H692" t="s">
        <v>1892</v>
      </c>
      <c r="I692" t="s">
        <v>2162</v>
      </c>
      <c r="J692" t="s">
        <v>2192</v>
      </c>
      <c r="K692">
        <v>11216</v>
      </c>
      <c r="L692" t="s">
        <v>2224</v>
      </c>
      <c r="M692" t="s">
        <v>2226</v>
      </c>
      <c r="N692" t="s">
        <v>2238</v>
      </c>
      <c r="O692" t="s">
        <v>2238</v>
      </c>
      <c r="P692" t="s">
        <v>2561</v>
      </c>
      <c r="R692" t="s">
        <v>2569</v>
      </c>
      <c r="S692" t="s">
        <v>2224</v>
      </c>
      <c r="U692" t="s">
        <v>2578</v>
      </c>
      <c r="V692" t="s">
        <v>2588</v>
      </c>
      <c r="W692" t="s">
        <v>173</v>
      </c>
      <c r="X692">
        <v>0</v>
      </c>
      <c r="Y692" t="s">
        <v>2604</v>
      </c>
      <c r="Z692" t="s">
        <v>2609</v>
      </c>
      <c r="AB692" t="s">
        <v>3256</v>
      </c>
      <c r="AC692" t="s">
        <v>2244</v>
      </c>
      <c r="AD692" t="s">
        <v>4008</v>
      </c>
      <c r="AE692">
        <v>82</v>
      </c>
      <c r="AF692" t="s">
        <v>4099</v>
      </c>
      <c r="AG692" t="s">
        <v>2255</v>
      </c>
      <c r="AH692">
        <v>1</v>
      </c>
      <c r="AI692">
        <v>2</v>
      </c>
      <c r="AJ692">
        <v>0</v>
      </c>
      <c r="AK692">
        <v>236.55</v>
      </c>
      <c r="AM692" t="s">
        <v>4125</v>
      </c>
      <c r="AN692" t="s">
        <v>4126</v>
      </c>
      <c r="AO692">
        <v>40000</v>
      </c>
      <c r="AU692">
        <v>0</v>
      </c>
      <c r="AW692" t="s">
        <v>4226</v>
      </c>
      <c r="AX692" t="s">
        <v>4266</v>
      </c>
      <c r="AY692" t="s">
        <v>2226</v>
      </c>
      <c r="AZ692" t="s">
        <v>2226</v>
      </c>
    </row>
    <row r="693" spans="1:52">
      <c r="A693" s="1">
        <f>HYPERLINK("https://lsnyc.legalserver.org/matter/dynamic-profile/view/1904238","19-1904238")</f>
        <v>0</v>
      </c>
      <c r="B693" t="s">
        <v>150</v>
      </c>
      <c r="C693" t="s">
        <v>155</v>
      </c>
      <c r="D693" t="s">
        <v>210</v>
      </c>
      <c r="F693" t="s">
        <v>656</v>
      </c>
      <c r="G693" t="s">
        <v>1323</v>
      </c>
      <c r="H693" t="s">
        <v>1893</v>
      </c>
      <c r="I693" t="s">
        <v>2163</v>
      </c>
      <c r="J693" t="s">
        <v>2195</v>
      </c>
      <c r="K693">
        <v>10314</v>
      </c>
      <c r="L693" t="s">
        <v>2224</v>
      </c>
      <c r="M693" t="s">
        <v>2226</v>
      </c>
      <c r="N693" t="s">
        <v>2237</v>
      </c>
      <c r="O693" t="s">
        <v>2539</v>
      </c>
      <c r="P693" t="s">
        <v>2557</v>
      </c>
      <c r="R693" t="s">
        <v>2569</v>
      </c>
      <c r="S693" t="s">
        <v>2225</v>
      </c>
      <c r="U693" t="s">
        <v>2578</v>
      </c>
      <c r="V693" t="s">
        <v>2588</v>
      </c>
      <c r="W693" t="s">
        <v>180</v>
      </c>
      <c r="X693">
        <v>967</v>
      </c>
      <c r="Y693" t="s">
        <v>2606</v>
      </c>
      <c r="Z693" t="s">
        <v>2613</v>
      </c>
      <c r="AB693" t="s">
        <v>3257</v>
      </c>
      <c r="AD693" t="s">
        <v>4009</v>
      </c>
      <c r="AE693">
        <v>96</v>
      </c>
      <c r="AF693" t="s">
        <v>4099</v>
      </c>
      <c r="AG693" t="s">
        <v>4116</v>
      </c>
      <c r="AH693">
        <v>8</v>
      </c>
      <c r="AI693">
        <v>1</v>
      </c>
      <c r="AJ693">
        <v>0</v>
      </c>
      <c r="AK693">
        <v>236.89</v>
      </c>
      <c r="AL693" t="s">
        <v>180</v>
      </c>
      <c r="AM693" t="s">
        <v>4125</v>
      </c>
      <c r="AN693" t="s">
        <v>4126</v>
      </c>
      <c r="AO693">
        <v>29587.92</v>
      </c>
      <c r="AU693">
        <v>2.9</v>
      </c>
      <c r="AV693" t="s">
        <v>257</v>
      </c>
      <c r="AW693" t="s">
        <v>4230</v>
      </c>
      <c r="AX693" t="s">
        <v>4266</v>
      </c>
      <c r="AY693" t="s">
        <v>2224</v>
      </c>
      <c r="AZ693" t="s">
        <v>2224</v>
      </c>
    </row>
    <row r="694" spans="1:52">
      <c r="A694" s="1">
        <f>HYPERLINK("https://lsnyc.legalserver.org/matter/dynamic-profile/view/1906026","19-1906026")</f>
        <v>0</v>
      </c>
      <c r="B694" t="s">
        <v>67</v>
      </c>
      <c r="C694" t="s">
        <v>155</v>
      </c>
      <c r="D694" t="s">
        <v>223</v>
      </c>
      <c r="F694" t="s">
        <v>780</v>
      </c>
      <c r="G694" t="s">
        <v>1324</v>
      </c>
      <c r="H694" t="s">
        <v>1894</v>
      </c>
      <c r="I694">
        <v>8</v>
      </c>
      <c r="J694" t="s">
        <v>2192</v>
      </c>
      <c r="K694">
        <v>11218</v>
      </c>
      <c r="L694" t="s">
        <v>2224</v>
      </c>
      <c r="M694" t="s">
        <v>2226</v>
      </c>
      <c r="O694" t="s">
        <v>2533</v>
      </c>
      <c r="P694" t="s">
        <v>2558</v>
      </c>
      <c r="R694" t="s">
        <v>2569</v>
      </c>
      <c r="S694" t="s">
        <v>2225</v>
      </c>
      <c r="U694" t="s">
        <v>2578</v>
      </c>
      <c r="W694" t="s">
        <v>274</v>
      </c>
      <c r="X694">
        <v>1615</v>
      </c>
      <c r="Y694" t="s">
        <v>2604</v>
      </c>
      <c r="Z694" t="s">
        <v>2608</v>
      </c>
      <c r="AB694" t="s">
        <v>3258</v>
      </c>
      <c r="AD694" t="s">
        <v>4010</v>
      </c>
      <c r="AE694">
        <v>42</v>
      </c>
      <c r="AF694" t="s">
        <v>4099</v>
      </c>
      <c r="AH694">
        <v>3</v>
      </c>
      <c r="AI694">
        <v>1</v>
      </c>
      <c r="AJ694">
        <v>0</v>
      </c>
      <c r="AK694">
        <v>240.19</v>
      </c>
      <c r="AL694" t="s">
        <v>205</v>
      </c>
      <c r="AM694" t="s">
        <v>4125</v>
      </c>
      <c r="AN694" t="s">
        <v>4126</v>
      </c>
      <c r="AO694">
        <v>30000</v>
      </c>
      <c r="AU694">
        <v>59.4</v>
      </c>
      <c r="AV694" t="s">
        <v>168</v>
      </c>
      <c r="AW694" t="s">
        <v>153</v>
      </c>
      <c r="AX694" t="s">
        <v>4266</v>
      </c>
      <c r="AY694" t="s">
        <v>2224</v>
      </c>
      <c r="AZ694" t="s">
        <v>2224</v>
      </c>
    </row>
    <row r="695" spans="1:52">
      <c r="A695" s="1">
        <f>HYPERLINK("https://lsnyc.legalserver.org/matter/dynamic-profile/view/1906090","19-1906090")</f>
        <v>0</v>
      </c>
      <c r="B695" t="s">
        <v>67</v>
      </c>
      <c r="C695" t="s">
        <v>155</v>
      </c>
      <c r="D695" t="s">
        <v>173</v>
      </c>
      <c r="F695" t="s">
        <v>780</v>
      </c>
      <c r="G695" t="s">
        <v>1324</v>
      </c>
      <c r="H695" t="s">
        <v>1895</v>
      </c>
      <c r="I695">
        <v>8</v>
      </c>
      <c r="J695" t="s">
        <v>2192</v>
      </c>
      <c r="K695">
        <v>11218</v>
      </c>
      <c r="L695" t="s">
        <v>2224</v>
      </c>
      <c r="M695" t="s">
        <v>2226</v>
      </c>
      <c r="P695" t="s">
        <v>2558</v>
      </c>
      <c r="R695" t="s">
        <v>2569</v>
      </c>
      <c r="S695" t="s">
        <v>2225</v>
      </c>
      <c r="U695" t="s">
        <v>2578</v>
      </c>
      <c r="W695" t="s">
        <v>173</v>
      </c>
      <c r="X695">
        <v>1615</v>
      </c>
      <c r="Y695" t="s">
        <v>2604</v>
      </c>
      <c r="Z695" t="s">
        <v>2608</v>
      </c>
      <c r="AB695" t="s">
        <v>3258</v>
      </c>
      <c r="AD695" t="s">
        <v>4011</v>
      </c>
      <c r="AE695">
        <v>42</v>
      </c>
      <c r="AF695" t="s">
        <v>4099</v>
      </c>
      <c r="AH695">
        <v>3</v>
      </c>
      <c r="AI695">
        <v>1</v>
      </c>
      <c r="AJ695">
        <v>0</v>
      </c>
      <c r="AK695">
        <v>240.19</v>
      </c>
      <c r="AL695" t="s">
        <v>205</v>
      </c>
      <c r="AM695" t="s">
        <v>4125</v>
      </c>
      <c r="AN695" t="s">
        <v>4126</v>
      </c>
      <c r="AO695">
        <v>30000</v>
      </c>
      <c r="AU695">
        <v>0.6</v>
      </c>
      <c r="AV695" t="s">
        <v>191</v>
      </c>
      <c r="AW695" t="s">
        <v>153</v>
      </c>
      <c r="AX695" t="s">
        <v>4266</v>
      </c>
      <c r="AY695" t="s">
        <v>2224</v>
      </c>
      <c r="AZ695" t="s">
        <v>2224</v>
      </c>
    </row>
    <row r="696" spans="1:52">
      <c r="A696" s="1">
        <f>HYPERLINK("https://lsnyc.legalserver.org/matter/dynamic-profile/view/1907450","19-1907450")</f>
        <v>0</v>
      </c>
      <c r="B696" t="s">
        <v>88</v>
      </c>
      <c r="C696" t="s">
        <v>155</v>
      </c>
      <c r="D696" t="s">
        <v>162</v>
      </c>
      <c r="F696" t="s">
        <v>504</v>
      </c>
      <c r="G696" t="s">
        <v>1325</v>
      </c>
      <c r="H696" t="s">
        <v>1896</v>
      </c>
      <c r="I696" t="s">
        <v>2018</v>
      </c>
      <c r="J696" t="s">
        <v>2196</v>
      </c>
      <c r="K696">
        <v>10034</v>
      </c>
      <c r="L696" t="s">
        <v>2224</v>
      </c>
      <c r="M696" t="s">
        <v>2226</v>
      </c>
      <c r="O696" t="s">
        <v>2238</v>
      </c>
      <c r="P696" t="s">
        <v>2561</v>
      </c>
      <c r="R696" t="s">
        <v>2569</v>
      </c>
      <c r="S696" t="s">
        <v>2225</v>
      </c>
      <c r="U696" t="s">
        <v>2578</v>
      </c>
      <c r="V696" t="s">
        <v>2588</v>
      </c>
      <c r="W696" t="s">
        <v>176</v>
      </c>
      <c r="X696">
        <v>1448.89</v>
      </c>
      <c r="Y696" t="s">
        <v>2607</v>
      </c>
      <c r="Z696" t="s">
        <v>2617</v>
      </c>
      <c r="AB696" t="s">
        <v>3259</v>
      </c>
      <c r="AD696" t="s">
        <v>4012</v>
      </c>
      <c r="AE696">
        <v>32</v>
      </c>
      <c r="AF696" t="s">
        <v>4099</v>
      </c>
      <c r="AG696" t="s">
        <v>2255</v>
      </c>
      <c r="AH696">
        <v>18</v>
      </c>
      <c r="AI696">
        <v>1</v>
      </c>
      <c r="AJ696">
        <v>0</v>
      </c>
      <c r="AK696">
        <v>240.19</v>
      </c>
      <c r="AN696" t="s">
        <v>4126</v>
      </c>
      <c r="AO696">
        <v>30000</v>
      </c>
      <c r="AU696">
        <v>15.6</v>
      </c>
      <c r="AV696" t="s">
        <v>188</v>
      </c>
      <c r="AW696" t="s">
        <v>4237</v>
      </c>
      <c r="AX696" t="s">
        <v>4266</v>
      </c>
      <c r="AY696" t="s">
        <v>2226</v>
      </c>
      <c r="AZ696" t="s">
        <v>2226</v>
      </c>
    </row>
    <row r="697" spans="1:52">
      <c r="A697" s="1">
        <f>HYPERLINK("https://lsnyc.legalserver.org/matter/dynamic-profile/view/1904638","19-1904638")</f>
        <v>0</v>
      </c>
      <c r="B697" t="s">
        <v>128</v>
      </c>
      <c r="C697" t="s">
        <v>154</v>
      </c>
      <c r="D697" t="s">
        <v>192</v>
      </c>
      <c r="E697" t="s">
        <v>212</v>
      </c>
      <c r="F697" t="s">
        <v>781</v>
      </c>
      <c r="G697" t="s">
        <v>1326</v>
      </c>
      <c r="H697" t="s">
        <v>1897</v>
      </c>
      <c r="I697" t="s">
        <v>2000</v>
      </c>
      <c r="J697" t="s">
        <v>2196</v>
      </c>
      <c r="K697">
        <v>10010</v>
      </c>
      <c r="L697" t="s">
        <v>2224</v>
      </c>
      <c r="M697" t="s">
        <v>2226</v>
      </c>
      <c r="N697" t="s">
        <v>2511</v>
      </c>
      <c r="O697" t="s">
        <v>2535</v>
      </c>
      <c r="P697" t="s">
        <v>2556</v>
      </c>
      <c r="Q697" t="s">
        <v>2563</v>
      </c>
      <c r="R697" t="s">
        <v>2569</v>
      </c>
      <c r="S697" t="s">
        <v>2225</v>
      </c>
      <c r="U697" t="s">
        <v>2578</v>
      </c>
      <c r="V697" t="s">
        <v>2588</v>
      </c>
      <c r="W697" t="s">
        <v>192</v>
      </c>
      <c r="X697">
        <v>1567.75</v>
      </c>
      <c r="Y697" t="s">
        <v>2607</v>
      </c>
      <c r="Z697" t="s">
        <v>2614</v>
      </c>
      <c r="AA697" t="s">
        <v>2626</v>
      </c>
      <c r="AB697" t="s">
        <v>3260</v>
      </c>
      <c r="AD697" t="s">
        <v>4013</v>
      </c>
      <c r="AE697">
        <v>16</v>
      </c>
      <c r="AF697" t="s">
        <v>4099</v>
      </c>
      <c r="AG697" t="s">
        <v>2255</v>
      </c>
      <c r="AH697">
        <v>26</v>
      </c>
      <c r="AI697">
        <v>1</v>
      </c>
      <c r="AJ697">
        <v>0</v>
      </c>
      <c r="AK697">
        <v>240.19</v>
      </c>
      <c r="AN697" t="s">
        <v>4126</v>
      </c>
      <c r="AO697">
        <v>30000</v>
      </c>
      <c r="AU697">
        <v>1.25</v>
      </c>
      <c r="AV697" t="s">
        <v>171</v>
      </c>
      <c r="AW697" t="s">
        <v>4237</v>
      </c>
      <c r="AX697" t="s">
        <v>4266</v>
      </c>
      <c r="AY697" t="s">
        <v>2226</v>
      </c>
      <c r="AZ697" t="s">
        <v>2225</v>
      </c>
    </row>
    <row r="698" spans="1:52">
      <c r="A698" s="1">
        <f>HYPERLINK("https://lsnyc.legalserver.org/matter/dynamic-profile/view/1905159","19-1905159")</f>
        <v>0</v>
      </c>
      <c r="B698" t="s">
        <v>120</v>
      </c>
      <c r="C698" t="s">
        <v>155</v>
      </c>
      <c r="D698" t="s">
        <v>244</v>
      </c>
      <c r="F698" t="s">
        <v>782</v>
      </c>
      <c r="G698" t="s">
        <v>1327</v>
      </c>
      <c r="H698" t="s">
        <v>1898</v>
      </c>
      <c r="I698" t="s">
        <v>2164</v>
      </c>
      <c r="J698" t="s">
        <v>2195</v>
      </c>
      <c r="K698">
        <v>10303</v>
      </c>
      <c r="L698" t="s">
        <v>2224</v>
      </c>
      <c r="M698" t="s">
        <v>2226</v>
      </c>
      <c r="N698" t="s">
        <v>2512</v>
      </c>
      <c r="O698" t="s">
        <v>2555</v>
      </c>
      <c r="P698" t="s">
        <v>2558</v>
      </c>
      <c r="R698" t="s">
        <v>2570</v>
      </c>
      <c r="S698" t="s">
        <v>2225</v>
      </c>
      <c r="U698" t="s">
        <v>2580</v>
      </c>
      <c r="V698" t="s">
        <v>2588</v>
      </c>
      <c r="W698" t="s">
        <v>172</v>
      </c>
      <c r="X698">
        <v>0</v>
      </c>
      <c r="Y698" t="s">
        <v>2606</v>
      </c>
      <c r="Z698" t="s">
        <v>2610</v>
      </c>
      <c r="AB698" t="s">
        <v>3261</v>
      </c>
      <c r="AD698" t="s">
        <v>4014</v>
      </c>
      <c r="AE698">
        <v>6</v>
      </c>
      <c r="AF698" t="s">
        <v>4098</v>
      </c>
      <c r="AG698" t="s">
        <v>2255</v>
      </c>
      <c r="AH698">
        <v>3</v>
      </c>
      <c r="AI698">
        <v>1</v>
      </c>
      <c r="AJ698">
        <v>2</v>
      </c>
      <c r="AK698">
        <v>247.54</v>
      </c>
      <c r="AL698" t="s">
        <v>4121</v>
      </c>
      <c r="AM698" t="s">
        <v>4123</v>
      </c>
      <c r="AN698" t="s">
        <v>4126</v>
      </c>
      <c r="AO698">
        <v>52800</v>
      </c>
      <c r="AU698">
        <v>8.050000000000001</v>
      </c>
      <c r="AV698" t="s">
        <v>230</v>
      </c>
      <c r="AW698" t="s">
        <v>4264</v>
      </c>
      <c r="AX698" t="s">
        <v>4266</v>
      </c>
      <c r="AY698" t="s">
        <v>2224</v>
      </c>
      <c r="AZ698" t="s">
        <v>2224</v>
      </c>
    </row>
    <row r="699" spans="1:52">
      <c r="A699" s="1">
        <f>HYPERLINK("https://lsnyc.legalserver.org/matter/dynamic-profile/view/1912981","19-1912981")</f>
        <v>0</v>
      </c>
      <c r="B699" t="s">
        <v>83</v>
      </c>
      <c r="C699" t="s">
        <v>155</v>
      </c>
      <c r="D699" t="s">
        <v>168</v>
      </c>
      <c r="F699" t="s">
        <v>495</v>
      </c>
      <c r="G699" t="s">
        <v>1192</v>
      </c>
      <c r="H699" t="s">
        <v>1899</v>
      </c>
      <c r="I699" t="s">
        <v>2165</v>
      </c>
      <c r="J699" t="s">
        <v>2192</v>
      </c>
      <c r="K699">
        <v>11212</v>
      </c>
      <c r="L699" t="s">
        <v>2224</v>
      </c>
      <c r="M699" t="s">
        <v>2226</v>
      </c>
      <c r="N699" t="s">
        <v>2513</v>
      </c>
      <c r="O699" t="s">
        <v>2535</v>
      </c>
      <c r="R699" t="s">
        <v>2569</v>
      </c>
      <c r="S699" t="s">
        <v>2225</v>
      </c>
      <c r="U699" t="s">
        <v>2578</v>
      </c>
      <c r="V699" t="s">
        <v>2588</v>
      </c>
      <c r="W699" t="s">
        <v>157</v>
      </c>
      <c r="X699">
        <v>0</v>
      </c>
      <c r="Y699" t="s">
        <v>2604</v>
      </c>
      <c r="AB699" t="s">
        <v>3262</v>
      </c>
      <c r="AC699" t="s">
        <v>2244</v>
      </c>
      <c r="AD699" t="s">
        <v>4015</v>
      </c>
      <c r="AE699">
        <v>0</v>
      </c>
      <c r="AF699" t="s">
        <v>2518</v>
      </c>
      <c r="AG699" t="s">
        <v>2255</v>
      </c>
      <c r="AH699">
        <v>0</v>
      </c>
      <c r="AI699">
        <v>1</v>
      </c>
      <c r="AJ699">
        <v>1</v>
      </c>
      <c r="AK699">
        <v>248.37</v>
      </c>
      <c r="AN699" t="s">
        <v>4126</v>
      </c>
      <c r="AO699">
        <v>42000</v>
      </c>
      <c r="AP699" t="s">
        <v>4160</v>
      </c>
      <c r="AU699">
        <v>0</v>
      </c>
      <c r="AW699" t="s">
        <v>4226</v>
      </c>
      <c r="AX699" t="s">
        <v>4266</v>
      </c>
      <c r="AY699" t="s">
        <v>2226</v>
      </c>
      <c r="AZ699" t="s">
        <v>2226</v>
      </c>
    </row>
    <row r="700" spans="1:52">
      <c r="A700" s="1">
        <f>HYPERLINK("https://lsnyc.legalserver.org/matter/dynamic-profile/view/1912132","19-1912132")</f>
        <v>0</v>
      </c>
      <c r="B700" t="s">
        <v>73</v>
      </c>
      <c r="C700" t="s">
        <v>155</v>
      </c>
      <c r="D700" t="s">
        <v>218</v>
      </c>
      <c r="F700" t="s">
        <v>783</v>
      </c>
      <c r="G700" t="s">
        <v>1328</v>
      </c>
      <c r="H700" t="s">
        <v>1900</v>
      </c>
      <c r="I700" t="s">
        <v>2000</v>
      </c>
      <c r="J700" t="s">
        <v>2195</v>
      </c>
      <c r="K700">
        <v>10304</v>
      </c>
      <c r="L700" t="s">
        <v>2224</v>
      </c>
      <c r="M700" t="s">
        <v>2226</v>
      </c>
      <c r="N700" t="s">
        <v>2514</v>
      </c>
      <c r="O700" t="s">
        <v>2535</v>
      </c>
      <c r="P700" t="s">
        <v>2559</v>
      </c>
      <c r="R700" t="s">
        <v>2570</v>
      </c>
      <c r="S700" t="s">
        <v>2225</v>
      </c>
      <c r="U700" t="s">
        <v>2583</v>
      </c>
      <c r="W700" t="s">
        <v>261</v>
      </c>
      <c r="X700">
        <v>888.08</v>
      </c>
      <c r="Y700" t="s">
        <v>2606</v>
      </c>
      <c r="Z700" t="s">
        <v>2610</v>
      </c>
      <c r="AB700" t="s">
        <v>3263</v>
      </c>
      <c r="AE700">
        <v>67</v>
      </c>
      <c r="AF700" t="s">
        <v>4098</v>
      </c>
      <c r="AG700" t="s">
        <v>4112</v>
      </c>
      <c r="AH700">
        <v>2</v>
      </c>
      <c r="AI700">
        <v>1</v>
      </c>
      <c r="AJ700">
        <v>0</v>
      </c>
      <c r="AK700">
        <v>249.8</v>
      </c>
      <c r="AN700" t="s">
        <v>4126</v>
      </c>
      <c r="AO700">
        <v>31200</v>
      </c>
      <c r="AU700">
        <v>6.6</v>
      </c>
      <c r="AV700" t="s">
        <v>188</v>
      </c>
      <c r="AW700" t="s">
        <v>92</v>
      </c>
      <c r="AX700" t="s">
        <v>4266</v>
      </c>
      <c r="AY700" t="s">
        <v>2224</v>
      </c>
      <c r="AZ700" t="s">
        <v>2224</v>
      </c>
    </row>
    <row r="701" spans="1:52">
      <c r="A701" s="1">
        <f>HYPERLINK("https://lsnyc.legalserver.org/matter/dynamic-profile/view/1904267","19-1904267")</f>
        <v>0</v>
      </c>
      <c r="B701" t="s">
        <v>86</v>
      </c>
      <c r="C701" t="s">
        <v>154</v>
      </c>
      <c r="D701" t="s">
        <v>158</v>
      </c>
      <c r="E701" t="s">
        <v>192</v>
      </c>
      <c r="F701" t="s">
        <v>629</v>
      </c>
      <c r="G701" t="s">
        <v>1119</v>
      </c>
      <c r="H701" t="s">
        <v>1901</v>
      </c>
      <c r="I701" t="s">
        <v>1960</v>
      </c>
      <c r="J701" t="s">
        <v>2196</v>
      </c>
      <c r="K701">
        <v>10032</v>
      </c>
      <c r="L701" t="s">
        <v>2224</v>
      </c>
      <c r="M701" t="s">
        <v>2226</v>
      </c>
      <c r="O701" t="s">
        <v>2536</v>
      </c>
      <c r="P701" t="s">
        <v>2556</v>
      </c>
      <c r="Q701" t="s">
        <v>2563</v>
      </c>
      <c r="R701" t="s">
        <v>2569</v>
      </c>
      <c r="S701" t="s">
        <v>2225</v>
      </c>
      <c r="U701" t="s">
        <v>2578</v>
      </c>
      <c r="W701" t="s">
        <v>158</v>
      </c>
      <c r="X701">
        <v>606</v>
      </c>
      <c r="Y701" t="s">
        <v>2607</v>
      </c>
      <c r="Z701" t="s">
        <v>2617</v>
      </c>
      <c r="AA701" t="s">
        <v>2626</v>
      </c>
      <c r="AB701" t="s">
        <v>3264</v>
      </c>
      <c r="AD701" t="s">
        <v>4016</v>
      </c>
      <c r="AE701">
        <v>42</v>
      </c>
      <c r="AF701" t="s">
        <v>4100</v>
      </c>
      <c r="AG701" t="s">
        <v>2255</v>
      </c>
      <c r="AH701">
        <v>53</v>
      </c>
      <c r="AI701">
        <v>1</v>
      </c>
      <c r="AJ701">
        <v>0</v>
      </c>
      <c r="AK701">
        <v>249.8</v>
      </c>
      <c r="AN701" t="s">
        <v>4126</v>
      </c>
      <c r="AO701">
        <v>31200</v>
      </c>
      <c r="AU701">
        <v>1.5</v>
      </c>
      <c r="AV701" t="s">
        <v>192</v>
      </c>
      <c r="AW701" t="s">
        <v>80</v>
      </c>
      <c r="AX701" t="s">
        <v>4266</v>
      </c>
      <c r="AY701" t="s">
        <v>2226</v>
      </c>
      <c r="AZ701" t="s">
        <v>2225</v>
      </c>
    </row>
    <row r="702" spans="1:52">
      <c r="A702" s="1">
        <f>HYPERLINK("https://lsnyc.legalserver.org/matter/dynamic-profile/view/1906893","19-1906893")</f>
        <v>0</v>
      </c>
      <c r="B702" t="s">
        <v>64</v>
      </c>
      <c r="C702" t="s">
        <v>154</v>
      </c>
      <c r="D702" t="s">
        <v>181</v>
      </c>
      <c r="E702" t="s">
        <v>190</v>
      </c>
      <c r="F702" t="s">
        <v>465</v>
      </c>
      <c r="G702" t="s">
        <v>1329</v>
      </c>
      <c r="H702" t="s">
        <v>1902</v>
      </c>
      <c r="J702" t="s">
        <v>2192</v>
      </c>
      <c r="K702">
        <v>11233</v>
      </c>
      <c r="L702" t="s">
        <v>2224</v>
      </c>
      <c r="M702" t="s">
        <v>2226</v>
      </c>
      <c r="N702" t="s">
        <v>2515</v>
      </c>
      <c r="O702" t="s">
        <v>2535</v>
      </c>
      <c r="P702" t="s">
        <v>2556</v>
      </c>
      <c r="Q702" t="s">
        <v>2563</v>
      </c>
      <c r="R702" t="s">
        <v>2569</v>
      </c>
      <c r="S702" t="s">
        <v>2225</v>
      </c>
      <c r="U702" t="s">
        <v>2578</v>
      </c>
      <c r="V702" t="s">
        <v>2590</v>
      </c>
      <c r="W702" t="s">
        <v>237</v>
      </c>
      <c r="X702">
        <v>0</v>
      </c>
      <c r="Y702" t="s">
        <v>2604</v>
      </c>
      <c r="Z702" t="s">
        <v>2615</v>
      </c>
      <c r="AA702" t="s">
        <v>2626</v>
      </c>
      <c r="AB702" t="s">
        <v>3265</v>
      </c>
      <c r="AE702">
        <v>2</v>
      </c>
      <c r="AH702">
        <v>0</v>
      </c>
      <c r="AI702">
        <v>2</v>
      </c>
      <c r="AJ702">
        <v>2</v>
      </c>
      <c r="AK702">
        <v>252.43</v>
      </c>
      <c r="AN702" t="s">
        <v>4126</v>
      </c>
      <c r="AO702">
        <v>65000</v>
      </c>
      <c r="AU702">
        <v>2</v>
      </c>
      <c r="AV702" t="s">
        <v>237</v>
      </c>
      <c r="AW702" t="s">
        <v>127</v>
      </c>
      <c r="AX702" t="s">
        <v>4266</v>
      </c>
      <c r="AY702" t="s">
        <v>2226</v>
      </c>
      <c r="AZ702" t="s">
        <v>2225</v>
      </c>
    </row>
    <row r="703" spans="1:52">
      <c r="A703" s="1">
        <f>HYPERLINK("https://lsnyc.legalserver.org/matter/dynamic-profile/view/1904725","19-1904725")</f>
        <v>0</v>
      </c>
      <c r="B703" t="s">
        <v>90</v>
      </c>
      <c r="C703" t="s">
        <v>155</v>
      </c>
      <c r="D703" t="s">
        <v>192</v>
      </c>
      <c r="F703" t="s">
        <v>300</v>
      </c>
      <c r="G703" t="s">
        <v>1275</v>
      </c>
      <c r="H703" t="s">
        <v>1803</v>
      </c>
      <c r="I703" t="s">
        <v>2165</v>
      </c>
      <c r="J703" t="s">
        <v>2196</v>
      </c>
      <c r="K703">
        <v>10034</v>
      </c>
      <c r="L703" t="s">
        <v>2224</v>
      </c>
      <c r="M703" t="s">
        <v>2226</v>
      </c>
      <c r="O703" t="s">
        <v>2534</v>
      </c>
      <c r="P703" t="s">
        <v>2558</v>
      </c>
      <c r="R703" t="s">
        <v>2569</v>
      </c>
      <c r="S703" t="s">
        <v>2224</v>
      </c>
      <c r="U703" t="s">
        <v>2578</v>
      </c>
      <c r="W703" t="s">
        <v>192</v>
      </c>
      <c r="X703">
        <v>1650</v>
      </c>
      <c r="Y703" t="s">
        <v>2607</v>
      </c>
      <c r="Z703" t="s">
        <v>2617</v>
      </c>
      <c r="AB703" t="s">
        <v>3266</v>
      </c>
      <c r="AD703" t="s">
        <v>4017</v>
      </c>
      <c r="AE703">
        <v>43</v>
      </c>
      <c r="AF703" t="s">
        <v>4099</v>
      </c>
      <c r="AG703" t="s">
        <v>2255</v>
      </c>
      <c r="AH703">
        <v>24</v>
      </c>
      <c r="AI703">
        <v>2</v>
      </c>
      <c r="AJ703">
        <v>2</v>
      </c>
      <c r="AK703">
        <v>252.43</v>
      </c>
      <c r="AL703" t="s">
        <v>261</v>
      </c>
      <c r="AM703" t="s">
        <v>4125</v>
      </c>
      <c r="AN703" t="s">
        <v>4126</v>
      </c>
      <c r="AO703">
        <v>65000</v>
      </c>
      <c r="AU703">
        <v>0</v>
      </c>
      <c r="AW703" t="s">
        <v>80</v>
      </c>
      <c r="AX703" t="s">
        <v>4266</v>
      </c>
      <c r="AY703" t="s">
        <v>2226</v>
      </c>
      <c r="AZ703" t="s">
        <v>2226</v>
      </c>
    </row>
    <row r="704" spans="1:52">
      <c r="A704" s="1">
        <f>HYPERLINK("https://lsnyc.legalserver.org/matter/dynamic-profile/view/1912286","19-1912286")</f>
        <v>0</v>
      </c>
      <c r="B704" t="s">
        <v>75</v>
      </c>
      <c r="C704" t="s">
        <v>155</v>
      </c>
      <c r="D704" t="s">
        <v>199</v>
      </c>
      <c r="F704" t="s">
        <v>784</v>
      </c>
      <c r="G704" t="s">
        <v>1330</v>
      </c>
      <c r="H704" t="s">
        <v>1903</v>
      </c>
      <c r="I704" t="s">
        <v>2166</v>
      </c>
      <c r="J704" t="s">
        <v>2196</v>
      </c>
      <c r="K704">
        <v>10033</v>
      </c>
      <c r="L704" t="s">
        <v>2224</v>
      </c>
      <c r="M704" t="s">
        <v>2226</v>
      </c>
      <c r="O704" t="s">
        <v>2541</v>
      </c>
      <c r="P704" t="s">
        <v>2561</v>
      </c>
      <c r="R704" t="s">
        <v>2569</v>
      </c>
      <c r="S704" t="s">
        <v>2225</v>
      </c>
      <c r="U704" t="s">
        <v>2578</v>
      </c>
      <c r="W704" t="s">
        <v>199</v>
      </c>
      <c r="X704">
        <v>1319.95</v>
      </c>
      <c r="Y704" t="s">
        <v>2607</v>
      </c>
      <c r="Z704" t="s">
        <v>2613</v>
      </c>
      <c r="AB704" t="s">
        <v>3267</v>
      </c>
      <c r="AD704" t="s">
        <v>4018</v>
      </c>
      <c r="AE704">
        <v>480</v>
      </c>
      <c r="AF704" t="s">
        <v>4099</v>
      </c>
      <c r="AG704" t="s">
        <v>4116</v>
      </c>
      <c r="AH704">
        <v>18</v>
      </c>
      <c r="AI704">
        <v>2</v>
      </c>
      <c r="AJ704">
        <v>0</v>
      </c>
      <c r="AK704">
        <v>255.47</v>
      </c>
      <c r="AN704" t="s">
        <v>4126</v>
      </c>
      <c r="AO704">
        <v>43200</v>
      </c>
      <c r="AU704">
        <v>6.25</v>
      </c>
      <c r="AV704" t="s">
        <v>188</v>
      </c>
      <c r="AW704" t="s">
        <v>80</v>
      </c>
      <c r="AX704" t="s">
        <v>4266</v>
      </c>
      <c r="AY704" t="s">
        <v>2224</v>
      </c>
      <c r="AZ704" t="s">
        <v>2224</v>
      </c>
    </row>
    <row r="705" spans="1:52">
      <c r="A705" s="1">
        <f>HYPERLINK("https://lsnyc.legalserver.org/matter/dynamic-profile/view/1911652","19-1911652")</f>
        <v>0</v>
      </c>
      <c r="B705" t="s">
        <v>134</v>
      </c>
      <c r="C705" t="s">
        <v>155</v>
      </c>
      <c r="D705" t="s">
        <v>263</v>
      </c>
      <c r="F705" t="s">
        <v>784</v>
      </c>
      <c r="G705" t="s">
        <v>1330</v>
      </c>
      <c r="H705" t="s">
        <v>1903</v>
      </c>
      <c r="I705" t="s">
        <v>2166</v>
      </c>
      <c r="J705" t="s">
        <v>2196</v>
      </c>
      <c r="K705">
        <v>10033</v>
      </c>
      <c r="L705" t="s">
        <v>2225</v>
      </c>
      <c r="M705" t="s">
        <v>2226</v>
      </c>
      <c r="P705" t="s">
        <v>2559</v>
      </c>
      <c r="R705" t="s">
        <v>2569</v>
      </c>
      <c r="S705" t="s">
        <v>2225</v>
      </c>
      <c r="U705" t="s">
        <v>2578</v>
      </c>
      <c r="W705" t="s">
        <v>263</v>
      </c>
      <c r="X705">
        <v>1319.95</v>
      </c>
      <c r="Y705" t="s">
        <v>2607</v>
      </c>
      <c r="Z705" t="s">
        <v>2617</v>
      </c>
      <c r="AB705" t="s">
        <v>3267</v>
      </c>
      <c r="AD705" t="s">
        <v>4018</v>
      </c>
      <c r="AE705">
        <v>480</v>
      </c>
      <c r="AF705" t="s">
        <v>4099</v>
      </c>
      <c r="AG705" t="s">
        <v>2255</v>
      </c>
      <c r="AH705">
        <v>18</v>
      </c>
      <c r="AI705">
        <v>2</v>
      </c>
      <c r="AJ705">
        <v>0</v>
      </c>
      <c r="AK705">
        <v>255.47</v>
      </c>
      <c r="AN705" t="s">
        <v>4126</v>
      </c>
      <c r="AO705">
        <v>43200</v>
      </c>
      <c r="AU705">
        <v>2.2</v>
      </c>
      <c r="AV705" t="s">
        <v>199</v>
      </c>
      <c r="AW705" t="s">
        <v>80</v>
      </c>
      <c r="AX705" t="s">
        <v>4266</v>
      </c>
      <c r="AY705" t="s">
        <v>2224</v>
      </c>
      <c r="AZ705" t="s">
        <v>2224</v>
      </c>
    </row>
    <row r="706" spans="1:52">
      <c r="A706" s="1">
        <f>HYPERLINK("https://lsnyc.legalserver.org/matter/dynamic-profile/view/1907851","19-1907851")</f>
        <v>0</v>
      </c>
      <c r="B706" t="s">
        <v>89</v>
      </c>
      <c r="C706" t="s">
        <v>155</v>
      </c>
      <c r="D706" t="s">
        <v>247</v>
      </c>
      <c r="F706" t="s">
        <v>785</v>
      </c>
      <c r="G706" t="s">
        <v>1267</v>
      </c>
      <c r="H706" t="s">
        <v>1642</v>
      </c>
      <c r="I706" t="s">
        <v>2167</v>
      </c>
      <c r="J706" t="s">
        <v>2204</v>
      </c>
      <c r="K706">
        <v>11377</v>
      </c>
      <c r="L706" t="s">
        <v>2224</v>
      </c>
      <c r="M706" t="s">
        <v>2226</v>
      </c>
      <c r="N706" t="s">
        <v>2356</v>
      </c>
      <c r="O706" t="s">
        <v>2537</v>
      </c>
      <c r="P706" t="s">
        <v>2560</v>
      </c>
      <c r="R706" t="s">
        <v>2569</v>
      </c>
      <c r="S706" t="s">
        <v>2224</v>
      </c>
      <c r="U706" t="s">
        <v>2578</v>
      </c>
      <c r="W706" t="s">
        <v>247</v>
      </c>
      <c r="X706">
        <v>1291</v>
      </c>
      <c r="Y706" t="s">
        <v>2603</v>
      </c>
      <c r="Z706" t="s">
        <v>2614</v>
      </c>
      <c r="AB706" t="s">
        <v>3268</v>
      </c>
      <c r="AD706" t="s">
        <v>4019</v>
      </c>
      <c r="AE706">
        <v>67</v>
      </c>
      <c r="AF706" t="s">
        <v>4099</v>
      </c>
      <c r="AG706" t="s">
        <v>2255</v>
      </c>
      <c r="AH706">
        <v>12</v>
      </c>
      <c r="AI706">
        <v>2</v>
      </c>
      <c r="AJ706">
        <v>1</v>
      </c>
      <c r="AK706">
        <v>257.85</v>
      </c>
      <c r="AN706" t="s">
        <v>4126</v>
      </c>
      <c r="AO706">
        <v>55000</v>
      </c>
      <c r="AU706">
        <v>0.4</v>
      </c>
      <c r="AV706" t="s">
        <v>247</v>
      </c>
      <c r="AW706" t="s">
        <v>4224</v>
      </c>
      <c r="AX706" t="s">
        <v>4266</v>
      </c>
      <c r="AY706" t="s">
        <v>2224</v>
      </c>
      <c r="AZ706" t="s">
        <v>2224</v>
      </c>
    </row>
    <row r="707" spans="1:52">
      <c r="A707" s="1">
        <f>HYPERLINK("https://lsnyc.legalserver.org/matter/dynamic-profile/view/1907792","19-1907792")</f>
        <v>0</v>
      </c>
      <c r="B707" t="s">
        <v>81</v>
      </c>
      <c r="C707" t="s">
        <v>155</v>
      </c>
      <c r="D707" t="s">
        <v>183</v>
      </c>
      <c r="F707" t="s">
        <v>786</v>
      </c>
      <c r="G707" t="s">
        <v>1158</v>
      </c>
      <c r="H707" t="s">
        <v>1450</v>
      </c>
      <c r="I707" t="s">
        <v>2075</v>
      </c>
      <c r="J707" t="s">
        <v>2192</v>
      </c>
      <c r="K707">
        <v>11212</v>
      </c>
      <c r="L707" t="s">
        <v>2224</v>
      </c>
      <c r="M707" t="s">
        <v>2226</v>
      </c>
      <c r="N707" t="s">
        <v>2255</v>
      </c>
      <c r="O707" t="s">
        <v>2539</v>
      </c>
      <c r="P707" t="s">
        <v>2561</v>
      </c>
      <c r="R707" t="s">
        <v>2569</v>
      </c>
      <c r="S707" t="s">
        <v>2224</v>
      </c>
      <c r="U707" t="s">
        <v>2578</v>
      </c>
      <c r="V707" t="s">
        <v>2588</v>
      </c>
      <c r="W707" t="s">
        <v>173</v>
      </c>
      <c r="X707">
        <v>250</v>
      </c>
      <c r="Y707" t="s">
        <v>2604</v>
      </c>
      <c r="Z707" t="s">
        <v>2614</v>
      </c>
      <c r="AB707" t="s">
        <v>3269</v>
      </c>
      <c r="AD707" t="s">
        <v>4020</v>
      </c>
      <c r="AE707">
        <v>96</v>
      </c>
      <c r="AF707" t="s">
        <v>4099</v>
      </c>
      <c r="AG707" t="s">
        <v>2611</v>
      </c>
      <c r="AH707">
        <v>2</v>
      </c>
      <c r="AI707">
        <v>1</v>
      </c>
      <c r="AJ707">
        <v>0</v>
      </c>
      <c r="AK707">
        <v>264.21</v>
      </c>
      <c r="AN707" t="s">
        <v>4126</v>
      </c>
      <c r="AO707">
        <v>33000</v>
      </c>
      <c r="AU707">
        <v>0.75</v>
      </c>
      <c r="AV707" t="s">
        <v>272</v>
      </c>
      <c r="AW707" t="s">
        <v>127</v>
      </c>
      <c r="AX707" t="s">
        <v>4266</v>
      </c>
      <c r="AY707" t="s">
        <v>2224</v>
      </c>
      <c r="AZ707" t="s">
        <v>2224</v>
      </c>
    </row>
    <row r="708" spans="1:52">
      <c r="A708" s="1">
        <f>HYPERLINK("https://lsnyc.legalserver.org/matter/dynamic-profile/view/1906387","19-1906387")</f>
        <v>0</v>
      </c>
      <c r="B708" t="s">
        <v>86</v>
      </c>
      <c r="C708" t="s">
        <v>155</v>
      </c>
      <c r="D708" t="s">
        <v>191</v>
      </c>
      <c r="F708" t="s">
        <v>702</v>
      </c>
      <c r="G708" t="s">
        <v>1331</v>
      </c>
      <c r="H708" t="s">
        <v>1785</v>
      </c>
      <c r="I708">
        <v>41</v>
      </c>
      <c r="J708" t="s">
        <v>2196</v>
      </c>
      <c r="K708">
        <v>10032</v>
      </c>
      <c r="L708" t="s">
        <v>2224</v>
      </c>
      <c r="M708" t="s">
        <v>2226</v>
      </c>
      <c r="O708" t="s">
        <v>2534</v>
      </c>
      <c r="P708" t="s">
        <v>2557</v>
      </c>
      <c r="R708" t="s">
        <v>2569</v>
      </c>
      <c r="S708" t="s">
        <v>2224</v>
      </c>
      <c r="U708" t="s">
        <v>2578</v>
      </c>
      <c r="W708" t="s">
        <v>191</v>
      </c>
      <c r="X708">
        <v>1600</v>
      </c>
      <c r="Y708" t="s">
        <v>2607</v>
      </c>
      <c r="Z708" t="s">
        <v>2617</v>
      </c>
      <c r="AB708" t="s">
        <v>3270</v>
      </c>
      <c r="AD708" t="s">
        <v>4021</v>
      </c>
      <c r="AE708">
        <v>46</v>
      </c>
      <c r="AF708" t="s">
        <v>4099</v>
      </c>
      <c r="AG708" t="s">
        <v>2255</v>
      </c>
      <c r="AH708">
        <v>30</v>
      </c>
      <c r="AI708">
        <v>2</v>
      </c>
      <c r="AJ708">
        <v>3</v>
      </c>
      <c r="AK708">
        <v>265.16</v>
      </c>
      <c r="AL708" t="s">
        <v>261</v>
      </c>
      <c r="AM708" t="s">
        <v>4125</v>
      </c>
      <c r="AN708" t="s">
        <v>4126</v>
      </c>
      <c r="AO708">
        <v>80000</v>
      </c>
      <c r="AU708">
        <v>0</v>
      </c>
      <c r="AW708" t="s">
        <v>80</v>
      </c>
      <c r="AX708" t="s">
        <v>4266</v>
      </c>
      <c r="AY708" t="s">
        <v>2226</v>
      </c>
      <c r="AZ708" t="s">
        <v>2226</v>
      </c>
    </row>
    <row r="709" spans="1:52">
      <c r="A709" s="1">
        <f>HYPERLINK("https://lsnyc.legalserver.org/matter/dynamic-profile/view/1907402","19-1907402")</f>
        <v>0</v>
      </c>
      <c r="B709" t="s">
        <v>82</v>
      </c>
      <c r="C709" t="s">
        <v>154</v>
      </c>
      <c r="D709" t="s">
        <v>176</v>
      </c>
      <c r="E709" t="s">
        <v>177</v>
      </c>
      <c r="F709" t="s">
        <v>787</v>
      </c>
      <c r="G709" t="s">
        <v>1241</v>
      </c>
      <c r="H709" t="s">
        <v>1904</v>
      </c>
      <c r="I709" t="s">
        <v>2010</v>
      </c>
      <c r="J709" t="s">
        <v>2192</v>
      </c>
      <c r="K709">
        <v>11212</v>
      </c>
      <c r="L709" t="s">
        <v>2224</v>
      </c>
      <c r="M709" t="s">
        <v>2226</v>
      </c>
      <c r="N709" t="s">
        <v>2516</v>
      </c>
      <c r="O709" t="s">
        <v>2533</v>
      </c>
      <c r="P709" t="s">
        <v>2561</v>
      </c>
      <c r="Q709" t="s">
        <v>2566</v>
      </c>
      <c r="R709" t="s">
        <v>2569</v>
      </c>
      <c r="S709" t="s">
        <v>2225</v>
      </c>
      <c r="U709" t="s">
        <v>2578</v>
      </c>
      <c r="V709" t="s">
        <v>2588</v>
      </c>
      <c r="W709" t="s">
        <v>184</v>
      </c>
      <c r="X709">
        <v>1100</v>
      </c>
      <c r="Y709" t="s">
        <v>2604</v>
      </c>
      <c r="Z709" t="s">
        <v>2611</v>
      </c>
      <c r="AA709" t="s">
        <v>2630</v>
      </c>
      <c r="AB709" t="s">
        <v>3271</v>
      </c>
      <c r="AD709" t="s">
        <v>4022</v>
      </c>
      <c r="AE709">
        <v>4</v>
      </c>
      <c r="AF709" t="s">
        <v>4098</v>
      </c>
      <c r="AG709" t="s">
        <v>2255</v>
      </c>
      <c r="AH709">
        <v>17</v>
      </c>
      <c r="AI709">
        <v>2</v>
      </c>
      <c r="AJ709">
        <v>0</v>
      </c>
      <c r="AK709">
        <v>266.11</v>
      </c>
      <c r="AN709" t="s">
        <v>4126</v>
      </c>
      <c r="AO709">
        <v>45000</v>
      </c>
      <c r="AU709">
        <v>2.5</v>
      </c>
      <c r="AV709" t="s">
        <v>184</v>
      </c>
      <c r="AW709" t="s">
        <v>127</v>
      </c>
      <c r="AX709" t="s">
        <v>4266</v>
      </c>
      <c r="AY709" t="s">
        <v>2224</v>
      </c>
      <c r="AZ709" t="s">
        <v>2224</v>
      </c>
    </row>
    <row r="710" spans="1:52">
      <c r="A710" s="1">
        <f>HYPERLINK("https://lsnyc.legalserver.org/matter/dynamic-profile/view/1903680","19-1903680")</f>
        <v>0</v>
      </c>
      <c r="B710" t="s">
        <v>64</v>
      </c>
      <c r="C710" t="s">
        <v>154</v>
      </c>
      <c r="D710" t="s">
        <v>252</v>
      </c>
      <c r="E710" t="s">
        <v>190</v>
      </c>
      <c r="F710" t="s">
        <v>449</v>
      </c>
      <c r="G710" t="s">
        <v>1332</v>
      </c>
      <c r="H710" t="s">
        <v>1905</v>
      </c>
      <c r="I710" t="s">
        <v>2168</v>
      </c>
      <c r="J710" t="s">
        <v>2192</v>
      </c>
      <c r="K710">
        <v>11208</v>
      </c>
      <c r="L710" t="s">
        <v>2224</v>
      </c>
      <c r="M710" t="s">
        <v>2226</v>
      </c>
      <c r="N710" t="s">
        <v>2517</v>
      </c>
      <c r="O710" t="s">
        <v>2535</v>
      </c>
      <c r="P710" t="s">
        <v>2561</v>
      </c>
      <c r="Q710" t="s">
        <v>2566</v>
      </c>
      <c r="R710" t="s">
        <v>2569</v>
      </c>
      <c r="S710" t="s">
        <v>2225</v>
      </c>
      <c r="U710" t="s">
        <v>2578</v>
      </c>
      <c r="V710" t="s">
        <v>2590</v>
      </c>
      <c r="W710" t="s">
        <v>175</v>
      </c>
      <c r="X710">
        <v>1700</v>
      </c>
      <c r="Y710" t="s">
        <v>2604</v>
      </c>
      <c r="Z710" t="s">
        <v>2608</v>
      </c>
      <c r="AA710" t="s">
        <v>2626</v>
      </c>
      <c r="AB710" t="s">
        <v>3272</v>
      </c>
      <c r="AC710" t="s">
        <v>2255</v>
      </c>
      <c r="AE710">
        <v>20</v>
      </c>
      <c r="AF710" t="s">
        <v>4099</v>
      </c>
      <c r="AG710" t="s">
        <v>2255</v>
      </c>
      <c r="AH710">
        <v>2</v>
      </c>
      <c r="AI710">
        <v>2</v>
      </c>
      <c r="AJ710">
        <v>1</v>
      </c>
      <c r="AK710">
        <v>266.43</v>
      </c>
      <c r="AN710" t="s">
        <v>4126</v>
      </c>
      <c r="AO710">
        <v>56830</v>
      </c>
      <c r="AU710">
        <v>2.3</v>
      </c>
      <c r="AV710" t="s">
        <v>193</v>
      </c>
      <c r="AW710" t="s">
        <v>4226</v>
      </c>
      <c r="AX710" t="s">
        <v>4266</v>
      </c>
      <c r="AY710" t="s">
        <v>2226</v>
      </c>
      <c r="AZ710" t="s">
        <v>2225</v>
      </c>
    </row>
    <row r="711" spans="1:52">
      <c r="A711" s="1">
        <f>HYPERLINK("https://lsnyc.legalserver.org/matter/dynamic-profile/view/1913028","19-1913028")</f>
        <v>0</v>
      </c>
      <c r="B711" t="s">
        <v>63</v>
      </c>
      <c r="C711" t="s">
        <v>155</v>
      </c>
      <c r="D711" t="s">
        <v>241</v>
      </c>
      <c r="F711" t="s">
        <v>788</v>
      </c>
      <c r="G711" t="s">
        <v>1333</v>
      </c>
      <c r="H711" t="s">
        <v>1788</v>
      </c>
      <c r="I711">
        <v>4</v>
      </c>
      <c r="J711" t="s">
        <v>2192</v>
      </c>
      <c r="K711">
        <v>11213</v>
      </c>
      <c r="L711" t="s">
        <v>2224</v>
      </c>
      <c r="M711" t="s">
        <v>2226</v>
      </c>
      <c r="N711" t="s">
        <v>2518</v>
      </c>
      <c r="O711" t="s">
        <v>2537</v>
      </c>
      <c r="P711" t="s">
        <v>2560</v>
      </c>
      <c r="R711" t="s">
        <v>2569</v>
      </c>
      <c r="S711" t="s">
        <v>2224</v>
      </c>
      <c r="U711" t="s">
        <v>2578</v>
      </c>
      <c r="V711" t="s">
        <v>2588</v>
      </c>
      <c r="W711" t="s">
        <v>241</v>
      </c>
      <c r="X711">
        <v>993</v>
      </c>
      <c r="Y711" t="s">
        <v>2604</v>
      </c>
      <c r="Z711" t="s">
        <v>2609</v>
      </c>
      <c r="AB711" t="s">
        <v>3273</v>
      </c>
      <c r="AC711" t="s">
        <v>2244</v>
      </c>
      <c r="AD711" t="s">
        <v>4023</v>
      </c>
      <c r="AE711">
        <v>31</v>
      </c>
      <c r="AF711" t="s">
        <v>4099</v>
      </c>
      <c r="AG711" t="s">
        <v>2255</v>
      </c>
      <c r="AH711">
        <v>20</v>
      </c>
      <c r="AI711">
        <v>3</v>
      </c>
      <c r="AJ711">
        <v>0</v>
      </c>
      <c r="AK711">
        <v>267.23</v>
      </c>
      <c r="AN711" t="s">
        <v>4126</v>
      </c>
      <c r="AO711">
        <v>57000</v>
      </c>
      <c r="AP711" t="s">
        <v>4163</v>
      </c>
      <c r="AU711">
        <v>1.1</v>
      </c>
      <c r="AV711" t="s">
        <v>280</v>
      </c>
      <c r="AW711" t="s">
        <v>4226</v>
      </c>
      <c r="AX711" t="s">
        <v>4266</v>
      </c>
      <c r="AY711" t="s">
        <v>2224</v>
      </c>
      <c r="AZ711" t="s">
        <v>2224</v>
      </c>
    </row>
    <row r="712" spans="1:52">
      <c r="A712" s="1">
        <f>HYPERLINK("https://lsnyc.legalserver.org/matter/dynamic-profile/view/1907459","19-1907459")</f>
        <v>0</v>
      </c>
      <c r="B712" t="s">
        <v>98</v>
      </c>
      <c r="C712" t="s">
        <v>155</v>
      </c>
      <c r="D712" t="s">
        <v>162</v>
      </c>
      <c r="F712" t="s">
        <v>789</v>
      </c>
      <c r="G712" t="s">
        <v>1334</v>
      </c>
      <c r="H712" t="s">
        <v>1906</v>
      </c>
      <c r="I712">
        <v>4</v>
      </c>
      <c r="J712" t="s">
        <v>2196</v>
      </c>
      <c r="K712">
        <v>10034</v>
      </c>
      <c r="L712" t="s">
        <v>2224</v>
      </c>
      <c r="M712" t="s">
        <v>2226</v>
      </c>
      <c r="P712" t="s">
        <v>2559</v>
      </c>
      <c r="R712" t="s">
        <v>2569</v>
      </c>
      <c r="S712" t="s">
        <v>2225</v>
      </c>
      <c r="U712" t="s">
        <v>2578</v>
      </c>
      <c r="W712" t="s">
        <v>162</v>
      </c>
      <c r="X712">
        <v>1384</v>
      </c>
      <c r="Y712" t="s">
        <v>2607</v>
      </c>
      <c r="Z712" t="s">
        <v>2617</v>
      </c>
      <c r="AB712" t="s">
        <v>3274</v>
      </c>
      <c r="AD712" t="s">
        <v>4024</v>
      </c>
      <c r="AE712">
        <v>20</v>
      </c>
      <c r="AF712" t="s">
        <v>4099</v>
      </c>
      <c r="AG712" t="s">
        <v>2255</v>
      </c>
      <c r="AH712">
        <v>7</v>
      </c>
      <c r="AI712">
        <v>4</v>
      </c>
      <c r="AJ712">
        <v>1</v>
      </c>
      <c r="AK712">
        <v>271.79</v>
      </c>
      <c r="AN712" t="s">
        <v>4127</v>
      </c>
      <c r="AO712">
        <v>82000</v>
      </c>
      <c r="AU712">
        <v>41.25</v>
      </c>
      <c r="AV712" t="s">
        <v>218</v>
      </c>
      <c r="AW712" t="s">
        <v>80</v>
      </c>
      <c r="AX712" t="s">
        <v>4266</v>
      </c>
      <c r="AY712" t="s">
        <v>2224</v>
      </c>
      <c r="AZ712" t="s">
        <v>2224</v>
      </c>
    </row>
    <row r="713" spans="1:52">
      <c r="A713" s="1">
        <f>HYPERLINK("https://lsnyc.legalserver.org/matter/dynamic-profile/view/1880738","18-1880738")</f>
        <v>0</v>
      </c>
      <c r="B713" t="s">
        <v>66</v>
      </c>
      <c r="C713" t="s">
        <v>154</v>
      </c>
      <c r="D713" t="s">
        <v>286</v>
      </c>
      <c r="E713" t="s">
        <v>295</v>
      </c>
      <c r="F713" t="s">
        <v>352</v>
      </c>
      <c r="G713" t="s">
        <v>1335</v>
      </c>
      <c r="H713" t="s">
        <v>1907</v>
      </c>
      <c r="I713" t="s">
        <v>2023</v>
      </c>
      <c r="J713" t="s">
        <v>2192</v>
      </c>
      <c r="K713">
        <v>11226</v>
      </c>
      <c r="L713" t="s">
        <v>2224</v>
      </c>
      <c r="M713" t="s">
        <v>2224</v>
      </c>
      <c r="O713" t="s">
        <v>2238</v>
      </c>
      <c r="P713" t="s">
        <v>2561</v>
      </c>
      <c r="Q713" t="s">
        <v>2566</v>
      </c>
      <c r="R713" t="s">
        <v>2569</v>
      </c>
      <c r="S713" t="s">
        <v>2224</v>
      </c>
      <c r="U713" t="s">
        <v>2578</v>
      </c>
      <c r="W713" t="s">
        <v>169</v>
      </c>
      <c r="X713">
        <v>945</v>
      </c>
      <c r="Y713" t="s">
        <v>2604</v>
      </c>
      <c r="Z713" t="s">
        <v>2614</v>
      </c>
      <c r="AA713" t="s">
        <v>2630</v>
      </c>
      <c r="AB713" t="s">
        <v>3275</v>
      </c>
      <c r="AE713">
        <v>48</v>
      </c>
      <c r="AF713" t="s">
        <v>4099</v>
      </c>
      <c r="AG713" t="s">
        <v>2255</v>
      </c>
      <c r="AH713">
        <v>30</v>
      </c>
      <c r="AI713">
        <v>2</v>
      </c>
      <c r="AJ713">
        <v>0</v>
      </c>
      <c r="AK713">
        <v>273.39</v>
      </c>
      <c r="AN713" t="s">
        <v>4126</v>
      </c>
      <c r="AO713">
        <v>45000</v>
      </c>
      <c r="AP713" t="s">
        <v>4164</v>
      </c>
      <c r="AU713">
        <v>0.5</v>
      </c>
      <c r="AV713" t="s">
        <v>4222</v>
      </c>
      <c r="AW713" t="s">
        <v>66</v>
      </c>
      <c r="AX713" t="s">
        <v>4266</v>
      </c>
      <c r="AY713" t="s">
        <v>2226</v>
      </c>
      <c r="AZ713" t="s">
        <v>2226</v>
      </c>
    </row>
    <row r="714" spans="1:52">
      <c r="A714" s="1">
        <f>HYPERLINK("https://lsnyc.legalserver.org/matter/dynamic-profile/view/1897595","19-1897595")</f>
        <v>0</v>
      </c>
      <c r="B714" t="s">
        <v>103</v>
      </c>
      <c r="C714" t="s">
        <v>155</v>
      </c>
      <c r="D714" t="s">
        <v>217</v>
      </c>
      <c r="F714" t="s">
        <v>790</v>
      </c>
      <c r="G714" t="s">
        <v>1254</v>
      </c>
      <c r="H714" t="s">
        <v>1908</v>
      </c>
      <c r="I714" t="s">
        <v>2169</v>
      </c>
      <c r="J714" t="s">
        <v>2191</v>
      </c>
      <c r="K714">
        <v>11368</v>
      </c>
      <c r="L714" t="s">
        <v>2224</v>
      </c>
      <c r="M714" t="s">
        <v>2224</v>
      </c>
      <c r="N714" t="s">
        <v>2519</v>
      </c>
      <c r="O714" t="s">
        <v>2537</v>
      </c>
      <c r="P714" t="s">
        <v>2560</v>
      </c>
      <c r="R714" t="s">
        <v>2569</v>
      </c>
      <c r="S714" t="s">
        <v>2224</v>
      </c>
      <c r="U714" t="s">
        <v>2578</v>
      </c>
      <c r="V714" t="s">
        <v>2588</v>
      </c>
      <c r="W714" t="s">
        <v>296</v>
      </c>
      <c r="X714">
        <v>1293</v>
      </c>
      <c r="Y714" t="s">
        <v>2603</v>
      </c>
      <c r="Z714" t="s">
        <v>2611</v>
      </c>
      <c r="AB714" t="s">
        <v>3276</v>
      </c>
      <c r="AD714" t="s">
        <v>4025</v>
      </c>
      <c r="AE714">
        <v>224</v>
      </c>
      <c r="AF714" t="s">
        <v>4099</v>
      </c>
      <c r="AG714" t="s">
        <v>2255</v>
      </c>
      <c r="AH714">
        <v>30</v>
      </c>
      <c r="AI714">
        <v>2</v>
      </c>
      <c r="AJ714">
        <v>0</v>
      </c>
      <c r="AK714">
        <v>276.76</v>
      </c>
      <c r="AN714" t="s">
        <v>4126</v>
      </c>
      <c r="AO714">
        <v>46800</v>
      </c>
      <c r="AU714">
        <v>0.66</v>
      </c>
      <c r="AV714" t="s">
        <v>293</v>
      </c>
      <c r="AW714" t="s">
        <v>103</v>
      </c>
      <c r="AX714" t="s">
        <v>4266</v>
      </c>
      <c r="AY714" t="s">
        <v>2224</v>
      </c>
      <c r="AZ714" t="s">
        <v>2224</v>
      </c>
    </row>
    <row r="715" spans="1:52">
      <c r="A715" s="1">
        <f>HYPERLINK("https://lsnyc.legalserver.org/matter/dynamic-profile/view/1911197","19-1911197")</f>
        <v>0</v>
      </c>
      <c r="B715" t="s">
        <v>77</v>
      </c>
      <c r="C715" t="s">
        <v>155</v>
      </c>
      <c r="D715" t="s">
        <v>222</v>
      </c>
      <c r="F715" t="s">
        <v>791</v>
      </c>
      <c r="G715" t="s">
        <v>1336</v>
      </c>
      <c r="H715" t="s">
        <v>1909</v>
      </c>
      <c r="I715">
        <v>2504</v>
      </c>
      <c r="J715" t="s">
        <v>2196</v>
      </c>
      <c r="K715">
        <v>10035</v>
      </c>
      <c r="L715" t="s">
        <v>2224</v>
      </c>
      <c r="M715" t="s">
        <v>2226</v>
      </c>
      <c r="O715" t="s">
        <v>2238</v>
      </c>
      <c r="P715" t="s">
        <v>2559</v>
      </c>
      <c r="R715" t="s">
        <v>2569</v>
      </c>
      <c r="S715" t="s">
        <v>2225</v>
      </c>
      <c r="U715" t="s">
        <v>2578</v>
      </c>
      <c r="V715" t="s">
        <v>2588</v>
      </c>
      <c r="W715" t="s">
        <v>174</v>
      </c>
      <c r="X715">
        <v>1389</v>
      </c>
      <c r="Y715" t="s">
        <v>2607</v>
      </c>
      <c r="Z715" t="s">
        <v>2613</v>
      </c>
      <c r="AB715" t="s">
        <v>3277</v>
      </c>
      <c r="AD715" t="s">
        <v>4026</v>
      </c>
      <c r="AE715">
        <v>100</v>
      </c>
      <c r="AF715" t="s">
        <v>2518</v>
      </c>
      <c r="AG715" t="s">
        <v>4112</v>
      </c>
      <c r="AH715">
        <v>32</v>
      </c>
      <c r="AI715">
        <v>2</v>
      </c>
      <c r="AJ715">
        <v>0</v>
      </c>
      <c r="AK715">
        <v>279.03</v>
      </c>
      <c r="AN715" t="s">
        <v>4126</v>
      </c>
      <c r="AO715">
        <v>47184</v>
      </c>
      <c r="AU715">
        <v>2.75</v>
      </c>
      <c r="AV715" t="s">
        <v>199</v>
      </c>
      <c r="AW715" t="s">
        <v>4229</v>
      </c>
      <c r="AX715" t="s">
        <v>4266</v>
      </c>
      <c r="AY715" t="s">
        <v>2226</v>
      </c>
      <c r="AZ715" t="s">
        <v>2226</v>
      </c>
    </row>
    <row r="716" spans="1:52">
      <c r="A716" s="1">
        <f>HYPERLINK("https://lsnyc.legalserver.org/matter/dynamic-profile/view/1911581","19-1911581")</f>
        <v>0</v>
      </c>
      <c r="B716" t="s">
        <v>76</v>
      </c>
      <c r="C716" t="s">
        <v>155</v>
      </c>
      <c r="D716" t="s">
        <v>263</v>
      </c>
      <c r="F716" t="s">
        <v>792</v>
      </c>
      <c r="G716" t="s">
        <v>1337</v>
      </c>
      <c r="H716" t="s">
        <v>1910</v>
      </c>
      <c r="I716" t="s">
        <v>2008</v>
      </c>
      <c r="J716" t="s">
        <v>2196</v>
      </c>
      <c r="K716">
        <v>10034</v>
      </c>
      <c r="L716" t="s">
        <v>2224</v>
      </c>
      <c r="M716" t="s">
        <v>2226</v>
      </c>
      <c r="O716" t="s">
        <v>2534</v>
      </c>
      <c r="P716" t="s">
        <v>2558</v>
      </c>
      <c r="R716" t="s">
        <v>2569</v>
      </c>
      <c r="S716" t="s">
        <v>2224</v>
      </c>
      <c r="U716" t="s">
        <v>2578</v>
      </c>
      <c r="W716" t="s">
        <v>263</v>
      </c>
      <c r="X716">
        <v>1500</v>
      </c>
      <c r="Y716" t="s">
        <v>2607</v>
      </c>
      <c r="Z716" t="s">
        <v>2617</v>
      </c>
      <c r="AB716" t="s">
        <v>3278</v>
      </c>
      <c r="AD716" t="s">
        <v>4027</v>
      </c>
      <c r="AE716">
        <v>43</v>
      </c>
      <c r="AF716" t="s">
        <v>4099</v>
      </c>
      <c r="AG716" t="s">
        <v>2255</v>
      </c>
      <c r="AH716">
        <v>1</v>
      </c>
      <c r="AI716">
        <v>2</v>
      </c>
      <c r="AJ716">
        <v>0</v>
      </c>
      <c r="AK716">
        <v>279.91</v>
      </c>
      <c r="AN716" t="s">
        <v>4126</v>
      </c>
      <c r="AO716">
        <v>47333</v>
      </c>
      <c r="AU716">
        <v>0.1</v>
      </c>
      <c r="AV716" t="s">
        <v>197</v>
      </c>
      <c r="AW716" t="s">
        <v>80</v>
      </c>
      <c r="AX716" t="s">
        <v>4266</v>
      </c>
      <c r="AY716" t="s">
        <v>2226</v>
      </c>
      <c r="AZ716" t="s">
        <v>2226</v>
      </c>
    </row>
    <row r="717" spans="1:52">
      <c r="A717" s="1">
        <f>HYPERLINK("https://lsnyc.legalserver.org/matter/dynamic-profile/view/1911953","19-1911953")</f>
        <v>0</v>
      </c>
      <c r="B717" t="s">
        <v>86</v>
      </c>
      <c r="C717" t="s">
        <v>154</v>
      </c>
      <c r="D717" t="s">
        <v>197</v>
      </c>
      <c r="E717" t="s">
        <v>197</v>
      </c>
      <c r="F717" t="s">
        <v>793</v>
      </c>
      <c r="G717" t="s">
        <v>1338</v>
      </c>
      <c r="H717" t="s">
        <v>1911</v>
      </c>
      <c r="I717">
        <v>31</v>
      </c>
      <c r="J717" t="s">
        <v>2196</v>
      </c>
      <c r="K717">
        <v>10040</v>
      </c>
      <c r="L717" t="s">
        <v>2224</v>
      </c>
      <c r="M717" t="s">
        <v>2226</v>
      </c>
      <c r="P717" t="s">
        <v>2559</v>
      </c>
      <c r="Q717" t="s">
        <v>2563</v>
      </c>
      <c r="R717" t="s">
        <v>2569</v>
      </c>
      <c r="S717" t="s">
        <v>2225</v>
      </c>
      <c r="U717" t="s">
        <v>2578</v>
      </c>
      <c r="W717" t="s">
        <v>197</v>
      </c>
      <c r="X717">
        <v>1276.33</v>
      </c>
      <c r="Y717" t="s">
        <v>2607</v>
      </c>
      <c r="Z717" t="s">
        <v>2613</v>
      </c>
      <c r="AA717" t="s">
        <v>2626</v>
      </c>
      <c r="AB717" t="s">
        <v>3279</v>
      </c>
      <c r="AD717" t="s">
        <v>4028</v>
      </c>
      <c r="AE717">
        <v>40</v>
      </c>
      <c r="AF717" t="s">
        <v>4099</v>
      </c>
      <c r="AG717" t="s">
        <v>2255</v>
      </c>
      <c r="AH717">
        <v>32</v>
      </c>
      <c r="AI717">
        <v>2</v>
      </c>
      <c r="AJ717">
        <v>0</v>
      </c>
      <c r="AK717">
        <v>282.44</v>
      </c>
      <c r="AN717" t="s">
        <v>4127</v>
      </c>
      <c r="AO717">
        <v>47760</v>
      </c>
      <c r="AU717">
        <v>0.5</v>
      </c>
      <c r="AV717" t="s">
        <v>197</v>
      </c>
      <c r="AW717" t="s">
        <v>80</v>
      </c>
      <c r="AX717" t="s">
        <v>4266</v>
      </c>
      <c r="AY717" t="s">
        <v>2226</v>
      </c>
      <c r="AZ717" t="s">
        <v>2226</v>
      </c>
    </row>
    <row r="718" spans="1:52">
      <c r="A718" s="1">
        <f>HYPERLINK("https://lsnyc.legalserver.org/matter/dynamic-profile/view/1906532","19-1906532")</f>
        <v>0</v>
      </c>
      <c r="B718" t="s">
        <v>64</v>
      </c>
      <c r="C718" t="s">
        <v>154</v>
      </c>
      <c r="D718" t="s">
        <v>244</v>
      </c>
      <c r="E718" t="s">
        <v>229</v>
      </c>
      <c r="F718" t="s">
        <v>794</v>
      </c>
      <c r="G718" t="s">
        <v>1339</v>
      </c>
      <c r="H718" t="s">
        <v>1912</v>
      </c>
      <c r="I718" t="s">
        <v>2170</v>
      </c>
      <c r="J718" t="s">
        <v>2192</v>
      </c>
      <c r="K718">
        <v>11207</v>
      </c>
      <c r="L718" t="s">
        <v>2224</v>
      </c>
      <c r="M718" t="s">
        <v>2226</v>
      </c>
      <c r="N718" t="s">
        <v>2520</v>
      </c>
      <c r="O718" t="s">
        <v>2535</v>
      </c>
      <c r="P718" t="s">
        <v>2556</v>
      </c>
      <c r="Q718" t="s">
        <v>2563</v>
      </c>
      <c r="R718" t="s">
        <v>2569</v>
      </c>
      <c r="S718" t="s">
        <v>2225</v>
      </c>
      <c r="U718" t="s">
        <v>2578</v>
      </c>
      <c r="V718" t="s">
        <v>2591</v>
      </c>
      <c r="W718" t="s">
        <v>162</v>
      </c>
      <c r="X718">
        <v>1500</v>
      </c>
      <c r="Y718" t="s">
        <v>2604</v>
      </c>
      <c r="Z718" t="s">
        <v>2611</v>
      </c>
      <c r="AA718" t="s">
        <v>2626</v>
      </c>
      <c r="AB718" t="s">
        <v>3280</v>
      </c>
      <c r="AC718" t="s">
        <v>2238</v>
      </c>
      <c r="AD718" t="s">
        <v>4029</v>
      </c>
      <c r="AE718">
        <v>18</v>
      </c>
      <c r="AF718" t="s">
        <v>4099</v>
      </c>
      <c r="AG718" t="s">
        <v>2255</v>
      </c>
      <c r="AH718">
        <v>1</v>
      </c>
      <c r="AI718">
        <v>1</v>
      </c>
      <c r="AJ718">
        <v>1</v>
      </c>
      <c r="AK718">
        <v>286.6</v>
      </c>
      <c r="AN718" t="s">
        <v>4126</v>
      </c>
      <c r="AO718">
        <v>48464</v>
      </c>
      <c r="AT718" t="s">
        <v>4217</v>
      </c>
      <c r="AU718">
        <v>1.1</v>
      </c>
      <c r="AV718" t="s">
        <v>229</v>
      </c>
      <c r="AW718" t="s">
        <v>127</v>
      </c>
      <c r="AX718" t="s">
        <v>4266</v>
      </c>
      <c r="AY718" t="s">
        <v>2226</v>
      </c>
      <c r="AZ718" t="s">
        <v>2225</v>
      </c>
    </row>
    <row r="719" spans="1:52">
      <c r="A719" s="1">
        <f>HYPERLINK("https://lsnyc.legalserver.org/matter/dynamic-profile/view/1905948","19-1905948")</f>
        <v>0</v>
      </c>
      <c r="B719" t="s">
        <v>137</v>
      </c>
      <c r="C719" t="s">
        <v>155</v>
      </c>
      <c r="D719" t="s">
        <v>223</v>
      </c>
      <c r="F719" t="s">
        <v>795</v>
      </c>
      <c r="G719" t="s">
        <v>978</v>
      </c>
      <c r="H719" t="s">
        <v>1656</v>
      </c>
      <c r="I719" t="s">
        <v>2171</v>
      </c>
      <c r="J719" t="s">
        <v>2192</v>
      </c>
      <c r="K719">
        <v>11213</v>
      </c>
      <c r="L719" t="s">
        <v>2224</v>
      </c>
      <c r="M719" t="s">
        <v>2226</v>
      </c>
      <c r="N719" t="s">
        <v>2237</v>
      </c>
      <c r="O719" t="s">
        <v>2238</v>
      </c>
      <c r="P719" t="s">
        <v>2559</v>
      </c>
      <c r="R719" t="s">
        <v>2569</v>
      </c>
      <c r="S719" t="s">
        <v>2225</v>
      </c>
      <c r="U719" t="s">
        <v>2578</v>
      </c>
      <c r="V719" t="s">
        <v>2588</v>
      </c>
      <c r="W719" t="s">
        <v>172</v>
      </c>
      <c r="X719">
        <v>1025.26</v>
      </c>
      <c r="Y719" t="s">
        <v>2604</v>
      </c>
      <c r="Z719" t="s">
        <v>2614</v>
      </c>
      <c r="AB719" t="s">
        <v>3281</v>
      </c>
      <c r="AC719" t="s">
        <v>2244</v>
      </c>
      <c r="AE719">
        <v>34</v>
      </c>
      <c r="AF719" t="s">
        <v>4099</v>
      </c>
      <c r="AG719" t="s">
        <v>2255</v>
      </c>
      <c r="AH719">
        <v>9</v>
      </c>
      <c r="AI719">
        <v>1</v>
      </c>
      <c r="AJ719">
        <v>0</v>
      </c>
      <c r="AK719">
        <v>286.63</v>
      </c>
      <c r="AN719" t="s">
        <v>4126</v>
      </c>
      <c r="AO719">
        <v>35800</v>
      </c>
      <c r="AU719">
        <v>1</v>
      </c>
      <c r="AV719" t="s">
        <v>172</v>
      </c>
      <c r="AW719" t="s">
        <v>4226</v>
      </c>
      <c r="AX719" t="s">
        <v>4266</v>
      </c>
      <c r="AY719" t="s">
        <v>2226</v>
      </c>
      <c r="AZ719" t="s">
        <v>2226</v>
      </c>
    </row>
    <row r="720" spans="1:52">
      <c r="A720" s="1">
        <f>HYPERLINK("https://lsnyc.legalserver.org/matter/dynamic-profile/view/1913394","19-1913394")</f>
        <v>0</v>
      </c>
      <c r="B720" t="s">
        <v>90</v>
      </c>
      <c r="C720" t="s">
        <v>155</v>
      </c>
      <c r="D720" t="s">
        <v>218</v>
      </c>
      <c r="F720" t="s">
        <v>796</v>
      </c>
      <c r="G720" t="s">
        <v>925</v>
      </c>
      <c r="H720" t="s">
        <v>1783</v>
      </c>
      <c r="I720">
        <v>42</v>
      </c>
      <c r="J720" t="s">
        <v>2196</v>
      </c>
      <c r="K720">
        <v>10034</v>
      </c>
      <c r="L720" t="s">
        <v>2224</v>
      </c>
      <c r="M720" t="s">
        <v>2226</v>
      </c>
      <c r="O720" t="s">
        <v>2537</v>
      </c>
      <c r="P720" t="s">
        <v>2558</v>
      </c>
      <c r="R720" t="s">
        <v>2569</v>
      </c>
      <c r="S720" t="s">
        <v>2224</v>
      </c>
      <c r="U720" t="s">
        <v>2578</v>
      </c>
      <c r="W720" t="s">
        <v>218</v>
      </c>
      <c r="X720">
        <v>937.48</v>
      </c>
      <c r="Y720" t="s">
        <v>2607</v>
      </c>
      <c r="Z720" t="s">
        <v>2613</v>
      </c>
      <c r="AB720" t="s">
        <v>3282</v>
      </c>
      <c r="AD720" t="s">
        <v>4030</v>
      </c>
      <c r="AE720">
        <v>0</v>
      </c>
      <c r="AF720" t="s">
        <v>4099</v>
      </c>
      <c r="AG720" t="s">
        <v>2255</v>
      </c>
      <c r="AH720">
        <v>45</v>
      </c>
      <c r="AI720">
        <v>1</v>
      </c>
      <c r="AJ720">
        <v>0</v>
      </c>
      <c r="AK720">
        <v>291.43</v>
      </c>
      <c r="AN720" t="s">
        <v>4126</v>
      </c>
      <c r="AO720">
        <v>36400</v>
      </c>
      <c r="AU720">
        <v>0</v>
      </c>
      <c r="AW720" t="s">
        <v>80</v>
      </c>
      <c r="AX720" t="s">
        <v>4266</v>
      </c>
      <c r="AY720" t="s">
        <v>2226</v>
      </c>
      <c r="AZ720" t="s">
        <v>2226</v>
      </c>
    </row>
    <row r="721" spans="1:52">
      <c r="A721" s="1">
        <f>HYPERLINK("https://lsnyc.legalserver.org/matter/dynamic-profile/view/1913064","19-1913064")</f>
        <v>0</v>
      </c>
      <c r="B721" t="s">
        <v>56</v>
      </c>
      <c r="C721" t="s">
        <v>155</v>
      </c>
      <c r="D721" t="s">
        <v>241</v>
      </c>
      <c r="F721" t="s">
        <v>580</v>
      </c>
      <c r="G721" t="s">
        <v>1340</v>
      </c>
      <c r="H721" t="s">
        <v>1407</v>
      </c>
      <c r="I721" t="s">
        <v>2172</v>
      </c>
      <c r="J721" t="s">
        <v>2191</v>
      </c>
      <c r="K721">
        <v>11368</v>
      </c>
      <c r="L721" t="s">
        <v>2224</v>
      </c>
      <c r="M721" t="s">
        <v>2226</v>
      </c>
      <c r="O721" t="s">
        <v>2536</v>
      </c>
      <c r="P721" t="s">
        <v>2557</v>
      </c>
      <c r="R721" t="s">
        <v>2569</v>
      </c>
      <c r="U721" t="s">
        <v>2578</v>
      </c>
      <c r="W721" t="s">
        <v>241</v>
      </c>
      <c r="X721">
        <v>994</v>
      </c>
      <c r="Y721" t="s">
        <v>2603</v>
      </c>
      <c r="Z721" t="s">
        <v>2609</v>
      </c>
      <c r="AB721" t="s">
        <v>3283</v>
      </c>
      <c r="AD721" t="s">
        <v>4031</v>
      </c>
      <c r="AE721">
        <v>0</v>
      </c>
      <c r="AF721" t="s">
        <v>4099</v>
      </c>
      <c r="AG721" t="s">
        <v>4116</v>
      </c>
      <c r="AH721">
        <v>15</v>
      </c>
      <c r="AI721">
        <v>1</v>
      </c>
      <c r="AJ721">
        <v>1</v>
      </c>
      <c r="AK721">
        <v>293.32</v>
      </c>
      <c r="AN721" t="s">
        <v>4126</v>
      </c>
      <c r="AO721">
        <v>49600</v>
      </c>
      <c r="AU721">
        <v>0.3</v>
      </c>
      <c r="AV721" t="s">
        <v>241</v>
      </c>
      <c r="AW721" t="s">
        <v>4224</v>
      </c>
      <c r="AX721" t="s">
        <v>4266</v>
      </c>
      <c r="AY721" t="s">
        <v>2224</v>
      </c>
      <c r="AZ721" t="s">
        <v>2224</v>
      </c>
    </row>
    <row r="722" spans="1:52">
      <c r="A722" s="1">
        <f>HYPERLINK("https://lsnyc.legalserver.org/matter/dynamic-profile/view/1907581","19-1907581")</f>
        <v>0</v>
      </c>
      <c r="B722" t="s">
        <v>98</v>
      </c>
      <c r="C722" t="s">
        <v>155</v>
      </c>
      <c r="D722" t="s">
        <v>190</v>
      </c>
      <c r="F722" t="s">
        <v>472</v>
      </c>
      <c r="G722" t="s">
        <v>1341</v>
      </c>
      <c r="H722" t="s">
        <v>1913</v>
      </c>
      <c r="I722" t="s">
        <v>2173</v>
      </c>
      <c r="J722" t="s">
        <v>2196</v>
      </c>
      <c r="K722">
        <v>10034</v>
      </c>
      <c r="L722" t="s">
        <v>2224</v>
      </c>
      <c r="M722" t="s">
        <v>2226</v>
      </c>
      <c r="O722" t="s">
        <v>2536</v>
      </c>
      <c r="P722" t="s">
        <v>2556</v>
      </c>
      <c r="R722" t="s">
        <v>2569</v>
      </c>
      <c r="S722" t="s">
        <v>2225</v>
      </c>
      <c r="U722" t="s">
        <v>2578</v>
      </c>
      <c r="W722" t="s">
        <v>190</v>
      </c>
      <c r="X722">
        <v>2700</v>
      </c>
      <c r="Y722" t="s">
        <v>2607</v>
      </c>
      <c r="Z722" t="s">
        <v>2617</v>
      </c>
      <c r="AB722" t="s">
        <v>3284</v>
      </c>
      <c r="AE722">
        <v>69</v>
      </c>
      <c r="AF722" t="s">
        <v>4099</v>
      </c>
      <c r="AG722" t="s">
        <v>2255</v>
      </c>
      <c r="AH722">
        <v>25</v>
      </c>
      <c r="AI722">
        <v>2</v>
      </c>
      <c r="AJ722">
        <v>0</v>
      </c>
      <c r="AK722">
        <v>305.14</v>
      </c>
      <c r="AN722" t="s">
        <v>4140</v>
      </c>
      <c r="AO722">
        <v>51600</v>
      </c>
      <c r="AU722">
        <v>1.4</v>
      </c>
      <c r="AV722" t="s">
        <v>176</v>
      </c>
      <c r="AW722" t="s">
        <v>80</v>
      </c>
      <c r="AX722" t="s">
        <v>4266</v>
      </c>
      <c r="AY722" t="s">
        <v>2224</v>
      </c>
      <c r="AZ722" t="s">
        <v>2224</v>
      </c>
    </row>
    <row r="723" spans="1:52">
      <c r="A723" s="1">
        <f>HYPERLINK("https://lsnyc.legalserver.org/matter/dynamic-profile/view/1906964","19-1906964")</f>
        <v>0</v>
      </c>
      <c r="B723" t="s">
        <v>124</v>
      </c>
      <c r="C723" t="s">
        <v>154</v>
      </c>
      <c r="D723" t="s">
        <v>181</v>
      </c>
      <c r="E723" t="s">
        <v>225</v>
      </c>
      <c r="F723" t="s">
        <v>797</v>
      </c>
      <c r="G723" t="s">
        <v>1342</v>
      </c>
      <c r="H723" t="s">
        <v>1914</v>
      </c>
      <c r="J723" t="s">
        <v>2196</v>
      </c>
      <c r="K723">
        <v>10009</v>
      </c>
      <c r="L723" t="s">
        <v>2224</v>
      </c>
      <c r="M723" t="s">
        <v>2226</v>
      </c>
      <c r="O723" t="s">
        <v>2539</v>
      </c>
      <c r="P723" t="s">
        <v>2557</v>
      </c>
      <c r="Q723" t="s">
        <v>2566</v>
      </c>
      <c r="R723" t="s">
        <v>2569</v>
      </c>
      <c r="U723" t="s">
        <v>2578</v>
      </c>
      <c r="W723" t="s">
        <v>181</v>
      </c>
      <c r="X723">
        <v>0</v>
      </c>
      <c r="Y723" t="s">
        <v>2604</v>
      </c>
      <c r="AA723" t="s">
        <v>2629</v>
      </c>
      <c r="AB723" t="s">
        <v>3285</v>
      </c>
      <c r="AD723" t="s">
        <v>4032</v>
      </c>
      <c r="AE723">
        <v>88</v>
      </c>
      <c r="AH723">
        <v>0</v>
      </c>
      <c r="AI723">
        <v>2</v>
      </c>
      <c r="AJ723">
        <v>0</v>
      </c>
      <c r="AK723">
        <v>313.02</v>
      </c>
      <c r="AN723" t="s">
        <v>4126</v>
      </c>
      <c r="AO723">
        <v>52932</v>
      </c>
      <c r="AP723" t="s">
        <v>4165</v>
      </c>
      <c r="AU723">
        <v>42</v>
      </c>
      <c r="AV723" t="s">
        <v>225</v>
      </c>
      <c r="AW723" t="s">
        <v>124</v>
      </c>
      <c r="AX723" t="s">
        <v>4266</v>
      </c>
      <c r="AY723" t="s">
        <v>2224</v>
      </c>
      <c r="AZ723" t="s">
        <v>2224</v>
      </c>
    </row>
    <row r="724" spans="1:52">
      <c r="A724" s="1">
        <f>HYPERLINK("https://lsnyc.legalserver.org/matter/dynamic-profile/view/1912103","19-1912103")</f>
        <v>0</v>
      </c>
      <c r="B724" t="s">
        <v>90</v>
      </c>
      <c r="C724" t="s">
        <v>155</v>
      </c>
      <c r="D724" t="s">
        <v>261</v>
      </c>
      <c r="F724" t="s">
        <v>798</v>
      </c>
      <c r="G724" t="s">
        <v>1343</v>
      </c>
      <c r="H724" t="s">
        <v>1915</v>
      </c>
      <c r="I724" t="s">
        <v>1960</v>
      </c>
      <c r="J724" t="s">
        <v>2196</v>
      </c>
      <c r="K724">
        <v>10034</v>
      </c>
      <c r="L724" t="s">
        <v>2224</v>
      </c>
      <c r="M724" t="s">
        <v>2226</v>
      </c>
      <c r="P724" t="s">
        <v>2558</v>
      </c>
      <c r="R724" t="s">
        <v>2569</v>
      </c>
      <c r="S724" t="s">
        <v>2225</v>
      </c>
      <c r="U724" t="s">
        <v>2578</v>
      </c>
      <c r="W724" t="s">
        <v>261</v>
      </c>
      <c r="X724">
        <v>2300</v>
      </c>
      <c r="Y724" t="s">
        <v>2607</v>
      </c>
      <c r="Z724" t="s">
        <v>2613</v>
      </c>
      <c r="AB724" t="s">
        <v>3286</v>
      </c>
      <c r="AD724" t="s">
        <v>4033</v>
      </c>
      <c r="AE724">
        <v>20</v>
      </c>
      <c r="AF724" t="s">
        <v>4099</v>
      </c>
      <c r="AG724" t="s">
        <v>2255</v>
      </c>
      <c r="AH724">
        <v>11</v>
      </c>
      <c r="AI724">
        <v>2</v>
      </c>
      <c r="AJ724">
        <v>0</v>
      </c>
      <c r="AK724">
        <v>313.42</v>
      </c>
      <c r="AN724" t="s">
        <v>4126</v>
      </c>
      <c r="AO724">
        <v>53000</v>
      </c>
      <c r="AU724">
        <v>15.05</v>
      </c>
      <c r="AV724" t="s">
        <v>275</v>
      </c>
      <c r="AW724" t="s">
        <v>80</v>
      </c>
      <c r="AX724" t="s">
        <v>4266</v>
      </c>
      <c r="AY724" t="s">
        <v>2226</v>
      </c>
      <c r="AZ724" t="s">
        <v>2226</v>
      </c>
    </row>
    <row r="725" spans="1:52">
      <c r="A725" s="1">
        <f>HYPERLINK("https://lsnyc.legalserver.org/matter/dynamic-profile/view/1912602","19-1912602")</f>
        <v>0</v>
      </c>
      <c r="B725" t="s">
        <v>134</v>
      </c>
      <c r="C725" t="s">
        <v>155</v>
      </c>
      <c r="D725" t="s">
        <v>157</v>
      </c>
      <c r="F725" t="s">
        <v>504</v>
      </c>
      <c r="G725" t="s">
        <v>661</v>
      </c>
      <c r="H725" t="s">
        <v>1916</v>
      </c>
      <c r="I725" t="s">
        <v>2068</v>
      </c>
      <c r="J725" t="s">
        <v>2196</v>
      </c>
      <c r="K725">
        <v>10040</v>
      </c>
      <c r="L725" t="s">
        <v>2224</v>
      </c>
      <c r="M725" t="s">
        <v>2226</v>
      </c>
      <c r="O725" t="s">
        <v>2533</v>
      </c>
      <c r="P725" t="s">
        <v>2559</v>
      </c>
      <c r="R725" t="s">
        <v>2569</v>
      </c>
      <c r="S725" t="s">
        <v>2225</v>
      </c>
      <c r="U725" t="s">
        <v>2578</v>
      </c>
      <c r="W725" t="s">
        <v>157</v>
      </c>
      <c r="X725">
        <v>1020</v>
      </c>
      <c r="Y725" t="s">
        <v>2607</v>
      </c>
      <c r="Z725" t="s">
        <v>2617</v>
      </c>
      <c r="AB725" t="s">
        <v>3287</v>
      </c>
      <c r="AD725" t="s">
        <v>4034</v>
      </c>
      <c r="AE725">
        <v>186</v>
      </c>
      <c r="AF725" t="s">
        <v>4099</v>
      </c>
      <c r="AG725" t="s">
        <v>2255</v>
      </c>
      <c r="AH725">
        <v>34</v>
      </c>
      <c r="AI725">
        <v>3</v>
      </c>
      <c r="AJ725">
        <v>0</v>
      </c>
      <c r="AK725">
        <v>316.92</v>
      </c>
      <c r="AN725" t="s">
        <v>4127</v>
      </c>
      <c r="AO725">
        <v>67600</v>
      </c>
      <c r="AU725">
        <v>4.6</v>
      </c>
      <c r="AV725" t="s">
        <v>188</v>
      </c>
      <c r="AW725" t="s">
        <v>80</v>
      </c>
      <c r="AX725" t="s">
        <v>4266</v>
      </c>
      <c r="AY725" t="s">
        <v>2226</v>
      </c>
      <c r="AZ725" t="s">
        <v>2226</v>
      </c>
    </row>
    <row r="726" spans="1:52">
      <c r="A726" s="1">
        <f>HYPERLINK("https://lsnyc.legalserver.org/matter/dynamic-profile/view/1910921","19-1910921")</f>
        <v>0</v>
      </c>
      <c r="B726" t="s">
        <v>58</v>
      </c>
      <c r="C726" t="s">
        <v>155</v>
      </c>
      <c r="D726" t="s">
        <v>166</v>
      </c>
      <c r="F726" t="s">
        <v>799</v>
      </c>
      <c r="G726" t="s">
        <v>880</v>
      </c>
      <c r="H726" t="s">
        <v>1409</v>
      </c>
      <c r="I726" t="s">
        <v>1960</v>
      </c>
      <c r="J726" t="s">
        <v>2192</v>
      </c>
      <c r="K726">
        <v>11238</v>
      </c>
      <c r="L726" t="s">
        <v>2224</v>
      </c>
      <c r="M726" t="s">
        <v>2226</v>
      </c>
      <c r="N726" t="s">
        <v>2521</v>
      </c>
      <c r="O726" t="s">
        <v>2535</v>
      </c>
      <c r="P726" t="s">
        <v>2558</v>
      </c>
      <c r="R726" t="s">
        <v>2569</v>
      </c>
      <c r="S726" t="s">
        <v>2224</v>
      </c>
      <c r="U726" t="s">
        <v>2578</v>
      </c>
      <c r="V726" t="s">
        <v>2590</v>
      </c>
      <c r="W726" t="s">
        <v>2602</v>
      </c>
      <c r="X726">
        <v>0</v>
      </c>
      <c r="Y726" t="s">
        <v>2604</v>
      </c>
      <c r="Z726" t="s">
        <v>2612</v>
      </c>
      <c r="AB726" t="s">
        <v>3288</v>
      </c>
      <c r="AE726">
        <v>29</v>
      </c>
      <c r="AF726" t="s">
        <v>4099</v>
      </c>
      <c r="AG726" t="s">
        <v>2255</v>
      </c>
      <c r="AH726">
        <v>0</v>
      </c>
      <c r="AI726">
        <v>2</v>
      </c>
      <c r="AJ726">
        <v>0</v>
      </c>
      <c r="AK726">
        <v>317.94</v>
      </c>
      <c r="AL726" t="s">
        <v>4122</v>
      </c>
      <c r="AM726" t="s">
        <v>4125</v>
      </c>
      <c r="AN726" t="s">
        <v>4127</v>
      </c>
      <c r="AO726">
        <v>53762.88</v>
      </c>
      <c r="AU726">
        <v>9</v>
      </c>
      <c r="AV726" t="s">
        <v>188</v>
      </c>
      <c r="AW726" t="s">
        <v>58</v>
      </c>
      <c r="AX726" t="s">
        <v>4266</v>
      </c>
      <c r="AY726" t="s">
        <v>2226</v>
      </c>
      <c r="AZ726" t="s">
        <v>2226</v>
      </c>
    </row>
    <row r="727" spans="1:52">
      <c r="A727" s="1">
        <f>HYPERLINK("https://lsnyc.legalserver.org/matter/dynamic-profile/view/1912929","19-1912929")</f>
        <v>0</v>
      </c>
      <c r="B727" t="s">
        <v>56</v>
      </c>
      <c r="C727" t="s">
        <v>155</v>
      </c>
      <c r="D727" t="s">
        <v>168</v>
      </c>
      <c r="F727" t="s">
        <v>800</v>
      </c>
      <c r="G727" t="s">
        <v>1344</v>
      </c>
      <c r="H727" t="s">
        <v>1908</v>
      </c>
      <c r="I727" t="s">
        <v>2174</v>
      </c>
      <c r="J727" t="s">
        <v>2191</v>
      </c>
      <c r="K727">
        <v>11368</v>
      </c>
      <c r="L727" t="s">
        <v>2224</v>
      </c>
      <c r="M727" t="s">
        <v>2226</v>
      </c>
      <c r="O727" t="s">
        <v>2536</v>
      </c>
      <c r="P727" t="s">
        <v>2557</v>
      </c>
      <c r="R727" t="s">
        <v>2569</v>
      </c>
      <c r="S727" t="s">
        <v>2224</v>
      </c>
      <c r="U727" t="s">
        <v>2578</v>
      </c>
      <c r="W727" t="s">
        <v>168</v>
      </c>
      <c r="X727">
        <v>1000</v>
      </c>
      <c r="Y727" t="s">
        <v>2603</v>
      </c>
      <c r="Z727" t="s">
        <v>2609</v>
      </c>
      <c r="AB727" t="s">
        <v>3289</v>
      </c>
      <c r="AD727" t="s">
        <v>3419</v>
      </c>
      <c r="AE727">
        <v>0</v>
      </c>
      <c r="AF727" t="s">
        <v>4099</v>
      </c>
      <c r="AG727" t="s">
        <v>2255</v>
      </c>
      <c r="AH727">
        <v>40</v>
      </c>
      <c r="AI727">
        <v>1</v>
      </c>
      <c r="AJ727">
        <v>0</v>
      </c>
      <c r="AK727">
        <v>320.26</v>
      </c>
      <c r="AN727" t="s">
        <v>4126</v>
      </c>
      <c r="AO727">
        <v>40000</v>
      </c>
      <c r="AU727">
        <v>0.3</v>
      </c>
      <c r="AV727" t="s">
        <v>168</v>
      </c>
      <c r="AW727" t="s">
        <v>4224</v>
      </c>
      <c r="AX727" t="s">
        <v>4266</v>
      </c>
      <c r="AY727" t="s">
        <v>2226</v>
      </c>
      <c r="AZ727" t="s">
        <v>2226</v>
      </c>
    </row>
    <row r="728" spans="1:52">
      <c r="A728" s="1">
        <f>HYPERLINK("https://lsnyc.legalserver.org/matter/dynamic-profile/view/1907690","19-1907690")</f>
        <v>0</v>
      </c>
      <c r="B728" t="s">
        <v>89</v>
      </c>
      <c r="C728" t="s">
        <v>155</v>
      </c>
      <c r="D728" t="s">
        <v>221</v>
      </c>
      <c r="F728" t="s">
        <v>801</v>
      </c>
      <c r="G728" t="s">
        <v>1345</v>
      </c>
      <c r="H728" t="s">
        <v>1891</v>
      </c>
      <c r="I728" t="s">
        <v>1989</v>
      </c>
      <c r="J728" t="s">
        <v>2204</v>
      </c>
      <c r="K728">
        <v>11377</v>
      </c>
      <c r="L728" t="s">
        <v>2224</v>
      </c>
      <c r="M728" t="s">
        <v>2226</v>
      </c>
      <c r="N728" t="s">
        <v>2508</v>
      </c>
      <c r="O728" t="s">
        <v>2537</v>
      </c>
      <c r="P728" t="s">
        <v>2560</v>
      </c>
      <c r="R728" t="s">
        <v>2569</v>
      </c>
      <c r="S728" t="s">
        <v>2224</v>
      </c>
      <c r="U728" t="s">
        <v>2578</v>
      </c>
      <c r="V728" t="s">
        <v>2588</v>
      </c>
      <c r="W728" t="s">
        <v>221</v>
      </c>
      <c r="X728">
        <v>1635.49</v>
      </c>
      <c r="Y728" t="s">
        <v>2603</v>
      </c>
      <c r="Z728" t="s">
        <v>2614</v>
      </c>
      <c r="AB728" t="s">
        <v>3290</v>
      </c>
      <c r="AD728" t="s">
        <v>4035</v>
      </c>
      <c r="AE728">
        <v>390</v>
      </c>
      <c r="AF728" t="s">
        <v>2518</v>
      </c>
      <c r="AG728" t="s">
        <v>2255</v>
      </c>
      <c r="AH728">
        <v>5</v>
      </c>
      <c r="AI728">
        <v>3</v>
      </c>
      <c r="AJ728">
        <v>1</v>
      </c>
      <c r="AK728">
        <v>322.33</v>
      </c>
      <c r="AN728" t="s">
        <v>4126</v>
      </c>
      <c r="AO728">
        <v>83000</v>
      </c>
      <c r="AU728">
        <v>0.4</v>
      </c>
      <c r="AV728" t="s">
        <v>221</v>
      </c>
      <c r="AW728" t="s">
        <v>4224</v>
      </c>
      <c r="AX728" t="s">
        <v>4266</v>
      </c>
      <c r="AY728" t="s">
        <v>2224</v>
      </c>
      <c r="AZ728" t="s">
        <v>2224</v>
      </c>
    </row>
    <row r="729" spans="1:52">
      <c r="A729" s="1">
        <f>HYPERLINK("https://lsnyc.legalserver.org/matter/dynamic-profile/view/1905488","19-1905488")</f>
        <v>0</v>
      </c>
      <c r="B729" t="s">
        <v>90</v>
      </c>
      <c r="C729" t="s">
        <v>155</v>
      </c>
      <c r="D729" t="s">
        <v>207</v>
      </c>
      <c r="F729" t="s">
        <v>752</v>
      </c>
      <c r="G729" t="s">
        <v>1346</v>
      </c>
      <c r="H729" t="s">
        <v>1917</v>
      </c>
      <c r="I729" t="s">
        <v>2106</v>
      </c>
      <c r="J729" t="s">
        <v>2196</v>
      </c>
      <c r="K729">
        <v>10034</v>
      </c>
      <c r="L729" t="s">
        <v>2224</v>
      </c>
      <c r="M729" t="s">
        <v>2226</v>
      </c>
      <c r="O729" t="s">
        <v>2534</v>
      </c>
      <c r="P729" t="s">
        <v>2558</v>
      </c>
      <c r="R729" t="s">
        <v>2569</v>
      </c>
      <c r="S729" t="s">
        <v>2225</v>
      </c>
      <c r="U729" t="s">
        <v>2578</v>
      </c>
      <c r="W729" t="s">
        <v>207</v>
      </c>
      <c r="X729">
        <v>1550</v>
      </c>
      <c r="Y729" t="s">
        <v>2607</v>
      </c>
      <c r="Z729" t="s">
        <v>2617</v>
      </c>
      <c r="AB729" t="s">
        <v>3291</v>
      </c>
      <c r="AD729" t="s">
        <v>4036</v>
      </c>
      <c r="AE729">
        <v>44</v>
      </c>
      <c r="AF729" t="s">
        <v>4099</v>
      </c>
      <c r="AG729" t="s">
        <v>2255</v>
      </c>
      <c r="AH729">
        <v>3</v>
      </c>
      <c r="AI729">
        <v>1</v>
      </c>
      <c r="AJ729">
        <v>1</v>
      </c>
      <c r="AK729">
        <v>325.25</v>
      </c>
      <c r="AL729" t="s">
        <v>261</v>
      </c>
      <c r="AM729" t="s">
        <v>4125</v>
      </c>
      <c r="AN729" t="s">
        <v>4126</v>
      </c>
      <c r="AO729">
        <v>55000</v>
      </c>
      <c r="AU729">
        <v>0</v>
      </c>
      <c r="AW729" t="s">
        <v>80</v>
      </c>
      <c r="AX729" t="s">
        <v>4266</v>
      </c>
      <c r="AY729" t="s">
        <v>2226</v>
      </c>
      <c r="AZ729" t="s">
        <v>2226</v>
      </c>
    </row>
    <row r="730" spans="1:52">
      <c r="A730" s="1">
        <f>HYPERLINK("https://lsnyc.legalserver.org/matter/dynamic-profile/view/1913177","19-1913177")</f>
        <v>0</v>
      </c>
      <c r="B730" t="s">
        <v>76</v>
      </c>
      <c r="C730" t="s">
        <v>155</v>
      </c>
      <c r="D730" t="s">
        <v>163</v>
      </c>
      <c r="F730" t="s">
        <v>618</v>
      </c>
      <c r="G730" t="s">
        <v>1347</v>
      </c>
      <c r="H730" t="s">
        <v>1446</v>
      </c>
      <c r="I730" t="s">
        <v>2034</v>
      </c>
      <c r="J730" t="s">
        <v>2196</v>
      </c>
      <c r="K730">
        <v>10032</v>
      </c>
      <c r="L730" t="s">
        <v>2224</v>
      </c>
      <c r="M730" t="s">
        <v>2226</v>
      </c>
      <c r="O730" t="s">
        <v>2534</v>
      </c>
      <c r="P730" t="s">
        <v>2558</v>
      </c>
      <c r="R730" t="s">
        <v>2569</v>
      </c>
      <c r="S730" t="s">
        <v>2224</v>
      </c>
      <c r="U730" t="s">
        <v>2578</v>
      </c>
      <c r="W730" t="s">
        <v>163</v>
      </c>
      <c r="X730">
        <v>894.05</v>
      </c>
      <c r="Y730" t="s">
        <v>2607</v>
      </c>
      <c r="Z730" t="s">
        <v>2613</v>
      </c>
      <c r="AB730" t="s">
        <v>3292</v>
      </c>
      <c r="AD730" t="s">
        <v>4037</v>
      </c>
      <c r="AE730">
        <v>48</v>
      </c>
      <c r="AF730" t="s">
        <v>4099</v>
      </c>
      <c r="AG730" t="s">
        <v>2255</v>
      </c>
      <c r="AH730">
        <v>19</v>
      </c>
      <c r="AI730">
        <v>2</v>
      </c>
      <c r="AJ730">
        <v>3</v>
      </c>
      <c r="AK730">
        <v>326.15</v>
      </c>
      <c r="AN730" t="s">
        <v>4126</v>
      </c>
      <c r="AO730">
        <v>98400</v>
      </c>
      <c r="AU730">
        <v>0</v>
      </c>
      <c r="AW730" t="s">
        <v>80</v>
      </c>
      <c r="AX730" t="s">
        <v>4266</v>
      </c>
      <c r="AY730" t="s">
        <v>2226</v>
      </c>
      <c r="AZ730" t="s">
        <v>2226</v>
      </c>
    </row>
    <row r="731" spans="1:52">
      <c r="A731" s="1">
        <f>HYPERLINK("https://lsnyc.legalserver.org/matter/dynamic-profile/view/1905149","19-1905149")</f>
        <v>0</v>
      </c>
      <c r="B731" t="s">
        <v>55</v>
      </c>
      <c r="C731" t="s">
        <v>155</v>
      </c>
      <c r="D731" t="s">
        <v>180</v>
      </c>
      <c r="F731" t="s">
        <v>743</v>
      </c>
      <c r="G731" t="s">
        <v>965</v>
      </c>
      <c r="H731" t="s">
        <v>1918</v>
      </c>
      <c r="I731" t="s">
        <v>1970</v>
      </c>
      <c r="J731" t="s">
        <v>2215</v>
      </c>
      <c r="K731">
        <v>11385</v>
      </c>
      <c r="L731" t="s">
        <v>2224</v>
      </c>
      <c r="M731" t="s">
        <v>2226</v>
      </c>
      <c r="N731" t="s">
        <v>2522</v>
      </c>
      <c r="O731" t="s">
        <v>2535</v>
      </c>
      <c r="P731" t="s">
        <v>2558</v>
      </c>
      <c r="R731" t="s">
        <v>2569</v>
      </c>
      <c r="S731" t="s">
        <v>2225</v>
      </c>
      <c r="U731" t="s">
        <v>2578</v>
      </c>
      <c r="V731" t="s">
        <v>2588</v>
      </c>
      <c r="W731" t="s">
        <v>180</v>
      </c>
      <c r="X731">
        <v>1050</v>
      </c>
      <c r="Y731" t="s">
        <v>2603</v>
      </c>
      <c r="Z731" t="s">
        <v>2614</v>
      </c>
      <c r="AB731" t="s">
        <v>3293</v>
      </c>
      <c r="AD731" t="s">
        <v>4038</v>
      </c>
      <c r="AE731">
        <v>6</v>
      </c>
      <c r="AF731" t="s">
        <v>4099</v>
      </c>
      <c r="AG731" t="s">
        <v>2255</v>
      </c>
      <c r="AH731">
        <v>14</v>
      </c>
      <c r="AI731">
        <v>1</v>
      </c>
      <c r="AJ731">
        <v>2</v>
      </c>
      <c r="AK731">
        <v>327.79</v>
      </c>
      <c r="AL731" t="s">
        <v>186</v>
      </c>
      <c r="AM731" t="s">
        <v>4125</v>
      </c>
      <c r="AN731" t="s">
        <v>4126</v>
      </c>
      <c r="AO731">
        <v>69918</v>
      </c>
      <c r="AU731">
        <v>12.91</v>
      </c>
      <c r="AV731" t="s">
        <v>218</v>
      </c>
      <c r="AW731" t="s">
        <v>55</v>
      </c>
      <c r="AX731" t="s">
        <v>4266</v>
      </c>
      <c r="AY731" t="s">
        <v>2224</v>
      </c>
      <c r="AZ731" t="s">
        <v>2224</v>
      </c>
    </row>
    <row r="732" spans="1:52">
      <c r="A732" s="1">
        <f>HYPERLINK("https://lsnyc.legalserver.org/matter/dynamic-profile/view/1898066","19-1898066")</f>
        <v>0</v>
      </c>
      <c r="B732" t="s">
        <v>113</v>
      </c>
      <c r="C732" t="s">
        <v>155</v>
      </c>
      <c r="D732" t="s">
        <v>164</v>
      </c>
      <c r="F732" t="s">
        <v>802</v>
      </c>
      <c r="G732" t="s">
        <v>1075</v>
      </c>
      <c r="H732" t="s">
        <v>1919</v>
      </c>
      <c r="I732">
        <v>15</v>
      </c>
      <c r="J732" t="s">
        <v>2192</v>
      </c>
      <c r="K732">
        <v>11226</v>
      </c>
      <c r="L732" t="s">
        <v>2224</v>
      </c>
      <c r="M732" t="s">
        <v>2226</v>
      </c>
      <c r="O732" t="s">
        <v>2534</v>
      </c>
      <c r="P732" t="s">
        <v>2558</v>
      </c>
      <c r="R732" t="s">
        <v>2569</v>
      </c>
      <c r="S732" t="s">
        <v>2224</v>
      </c>
      <c r="U732" t="s">
        <v>2578</v>
      </c>
      <c r="W732" t="s">
        <v>164</v>
      </c>
      <c r="X732">
        <v>717</v>
      </c>
      <c r="Y732" t="s">
        <v>2604</v>
      </c>
      <c r="AB732" t="s">
        <v>3294</v>
      </c>
      <c r="AD732" t="s">
        <v>4039</v>
      </c>
      <c r="AE732">
        <v>16</v>
      </c>
      <c r="AH732">
        <v>14</v>
      </c>
      <c r="AI732">
        <v>3</v>
      </c>
      <c r="AJ732">
        <v>0</v>
      </c>
      <c r="AK732">
        <v>328.18</v>
      </c>
      <c r="AL732" t="s">
        <v>261</v>
      </c>
      <c r="AM732" t="s">
        <v>4125</v>
      </c>
      <c r="AN732" t="s">
        <v>4126</v>
      </c>
      <c r="AO732">
        <v>70000</v>
      </c>
      <c r="AU732">
        <v>0</v>
      </c>
      <c r="AW732" t="s">
        <v>153</v>
      </c>
      <c r="AX732" t="s">
        <v>4266</v>
      </c>
      <c r="AY732" t="s">
        <v>2224</v>
      </c>
      <c r="AZ732" t="s">
        <v>2224</v>
      </c>
    </row>
    <row r="733" spans="1:52">
      <c r="A733" s="1">
        <f>HYPERLINK("https://lsnyc.legalserver.org/matter/dynamic-profile/view/1911485","19-1911485")</f>
        <v>0</v>
      </c>
      <c r="B733" t="s">
        <v>60</v>
      </c>
      <c r="C733" t="s">
        <v>155</v>
      </c>
      <c r="D733" t="s">
        <v>179</v>
      </c>
      <c r="F733" t="s">
        <v>803</v>
      </c>
      <c r="G733" t="s">
        <v>1348</v>
      </c>
      <c r="H733" t="s">
        <v>1920</v>
      </c>
      <c r="I733" t="s">
        <v>1986</v>
      </c>
      <c r="J733" t="s">
        <v>2192</v>
      </c>
      <c r="K733">
        <v>11212</v>
      </c>
      <c r="L733" t="s">
        <v>2224</v>
      </c>
      <c r="M733" t="s">
        <v>2226</v>
      </c>
      <c r="N733" t="s">
        <v>2523</v>
      </c>
      <c r="O733" t="s">
        <v>2535</v>
      </c>
      <c r="R733" t="s">
        <v>2569</v>
      </c>
      <c r="S733" t="s">
        <v>2225</v>
      </c>
      <c r="U733" t="s">
        <v>2578</v>
      </c>
      <c r="V733" t="s">
        <v>2587</v>
      </c>
      <c r="W733" t="s">
        <v>174</v>
      </c>
      <c r="X733">
        <v>1217</v>
      </c>
      <c r="Y733" t="s">
        <v>2604</v>
      </c>
      <c r="Z733" t="s">
        <v>2619</v>
      </c>
      <c r="AB733" t="s">
        <v>3295</v>
      </c>
      <c r="AC733" t="s">
        <v>2244</v>
      </c>
      <c r="AD733" t="s">
        <v>4040</v>
      </c>
      <c r="AE733">
        <v>26</v>
      </c>
      <c r="AF733" t="s">
        <v>4099</v>
      </c>
      <c r="AG733" t="s">
        <v>2255</v>
      </c>
      <c r="AH733">
        <v>11</v>
      </c>
      <c r="AI733">
        <v>1</v>
      </c>
      <c r="AJ733">
        <v>0</v>
      </c>
      <c r="AK733">
        <v>332.23</v>
      </c>
      <c r="AN733" t="s">
        <v>4126</v>
      </c>
      <c r="AO733">
        <v>41496</v>
      </c>
      <c r="AU733">
        <v>2</v>
      </c>
      <c r="AV733" t="s">
        <v>174</v>
      </c>
      <c r="AW733" t="s">
        <v>4232</v>
      </c>
      <c r="AX733" t="s">
        <v>4266</v>
      </c>
      <c r="AY733" t="s">
        <v>2226</v>
      </c>
      <c r="AZ733" t="s">
        <v>2226</v>
      </c>
    </row>
    <row r="734" spans="1:52">
      <c r="A734" s="1">
        <f>HYPERLINK("https://lsnyc.legalserver.org/matter/dynamic-profile/view/1905193","19-1905193")</f>
        <v>0</v>
      </c>
      <c r="B734" t="s">
        <v>68</v>
      </c>
      <c r="C734" t="s">
        <v>155</v>
      </c>
      <c r="D734" t="s">
        <v>198</v>
      </c>
      <c r="F734" t="s">
        <v>804</v>
      </c>
      <c r="G734" t="s">
        <v>661</v>
      </c>
      <c r="H734" t="s">
        <v>1659</v>
      </c>
      <c r="I734" t="s">
        <v>1951</v>
      </c>
      <c r="J734" t="s">
        <v>2192</v>
      </c>
      <c r="K734">
        <v>11220</v>
      </c>
      <c r="L734" t="s">
        <v>2224</v>
      </c>
      <c r="M734" t="s">
        <v>2226</v>
      </c>
      <c r="O734" t="s">
        <v>2534</v>
      </c>
      <c r="P734" t="s">
        <v>2558</v>
      </c>
      <c r="R734" t="s">
        <v>2569</v>
      </c>
      <c r="S734" t="s">
        <v>2224</v>
      </c>
      <c r="T734" t="s">
        <v>2571</v>
      </c>
      <c r="U734" t="s">
        <v>2578</v>
      </c>
      <c r="W734" t="s">
        <v>210</v>
      </c>
      <c r="X734">
        <v>0</v>
      </c>
      <c r="Y734" t="s">
        <v>2604</v>
      </c>
      <c r="AB734" t="s">
        <v>3296</v>
      </c>
      <c r="AD734" t="s">
        <v>4041</v>
      </c>
      <c r="AE734">
        <v>54</v>
      </c>
      <c r="AH734">
        <v>0</v>
      </c>
      <c r="AI734">
        <v>1</v>
      </c>
      <c r="AJ734">
        <v>0</v>
      </c>
      <c r="AK734">
        <v>333.07</v>
      </c>
      <c r="AN734" t="s">
        <v>4126</v>
      </c>
      <c r="AO734">
        <v>41600</v>
      </c>
      <c r="AU734">
        <v>0.2</v>
      </c>
      <c r="AV734" t="s">
        <v>198</v>
      </c>
      <c r="AW734" t="s">
        <v>124</v>
      </c>
      <c r="AX734" t="s">
        <v>4266</v>
      </c>
      <c r="AY734" t="s">
        <v>2224</v>
      </c>
      <c r="AZ734" t="s">
        <v>2224</v>
      </c>
    </row>
    <row r="735" spans="1:52">
      <c r="A735" s="1">
        <f>HYPERLINK("https://lsnyc.legalserver.org/matter/dynamic-profile/view/1902627","19-1902627")</f>
        <v>0</v>
      </c>
      <c r="B735" t="s">
        <v>65</v>
      </c>
      <c r="C735" t="s">
        <v>154</v>
      </c>
      <c r="D735" t="s">
        <v>251</v>
      </c>
      <c r="E735" t="s">
        <v>194</v>
      </c>
      <c r="F735" t="s">
        <v>805</v>
      </c>
      <c r="G735" t="s">
        <v>1349</v>
      </c>
      <c r="H735" t="s">
        <v>1921</v>
      </c>
      <c r="I735" t="s">
        <v>2175</v>
      </c>
      <c r="J735" t="s">
        <v>2192</v>
      </c>
      <c r="K735">
        <v>11210</v>
      </c>
      <c r="L735" t="s">
        <v>2224</v>
      </c>
      <c r="M735" t="s">
        <v>2226</v>
      </c>
      <c r="N735" t="s">
        <v>2238</v>
      </c>
      <c r="O735" t="s">
        <v>2238</v>
      </c>
      <c r="P735" t="s">
        <v>2556</v>
      </c>
      <c r="Q735" t="s">
        <v>2563</v>
      </c>
      <c r="R735" t="s">
        <v>2569</v>
      </c>
      <c r="S735" t="s">
        <v>2225</v>
      </c>
      <c r="U735" t="s">
        <v>2578</v>
      </c>
      <c r="W735" t="s">
        <v>254</v>
      </c>
      <c r="X735">
        <v>800</v>
      </c>
      <c r="Y735" t="s">
        <v>2604</v>
      </c>
      <c r="Z735" t="s">
        <v>2614</v>
      </c>
      <c r="AA735" t="s">
        <v>2626</v>
      </c>
      <c r="AB735" t="s">
        <v>3297</v>
      </c>
      <c r="AD735" t="s">
        <v>4042</v>
      </c>
      <c r="AE735">
        <v>3</v>
      </c>
      <c r="AF735" t="s">
        <v>4098</v>
      </c>
      <c r="AG735" t="s">
        <v>2255</v>
      </c>
      <c r="AH735">
        <v>0</v>
      </c>
      <c r="AI735">
        <v>1</v>
      </c>
      <c r="AJ735">
        <v>0</v>
      </c>
      <c r="AK735">
        <v>333.07</v>
      </c>
      <c r="AN735" t="s">
        <v>4126</v>
      </c>
      <c r="AO735">
        <v>41600</v>
      </c>
      <c r="AU735">
        <v>1.1</v>
      </c>
      <c r="AV735" t="s">
        <v>267</v>
      </c>
      <c r="AW735" t="s">
        <v>4251</v>
      </c>
      <c r="AX735" t="s">
        <v>4266</v>
      </c>
      <c r="AY735" t="s">
        <v>2226</v>
      </c>
      <c r="AZ735" t="s">
        <v>2225</v>
      </c>
    </row>
    <row r="736" spans="1:52">
      <c r="A736" s="1">
        <f>HYPERLINK("https://lsnyc.legalserver.org/matter/dynamic-profile/view/1898235","19-1898235")</f>
        <v>0</v>
      </c>
      <c r="B736" t="s">
        <v>151</v>
      </c>
      <c r="C736" t="s">
        <v>155</v>
      </c>
      <c r="D736" t="s">
        <v>287</v>
      </c>
      <c r="F736" t="s">
        <v>758</v>
      </c>
      <c r="G736" t="s">
        <v>1350</v>
      </c>
      <c r="H736" t="s">
        <v>1922</v>
      </c>
      <c r="I736" t="s">
        <v>1999</v>
      </c>
      <c r="J736" t="s">
        <v>2194</v>
      </c>
      <c r="K736">
        <v>10467</v>
      </c>
      <c r="L736" t="s">
        <v>2224</v>
      </c>
      <c r="M736" t="s">
        <v>2224</v>
      </c>
      <c r="O736" t="s">
        <v>2539</v>
      </c>
      <c r="P736" t="s">
        <v>2557</v>
      </c>
      <c r="R736" t="s">
        <v>2569</v>
      </c>
      <c r="S736" t="s">
        <v>2224</v>
      </c>
      <c r="U736" t="s">
        <v>2578</v>
      </c>
      <c r="W736" t="s">
        <v>218</v>
      </c>
      <c r="X736">
        <v>752</v>
      </c>
      <c r="Y736" t="s">
        <v>2605</v>
      </c>
      <c r="Z736" t="s">
        <v>2613</v>
      </c>
      <c r="AB736" t="s">
        <v>3298</v>
      </c>
      <c r="AD736" t="s">
        <v>4043</v>
      </c>
      <c r="AE736">
        <v>59</v>
      </c>
      <c r="AF736" t="s">
        <v>4099</v>
      </c>
      <c r="AG736" t="s">
        <v>2255</v>
      </c>
      <c r="AH736">
        <v>19</v>
      </c>
      <c r="AI736">
        <v>1</v>
      </c>
      <c r="AJ736">
        <v>0</v>
      </c>
      <c r="AK736">
        <v>340.27</v>
      </c>
      <c r="AN736" t="s">
        <v>4126</v>
      </c>
      <c r="AO736">
        <v>42500</v>
      </c>
      <c r="AP736" t="s">
        <v>4166</v>
      </c>
      <c r="AU736">
        <v>0</v>
      </c>
      <c r="AW736" t="s">
        <v>4255</v>
      </c>
      <c r="AX736" t="s">
        <v>4266</v>
      </c>
      <c r="AY736" t="s">
        <v>2226</v>
      </c>
      <c r="AZ736" t="s">
        <v>2226</v>
      </c>
    </row>
    <row r="737" spans="1:52">
      <c r="A737" s="1">
        <f>HYPERLINK("https://lsnyc.legalserver.org/matter/dynamic-profile/view/1902986","19-1902986")</f>
        <v>0</v>
      </c>
      <c r="B737" t="s">
        <v>141</v>
      </c>
      <c r="C737" t="s">
        <v>154</v>
      </c>
      <c r="D737" t="s">
        <v>260</v>
      </c>
      <c r="E737" t="s">
        <v>167</v>
      </c>
      <c r="F737" t="s">
        <v>324</v>
      </c>
      <c r="G737" t="s">
        <v>1266</v>
      </c>
      <c r="H737" t="s">
        <v>1923</v>
      </c>
      <c r="I737" t="s">
        <v>2176</v>
      </c>
      <c r="J737" t="s">
        <v>2192</v>
      </c>
      <c r="K737">
        <v>11216</v>
      </c>
      <c r="L737" t="s">
        <v>2224</v>
      </c>
      <c r="M737" t="s">
        <v>2226</v>
      </c>
      <c r="N737" t="s">
        <v>2524</v>
      </c>
      <c r="O737" t="s">
        <v>2544</v>
      </c>
      <c r="P737" t="s">
        <v>2556</v>
      </c>
      <c r="Q737" t="s">
        <v>2563</v>
      </c>
      <c r="R737" t="s">
        <v>2569</v>
      </c>
      <c r="U737" t="s">
        <v>2585</v>
      </c>
      <c r="W737" t="s">
        <v>192</v>
      </c>
      <c r="X737">
        <v>0</v>
      </c>
      <c r="Y737" t="s">
        <v>2604</v>
      </c>
      <c r="AA737" t="s">
        <v>2632</v>
      </c>
      <c r="AB737" t="s">
        <v>3299</v>
      </c>
      <c r="AD737" t="s">
        <v>4044</v>
      </c>
      <c r="AE737">
        <v>65</v>
      </c>
      <c r="AH737">
        <v>0</v>
      </c>
      <c r="AI737">
        <v>1</v>
      </c>
      <c r="AJ737">
        <v>0</v>
      </c>
      <c r="AK737">
        <v>345.88</v>
      </c>
      <c r="AN737" t="s">
        <v>4126</v>
      </c>
      <c r="AO737">
        <v>43200</v>
      </c>
      <c r="AU737">
        <v>6.9</v>
      </c>
      <c r="AV737" t="s">
        <v>167</v>
      </c>
      <c r="AW737" t="s">
        <v>4236</v>
      </c>
      <c r="AX737" t="s">
        <v>4266</v>
      </c>
      <c r="AY737" t="s">
        <v>2226</v>
      </c>
      <c r="AZ737" t="s">
        <v>2225</v>
      </c>
    </row>
    <row r="738" spans="1:52">
      <c r="A738" s="1">
        <f>HYPERLINK("https://lsnyc.legalserver.org/matter/dynamic-profile/view/1887832","19-1887832")</f>
        <v>0</v>
      </c>
      <c r="B738" t="s">
        <v>151</v>
      </c>
      <c r="C738" t="s">
        <v>155</v>
      </c>
      <c r="D738" t="s">
        <v>288</v>
      </c>
      <c r="F738" t="s">
        <v>758</v>
      </c>
      <c r="G738" t="s">
        <v>1350</v>
      </c>
      <c r="H738" t="s">
        <v>1922</v>
      </c>
      <c r="I738" t="s">
        <v>1999</v>
      </c>
      <c r="J738" t="s">
        <v>2194</v>
      </c>
      <c r="K738">
        <v>10467</v>
      </c>
      <c r="L738" t="s">
        <v>2224</v>
      </c>
      <c r="M738" t="s">
        <v>2224</v>
      </c>
      <c r="N738" t="s">
        <v>2525</v>
      </c>
      <c r="O738" t="s">
        <v>2534</v>
      </c>
      <c r="P738" t="s">
        <v>2558</v>
      </c>
      <c r="R738" t="s">
        <v>2569</v>
      </c>
      <c r="S738" t="s">
        <v>2224</v>
      </c>
      <c r="U738" t="s">
        <v>2578</v>
      </c>
      <c r="W738" t="s">
        <v>218</v>
      </c>
      <c r="X738">
        <v>752</v>
      </c>
      <c r="Y738" t="s">
        <v>2605</v>
      </c>
      <c r="Z738" t="s">
        <v>2623</v>
      </c>
      <c r="AB738" t="s">
        <v>3298</v>
      </c>
      <c r="AD738" t="s">
        <v>4043</v>
      </c>
      <c r="AE738">
        <v>59</v>
      </c>
      <c r="AF738" t="s">
        <v>4099</v>
      </c>
      <c r="AG738" t="s">
        <v>2255</v>
      </c>
      <c r="AH738">
        <v>19</v>
      </c>
      <c r="AI738">
        <v>1</v>
      </c>
      <c r="AJ738">
        <v>0</v>
      </c>
      <c r="AK738">
        <v>350.08</v>
      </c>
      <c r="AN738" t="s">
        <v>4126</v>
      </c>
      <c r="AO738">
        <v>42500</v>
      </c>
      <c r="AU738">
        <v>1.6</v>
      </c>
      <c r="AV738" t="s">
        <v>257</v>
      </c>
      <c r="AW738" t="s">
        <v>4234</v>
      </c>
      <c r="AX738" t="s">
        <v>4266</v>
      </c>
      <c r="AY738" t="s">
        <v>2224</v>
      </c>
      <c r="AZ738" t="s">
        <v>2224</v>
      </c>
    </row>
    <row r="739" spans="1:52">
      <c r="A739" s="1">
        <f>HYPERLINK("https://lsnyc.legalserver.org/matter/dynamic-profile/view/1904601","19-1904601")</f>
        <v>0</v>
      </c>
      <c r="B739" t="s">
        <v>78</v>
      </c>
      <c r="C739" t="s">
        <v>155</v>
      </c>
      <c r="D739" t="s">
        <v>203</v>
      </c>
      <c r="F739" t="s">
        <v>362</v>
      </c>
      <c r="G739" t="s">
        <v>495</v>
      </c>
      <c r="H739" t="s">
        <v>1443</v>
      </c>
      <c r="I739">
        <v>4</v>
      </c>
      <c r="J739" t="s">
        <v>2196</v>
      </c>
      <c r="K739">
        <v>10034</v>
      </c>
      <c r="L739" t="s">
        <v>2224</v>
      </c>
      <c r="M739" t="s">
        <v>2226</v>
      </c>
      <c r="P739" t="s">
        <v>2559</v>
      </c>
      <c r="R739" t="s">
        <v>2569</v>
      </c>
      <c r="S739" t="s">
        <v>2224</v>
      </c>
      <c r="U739" t="s">
        <v>2578</v>
      </c>
      <c r="W739" t="s">
        <v>203</v>
      </c>
      <c r="X739">
        <v>893</v>
      </c>
      <c r="Y739" t="s">
        <v>2607</v>
      </c>
      <c r="Z739" t="s">
        <v>2617</v>
      </c>
      <c r="AB739" t="s">
        <v>3300</v>
      </c>
      <c r="AD739" t="s">
        <v>4045</v>
      </c>
      <c r="AE739">
        <v>25</v>
      </c>
      <c r="AF739" t="s">
        <v>4099</v>
      </c>
      <c r="AG739" t="s">
        <v>2255</v>
      </c>
      <c r="AH739">
        <v>38</v>
      </c>
      <c r="AI739">
        <v>1</v>
      </c>
      <c r="AJ739">
        <v>0</v>
      </c>
      <c r="AK739">
        <v>352.28</v>
      </c>
      <c r="AN739" t="s">
        <v>4127</v>
      </c>
      <c r="AO739">
        <v>44000</v>
      </c>
      <c r="AU739">
        <v>9.800000000000001</v>
      </c>
      <c r="AV739" t="s">
        <v>275</v>
      </c>
      <c r="AW739" t="s">
        <v>80</v>
      </c>
      <c r="AX739" t="s">
        <v>4266</v>
      </c>
      <c r="AY739" t="s">
        <v>2226</v>
      </c>
      <c r="AZ739" t="s">
        <v>2226</v>
      </c>
    </row>
    <row r="740" spans="1:52">
      <c r="A740" s="1">
        <f>HYPERLINK("https://lsnyc.legalserver.org/matter/dynamic-profile/view/1912810","19-1912810")</f>
        <v>0</v>
      </c>
      <c r="B740" t="s">
        <v>70</v>
      </c>
      <c r="C740" t="s">
        <v>155</v>
      </c>
      <c r="D740" t="s">
        <v>204</v>
      </c>
      <c r="F740" t="s">
        <v>806</v>
      </c>
      <c r="G740" t="s">
        <v>1351</v>
      </c>
      <c r="H740" t="s">
        <v>1924</v>
      </c>
      <c r="J740" t="s">
        <v>2194</v>
      </c>
      <c r="K740">
        <v>10457</v>
      </c>
      <c r="L740" t="s">
        <v>2224</v>
      </c>
      <c r="M740" t="s">
        <v>2226</v>
      </c>
      <c r="O740" t="s">
        <v>2238</v>
      </c>
      <c r="P740" t="s">
        <v>2556</v>
      </c>
      <c r="R740" t="s">
        <v>2569</v>
      </c>
      <c r="S740" t="s">
        <v>2225</v>
      </c>
      <c r="U740" t="s">
        <v>2578</v>
      </c>
      <c r="W740" t="s">
        <v>218</v>
      </c>
      <c r="X740">
        <v>1350</v>
      </c>
      <c r="Y740" t="s">
        <v>2605</v>
      </c>
      <c r="Z740" t="s">
        <v>2614</v>
      </c>
      <c r="AB740" t="s">
        <v>3301</v>
      </c>
      <c r="AD740" t="s">
        <v>4046</v>
      </c>
      <c r="AE740">
        <v>0</v>
      </c>
      <c r="AG740" t="s">
        <v>2255</v>
      </c>
      <c r="AH740">
        <v>3</v>
      </c>
      <c r="AI740">
        <v>1</v>
      </c>
      <c r="AJ740">
        <v>1</v>
      </c>
      <c r="AK740">
        <v>354.82</v>
      </c>
      <c r="AN740" t="s">
        <v>4127</v>
      </c>
      <c r="AO740">
        <v>60000</v>
      </c>
      <c r="AU740">
        <v>1.6</v>
      </c>
      <c r="AV740" t="s">
        <v>241</v>
      </c>
      <c r="AW740" t="s">
        <v>70</v>
      </c>
      <c r="AX740" t="s">
        <v>4266</v>
      </c>
      <c r="AY740" t="s">
        <v>2226</v>
      </c>
      <c r="AZ740" t="s">
        <v>2225</v>
      </c>
    </row>
    <row r="741" spans="1:52">
      <c r="A741" s="1">
        <f>HYPERLINK("https://lsnyc.legalserver.org/matter/dynamic-profile/view/1904308","19-1904308")</f>
        <v>0</v>
      </c>
      <c r="B741" t="s">
        <v>78</v>
      </c>
      <c r="C741" t="s">
        <v>155</v>
      </c>
      <c r="D741" t="s">
        <v>158</v>
      </c>
      <c r="F741" t="s">
        <v>807</v>
      </c>
      <c r="G741" t="s">
        <v>925</v>
      </c>
      <c r="H741" t="s">
        <v>1913</v>
      </c>
      <c r="I741" t="s">
        <v>1967</v>
      </c>
      <c r="J741" t="s">
        <v>2196</v>
      </c>
      <c r="K741">
        <v>10034</v>
      </c>
      <c r="L741" t="s">
        <v>2224</v>
      </c>
      <c r="M741" t="s">
        <v>2226</v>
      </c>
      <c r="O741" t="s">
        <v>2536</v>
      </c>
      <c r="P741" t="s">
        <v>2559</v>
      </c>
      <c r="R741" t="s">
        <v>2569</v>
      </c>
      <c r="S741" t="s">
        <v>2225</v>
      </c>
      <c r="U741" t="s">
        <v>2578</v>
      </c>
      <c r="W741" t="s">
        <v>158</v>
      </c>
      <c r="X741">
        <v>2100</v>
      </c>
      <c r="Y741" t="s">
        <v>2607</v>
      </c>
      <c r="Z741" t="s">
        <v>2617</v>
      </c>
      <c r="AB741" t="s">
        <v>3302</v>
      </c>
      <c r="AE741">
        <v>69</v>
      </c>
      <c r="AF741" t="s">
        <v>4099</v>
      </c>
      <c r="AG741" t="s">
        <v>2255</v>
      </c>
      <c r="AH741">
        <v>8</v>
      </c>
      <c r="AI741">
        <v>2</v>
      </c>
      <c r="AJ741">
        <v>0</v>
      </c>
      <c r="AK741">
        <v>354.82</v>
      </c>
      <c r="AN741" t="s">
        <v>4126</v>
      </c>
      <c r="AO741">
        <v>60000</v>
      </c>
      <c r="AU741">
        <v>0</v>
      </c>
      <c r="AW741" t="s">
        <v>80</v>
      </c>
      <c r="AX741" t="s">
        <v>4266</v>
      </c>
      <c r="AY741" t="s">
        <v>2226</v>
      </c>
      <c r="AZ741" t="s">
        <v>2226</v>
      </c>
    </row>
    <row r="742" spans="1:52">
      <c r="A742" s="1">
        <f>HYPERLINK("https://lsnyc.legalserver.org/matter/dynamic-profile/view/1906399","19-1906399")</f>
        <v>0</v>
      </c>
      <c r="B742" t="s">
        <v>86</v>
      </c>
      <c r="C742" t="s">
        <v>155</v>
      </c>
      <c r="D742" t="s">
        <v>191</v>
      </c>
      <c r="F742" t="s">
        <v>808</v>
      </c>
      <c r="G742" t="s">
        <v>1352</v>
      </c>
      <c r="H742" t="s">
        <v>1785</v>
      </c>
      <c r="I742">
        <v>55</v>
      </c>
      <c r="J742" t="s">
        <v>2196</v>
      </c>
      <c r="K742">
        <v>10032</v>
      </c>
      <c r="L742" t="s">
        <v>2224</v>
      </c>
      <c r="M742" t="s">
        <v>2226</v>
      </c>
      <c r="O742" t="s">
        <v>2534</v>
      </c>
      <c r="P742" t="s">
        <v>2557</v>
      </c>
      <c r="R742" t="s">
        <v>2569</v>
      </c>
      <c r="S742" t="s">
        <v>2224</v>
      </c>
      <c r="U742" t="s">
        <v>2578</v>
      </c>
      <c r="W742" t="s">
        <v>191</v>
      </c>
      <c r="X742">
        <v>2395</v>
      </c>
      <c r="Y742" t="s">
        <v>2607</v>
      </c>
      <c r="Z742" t="s">
        <v>2617</v>
      </c>
      <c r="AB742" t="s">
        <v>3303</v>
      </c>
      <c r="AD742" t="s">
        <v>4047</v>
      </c>
      <c r="AE742">
        <v>46</v>
      </c>
      <c r="AF742" t="s">
        <v>4099</v>
      </c>
      <c r="AG742" t="s">
        <v>2255</v>
      </c>
      <c r="AH742">
        <v>2</v>
      </c>
      <c r="AI742">
        <v>2</v>
      </c>
      <c r="AJ742">
        <v>0</v>
      </c>
      <c r="AK742">
        <v>354.82</v>
      </c>
      <c r="AL742" t="s">
        <v>261</v>
      </c>
      <c r="AM742" t="s">
        <v>4125</v>
      </c>
      <c r="AN742" t="s">
        <v>4126</v>
      </c>
      <c r="AO742">
        <v>60000</v>
      </c>
      <c r="AU742">
        <v>0</v>
      </c>
      <c r="AW742" t="s">
        <v>80</v>
      </c>
      <c r="AX742" t="s">
        <v>4266</v>
      </c>
      <c r="AY742" t="s">
        <v>2226</v>
      </c>
      <c r="AZ742" t="s">
        <v>2226</v>
      </c>
    </row>
    <row r="743" spans="1:52">
      <c r="A743" s="1">
        <f>HYPERLINK("https://lsnyc.legalserver.org/matter/dynamic-profile/view/1908410","19-1908410")</f>
        <v>0</v>
      </c>
      <c r="B743" t="s">
        <v>87</v>
      </c>
      <c r="C743" t="s">
        <v>155</v>
      </c>
      <c r="D743" t="s">
        <v>234</v>
      </c>
      <c r="F743" t="s">
        <v>666</v>
      </c>
      <c r="G743" t="s">
        <v>1084</v>
      </c>
      <c r="H743" t="s">
        <v>1520</v>
      </c>
      <c r="I743" t="s">
        <v>1978</v>
      </c>
      <c r="J743" t="s">
        <v>2196</v>
      </c>
      <c r="K743">
        <v>10035</v>
      </c>
      <c r="L743" t="s">
        <v>2224</v>
      </c>
      <c r="M743" t="s">
        <v>2226</v>
      </c>
      <c r="O743" t="s">
        <v>2238</v>
      </c>
      <c r="P743" t="s">
        <v>2561</v>
      </c>
      <c r="R743" t="s">
        <v>2569</v>
      </c>
      <c r="S743" t="s">
        <v>2224</v>
      </c>
      <c r="U743" t="s">
        <v>2578</v>
      </c>
      <c r="V743" t="s">
        <v>2588</v>
      </c>
      <c r="W743" t="s">
        <v>247</v>
      </c>
      <c r="X743">
        <v>2487</v>
      </c>
      <c r="Y743" t="s">
        <v>2607</v>
      </c>
      <c r="Z743" t="s">
        <v>2609</v>
      </c>
      <c r="AB743" t="s">
        <v>3304</v>
      </c>
      <c r="AD743" t="s">
        <v>4048</v>
      </c>
      <c r="AE743">
        <v>72</v>
      </c>
      <c r="AF743" t="s">
        <v>4099</v>
      </c>
      <c r="AG743" t="s">
        <v>2255</v>
      </c>
      <c r="AH743">
        <v>11</v>
      </c>
      <c r="AI743">
        <v>1</v>
      </c>
      <c r="AJ743">
        <v>0</v>
      </c>
      <c r="AK743">
        <v>360.29</v>
      </c>
      <c r="AN743" t="s">
        <v>4126</v>
      </c>
      <c r="AO743">
        <v>45000</v>
      </c>
      <c r="AU743">
        <v>0</v>
      </c>
      <c r="AW743" t="s">
        <v>4237</v>
      </c>
      <c r="AX743" t="s">
        <v>4266</v>
      </c>
      <c r="AY743" t="s">
        <v>2224</v>
      </c>
      <c r="AZ743" t="s">
        <v>2224</v>
      </c>
    </row>
    <row r="744" spans="1:52">
      <c r="A744" s="1">
        <f>HYPERLINK("https://lsnyc.legalserver.org/matter/dynamic-profile/view/1911945","19-1911945")</f>
        <v>0</v>
      </c>
      <c r="B744" t="s">
        <v>76</v>
      </c>
      <c r="C744" t="s">
        <v>155</v>
      </c>
      <c r="D744" t="s">
        <v>197</v>
      </c>
      <c r="F744" t="s">
        <v>527</v>
      </c>
      <c r="G744" t="s">
        <v>560</v>
      </c>
      <c r="H744" t="s">
        <v>1803</v>
      </c>
      <c r="I744" t="s">
        <v>1992</v>
      </c>
      <c r="J744" t="s">
        <v>2196</v>
      </c>
      <c r="K744">
        <v>10034</v>
      </c>
      <c r="L744" t="s">
        <v>2224</v>
      </c>
      <c r="M744" t="s">
        <v>2226</v>
      </c>
      <c r="P744" t="s">
        <v>2558</v>
      </c>
      <c r="R744" t="s">
        <v>2569</v>
      </c>
      <c r="S744" t="s">
        <v>2224</v>
      </c>
      <c r="U744" t="s">
        <v>2578</v>
      </c>
      <c r="W744" t="s">
        <v>197</v>
      </c>
      <c r="X744">
        <v>2430</v>
      </c>
      <c r="Y744" t="s">
        <v>2607</v>
      </c>
      <c r="Z744" t="s">
        <v>2613</v>
      </c>
      <c r="AB744" t="s">
        <v>3305</v>
      </c>
      <c r="AD744" t="s">
        <v>4049</v>
      </c>
      <c r="AE744">
        <v>43</v>
      </c>
      <c r="AF744" t="s">
        <v>4099</v>
      </c>
      <c r="AG744" t="s">
        <v>2255</v>
      </c>
      <c r="AH744">
        <v>3</v>
      </c>
      <c r="AI744">
        <v>3</v>
      </c>
      <c r="AJ744">
        <v>2</v>
      </c>
      <c r="AK744">
        <v>361.14</v>
      </c>
      <c r="AN744" t="s">
        <v>4126</v>
      </c>
      <c r="AO744">
        <v>108956.44</v>
      </c>
      <c r="AU744">
        <v>0.1</v>
      </c>
      <c r="AV744" t="s">
        <v>197</v>
      </c>
      <c r="AW744" t="s">
        <v>80</v>
      </c>
      <c r="AX744" t="s">
        <v>4266</v>
      </c>
      <c r="AY744" t="s">
        <v>2226</v>
      </c>
      <c r="AZ744" t="s">
        <v>2226</v>
      </c>
    </row>
    <row r="745" spans="1:52">
      <c r="A745" s="1">
        <f>HYPERLINK("https://lsnyc.legalserver.org/matter/dynamic-profile/view/1909013","19-1909013")</f>
        <v>0</v>
      </c>
      <c r="B745" t="s">
        <v>86</v>
      </c>
      <c r="C745" t="s">
        <v>155</v>
      </c>
      <c r="D745" t="s">
        <v>212</v>
      </c>
      <c r="F745" t="s">
        <v>653</v>
      </c>
      <c r="G745" t="s">
        <v>1353</v>
      </c>
      <c r="H745" t="s">
        <v>1574</v>
      </c>
      <c r="I745" t="s">
        <v>2130</v>
      </c>
      <c r="J745" t="s">
        <v>2196</v>
      </c>
      <c r="K745">
        <v>10040</v>
      </c>
      <c r="L745" t="s">
        <v>2224</v>
      </c>
      <c r="M745" t="s">
        <v>2226</v>
      </c>
      <c r="O745" t="s">
        <v>2534</v>
      </c>
      <c r="P745" t="s">
        <v>2558</v>
      </c>
      <c r="R745" t="s">
        <v>2569</v>
      </c>
      <c r="S745" t="s">
        <v>2224</v>
      </c>
      <c r="U745" t="s">
        <v>2578</v>
      </c>
      <c r="W745" t="s">
        <v>212</v>
      </c>
      <c r="X745">
        <v>1611</v>
      </c>
      <c r="Y745" t="s">
        <v>2607</v>
      </c>
      <c r="Z745" t="s">
        <v>2617</v>
      </c>
      <c r="AB745" t="s">
        <v>3306</v>
      </c>
      <c r="AD745" t="s">
        <v>4050</v>
      </c>
      <c r="AE745">
        <v>77</v>
      </c>
      <c r="AF745" t="s">
        <v>4099</v>
      </c>
      <c r="AG745" t="s">
        <v>2255</v>
      </c>
      <c r="AH745">
        <v>6</v>
      </c>
      <c r="AI745">
        <v>2</v>
      </c>
      <c r="AJ745">
        <v>0</v>
      </c>
      <c r="AK745">
        <v>366.65</v>
      </c>
      <c r="AL745" t="s">
        <v>261</v>
      </c>
      <c r="AM745" t="s">
        <v>4125</v>
      </c>
      <c r="AN745" t="s">
        <v>4126</v>
      </c>
      <c r="AO745">
        <v>62000</v>
      </c>
      <c r="AU745">
        <v>0</v>
      </c>
      <c r="AW745" t="s">
        <v>80</v>
      </c>
      <c r="AX745" t="s">
        <v>4266</v>
      </c>
      <c r="AY745" t="s">
        <v>2226</v>
      </c>
      <c r="AZ745" t="s">
        <v>2226</v>
      </c>
    </row>
    <row r="746" spans="1:52">
      <c r="A746" s="1">
        <f>HYPERLINK("https://lsnyc.legalserver.org/matter/dynamic-profile/view/1903176","19-1903176")</f>
        <v>0</v>
      </c>
      <c r="B746" t="s">
        <v>65</v>
      </c>
      <c r="C746" t="s">
        <v>155</v>
      </c>
      <c r="D746" t="s">
        <v>277</v>
      </c>
      <c r="F746" t="s">
        <v>504</v>
      </c>
      <c r="G746" t="s">
        <v>853</v>
      </c>
      <c r="H746" t="s">
        <v>1925</v>
      </c>
      <c r="I746" t="s">
        <v>1972</v>
      </c>
      <c r="J746" t="s">
        <v>2192</v>
      </c>
      <c r="K746">
        <v>11233</v>
      </c>
      <c r="L746" t="s">
        <v>2224</v>
      </c>
      <c r="M746" t="s">
        <v>2226</v>
      </c>
      <c r="N746" t="s">
        <v>2526</v>
      </c>
      <c r="O746" t="s">
        <v>2535</v>
      </c>
      <c r="P746" t="s">
        <v>2558</v>
      </c>
      <c r="R746" t="s">
        <v>2569</v>
      </c>
      <c r="S746" t="s">
        <v>2225</v>
      </c>
      <c r="U746" t="s">
        <v>2578</v>
      </c>
      <c r="V746" t="s">
        <v>2588</v>
      </c>
      <c r="W746" t="s">
        <v>228</v>
      </c>
      <c r="X746">
        <v>1300</v>
      </c>
      <c r="Y746" t="s">
        <v>2604</v>
      </c>
      <c r="Z746" t="s">
        <v>2621</v>
      </c>
      <c r="AB746" t="s">
        <v>3307</v>
      </c>
      <c r="AC746" t="s">
        <v>2255</v>
      </c>
      <c r="AD746" t="s">
        <v>4051</v>
      </c>
      <c r="AE746">
        <v>6</v>
      </c>
      <c r="AF746" t="s">
        <v>4099</v>
      </c>
      <c r="AG746" t="s">
        <v>2255</v>
      </c>
      <c r="AH746">
        <v>10</v>
      </c>
      <c r="AI746">
        <v>1</v>
      </c>
      <c r="AJ746">
        <v>0</v>
      </c>
      <c r="AK746">
        <v>376.3</v>
      </c>
      <c r="AL746" t="s">
        <v>186</v>
      </c>
      <c r="AM746" t="s">
        <v>4125</v>
      </c>
      <c r="AN746" t="s">
        <v>4126</v>
      </c>
      <c r="AO746">
        <v>47000</v>
      </c>
      <c r="AU746">
        <v>16.9</v>
      </c>
      <c r="AV746" t="s">
        <v>169</v>
      </c>
      <c r="AW746" t="s">
        <v>4226</v>
      </c>
      <c r="AX746" t="s">
        <v>4266</v>
      </c>
      <c r="AY746" t="s">
        <v>2224</v>
      </c>
      <c r="AZ746" t="s">
        <v>2224</v>
      </c>
    </row>
    <row r="747" spans="1:52">
      <c r="A747" s="1">
        <f>HYPERLINK("https://lsnyc.legalserver.org/matter/dynamic-profile/view/1905687","19-1905687")</f>
        <v>0</v>
      </c>
      <c r="B747" t="s">
        <v>66</v>
      </c>
      <c r="C747" t="s">
        <v>155</v>
      </c>
      <c r="D747" t="s">
        <v>172</v>
      </c>
      <c r="F747" t="s">
        <v>313</v>
      </c>
      <c r="G747" t="s">
        <v>1354</v>
      </c>
      <c r="H747" t="s">
        <v>1525</v>
      </c>
      <c r="I747" t="s">
        <v>2058</v>
      </c>
      <c r="J747" t="s">
        <v>2192</v>
      </c>
      <c r="K747">
        <v>11226</v>
      </c>
      <c r="L747" t="s">
        <v>2224</v>
      </c>
      <c r="M747" t="s">
        <v>2226</v>
      </c>
      <c r="O747" t="s">
        <v>2537</v>
      </c>
      <c r="P747" t="s">
        <v>2560</v>
      </c>
      <c r="R747" t="s">
        <v>2569</v>
      </c>
      <c r="S747" t="s">
        <v>2224</v>
      </c>
      <c r="U747" t="s">
        <v>2578</v>
      </c>
      <c r="W747" t="s">
        <v>172</v>
      </c>
      <c r="X747">
        <v>0</v>
      </c>
      <c r="Y747" t="s">
        <v>2604</v>
      </c>
      <c r="AB747" t="s">
        <v>3308</v>
      </c>
      <c r="AE747">
        <v>36</v>
      </c>
      <c r="AH747">
        <v>0</v>
      </c>
      <c r="AI747">
        <v>3</v>
      </c>
      <c r="AJ747">
        <v>1</v>
      </c>
      <c r="AK747">
        <v>388.35</v>
      </c>
      <c r="AN747" t="s">
        <v>4126</v>
      </c>
      <c r="AO747">
        <v>100000</v>
      </c>
      <c r="AU747">
        <v>0.2</v>
      </c>
      <c r="AV747" t="s">
        <v>172</v>
      </c>
      <c r="AW747" t="s">
        <v>124</v>
      </c>
      <c r="AY747" t="s">
        <v>2226</v>
      </c>
      <c r="AZ747" t="s">
        <v>2226</v>
      </c>
    </row>
    <row r="748" spans="1:52">
      <c r="A748" s="1">
        <f>HYPERLINK("https://lsnyc.legalserver.org/matter/dynamic-profile/view/1904020","19-1904020")</f>
        <v>0</v>
      </c>
      <c r="B748" t="s">
        <v>141</v>
      </c>
      <c r="C748" t="s">
        <v>154</v>
      </c>
      <c r="D748" t="s">
        <v>267</v>
      </c>
      <c r="E748" t="s">
        <v>181</v>
      </c>
      <c r="F748" t="s">
        <v>809</v>
      </c>
      <c r="G748" t="s">
        <v>1355</v>
      </c>
      <c r="H748" t="s">
        <v>1926</v>
      </c>
      <c r="I748" t="s">
        <v>2081</v>
      </c>
      <c r="J748" t="s">
        <v>2192</v>
      </c>
      <c r="K748">
        <v>11238</v>
      </c>
      <c r="L748" t="s">
        <v>2224</v>
      </c>
      <c r="M748" t="s">
        <v>2226</v>
      </c>
      <c r="O748" t="s">
        <v>2544</v>
      </c>
      <c r="P748" t="s">
        <v>2556</v>
      </c>
      <c r="Q748" t="s">
        <v>2563</v>
      </c>
      <c r="R748" t="s">
        <v>2569</v>
      </c>
      <c r="S748" t="s">
        <v>2225</v>
      </c>
      <c r="U748" t="s">
        <v>2585</v>
      </c>
      <c r="W748" t="s">
        <v>181</v>
      </c>
      <c r="X748">
        <v>0</v>
      </c>
      <c r="Y748" t="s">
        <v>2604</v>
      </c>
      <c r="AA748" t="s">
        <v>2632</v>
      </c>
      <c r="AB748" t="s">
        <v>3309</v>
      </c>
      <c r="AE748">
        <v>8</v>
      </c>
      <c r="AH748">
        <v>0</v>
      </c>
      <c r="AI748">
        <v>1</v>
      </c>
      <c r="AJ748">
        <v>0</v>
      </c>
      <c r="AK748">
        <v>392.31</v>
      </c>
      <c r="AN748" t="s">
        <v>4126</v>
      </c>
      <c r="AO748">
        <v>49000</v>
      </c>
      <c r="AU748">
        <v>1.5</v>
      </c>
      <c r="AV748" t="s">
        <v>181</v>
      </c>
      <c r="AW748" t="s">
        <v>4249</v>
      </c>
      <c r="AX748" t="s">
        <v>4266</v>
      </c>
      <c r="AY748" t="s">
        <v>2226</v>
      </c>
      <c r="AZ748" t="s">
        <v>2225</v>
      </c>
    </row>
    <row r="749" spans="1:52">
      <c r="A749" s="1">
        <f>HYPERLINK("https://lsnyc.legalserver.org/matter/dynamic-profile/view/1904682","19-1904682")</f>
        <v>0</v>
      </c>
      <c r="B749" t="s">
        <v>128</v>
      </c>
      <c r="C749" t="s">
        <v>154</v>
      </c>
      <c r="D749" t="s">
        <v>192</v>
      </c>
      <c r="E749" t="s">
        <v>185</v>
      </c>
      <c r="F749" t="s">
        <v>810</v>
      </c>
      <c r="G749" t="s">
        <v>1241</v>
      </c>
      <c r="H749" t="s">
        <v>1927</v>
      </c>
      <c r="I749" t="s">
        <v>2177</v>
      </c>
      <c r="J749" t="s">
        <v>2196</v>
      </c>
      <c r="K749">
        <v>10035</v>
      </c>
      <c r="L749" t="s">
        <v>2224</v>
      </c>
      <c r="M749" t="s">
        <v>2226</v>
      </c>
      <c r="O749" t="s">
        <v>2238</v>
      </c>
      <c r="P749" t="s">
        <v>2556</v>
      </c>
      <c r="Q749" t="s">
        <v>2563</v>
      </c>
      <c r="R749" t="s">
        <v>2569</v>
      </c>
      <c r="S749" t="s">
        <v>2225</v>
      </c>
      <c r="U749" t="s">
        <v>2578</v>
      </c>
      <c r="V749" t="s">
        <v>2588</v>
      </c>
      <c r="W749" t="s">
        <v>192</v>
      </c>
      <c r="X749">
        <v>215</v>
      </c>
      <c r="Y749" t="s">
        <v>2607</v>
      </c>
      <c r="Z749" t="s">
        <v>2614</v>
      </c>
      <c r="AA749" t="s">
        <v>2626</v>
      </c>
      <c r="AB749" t="s">
        <v>3310</v>
      </c>
      <c r="AD749" t="s">
        <v>4052</v>
      </c>
      <c r="AE749">
        <v>100</v>
      </c>
      <c r="AF749" t="s">
        <v>4099</v>
      </c>
      <c r="AG749" t="s">
        <v>2255</v>
      </c>
      <c r="AH749">
        <v>6</v>
      </c>
      <c r="AI749">
        <v>1</v>
      </c>
      <c r="AJ749">
        <v>0</v>
      </c>
      <c r="AK749">
        <v>392.31</v>
      </c>
      <c r="AN749" t="s">
        <v>4126</v>
      </c>
      <c r="AO749">
        <v>49000</v>
      </c>
      <c r="AU749">
        <v>0.75</v>
      </c>
      <c r="AV749" t="s">
        <v>223</v>
      </c>
      <c r="AW749" t="s">
        <v>4237</v>
      </c>
      <c r="AX749" t="s">
        <v>4266</v>
      </c>
      <c r="AY749" t="s">
        <v>2226</v>
      </c>
      <c r="AZ749" t="s">
        <v>2225</v>
      </c>
    </row>
    <row r="750" spans="1:52">
      <c r="A750" s="1">
        <f>HYPERLINK("https://lsnyc.legalserver.org/matter/dynamic-profile/view/1906210","19-1906210")</f>
        <v>0</v>
      </c>
      <c r="B750" t="s">
        <v>93</v>
      </c>
      <c r="C750" t="s">
        <v>155</v>
      </c>
      <c r="D750" t="s">
        <v>164</v>
      </c>
      <c r="F750" t="s">
        <v>312</v>
      </c>
      <c r="G750" t="s">
        <v>1356</v>
      </c>
      <c r="H750" t="s">
        <v>1928</v>
      </c>
      <c r="I750" t="s">
        <v>2178</v>
      </c>
      <c r="J750" t="s">
        <v>2199</v>
      </c>
      <c r="K750">
        <v>11354</v>
      </c>
      <c r="L750" t="s">
        <v>2224</v>
      </c>
      <c r="M750" t="s">
        <v>2226</v>
      </c>
      <c r="N750" t="s">
        <v>2527</v>
      </c>
      <c r="O750" t="s">
        <v>2537</v>
      </c>
      <c r="P750" t="s">
        <v>2560</v>
      </c>
      <c r="R750" t="s">
        <v>2569</v>
      </c>
      <c r="S750" t="s">
        <v>2224</v>
      </c>
      <c r="U750" t="s">
        <v>2578</v>
      </c>
      <c r="V750" t="s">
        <v>2588</v>
      </c>
      <c r="W750" t="s">
        <v>164</v>
      </c>
      <c r="X750">
        <v>1808</v>
      </c>
      <c r="Y750" t="s">
        <v>2603</v>
      </c>
      <c r="Z750" t="s">
        <v>2616</v>
      </c>
      <c r="AB750" t="s">
        <v>3311</v>
      </c>
      <c r="AD750" t="s">
        <v>4053</v>
      </c>
      <c r="AE750">
        <v>91</v>
      </c>
      <c r="AF750" t="s">
        <v>4099</v>
      </c>
      <c r="AG750" t="s">
        <v>2255</v>
      </c>
      <c r="AH750">
        <v>5</v>
      </c>
      <c r="AI750">
        <v>1</v>
      </c>
      <c r="AJ750">
        <v>1</v>
      </c>
      <c r="AK750">
        <v>392.67</v>
      </c>
      <c r="AN750" t="s">
        <v>4126</v>
      </c>
      <c r="AO750">
        <v>66400</v>
      </c>
      <c r="AU750">
        <v>0.4</v>
      </c>
      <c r="AV750" t="s">
        <v>191</v>
      </c>
      <c r="AW750" t="s">
        <v>4224</v>
      </c>
      <c r="AX750" t="s">
        <v>4266</v>
      </c>
      <c r="AY750" t="s">
        <v>2224</v>
      </c>
      <c r="AZ750" t="s">
        <v>2224</v>
      </c>
    </row>
    <row r="751" spans="1:52">
      <c r="A751" s="1">
        <f>HYPERLINK("https://lsnyc.legalserver.org/matter/dynamic-profile/view/1912422","19-1912422")</f>
        <v>0</v>
      </c>
      <c r="B751" t="s">
        <v>53</v>
      </c>
      <c r="C751" t="s">
        <v>155</v>
      </c>
      <c r="D751" t="s">
        <v>230</v>
      </c>
      <c r="F751" t="s">
        <v>811</v>
      </c>
      <c r="G751" t="s">
        <v>1141</v>
      </c>
      <c r="H751" t="s">
        <v>1397</v>
      </c>
      <c r="I751" t="s">
        <v>2015</v>
      </c>
      <c r="J751" t="s">
        <v>2187</v>
      </c>
      <c r="K751">
        <v>11691</v>
      </c>
      <c r="L751" t="s">
        <v>2224</v>
      </c>
      <c r="M751" t="s">
        <v>2226</v>
      </c>
      <c r="O751" t="s">
        <v>2534</v>
      </c>
      <c r="P751" t="s">
        <v>2558</v>
      </c>
      <c r="R751" t="s">
        <v>2569</v>
      </c>
      <c r="S751" t="s">
        <v>2225</v>
      </c>
      <c r="U751" t="s">
        <v>2578</v>
      </c>
      <c r="W751" t="s">
        <v>230</v>
      </c>
      <c r="X751">
        <v>637</v>
      </c>
      <c r="Y751" t="s">
        <v>2603</v>
      </c>
      <c r="Z751" t="s">
        <v>2609</v>
      </c>
      <c r="AB751" t="s">
        <v>3312</v>
      </c>
      <c r="AD751" t="s">
        <v>4054</v>
      </c>
      <c r="AE751">
        <v>43</v>
      </c>
      <c r="AF751" t="s">
        <v>4099</v>
      </c>
      <c r="AG751" t="s">
        <v>2255</v>
      </c>
      <c r="AH751">
        <v>28</v>
      </c>
      <c r="AI751">
        <v>1</v>
      </c>
      <c r="AJ751">
        <v>0</v>
      </c>
      <c r="AK751">
        <v>400.32</v>
      </c>
      <c r="AN751" t="s">
        <v>4126</v>
      </c>
      <c r="AO751">
        <v>50000</v>
      </c>
      <c r="AU751">
        <v>0.4</v>
      </c>
      <c r="AV751" t="s">
        <v>230</v>
      </c>
      <c r="AW751" t="s">
        <v>4224</v>
      </c>
      <c r="AX751" t="s">
        <v>4266</v>
      </c>
      <c r="AY751" t="s">
        <v>2224</v>
      </c>
      <c r="AZ751" t="s">
        <v>2224</v>
      </c>
    </row>
    <row r="752" spans="1:52">
      <c r="A752" s="1">
        <f>HYPERLINK("https://lsnyc.legalserver.org/matter/dynamic-profile/view/1912412","19-1912412")</f>
        <v>0</v>
      </c>
      <c r="B752" t="s">
        <v>53</v>
      </c>
      <c r="C752" t="s">
        <v>155</v>
      </c>
      <c r="D752" t="s">
        <v>230</v>
      </c>
      <c r="F752" t="s">
        <v>811</v>
      </c>
      <c r="G752" t="s">
        <v>1141</v>
      </c>
      <c r="H752" t="s">
        <v>1397</v>
      </c>
      <c r="I752" t="s">
        <v>2015</v>
      </c>
      <c r="J752" t="s">
        <v>2187</v>
      </c>
      <c r="K752">
        <v>11691</v>
      </c>
      <c r="L752" t="s">
        <v>2224</v>
      </c>
      <c r="M752" t="s">
        <v>2226</v>
      </c>
      <c r="O752" t="s">
        <v>2535</v>
      </c>
      <c r="P752" t="s">
        <v>2557</v>
      </c>
      <c r="R752" t="s">
        <v>2569</v>
      </c>
      <c r="S752" t="s">
        <v>2224</v>
      </c>
      <c r="U752" t="s">
        <v>2578</v>
      </c>
      <c r="W752" t="s">
        <v>230</v>
      </c>
      <c r="X752">
        <v>637</v>
      </c>
      <c r="Y752" t="s">
        <v>2603</v>
      </c>
      <c r="Z752" t="s">
        <v>2609</v>
      </c>
      <c r="AB752" t="s">
        <v>3312</v>
      </c>
      <c r="AD752" t="s">
        <v>4054</v>
      </c>
      <c r="AE752">
        <v>43</v>
      </c>
      <c r="AF752" t="s">
        <v>4099</v>
      </c>
      <c r="AG752" t="s">
        <v>2255</v>
      </c>
      <c r="AH752">
        <v>28</v>
      </c>
      <c r="AI752">
        <v>1</v>
      </c>
      <c r="AJ752">
        <v>0</v>
      </c>
      <c r="AK752">
        <v>400.32</v>
      </c>
      <c r="AN752" t="s">
        <v>4126</v>
      </c>
      <c r="AO752">
        <v>50000</v>
      </c>
      <c r="AU752">
        <v>0.5</v>
      </c>
      <c r="AV752" t="s">
        <v>230</v>
      </c>
      <c r="AW752" t="s">
        <v>4224</v>
      </c>
      <c r="AX752" t="s">
        <v>4266</v>
      </c>
      <c r="AY752" t="s">
        <v>2224</v>
      </c>
      <c r="AZ752" t="s">
        <v>2224</v>
      </c>
    </row>
    <row r="753" spans="1:52">
      <c r="A753" s="1">
        <f>HYPERLINK("https://lsnyc.legalserver.org/matter/dynamic-profile/view/1907585","19-1907585")</f>
        <v>0</v>
      </c>
      <c r="B753" t="s">
        <v>66</v>
      </c>
      <c r="C753" t="s">
        <v>155</v>
      </c>
      <c r="D753" t="s">
        <v>190</v>
      </c>
      <c r="F753" t="s">
        <v>812</v>
      </c>
      <c r="G753" t="s">
        <v>1357</v>
      </c>
      <c r="H753" t="s">
        <v>1421</v>
      </c>
      <c r="I753" t="s">
        <v>1952</v>
      </c>
      <c r="J753" t="s">
        <v>2192</v>
      </c>
      <c r="K753">
        <v>11226</v>
      </c>
      <c r="L753" t="s">
        <v>2224</v>
      </c>
      <c r="M753" t="s">
        <v>2226</v>
      </c>
      <c r="O753" t="s">
        <v>2534</v>
      </c>
      <c r="P753" t="s">
        <v>2558</v>
      </c>
      <c r="R753" t="s">
        <v>2569</v>
      </c>
      <c r="S753" t="s">
        <v>2224</v>
      </c>
      <c r="U753" t="s">
        <v>2578</v>
      </c>
      <c r="W753" t="s">
        <v>190</v>
      </c>
      <c r="X753">
        <v>786.46</v>
      </c>
      <c r="Y753" t="s">
        <v>2604</v>
      </c>
      <c r="AB753" t="s">
        <v>3313</v>
      </c>
      <c r="AD753" t="s">
        <v>4055</v>
      </c>
      <c r="AE753">
        <v>16</v>
      </c>
      <c r="AF753" t="s">
        <v>4099</v>
      </c>
      <c r="AH753">
        <v>19</v>
      </c>
      <c r="AI753">
        <v>1</v>
      </c>
      <c r="AJ753">
        <v>0</v>
      </c>
      <c r="AK753">
        <v>400.32</v>
      </c>
      <c r="AN753" t="s">
        <v>4126</v>
      </c>
      <c r="AO753">
        <v>50000</v>
      </c>
      <c r="AU753">
        <v>17.4</v>
      </c>
      <c r="AV753" t="s">
        <v>218</v>
      </c>
      <c r="AW753" t="s">
        <v>153</v>
      </c>
      <c r="AX753" t="s">
        <v>4266</v>
      </c>
      <c r="AY753" t="s">
        <v>2224</v>
      </c>
      <c r="AZ753" t="s">
        <v>2224</v>
      </c>
    </row>
    <row r="754" spans="1:52">
      <c r="A754" s="1">
        <f>HYPERLINK("https://lsnyc.legalserver.org/matter/dynamic-profile/view/1911473","19-1911473")</f>
        <v>0</v>
      </c>
      <c r="B754" t="s">
        <v>66</v>
      </c>
      <c r="C754" t="s">
        <v>155</v>
      </c>
      <c r="D754" t="s">
        <v>179</v>
      </c>
      <c r="F754" t="s">
        <v>812</v>
      </c>
      <c r="G754" t="s">
        <v>1357</v>
      </c>
      <c r="H754" t="s">
        <v>1421</v>
      </c>
      <c r="I754" t="s">
        <v>1952</v>
      </c>
      <c r="J754" t="s">
        <v>2192</v>
      </c>
      <c r="K754">
        <v>11226</v>
      </c>
      <c r="L754" t="s">
        <v>2224</v>
      </c>
      <c r="M754" t="s">
        <v>2226</v>
      </c>
      <c r="P754" t="s">
        <v>2558</v>
      </c>
      <c r="R754" t="s">
        <v>2569</v>
      </c>
      <c r="S754" t="s">
        <v>2225</v>
      </c>
      <c r="U754" t="s">
        <v>2578</v>
      </c>
      <c r="W754" t="s">
        <v>245</v>
      </c>
      <c r="X754">
        <v>786.46</v>
      </c>
      <c r="Y754" t="s">
        <v>2604</v>
      </c>
      <c r="AB754" t="s">
        <v>3313</v>
      </c>
      <c r="AD754" t="s">
        <v>4055</v>
      </c>
      <c r="AE754">
        <v>16</v>
      </c>
      <c r="AH754">
        <v>19</v>
      </c>
      <c r="AI754">
        <v>1</v>
      </c>
      <c r="AJ754">
        <v>0</v>
      </c>
      <c r="AK754">
        <v>400.32</v>
      </c>
      <c r="AN754" t="s">
        <v>4126</v>
      </c>
      <c r="AO754">
        <v>50000</v>
      </c>
      <c r="AU754">
        <v>1</v>
      </c>
      <c r="AV754" t="s">
        <v>188</v>
      </c>
      <c r="AW754" t="s">
        <v>153</v>
      </c>
      <c r="AX754" t="s">
        <v>4266</v>
      </c>
      <c r="AY754" t="s">
        <v>2224</v>
      </c>
      <c r="AZ754" t="s">
        <v>2224</v>
      </c>
    </row>
    <row r="755" spans="1:52">
      <c r="A755" s="1">
        <f>HYPERLINK("https://lsnyc.legalserver.org/matter/dynamic-profile/view/1908715","19-1908715")</f>
        <v>0</v>
      </c>
      <c r="B755" t="s">
        <v>74</v>
      </c>
      <c r="C755" t="s">
        <v>154</v>
      </c>
      <c r="D755" t="s">
        <v>171</v>
      </c>
      <c r="E755" t="s">
        <v>235</v>
      </c>
      <c r="F755" t="s">
        <v>813</v>
      </c>
      <c r="G755" t="s">
        <v>1358</v>
      </c>
      <c r="H755" t="s">
        <v>1929</v>
      </c>
      <c r="I755">
        <v>33</v>
      </c>
      <c r="J755" t="s">
        <v>2196</v>
      </c>
      <c r="K755">
        <v>10040</v>
      </c>
      <c r="L755" t="s">
        <v>2224</v>
      </c>
      <c r="M755" t="s">
        <v>2226</v>
      </c>
      <c r="O755" t="s">
        <v>2238</v>
      </c>
      <c r="P755" t="s">
        <v>2556</v>
      </c>
      <c r="Q755" t="s">
        <v>2563</v>
      </c>
      <c r="R755" t="s">
        <v>2569</v>
      </c>
      <c r="S755" t="s">
        <v>2225</v>
      </c>
      <c r="U755" t="s">
        <v>2578</v>
      </c>
      <c r="W755" t="s">
        <v>171</v>
      </c>
      <c r="X755">
        <v>0</v>
      </c>
      <c r="Y755" t="s">
        <v>2607</v>
      </c>
      <c r="Z755" t="s">
        <v>2617</v>
      </c>
      <c r="AA755" t="s">
        <v>2626</v>
      </c>
      <c r="AB755" t="s">
        <v>3314</v>
      </c>
      <c r="AD755" t="s">
        <v>4056</v>
      </c>
      <c r="AE755">
        <v>0</v>
      </c>
      <c r="AF755" t="s">
        <v>4099</v>
      </c>
      <c r="AG755" t="s">
        <v>2255</v>
      </c>
      <c r="AH755">
        <v>23</v>
      </c>
      <c r="AI755">
        <v>1</v>
      </c>
      <c r="AJ755">
        <v>0</v>
      </c>
      <c r="AK755">
        <v>400.32</v>
      </c>
      <c r="AN755" t="s">
        <v>4126</v>
      </c>
      <c r="AO755">
        <v>50000</v>
      </c>
      <c r="AU755">
        <v>2.1</v>
      </c>
      <c r="AV755" t="s">
        <v>235</v>
      </c>
      <c r="AW755" t="s">
        <v>80</v>
      </c>
      <c r="AX755" t="s">
        <v>4266</v>
      </c>
      <c r="AY755" t="s">
        <v>2226</v>
      </c>
      <c r="AZ755" t="s">
        <v>2225</v>
      </c>
    </row>
    <row r="756" spans="1:52">
      <c r="A756" s="1">
        <f>HYPERLINK("https://lsnyc.legalserver.org/matter/dynamic-profile/view/1913352","19-1913352")</f>
        <v>0</v>
      </c>
      <c r="B756" t="s">
        <v>145</v>
      </c>
      <c r="C756" t="s">
        <v>155</v>
      </c>
      <c r="D756" t="s">
        <v>218</v>
      </c>
      <c r="F756" t="s">
        <v>814</v>
      </c>
      <c r="G756" t="s">
        <v>1359</v>
      </c>
      <c r="H756" t="s">
        <v>1930</v>
      </c>
      <c r="I756" t="s">
        <v>2177</v>
      </c>
      <c r="J756" t="s">
        <v>2196</v>
      </c>
      <c r="K756">
        <v>10035</v>
      </c>
      <c r="L756" t="s">
        <v>2224</v>
      </c>
      <c r="M756" t="s">
        <v>2226</v>
      </c>
      <c r="O756" t="s">
        <v>2545</v>
      </c>
      <c r="P756" t="s">
        <v>2557</v>
      </c>
      <c r="R756" t="s">
        <v>2569</v>
      </c>
      <c r="S756" t="s">
        <v>2225</v>
      </c>
      <c r="U756" t="s">
        <v>2584</v>
      </c>
      <c r="V756" t="s">
        <v>2588</v>
      </c>
      <c r="W756" t="s">
        <v>280</v>
      </c>
      <c r="X756">
        <v>1390</v>
      </c>
      <c r="Y756" t="s">
        <v>2607</v>
      </c>
      <c r="AB756" t="s">
        <v>3315</v>
      </c>
      <c r="AD756" t="s">
        <v>4057</v>
      </c>
      <c r="AE756">
        <v>0</v>
      </c>
      <c r="AF756" t="s">
        <v>4099</v>
      </c>
      <c r="AH756">
        <v>19</v>
      </c>
      <c r="AI756">
        <v>1</v>
      </c>
      <c r="AJ756">
        <v>0</v>
      </c>
      <c r="AK756">
        <v>400.32</v>
      </c>
      <c r="AN756" t="s">
        <v>4126</v>
      </c>
      <c r="AO756">
        <v>50000</v>
      </c>
      <c r="AU756">
        <v>0</v>
      </c>
      <c r="AW756" t="s">
        <v>4237</v>
      </c>
      <c r="AX756" t="s">
        <v>4266</v>
      </c>
      <c r="AY756" t="s">
        <v>2226</v>
      </c>
      <c r="AZ756" t="s">
        <v>2226</v>
      </c>
    </row>
    <row r="757" spans="1:52">
      <c r="A757" s="1">
        <f>HYPERLINK("https://lsnyc.legalserver.org/matter/dynamic-profile/view/1911389","19-1911389")</f>
        <v>0</v>
      </c>
      <c r="B757" t="s">
        <v>74</v>
      </c>
      <c r="C757" t="s">
        <v>155</v>
      </c>
      <c r="D757" t="s">
        <v>245</v>
      </c>
      <c r="F757" t="s">
        <v>815</v>
      </c>
      <c r="G757" t="s">
        <v>1360</v>
      </c>
      <c r="H757" t="s">
        <v>1574</v>
      </c>
      <c r="I757" t="s">
        <v>2027</v>
      </c>
      <c r="J757" t="s">
        <v>2196</v>
      </c>
      <c r="K757">
        <v>10040</v>
      </c>
      <c r="L757" t="s">
        <v>2224</v>
      </c>
      <c r="M757" t="s">
        <v>2226</v>
      </c>
      <c r="O757" t="s">
        <v>2534</v>
      </c>
      <c r="P757" t="s">
        <v>2558</v>
      </c>
      <c r="R757" t="s">
        <v>2569</v>
      </c>
      <c r="S757" t="s">
        <v>2224</v>
      </c>
      <c r="U757" t="s">
        <v>2578</v>
      </c>
      <c r="W757" t="s">
        <v>245</v>
      </c>
      <c r="X757">
        <v>1477.84</v>
      </c>
      <c r="Y757" t="s">
        <v>2607</v>
      </c>
      <c r="Z757" t="s">
        <v>2617</v>
      </c>
      <c r="AB757" t="s">
        <v>3316</v>
      </c>
      <c r="AE757">
        <v>77</v>
      </c>
      <c r="AF757" t="s">
        <v>4099</v>
      </c>
      <c r="AG757" t="s">
        <v>2255</v>
      </c>
      <c r="AH757">
        <v>4</v>
      </c>
      <c r="AI757">
        <v>2</v>
      </c>
      <c r="AJ757">
        <v>0</v>
      </c>
      <c r="AK757">
        <v>405.61</v>
      </c>
      <c r="AN757" t="s">
        <v>4126</v>
      </c>
      <c r="AO757">
        <v>68588</v>
      </c>
      <c r="AU757">
        <v>0.1</v>
      </c>
      <c r="AV757" t="s">
        <v>157</v>
      </c>
      <c r="AW757" t="s">
        <v>80</v>
      </c>
      <c r="AX757" t="s">
        <v>4266</v>
      </c>
      <c r="AY757" t="s">
        <v>2226</v>
      </c>
      <c r="AZ757" t="s">
        <v>2226</v>
      </c>
    </row>
    <row r="758" spans="1:52">
      <c r="A758" s="1">
        <f>HYPERLINK("https://lsnyc.legalserver.org/matter/dynamic-profile/view/1908218","19-1908218")</f>
        <v>0</v>
      </c>
      <c r="B758" t="s">
        <v>89</v>
      </c>
      <c r="C758" t="s">
        <v>155</v>
      </c>
      <c r="D758" t="s">
        <v>289</v>
      </c>
      <c r="F758" t="s">
        <v>816</v>
      </c>
      <c r="G758" t="s">
        <v>1361</v>
      </c>
      <c r="H758" t="s">
        <v>1642</v>
      </c>
      <c r="I758" t="s">
        <v>2040</v>
      </c>
      <c r="J758" t="s">
        <v>2204</v>
      </c>
      <c r="K758">
        <v>11377</v>
      </c>
      <c r="L758" t="s">
        <v>2224</v>
      </c>
      <c r="M758" t="s">
        <v>2226</v>
      </c>
      <c r="N758" t="s">
        <v>2356</v>
      </c>
      <c r="O758" t="s">
        <v>2537</v>
      </c>
      <c r="P758" t="s">
        <v>2560</v>
      </c>
      <c r="R758" t="s">
        <v>2569</v>
      </c>
      <c r="S758" t="s">
        <v>2224</v>
      </c>
      <c r="U758" t="s">
        <v>2578</v>
      </c>
      <c r="W758" t="s">
        <v>289</v>
      </c>
      <c r="X758">
        <v>1277.9</v>
      </c>
      <c r="Y758" t="s">
        <v>2603</v>
      </c>
      <c r="Z758" t="s">
        <v>2614</v>
      </c>
      <c r="AB758" t="s">
        <v>3317</v>
      </c>
      <c r="AD758" t="s">
        <v>4058</v>
      </c>
      <c r="AE758">
        <v>67</v>
      </c>
      <c r="AF758" t="s">
        <v>4099</v>
      </c>
      <c r="AG758" t="s">
        <v>2255</v>
      </c>
      <c r="AH758">
        <v>0</v>
      </c>
      <c r="AI758">
        <v>4</v>
      </c>
      <c r="AJ758">
        <v>0</v>
      </c>
      <c r="AK758">
        <v>411.65</v>
      </c>
      <c r="AN758" t="s">
        <v>4126</v>
      </c>
      <c r="AO758">
        <v>106000</v>
      </c>
      <c r="AU758">
        <v>0.45</v>
      </c>
      <c r="AV758" t="s">
        <v>167</v>
      </c>
      <c r="AW758" t="s">
        <v>4224</v>
      </c>
      <c r="AX758" t="s">
        <v>4266</v>
      </c>
      <c r="AY758" t="s">
        <v>2224</v>
      </c>
      <c r="AZ758" t="s">
        <v>2224</v>
      </c>
    </row>
    <row r="759" spans="1:52">
      <c r="A759" s="1">
        <f>HYPERLINK("https://lsnyc.legalserver.org/matter/dynamic-profile/view/1906393","19-1906393")</f>
        <v>0</v>
      </c>
      <c r="B759" t="s">
        <v>86</v>
      </c>
      <c r="C759" t="s">
        <v>155</v>
      </c>
      <c r="D759" t="s">
        <v>191</v>
      </c>
      <c r="F759" t="s">
        <v>817</v>
      </c>
      <c r="G759" t="s">
        <v>1362</v>
      </c>
      <c r="H759" t="s">
        <v>1785</v>
      </c>
      <c r="I759">
        <v>36</v>
      </c>
      <c r="J759" t="s">
        <v>2196</v>
      </c>
      <c r="K759">
        <v>10032</v>
      </c>
      <c r="L759" t="s">
        <v>2224</v>
      </c>
      <c r="M759" t="s">
        <v>2226</v>
      </c>
      <c r="O759" t="s">
        <v>2534</v>
      </c>
      <c r="P759" t="s">
        <v>2557</v>
      </c>
      <c r="R759" t="s">
        <v>2569</v>
      </c>
      <c r="S759" t="s">
        <v>2224</v>
      </c>
      <c r="U759" t="s">
        <v>2578</v>
      </c>
      <c r="W759" t="s">
        <v>191</v>
      </c>
      <c r="X759">
        <v>0</v>
      </c>
      <c r="Y759" t="s">
        <v>2607</v>
      </c>
      <c r="Z759" t="s">
        <v>2617</v>
      </c>
      <c r="AB759" t="s">
        <v>3318</v>
      </c>
      <c r="AD759" t="s">
        <v>4059</v>
      </c>
      <c r="AE759">
        <v>46</v>
      </c>
      <c r="AF759" t="s">
        <v>4099</v>
      </c>
      <c r="AG759" t="s">
        <v>2255</v>
      </c>
      <c r="AH759">
        <v>4</v>
      </c>
      <c r="AI759">
        <v>1</v>
      </c>
      <c r="AJ759">
        <v>0</v>
      </c>
      <c r="AK759">
        <v>412.33</v>
      </c>
      <c r="AN759" t="s">
        <v>4126</v>
      </c>
      <c r="AO759">
        <v>51500</v>
      </c>
      <c r="AU759">
        <v>0</v>
      </c>
      <c r="AW759" t="s">
        <v>80</v>
      </c>
      <c r="AX759" t="s">
        <v>4266</v>
      </c>
      <c r="AY759" t="s">
        <v>2226</v>
      </c>
      <c r="AZ759" t="s">
        <v>2226</v>
      </c>
    </row>
    <row r="760" spans="1:52">
      <c r="A760" s="1">
        <f>HYPERLINK("https://lsnyc.legalserver.org/matter/dynamic-profile/view/1913595","19-1913595")</f>
        <v>0</v>
      </c>
      <c r="B760" t="s">
        <v>82</v>
      </c>
      <c r="C760" t="s">
        <v>155</v>
      </c>
      <c r="D760" t="s">
        <v>275</v>
      </c>
      <c r="F760" t="s">
        <v>818</v>
      </c>
      <c r="G760" t="s">
        <v>1363</v>
      </c>
      <c r="H760" t="s">
        <v>1512</v>
      </c>
      <c r="I760" t="s">
        <v>2088</v>
      </c>
      <c r="J760" t="s">
        <v>2192</v>
      </c>
      <c r="K760">
        <v>11238</v>
      </c>
      <c r="L760" t="s">
        <v>2224</v>
      </c>
      <c r="M760" t="s">
        <v>2226</v>
      </c>
      <c r="N760" t="s">
        <v>2238</v>
      </c>
      <c r="O760" t="s">
        <v>2539</v>
      </c>
      <c r="P760" t="s">
        <v>2561</v>
      </c>
      <c r="R760" t="s">
        <v>2569</v>
      </c>
      <c r="S760" t="s">
        <v>2224</v>
      </c>
      <c r="U760" t="s">
        <v>2578</v>
      </c>
      <c r="V760" t="s">
        <v>2588</v>
      </c>
      <c r="W760" t="s">
        <v>280</v>
      </c>
      <c r="X760">
        <v>1048.29</v>
      </c>
      <c r="Y760" t="s">
        <v>2604</v>
      </c>
      <c r="Z760" t="s">
        <v>2611</v>
      </c>
      <c r="AB760" t="s">
        <v>3319</v>
      </c>
      <c r="AC760" t="s">
        <v>2255</v>
      </c>
      <c r="AD760" t="s">
        <v>4060</v>
      </c>
      <c r="AE760">
        <v>16</v>
      </c>
      <c r="AF760" t="s">
        <v>4099</v>
      </c>
      <c r="AG760" t="s">
        <v>2255</v>
      </c>
      <c r="AH760">
        <v>0</v>
      </c>
      <c r="AI760">
        <v>2</v>
      </c>
      <c r="AJ760">
        <v>0</v>
      </c>
      <c r="AK760">
        <v>413.96</v>
      </c>
      <c r="AN760" t="s">
        <v>4126</v>
      </c>
      <c r="AO760">
        <v>70000</v>
      </c>
      <c r="AP760" t="s">
        <v>4167</v>
      </c>
      <c r="AU760">
        <v>0</v>
      </c>
      <c r="AW760" t="s">
        <v>127</v>
      </c>
      <c r="AX760" t="s">
        <v>4266</v>
      </c>
      <c r="AY760" t="s">
        <v>2226</v>
      </c>
      <c r="AZ760" t="s">
        <v>2226</v>
      </c>
    </row>
    <row r="761" spans="1:52">
      <c r="A761" s="1">
        <f>HYPERLINK("https://lsnyc.legalserver.org/matter/dynamic-profile/view/1911874","19-1911874")</f>
        <v>0</v>
      </c>
      <c r="B761" t="s">
        <v>82</v>
      </c>
      <c r="C761" t="s">
        <v>155</v>
      </c>
      <c r="D761" t="s">
        <v>165</v>
      </c>
      <c r="F761" t="s">
        <v>818</v>
      </c>
      <c r="G761" t="s">
        <v>1363</v>
      </c>
      <c r="H761" t="s">
        <v>1512</v>
      </c>
      <c r="I761" t="s">
        <v>2088</v>
      </c>
      <c r="J761" t="s">
        <v>2192</v>
      </c>
      <c r="K761">
        <v>11238</v>
      </c>
      <c r="L761" t="s">
        <v>2224</v>
      </c>
      <c r="M761" t="s">
        <v>2226</v>
      </c>
      <c r="N761" t="s">
        <v>2528</v>
      </c>
      <c r="O761" t="s">
        <v>2535</v>
      </c>
      <c r="P761" t="s">
        <v>2558</v>
      </c>
      <c r="R761" t="s">
        <v>2569</v>
      </c>
      <c r="S761" t="s">
        <v>2225</v>
      </c>
      <c r="U761" t="s">
        <v>2578</v>
      </c>
      <c r="V761" t="s">
        <v>2588</v>
      </c>
      <c r="W761" t="s">
        <v>174</v>
      </c>
      <c r="X761">
        <v>1048.29</v>
      </c>
      <c r="Y761" t="s">
        <v>2604</v>
      </c>
      <c r="AB761" t="s">
        <v>3319</v>
      </c>
      <c r="AC761" t="s">
        <v>2255</v>
      </c>
      <c r="AD761" t="s">
        <v>4060</v>
      </c>
      <c r="AE761">
        <v>16</v>
      </c>
      <c r="AF761" t="s">
        <v>4099</v>
      </c>
      <c r="AG761" t="s">
        <v>2255</v>
      </c>
      <c r="AH761">
        <v>0</v>
      </c>
      <c r="AI761">
        <v>2</v>
      </c>
      <c r="AJ761">
        <v>0</v>
      </c>
      <c r="AK761">
        <v>413.96</v>
      </c>
      <c r="AM761" t="s">
        <v>4125</v>
      </c>
      <c r="AN761" t="s">
        <v>4126</v>
      </c>
      <c r="AO761">
        <v>70000</v>
      </c>
      <c r="AP761" t="s">
        <v>4168</v>
      </c>
      <c r="AU761">
        <v>0.8</v>
      </c>
      <c r="AV761" t="s">
        <v>280</v>
      </c>
      <c r="AW761" t="s">
        <v>4226</v>
      </c>
      <c r="AX761" t="s">
        <v>4266</v>
      </c>
      <c r="AY761" t="s">
        <v>2224</v>
      </c>
      <c r="AZ761" t="s">
        <v>2224</v>
      </c>
    </row>
    <row r="762" spans="1:52">
      <c r="A762" s="1">
        <f>HYPERLINK("https://lsnyc.legalserver.org/matter/dynamic-profile/view/1909127","19-1909127")</f>
        <v>0</v>
      </c>
      <c r="B762" t="s">
        <v>87</v>
      </c>
      <c r="C762" t="s">
        <v>155</v>
      </c>
      <c r="D762" t="s">
        <v>186</v>
      </c>
      <c r="F762" t="s">
        <v>580</v>
      </c>
      <c r="G762" t="s">
        <v>1364</v>
      </c>
      <c r="H762" t="s">
        <v>1520</v>
      </c>
      <c r="I762" t="s">
        <v>2078</v>
      </c>
      <c r="J762" t="s">
        <v>2196</v>
      </c>
      <c r="K762">
        <v>10035</v>
      </c>
      <c r="L762" t="s">
        <v>2224</v>
      </c>
      <c r="M762" t="s">
        <v>2226</v>
      </c>
      <c r="O762" t="s">
        <v>2533</v>
      </c>
      <c r="P762" t="s">
        <v>2561</v>
      </c>
      <c r="R762" t="s">
        <v>2569</v>
      </c>
      <c r="S762" t="s">
        <v>2224</v>
      </c>
      <c r="U762" t="s">
        <v>2578</v>
      </c>
      <c r="V762" t="s">
        <v>2588</v>
      </c>
      <c r="W762" t="s">
        <v>237</v>
      </c>
      <c r="X762">
        <v>2150</v>
      </c>
      <c r="Y762" t="s">
        <v>2607</v>
      </c>
      <c r="Z762" t="s">
        <v>2621</v>
      </c>
      <c r="AB762" t="s">
        <v>3320</v>
      </c>
      <c r="AD762" t="s">
        <v>4061</v>
      </c>
      <c r="AE762">
        <v>72</v>
      </c>
      <c r="AF762" t="s">
        <v>4099</v>
      </c>
      <c r="AG762" t="s">
        <v>2255</v>
      </c>
      <c r="AH762">
        <v>1</v>
      </c>
      <c r="AI762">
        <v>2</v>
      </c>
      <c r="AJ762">
        <v>0</v>
      </c>
      <c r="AK762">
        <v>413.96</v>
      </c>
      <c r="AN762" t="s">
        <v>4126</v>
      </c>
      <c r="AO762">
        <v>70000</v>
      </c>
      <c r="AU762">
        <v>2.5</v>
      </c>
      <c r="AV762" t="s">
        <v>179</v>
      </c>
      <c r="AW762" t="s">
        <v>4237</v>
      </c>
      <c r="AX762" t="s">
        <v>4266</v>
      </c>
      <c r="AY762" t="s">
        <v>2224</v>
      </c>
      <c r="AZ762" t="s">
        <v>2224</v>
      </c>
    </row>
    <row r="763" spans="1:52">
      <c r="A763" s="1">
        <f>HYPERLINK("https://lsnyc.legalserver.org/matter/dynamic-profile/view/1904723","19-1904723")</f>
        <v>0</v>
      </c>
      <c r="B763" t="s">
        <v>90</v>
      </c>
      <c r="C763" t="s">
        <v>155</v>
      </c>
      <c r="D763" t="s">
        <v>192</v>
      </c>
      <c r="F763" t="s">
        <v>560</v>
      </c>
      <c r="G763" t="s">
        <v>947</v>
      </c>
      <c r="H763" t="s">
        <v>1803</v>
      </c>
      <c r="I763" t="s">
        <v>2179</v>
      </c>
      <c r="J763" t="s">
        <v>2196</v>
      </c>
      <c r="K763">
        <v>10034</v>
      </c>
      <c r="L763" t="s">
        <v>2224</v>
      </c>
      <c r="M763" t="s">
        <v>2226</v>
      </c>
      <c r="O763" t="s">
        <v>2534</v>
      </c>
      <c r="P763" t="s">
        <v>2558</v>
      </c>
      <c r="R763" t="s">
        <v>2569</v>
      </c>
      <c r="S763" t="s">
        <v>2224</v>
      </c>
      <c r="U763" t="s">
        <v>2578</v>
      </c>
      <c r="W763" t="s">
        <v>192</v>
      </c>
      <c r="X763">
        <v>1625</v>
      </c>
      <c r="Y763" t="s">
        <v>2607</v>
      </c>
      <c r="Z763" t="s">
        <v>2617</v>
      </c>
      <c r="AB763" t="s">
        <v>3321</v>
      </c>
      <c r="AD763" t="s">
        <v>4062</v>
      </c>
      <c r="AE763">
        <v>43</v>
      </c>
      <c r="AF763" t="s">
        <v>4099</v>
      </c>
      <c r="AG763" t="s">
        <v>2255</v>
      </c>
      <c r="AH763">
        <v>2</v>
      </c>
      <c r="AI763">
        <v>2</v>
      </c>
      <c r="AJ763">
        <v>0</v>
      </c>
      <c r="AK763">
        <v>413.96</v>
      </c>
      <c r="AN763" t="s">
        <v>4126</v>
      </c>
      <c r="AO763">
        <v>70000</v>
      </c>
      <c r="AU763">
        <v>0.2</v>
      </c>
      <c r="AV763" t="s">
        <v>176</v>
      </c>
      <c r="AW763" t="s">
        <v>80</v>
      </c>
      <c r="AX763" t="s">
        <v>4266</v>
      </c>
      <c r="AY763" t="s">
        <v>2226</v>
      </c>
      <c r="AZ763" t="s">
        <v>2226</v>
      </c>
    </row>
    <row r="764" spans="1:52">
      <c r="A764" s="1">
        <f>HYPERLINK("https://lsnyc.legalserver.org/matter/dynamic-profile/view/1910836","19-1910836")</f>
        <v>0</v>
      </c>
      <c r="B764" t="s">
        <v>76</v>
      </c>
      <c r="C764" t="s">
        <v>154</v>
      </c>
      <c r="D764" t="s">
        <v>214</v>
      </c>
      <c r="E764" t="s">
        <v>197</v>
      </c>
      <c r="F764" t="s">
        <v>819</v>
      </c>
      <c r="G764" t="s">
        <v>1067</v>
      </c>
      <c r="H764" t="s">
        <v>1931</v>
      </c>
      <c r="I764" t="s">
        <v>2070</v>
      </c>
      <c r="J764" t="s">
        <v>2196</v>
      </c>
      <c r="K764">
        <v>10033</v>
      </c>
      <c r="L764" t="s">
        <v>2224</v>
      </c>
      <c r="M764" t="s">
        <v>2226</v>
      </c>
      <c r="P764" t="s">
        <v>2556</v>
      </c>
      <c r="Q764" t="s">
        <v>2563</v>
      </c>
      <c r="R764" t="s">
        <v>2569</v>
      </c>
      <c r="S764" t="s">
        <v>2225</v>
      </c>
      <c r="U764" t="s">
        <v>2578</v>
      </c>
      <c r="W764" t="s">
        <v>214</v>
      </c>
      <c r="X764">
        <v>1995.04</v>
      </c>
      <c r="Y764" t="s">
        <v>2607</v>
      </c>
      <c r="Z764" t="s">
        <v>2617</v>
      </c>
      <c r="AA764" t="s">
        <v>2626</v>
      </c>
      <c r="AB764" t="s">
        <v>3322</v>
      </c>
      <c r="AD764" t="s">
        <v>4063</v>
      </c>
      <c r="AE764">
        <v>29</v>
      </c>
      <c r="AF764" t="s">
        <v>4099</v>
      </c>
      <c r="AG764" t="s">
        <v>2255</v>
      </c>
      <c r="AH764">
        <v>4</v>
      </c>
      <c r="AI764">
        <v>2</v>
      </c>
      <c r="AJ764">
        <v>0</v>
      </c>
      <c r="AK764">
        <v>413.96</v>
      </c>
      <c r="AN764" t="s">
        <v>4126</v>
      </c>
      <c r="AO764">
        <v>70000</v>
      </c>
      <c r="AU764">
        <v>0.23</v>
      </c>
      <c r="AV764" t="s">
        <v>174</v>
      </c>
      <c r="AW764" t="s">
        <v>80</v>
      </c>
      <c r="AX764" t="s">
        <v>4266</v>
      </c>
      <c r="AY764" t="s">
        <v>2226</v>
      </c>
      <c r="AZ764" t="s">
        <v>2225</v>
      </c>
    </row>
    <row r="765" spans="1:52">
      <c r="A765" s="1">
        <f>HYPERLINK("https://lsnyc.legalserver.org/matter/dynamic-profile/view/1912391","19-1912391")</f>
        <v>0</v>
      </c>
      <c r="B765" t="s">
        <v>87</v>
      </c>
      <c r="C765" t="s">
        <v>155</v>
      </c>
      <c r="D765" t="s">
        <v>230</v>
      </c>
      <c r="F765" t="s">
        <v>580</v>
      </c>
      <c r="G765" t="s">
        <v>1365</v>
      </c>
      <c r="H765" t="s">
        <v>1932</v>
      </c>
      <c r="J765" t="s">
        <v>2196</v>
      </c>
      <c r="K765">
        <v>10035</v>
      </c>
      <c r="L765" t="s">
        <v>2224</v>
      </c>
      <c r="M765" t="s">
        <v>2226</v>
      </c>
      <c r="O765" t="s">
        <v>2534</v>
      </c>
      <c r="P765" t="s">
        <v>2556</v>
      </c>
      <c r="R765" t="s">
        <v>2569</v>
      </c>
      <c r="S765" t="s">
        <v>2225</v>
      </c>
      <c r="U765" t="s">
        <v>2578</v>
      </c>
      <c r="V765" t="s">
        <v>2588</v>
      </c>
      <c r="W765" t="s">
        <v>261</v>
      </c>
      <c r="X765">
        <v>1428</v>
      </c>
      <c r="Y765" t="s">
        <v>2607</v>
      </c>
      <c r="Z765" t="s">
        <v>2609</v>
      </c>
      <c r="AB765" t="s">
        <v>3323</v>
      </c>
      <c r="AD765" t="s">
        <v>4064</v>
      </c>
      <c r="AE765">
        <v>19</v>
      </c>
      <c r="AF765" t="s">
        <v>4099</v>
      </c>
      <c r="AG765" t="s">
        <v>2255</v>
      </c>
      <c r="AH765">
        <v>4</v>
      </c>
      <c r="AI765">
        <v>1</v>
      </c>
      <c r="AJ765">
        <v>0</v>
      </c>
      <c r="AK765">
        <v>416.33</v>
      </c>
      <c r="AN765" t="s">
        <v>4126</v>
      </c>
      <c r="AO765">
        <v>52000</v>
      </c>
      <c r="AU765">
        <v>0</v>
      </c>
      <c r="AW765" t="s">
        <v>4237</v>
      </c>
      <c r="AX765" t="s">
        <v>4266</v>
      </c>
      <c r="AY765" t="s">
        <v>2226</v>
      </c>
      <c r="AZ765" t="s">
        <v>2226</v>
      </c>
    </row>
    <row r="766" spans="1:52">
      <c r="A766" s="1">
        <f>HYPERLINK("https://lsnyc.legalserver.org/matter/dynamic-profile/view/1908368","19-1908368")</f>
        <v>0</v>
      </c>
      <c r="B766" t="s">
        <v>87</v>
      </c>
      <c r="C766" t="s">
        <v>155</v>
      </c>
      <c r="D766" t="s">
        <v>234</v>
      </c>
      <c r="F766" t="s">
        <v>328</v>
      </c>
      <c r="G766" t="s">
        <v>966</v>
      </c>
      <c r="H766" t="s">
        <v>1520</v>
      </c>
      <c r="I766" t="s">
        <v>2068</v>
      </c>
      <c r="J766" t="s">
        <v>2196</v>
      </c>
      <c r="K766">
        <v>10035</v>
      </c>
      <c r="L766" t="s">
        <v>2224</v>
      </c>
      <c r="M766" t="s">
        <v>2226</v>
      </c>
      <c r="O766" t="s">
        <v>2238</v>
      </c>
      <c r="P766" t="s">
        <v>2561</v>
      </c>
      <c r="R766" t="s">
        <v>2569</v>
      </c>
      <c r="S766" t="s">
        <v>2224</v>
      </c>
      <c r="U766" t="s">
        <v>2578</v>
      </c>
      <c r="V766" t="s">
        <v>2588</v>
      </c>
      <c r="W766" t="s">
        <v>184</v>
      </c>
      <c r="X766">
        <v>72</v>
      </c>
      <c r="Y766" t="s">
        <v>2607</v>
      </c>
      <c r="Z766" t="s">
        <v>2609</v>
      </c>
      <c r="AB766" t="s">
        <v>3324</v>
      </c>
      <c r="AD766" t="s">
        <v>4065</v>
      </c>
      <c r="AE766">
        <v>72</v>
      </c>
      <c r="AF766" t="s">
        <v>4099</v>
      </c>
      <c r="AG766" t="s">
        <v>4112</v>
      </c>
      <c r="AH766">
        <v>20</v>
      </c>
      <c r="AI766">
        <v>1</v>
      </c>
      <c r="AJ766">
        <v>0</v>
      </c>
      <c r="AK766">
        <v>416.33</v>
      </c>
      <c r="AN766" t="s">
        <v>4126</v>
      </c>
      <c r="AO766">
        <v>52000</v>
      </c>
      <c r="AU766">
        <v>0</v>
      </c>
      <c r="AW766" t="s">
        <v>4237</v>
      </c>
      <c r="AX766" t="s">
        <v>4266</v>
      </c>
      <c r="AY766" t="s">
        <v>2224</v>
      </c>
      <c r="AZ766" t="s">
        <v>2224</v>
      </c>
    </row>
    <row r="767" spans="1:52">
      <c r="A767" s="1">
        <f>HYPERLINK("https://lsnyc.legalserver.org/matter/dynamic-profile/view/1905257","19-1905257")</f>
        <v>0</v>
      </c>
      <c r="B767" t="s">
        <v>88</v>
      </c>
      <c r="C767" t="s">
        <v>155</v>
      </c>
      <c r="D767" t="s">
        <v>198</v>
      </c>
      <c r="F767" t="s">
        <v>481</v>
      </c>
      <c r="G767" t="s">
        <v>1366</v>
      </c>
      <c r="H767" t="s">
        <v>1461</v>
      </c>
      <c r="I767" t="s">
        <v>1957</v>
      </c>
      <c r="J767" t="s">
        <v>2196</v>
      </c>
      <c r="K767">
        <v>10024</v>
      </c>
      <c r="L767" t="s">
        <v>2224</v>
      </c>
      <c r="M767" t="s">
        <v>2226</v>
      </c>
      <c r="N767" t="s">
        <v>2445</v>
      </c>
      <c r="O767" t="s">
        <v>2537</v>
      </c>
      <c r="P767" t="s">
        <v>2560</v>
      </c>
      <c r="R767" t="s">
        <v>2569</v>
      </c>
      <c r="S767" t="s">
        <v>2224</v>
      </c>
      <c r="U767" t="s">
        <v>2578</v>
      </c>
      <c r="V767" t="s">
        <v>2588</v>
      </c>
      <c r="W767" t="s">
        <v>198</v>
      </c>
      <c r="X767">
        <v>1009</v>
      </c>
      <c r="Y767" t="s">
        <v>2607</v>
      </c>
      <c r="Z767" t="s">
        <v>2615</v>
      </c>
      <c r="AB767" t="s">
        <v>3325</v>
      </c>
      <c r="AD767" t="s">
        <v>4066</v>
      </c>
      <c r="AE767">
        <v>10</v>
      </c>
      <c r="AF767" t="s">
        <v>4099</v>
      </c>
      <c r="AG767" t="s">
        <v>2255</v>
      </c>
      <c r="AH767">
        <v>42</v>
      </c>
      <c r="AI767">
        <v>1</v>
      </c>
      <c r="AJ767">
        <v>0</v>
      </c>
      <c r="AK767">
        <v>424.34</v>
      </c>
      <c r="AN767" t="s">
        <v>4126</v>
      </c>
      <c r="AO767">
        <v>53000</v>
      </c>
      <c r="AU767">
        <v>0</v>
      </c>
      <c r="AW767" t="s">
        <v>4237</v>
      </c>
      <c r="AX767" t="s">
        <v>4266</v>
      </c>
      <c r="AY767" t="s">
        <v>2224</v>
      </c>
      <c r="AZ767" t="s">
        <v>2224</v>
      </c>
    </row>
    <row r="768" spans="1:52">
      <c r="A768" s="1">
        <f>HYPERLINK("https://lsnyc.legalserver.org/matter/dynamic-profile/view/1913275","19-1913275")</f>
        <v>0</v>
      </c>
      <c r="B768" t="s">
        <v>77</v>
      </c>
      <c r="C768" t="s">
        <v>155</v>
      </c>
      <c r="D768" t="s">
        <v>280</v>
      </c>
      <c r="F768" t="s">
        <v>820</v>
      </c>
      <c r="G768" t="s">
        <v>1367</v>
      </c>
      <c r="H768" t="s">
        <v>1933</v>
      </c>
      <c r="I768">
        <v>204</v>
      </c>
      <c r="J768" t="s">
        <v>2196</v>
      </c>
      <c r="K768">
        <v>10019</v>
      </c>
      <c r="L768" t="s">
        <v>2224</v>
      </c>
      <c r="M768" t="s">
        <v>2226</v>
      </c>
      <c r="O768" t="s">
        <v>2238</v>
      </c>
      <c r="P768" t="s">
        <v>2559</v>
      </c>
      <c r="R768" t="s">
        <v>2570</v>
      </c>
      <c r="S768" t="s">
        <v>2225</v>
      </c>
      <c r="U768" t="s">
        <v>2578</v>
      </c>
      <c r="V768" t="s">
        <v>2588</v>
      </c>
      <c r="W768" t="s">
        <v>280</v>
      </c>
      <c r="X768">
        <v>3300</v>
      </c>
      <c r="Y768" t="s">
        <v>2607</v>
      </c>
      <c r="Z768" t="s">
        <v>2610</v>
      </c>
      <c r="AB768" t="s">
        <v>3326</v>
      </c>
      <c r="AD768" t="s">
        <v>4067</v>
      </c>
      <c r="AE768">
        <v>0</v>
      </c>
      <c r="AF768" t="s">
        <v>4098</v>
      </c>
      <c r="AG768" t="s">
        <v>2255</v>
      </c>
      <c r="AH768">
        <v>1</v>
      </c>
      <c r="AI768">
        <v>2</v>
      </c>
      <c r="AJ768">
        <v>0</v>
      </c>
      <c r="AK768">
        <v>425.78</v>
      </c>
      <c r="AN768" t="s">
        <v>4126</v>
      </c>
      <c r="AO768">
        <v>72000</v>
      </c>
      <c r="AU768">
        <v>0</v>
      </c>
      <c r="AW768" t="s">
        <v>4237</v>
      </c>
      <c r="AX768" t="s">
        <v>4266</v>
      </c>
      <c r="AY768" t="s">
        <v>2226</v>
      </c>
      <c r="AZ768" t="s">
        <v>2226</v>
      </c>
    </row>
    <row r="769" spans="1:52">
      <c r="A769" s="1">
        <f>HYPERLINK("https://lsnyc.legalserver.org/matter/dynamic-profile/view/1910842","19-1910842")</f>
        <v>0</v>
      </c>
      <c r="B769" t="s">
        <v>76</v>
      </c>
      <c r="C769" t="s">
        <v>155</v>
      </c>
      <c r="D769" t="s">
        <v>214</v>
      </c>
      <c r="F769" t="s">
        <v>656</v>
      </c>
      <c r="G769" t="s">
        <v>1368</v>
      </c>
      <c r="H769" t="s">
        <v>1934</v>
      </c>
      <c r="J769" t="s">
        <v>2196</v>
      </c>
      <c r="K769">
        <v>10032</v>
      </c>
      <c r="L769" t="s">
        <v>2224</v>
      </c>
      <c r="M769" t="s">
        <v>2226</v>
      </c>
      <c r="P769" t="s">
        <v>2559</v>
      </c>
      <c r="R769" t="s">
        <v>2569</v>
      </c>
      <c r="S769" t="s">
        <v>2225</v>
      </c>
      <c r="U769" t="s">
        <v>2578</v>
      </c>
      <c r="W769" t="s">
        <v>214</v>
      </c>
      <c r="X769">
        <v>1650</v>
      </c>
      <c r="Y769" t="s">
        <v>2607</v>
      </c>
      <c r="Z769" t="s">
        <v>2617</v>
      </c>
      <c r="AB769" t="s">
        <v>3327</v>
      </c>
      <c r="AD769" t="s">
        <v>4068</v>
      </c>
      <c r="AE769">
        <v>36</v>
      </c>
      <c r="AF769" t="s">
        <v>4099</v>
      </c>
      <c r="AG769" t="s">
        <v>2255</v>
      </c>
      <c r="AH769">
        <v>15</v>
      </c>
      <c r="AI769">
        <v>2</v>
      </c>
      <c r="AJ769">
        <v>0</v>
      </c>
      <c r="AK769">
        <v>431.7</v>
      </c>
      <c r="AN769" t="s">
        <v>4126</v>
      </c>
      <c r="AO769">
        <v>73000</v>
      </c>
      <c r="AU769">
        <v>0.5</v>
      </c>
      <c r="AV769" t="s">
        <v>214</v>
      </c>
      <c r="AW769" t="s">
        <v>80</v>
      </c>
      <c r="AX769" t="s">
        <v>4266</v>
      </c>
      <c r="AY769" t="s">
        <v>2226</v>
      </c>
      <c r="AZ769" t="s">
        <v>2226</v>
      </c>
    </row>
    <row r="770" spans="1:52">
      <c r="A770" s="1">
        <f>HYPERLINK("https://lsnyc.legalserver.org/matter/dynamic-profile/view/1909497","19-1909497")</f>
        <v>0</v>
      </c>
      <c r="B770" t="s">
        <v>86</v>
      </c>
      <c r="C770" t="s">
        <v>155</v>
      </c>
      <c r="D770" t="s">
        <v>161</v>
      </c>
      <c r="F770" t="s">
        <v>821</v>
      </c>
      <c r="G770" t="s">
        <v>1369</v>
      </c>
      <c r="H770" t="s">
        <v>1574</v>
      </c>
      <c r="I770" t="s">
        <v>1979</v>
      </c>
      <c r="J770" t="s">
        <v>2196</v>
      </c>
      <c r="K770">
        <v>10040</v>
      </c>
      <c r="L770" t="s">
        <v>2224</v>
      </c>
      <c r="M770" t="s">
        <v>2226</v>
      </c>
      <c r="O770" t="s">
        <v>2534</v>
      </c>
      <c r="P770" t="s">
        <v>2559</v>
      </c>
      <c r="R770" t="s">
        <v>2569</v>
      </c>
      <c r="S770" t="s">
        <v>2224</v>
      </c>
      <c r="U770" t="s">
        <v>2578</v>
      </c>
      <c r="W770" t="s">
        <v>161</v>
      </c>
      <c r="X770">
        <v>1234.7</v>
      </c>
      <c r="Y770" t="s">
        <v>2607</v>
      </c>
      <c r="Z770" t="s">
        <v>2617</v>
      </c>
      <c r="AB770" t="s">
        <v>3328</v>
      </c>
      <c r="AE770">
        <v>77</v>
      </c>
      <c r="AF770" t="s">
        <v>4099</v>
      </c>
      <c r="AG770" t="s">
        <v>2255</v>
      </c>
      <c r="AH770">
        <v>4</v>
      </c>
      <c r="AI770">
        <v>1</v>
      </c>
      <c r="AJ770">
        <v>0</v>
      </c>
      <c r="AK770">
        <v>464.37</v>
      </c>
      <c r="AN770" t="s">
        <v>4126</v>
      </c>
      <c r="AO770">
        <v>58000</v>
      </c>
      <c r="AU770">
        <v>0.1</v>
      </c>
      <c r="AV770" t="s">
        <v>257</v>
      </c>
      <c r="AW770" t="s">
        <v>80</v>
      </c>
      <c r="AX770" t="s">
        <v>4266</v>
      </c>
      <c r="AY770" t="s">
        <v>2226</v>
      </c>
      <c r="AZ770" t="s">
        <v>2226</v>
      </c>
    </row>
    <row r="771" spans="1:52">
      <c r="A771" s="1">
        <f>HYPERLINK("https://lsnyc.legalserver.org/matter/dynamic-profile/view/1904379","19-1904379")</f>
        <v>0</v>
      </c>
      <c r="B771" t="s">
        <v>77</v>
      </c>
      <c r="C771" t="s">
        <v>155</v>
      </c>
      <c r="D771" t="s">
        <v>228</v>
      </c>
      <c r="F771" t="s">
        <v>312</v>
      </c>
      <c r="G771" t="s">
        <v>1370</v>
      </c>
      <c r="H771" t="s">
        <v>1829</v>
      </c>
      <c r="I771" t="s">
        <v>2023</v>
      </c>
      <c r="J771" t="s">
        <v>2196</v>
      </c>
      <c r="K771">
        <v>10024</v>
      </c>
      <c r="L771" t="s">
        <v>2224</v>
      </c>
      <c r="M771" t="s">
        <v>2226</v>
      </c>
      <c r="O771" t="s">
        <v>2534</v>
      </c>
      <c r="P771" t="s">
        <v>2559</v>
      </c>
      <c r="R771" t="s">
        <v>2569</v>
      </c>
      <c r="S771" t="s">
        <v>2224</v>
      </c>
      <c r="U771" t="s">
        <v>2578</v>
      </c>
      <c r="V771" t="s">
        <v>2588</v>
      </c>
      <c r="W771" t="s">
        <v>158</v>
      </c>
      <c r="X771">
        <v>2300</v>
      </c>
      <c r="Y771" t="s">
        <v>2607</v>
      </c>
      <c r="Z771" t="s">
        <v>2615</v>
      </c>
      <c r="AB771" t="s">
        <v>3329</v>
      </c>
      <c r="AD771" t="s">
        <v>4069</v>
      </c>
      <c r="AE771">
        <v>29</v>
      </c>
      <c r="AF771" t="s">
        <v>4103</v>
      </c>
      <c r="AG771" t="s">
        <v>2255</v>
      </c>
      <c r="AH771">
        <v>7</v>
      </c>
      <c r="AI771">
        <v>1</v>
      </c>
      <c r="AJ771">
        <v>0</v>
      </c>
      <c r="AK771">
        <v>468.37</v>
      </c>
      <c r="AN771" t="s">
        <v>4126</v>
      </c>
      <c r="AO771">
        <v>58500</v>
      </c>
      <c r="AU771">
        <v>0.1</v>
      </c>
      <c r="AV771" t="s">
        <v>207</v>
      </c>
      <c r="AW771" t="s">
        <v>4237</v>
      </c>
      <c r="AX771" t="s">
        <v>4266</v>
      </c>
      <c r="AY771" t="s">
        <v>2224</v>
      </c>
      <c r="AZ771" t="s">
        <v>2224</v>
      </c>
    </row>
    <row r="772" spans="1:52">
      <c r="A772" s="1">
        <f>HYPERLINK("https://lsnyc.legalserver.org/matter/dynamic-profile/view/1906527","19-1906527")</f>
        <v>0</v>
      </c>
      <c r="B772" t="s">
        <v>67</v>
      </c>
      <c r="C772" t="s">
        <v>155</v>
      </c>
      <c r="D772" t="s">
        <v>244</v>
      </c>
      <c r="F772" t="s">
        <v>420</v>
      </c>
      <c r="G772" t="s">
        <v>1371</v>
      </c>
      <c r="H772" t="s">
        <v>1498</v>
      </c>
      <c r="I772" t="s">
        <v>1952</v>
      </c>
      <c r="J772" t="s">
        <v>2192</v>
      </c>
      <c r="K772">
        <v>11225</v>
      </c>
      <c r="L772" t="s">
        <v>2224</v>
      </c>
      <c r="M772" t="s">
        <v>2226</v>
      </c>
      <c r="O772" t="s">
        <v>2546</v>
      </c>
      <c r="P772" t="s">
        <v>2558</v>
      </c>
      <c r="R772" t="s">
        <v>2569</v>
      </c>
      <c r="S772" t="s">
        <v>2224</v>
      </c>
      <c r="T772" t="s">
        <v>2571</v>
      </c>
      <c r="U772" t="s">
        <v>2578</v>
      </c>
      <c r="W772" t="s">
        <v>223</v>
      </c>
      <c r="X772">
        <v>1639.25</v>
      </c>
      <c r="Y772" t="s">
        <v>2604</v>
      </c>
      <c r="AB772" t="s">
        <v>3330</v>
      </c>
      <c r="AD772" t="s">
        <v>4070</v>
      </c>
      <c r="AE772">
        <v>11</v>
      </c>
      <c r="AH772">
        <v>7</v>
      </c>
      <c r="AI772">
        <v>2</v>
      </c>
      <c r="AJ772">
        <v>0</v>
      </c>
      <c r="AK772">
        <v>473.09</v>
      </c>
      <c r="AN772" t="s">
        <v>4126</v>
      </c>
      <c r="AO772">
        <v>80000</v>
      </c>
      <c r="AU772">
        <v>0.1</v>
      </c>
      <c r="AV772" t="s">
        <v>184</v>
      </c>
      <c r="AW772" t="s">
        <v>153</v>
      </c>
      <c r="AX772" t="s">
        <v>4266</v>
      </c>
      <c r="AY772" t="s">
        <v>2226</v>
      </c>
      <c r="AZ772" t="s">
        <v>2226</v>
      </c>
    </row>
    <row r="773" spans="1:52">
      <c r="A773" s="1">
        <f>HYPERLINK("https://lsnyc.legalserver.org/matter/dynamic-profile/view/1906550","19-1906550")</f>
        <v>0</v>
      </c>
      <c r="B773" t="s">
        <v>67</v>
      </c>
      <c r="C773" t="s">
        <v>155</v>
      </c>
      <c r="D773" t="s">
        <v>195</v>
      </c>
      <c r="F773" t="s">
        <v>420</v>
      </c>
      <c r="G773" t="s">
        <v>1371</v>
      </c>
      <c r="H773" t="s">
        <v>1498</v>
      </c>
      <c r="I773" t="s">
        <v>1952</v>
      </c>
      <c r="J773" t="s">
        <v>2192</v>
      </c>
      <c r="K773">
        <v>11225</v>
      </c>
      <c r="L773" t="s">
        <v>2224</v>
      </c>
      <c r="M773" t="s">
        <v>2226</v>
      </c>
      <c r="O773" t="s">
        <v>2537</v>
      </c>
      <c r="P773" t="s">
        <v>2560</v>
      </c>
      <c r="R773" t="s">
        <v>2569</v>
      </c>
      <c r="S773" t="s">
        <v>2224</v>
      </c>
      <c r="T773" t="s">
        <v>2571</v>
      </c>
      <c r="U773" t="s">
        <v>2578</v>
      </c>
      <c r="W773" t="s">
        <v>195</v>
      </c>
      <c r="X773">
        <v>1639.26</v>
      </c>
      <c r="Y773" t="s">
        <v>2604</v>
      </c>
      <c r="AB773" t="s">
        <v>3330</v>
      </c>
      <c r="AD773" t="s">
        <v>4070</v>
      </c>
      <c r="AE773">
        <v>11</v>
      </c>
      <c r="AF773" t="s">
        <v>4099</v>
      </c>
      <c r="AH773">
        <v>7</v>
      </c>
      <c r="AI773">
        <v>2</v>
      </c>
      <c r="AJ773">
        <v>0</v>
      </c>
      <c r="AK773">
        <v>473.09</v>
      </c>
      <c r="AN773" t="s">
        <v>4126</v>
      </c>
      <c r="AO773">
        <v>80000</v>
      </c>
      <c r="AU773">
        <v>0.1</v>
      </c>
      <c r="AV773" t="s">
        <v>184</v>
      </c>
      <c r="AW773" t="s">
        <v>153</v>
      </c>
      <c r="AX773" t="s">
        <v>4266</v>
      </c>
      <c r="AY773" t="s">
        <v>2224</v>
      </c>
      <c r="AZ773" t="s">
        <v>2224</v>
      </c>
    </row>
    <row r="774" spans="1:52">
      <c r="A774" s="1">
        <f>HYPERLINK("https://lsnyc.legalserver.org/matter/dynamic-profile/view/1911025","19-1911025")</f>
        <v>0</v>
      </c>
      <c r="B774" t="s">
        <v>67</v>
      </c>
      <c r="C774" t="s">
        <v>155</v>
      </c>
      <c r="D774" t="s">
        <v>225</v>
      </c>
      <c r="F774" t="s">
        <v>592</v>
      </c>
      <c r="G774" t="s">
        <v>1372</v>
      </c>
      <c r="H774" t="s">
        <v>1935</v>
      </c>
      <c r="I774" t="s">
        <v>2000</v>
      </c>
      <c r="J774" t="s">
        <v>2192</v>
      </c>
      <c r="K774">
        <v>11225</v>
      </c>
      <c r="L774" t="s">
        <v>2224</v>
      </c>
      <c r="M774" t="s">
        <v>2226</v>
      </c>
      <c r="P774" t="s">
        <v>2560</v>
      </c>
      <c r="R774" t="s">
        <v>2569</v>
      </c>
      <c r="S774" t="s">
        <v>2224</v>
      </c>
      <c r="U774" t="s">
        <v>2578</v>
      </c>
      <c r="W774" t="s">
        <v>166</v>
      </c>
      <c r="X774">
        <v>0</v>
      </c>
      <c r="Y774" t="s">
        <v>2604</v>
      </c>
      <c r="AB774" t="s">
        <v>3331</v>
      </c>
      <c r="AD774" t="s">
        <v>3419</v>
      </c>
      <c r="AE774">
        <v>14</v>
      </c>
      <c r="AH774">
        <v>0</v>
      </c>
      <c r="AI774">
        <v>2</v>
      </c>
      <c r="AJ774">
        <v>0</v>
      </c>
      <c r="AK774">
        <v>480.19</v>
      </c>
      <c r="AN774" t="s">
        <v>4126</v>
      </c>
      <c r="AO774">
        <v>81200</v>
      </c>
      <c r="AU774">
        <v>0</v>
      </c>
      <c r="AW774" t="s">
        <v>153</v>
      </c>
      <c r="AX774" t="s">
        <v>4266</v>
      </c>
      <c r="AY774" t="s">
        <v>2224</v>
      </c>
      <c r="AZ774" t="s">
        <v>2224</v>
      </c>
    </row>
    <row r="775" spans="1:52">
      <c r="A775" s="1">
        <f>HYPERLINK("https://lsnyc.legalserver.org/matter/dynamic-profile/view/1908363","19-1908363")</f>
        <v>0</v>
      </c>
      <c r="B775" t="s">
        <v>89</v>
      </c>
      <c r="C775" t="s">
        <v>155</v>
      </c>
      <c r="D775" t="s">
        <v>234</v>
      </c>
      <c r="F775" t="s">
        <v>822</v>
      </c>
      <c r="G775" t="s">
        <v>1373</v>
      </c>
      <c r="H775" t="s">
        <v>1642</v>
      </c>
      <c r="I775" t="s">
        <v>1960</v>
      </c>
      <c r="J775" t="s">
        <v>2204</v>
      </c>
      <c r="K775">
        <v>11377</v>
      </c>
      <c r="L775" t="s">
        <v>2224</v>
      </c>
      <c r="M775" t="s">
        <v>2226</v>
      </c>
      <c r="N775" t="s">
        <v>2356</v>
      </c>
      <c r="O775" t="s">
        <v>2537</v>
      </c>
      <c r="P775" t="s">
        <v>2560</v>
      </c>
      <c r="R775" t="s">
        <v>2569</v>
      </c>
      <c r="S775" t="s">
        <v>2224</v>
      </c>
      <c r="U775" t="s">
        <v>2578</v>
      </c>
      <c r="W775" t="s">
        <v>234</v>
      </c>
      <c r="X775">
        <v>1854</v>
      </c>
      <c r="Y775" t="s">
        <v>2603</v>
      </c>
      <c r="Z775" t="s">
        <v>2614</v>
      </c>
      <c r="AB775" t="s">
        <v>3332</v>
      </c>
      <c r="AD775" t="s">
        <v>4071</v>
      </c>
      <c r="AE775">
        <v>67</v>
      </c>
      <c r="AF775" t="s">
        <v>4099</v>
      </c>
      <c r="AG775" t="s">
        <v>2255</v>
      </c>
      <c r="AH775">
        <v>26</v>
      </c>
      <c r="AI775">
        <v>1</v>
      </c>
      <c r="AJ775">
        <v>0</v>
      </c>
      <c r="AK775">
        <v>480.38</v>
      </c>
      <c r="AN775" t="s">
        <v>4127</v>
      </c>
      <c r="AO775">
        <v>60000</v>
      </c>
      <c r="AU775">
        <v>0.4</v>
      </c>
      <c r="AV775" t="s">
        <v>234</v>
      </c>
      <c r="AW775" t="s">
        <v>4224</v>
      </c>
      <c r="AX775" t="s">
        <v>4266</v>
      </c>
      <c r="AY775" t="s">
        <v>2224</v>
      </c>
      <c r="AZ775" t="s">
        <v>2224</v>
      </c>
    </row>
    <row r="776" spans="1:52">
      <c r="A776" s="1">
        <f>HYPERLINK("https://lsnyc.legalserver.org/matter/dynamic-profile/view/1905412","19-1905412")</f>
        <v>0</v>
      </c>
      <c r="B776" t="s">
        <v>71</v>
      </c>
      <c r="C776" t="s">
        <v>154</v>
      </c>
      <c r="D776" t="s">
        <v>207</v>
      </c>
      <c r="E776" t="s">
        <v>172</v>
      </c>
      <c r="F776" t="s">
        <v>823</v>
      </c>
      <c r="G776" t="s">
        <v>941</v>
      </c>
      <c r="H776" t="s">
        <v>1936</v>
      </c>
      <c r="I776" t="s">
        <v>2096</v>
      </c>
      <c r="J776" t="s">
        <v>2194</v>
      </c>
      <c r="K776">
        <v>10457</v>
      </c>
      <c r="L776" t="s">
        <v>2224</v>
      </c>
      <c r="M776" t="s">
        <v>2226</v>
      </c>
      <c r="N776" t="s">
        <v>2244</v>
      </c>
      <c r="O776" t="s">
        <v>2537</v>
      </c>
      <c r="P776" t="s">
        <v>2556</v>
      </c>
      <c r="Q776" t="s">
        <v>2563</v>
      </c>
      <c r="R776" t="s">
        <v>2569</v>
      </c>
      <c r="S776" t="s">
        <v>2225</v>
      </c>
      <c r="U776" t="s">
        <v>2578</v>
      </c>
      <c r="W776" t="s">
        <v>2594</v>
      </c>
      <c r="X776">
        <v>885.9299999999999</v>
      </c>
      <c r="Y776" t="s">
        <v>2605</v>
      </c>
      <c r="Z776" t="s">
        <v>2614</v>
      </c>
      <c r="AA776" t="s">
        <v>2626</v>
      </c>
      <c r="AB776" t="s">
        <v>3333</v>
      </c>
      <c r="AE776">
        <v>73</v>
      </c>
      <c r="AF776" t="s">
        <v>4099</v>
      </c>
      <c r="AG776" t="s">
        <v>2255</v>
      </c>
      <c r="AH776">
        <v>43</v>
      </c>
      <c r="AI776">
        <v>1</v>
      </c>
      <c r="AJ776">
        <v>0</v>
      </c>
      <c r="AK776">
        <v>480.38</v>
      </c>
      <c r="AN776" t="s">
        <v>4126</v>
      </c>
      <c r="AO776">
        <v>60000</v>
      </c>
      <c r="AU776">
        <v>1.25</v>
      </c>
      <c r="AV776" t="s">
        <v>172</v>
      </c>
      <c r="AW776" t="s">
        <v>4255</v>
      </c>
      <c r="AX776" t="s">
        <v>4266</v>
      </c>
      <c r="AY776" t="s">
        <v>2224</v>
      </c>
      <c r="AZ776" t="s">
        <v>2224</v>
      </c>
    </row>
    <row r="777" spans="1:52">
      <c r="A777" s="1">
        <f>HYPERLINK("https://lsnyc.legalserver.org/matter/dynamic-profile/view/1906208","19-1906208")</f>
        <v>0</v>
      </c>
      <c r="B777" t="s">
        <v>78</v>
      </c>
      <c r="C777" t="s">
        <v>155</v>
      </c>
      <c r="D777" t="s">
        <v>164</v>
      </c>
      <c r="F777" t="s">
        <v>701</v>
      </c>
      <c r="G777" t="s">
        <v>1374</v>
      </c>
      <c r="H777" t="s">
        <v>1937</v>
      </c>
      <c r="I777" t="s">
        <v>2180</v>
      </c>
      <c r="J777" t="s">
        <v>2196</v>
      </c>
      <c r="K777">
        <v>10024</v>
      </c>
      <c r="L777" t="s">
        <v>2224</v>
      </c>
      <c r="M777" t="s">
        <v>2226</v>
      </c>
      <c r="P777" t="s">
        <v>2556</v>
      </c>
      <c r="R777" t="s">
        <v>2569</v>
      </c>
      <c r="S777" t="s">
        <v>2225</v>
      </c>
      <c r="T777" t="s">
        <v>2577</v>
      </c>
      <c r="U777" t="s">
        <v>2578</v>
      </c>
      <c r="W777" t="s">
        <v>164</v>
      </c>
      <c r="X777">
        <v>3039.5</v>
      </c>
      <c r="Y777" t="s">
        <v>2607</v>
      </c>
      <c r="Z777" t="s">
        <v>2617</v>
      </c>
      <c r="AB777" t="s">
        <v>3334</v>
      </c>
      <c r="AD777" t="s">
        <v>4072</v>
      </c>
      <c r="AE777">
        <v>249</v>
      </c>
      <c r="AF777" t="s">
        <v>4099</v>
      </c>
      <c r="AG777" t="s">
        <v>2255</v>
      </c>
      <c r="AH777">
        <v>20</v>
      </c>
      <c r="AI777">
        <v>3</v>
      </c>
      <c r="AJ777">
        <v>0</v>
      </c>
      <c r="AK777">
        <v>482.89</v>
      </c>
      <c r="AN777" t="s">
        <v>4126</v>
      </c>
      <c r="AO777">
        <v>103000</v>
      </c>
      <c r="AU777">
        <v>3.5</v>
      </c>
      <c r="AV777" t="s">
        <v>212</v>
      </c>
      <c r="AW777" t="s">
        <v>80</v>
      </c>
      <c r="AX777" t="s">
        <v>4266</v>
      </c>
      <c r="AY777" t="s">
        <v>2224</v>
      </c>
      <c r="AZ777" t="s">
        <v>2224</v>
      </c>
    </row>
    <row r="778" spans="1:52">
      <c r="A778" s="1">
        <f>HYPERLINK("https://lsnyc.legalserver.org/matter/dynamic-profile/view/1865239","18-1865239")</f>
        <v>0</v>
      </c>
      <c r="B778" t="s">
        <v>152</v>
      </c>
      <c r="C778" t="s">
        <v>154</v>
      </c>
      <c r="D778" t="s">
        <v>290</v>
      </c>
      <c r="E778" t="s">
        <v>296</v>
      </c>
      <c r="F778" t="s">
        <v>824</v>
      </c>
      <c r="G778" t="s">
        <v>1375</v>
      </c>
      <c r="H778" t="s">
        <v>1938</v>
      </c>
      <c r="I778" t="s">
        <v>1965</v>
      </c>
      <c r="J778" t="s">
        <v>2198</v>
      </c>
      <c r="K778">
        <v>11427</v>
      </c>
      <c r="L778" t="s">
        <v>2224</v>
      </c>
      <c r="M778" t="s">
        <v>2226</v>
      </c>
      <c r="N778" t="s">
        <v>2529</v>
      </c>
      <c r="O778" t="s">
        <v>2535</v>
      </c>
      <c r="P778" t="s">
        <v>2556</v>
      </c>
      <c r="Q778" t="s">
        <v>2563</v>
      </c>
      <c r="R778" t="s">
        <v>2569</v>
      </c>
      <c r="S778" t="s">
        <v>2225</v>
      </c>
      <c r="U778" t="s">
        <v>2578</v>
      </c>
      <c r="V778" t="s">
        <v>2588</v>
      </c>
      <c r="W778" t="s">
        <v>296</v>
      </c>
      <c r="X778">
        <v>1044</v>
      </c>
      <c r="Y778" t="s">
        <v>2603</v>
      </c>
      <c r="Z778" t="s">
        <v>2611</v>
      </c>
      <c r="AA778" t="s">
        <v>2626</v>
      </c>
      <c r="AB778" t="s">
        <v>3335</v>
      </c>
      <c r="AD778" t="s">
        <v>4073</v>
      </c>
      <c r="AE778">
        <v>21</v>
      </c>
      <c r="AF778" t="s">
        <v>4099</v>
      </c>
      <c r="AG778" t="s">
        <v>2611</v>
      </c>
      <c r="AH778">
        <v>40</v>
      </c>
      <c r="AI778">
        <v>2</v>
      </c>
      <c r="AJ778">
        <v>0</v>
      </c>
      <c r="AK778">
        <v>482.93</v>
      </c>
      <c r="AN778" t="s">
        <v>4126</v>
      </c>
      <c r="AO778">
        <v>79490.05</v>
      </c>
      <c r="AU778">
        <v>1.1</v>
      </c>
      <c r="AV778" t="s">
        <v>4220</v>
      </c>
      <c r="AW778" t="s">
        <v>152</v>
      </c>
      <c r="AX778" t="s">
        <v>4266</v>
      </c>
      <c r="AY778" t="s">
        <v>2226</v>
      </c>
      <c r="AZ778" t="s">
        <v>2225</v>
      </c>
    </row>
    <row r="779" spans="1:52">
      <c r="A779" s="1">
        <f>HYPERLINK("https://lsnyc.legalserver.org/matter/dynamic-profile/view/1896149","19-1896149")</f>
        <v>0</v>
      </c>
      <c r="B779" t="s">
        <v>57</v>
      </c>
      <c r="C779" t="s">
        <v>155</v>
      </c>
      <c r="D779" t="s">
        <v>291</v>
      </c>
      <c r="F779" t="s">
        <v>825</v>
      </c>
      <c r="G779" t="s">
        <v>1376</v>
      </c>
      <c r="H779" t="s">
        <v>1727</v>
      </c>
      <c r="I779">
        <v>3</v>
      </c>
      <c r="J779" t="s">
        <v>2192</v>
      </c>
      <c r="K779">
        <v>11208</v>
      </c>
      <c r="L779" t="s">
        <v>2224</v>
      </c>
      <c r="M779" t="s">
        <v>2224</v>
      </c>
      <c r="N779" t="s">
        <v>2530</v>
      </c>
      <c r="O779" t="s">
        <v>2533</v>
      </c>
      <c r="P779" t="s">
        <v>2558</v>
      </c>
      <c r="R779" t="s">
        <v>2569</v>
      </c>
      <c r="S779" t="s">
        <v>2224</v>
      </c>
      <c r="U779" t="s">
        <v>2578</v>
      </c>
      <c r="W779" t="s">
        <v>191</v>
      </c>
      <c r="X779">
        <v>1300</v>
      </c>
      <c r="Y779" t="s">
        <v>2604</v>
      </c>
      <c r="AB779" t="s">
        <v>3336</v>
      </c>
      <c r="AD779" t="s">
        <v>4074</v>
      </c>
      <c r="AE779">
        <v>4</v>
      </c>
      <c r="AH779">
        <v>9</v>
      </c>
      <c r="AI779">
        <v>2</v>
      </c>
      <c r="AJ779">
        <v>0</v>
      </c>
      <c r="AK779">
        <v>484.92</v>
      </c>
      <c r="AN779" t="s">
        <v>4126</v>
      </c>
      <c r="AO779">
        <v>82000</v>
      </c>
      <c r="AP779" t="s">
        <v>4169</v>
      </c>
      <c r="AU779">
        <v>1</v>
      </c>
      <c r="AV779" t="s">
        <v>213</v>
      </c>
      <c r="AW779" t="s">
        <v>153</v>
      </c>
      <c r="AX779" t="s">
        <v>4266</v>
      </c>
      <c r="AY779" t="s">
        <v>2224</v>
      </c>
      <c r="AZ779" t="s">
        <v>2224</v>
      </c>
    </row>
    <row r="780" spans="1:52">
      <c r="A780" s="1">
        <f>HYPERLINK("https://lsnyc.legalserver.org/matter/dynamic-profile/view/1906404","19-1906404")</f>
        <v>0</v>
      </c>
      <c r="B780" t="s">
        <v>86</v>
      </c>
      <c r="C780" t="s">
        <v>155</v>
      </c>
      <c r="D780" t="s">
        <v>191</v>
      </c>
      <c r="F780" t="s">
        <v>826</v>
      </c>
      <c r="G780" t="s">
        <v>1377</v>
      </c>
      <c r="H780" t="s">
        <v>1785</v>
      </c>
      <c r="I780">
        <v>5</v>
      </c>
      <c r="J780" t="s">
        <v>2196</v>
      </c>
      <c r="K780">
        <v>10032</v>
      </c>
      <c r="L780" t="s">
        <v>2224</v>
      </c>
      <c r="M780" t="s">
        <v>2226</v>
      </c>
      <c r="O780" t="s">
        <v>2534</v>
      </c>
      <c r="P780" t="s">
        <v>2557</v>
      </c>
      <c r="R780" t="s">
        <v>2569</v>
      </c>
      <c r="S780" t="s">
        <v>2224</v>
      </c>
      <c r="U780" t="s">
        <v>2578</v>
      </c>
      <c r="W780" t="s">
        <v>191</v>
      </c>
      <c r="X780">
        <v>2250</v>
      </c>
      <c r="Y780" t="s">
        <v>2607</v>
      </c>
      <c r="Z780" t="s">
        <v>2617</v>
      </c>
      <c r="AB780" t="s">
        <v>3337</v>
      </c>
      <c r="AD780" t="s">
        <v>4075</v>
      </c>
      <c r="AE780">
        <v>46</v>
      </c>
      <c r="AF780" t="s">
        <v>4099</v>
      </c>
      <c r="AG780" t="s">
        <v>2255</v>
      </c>
      <c r="AH780">
        <v>6</v>
      </c>
      <c r="AI780">
        <v>1</v>
      </c>
      <c r="AJ780">
        <v>0</v>
      </c>
      <c r="AK780">
        <v>490.39</v>
      </c>
      <c r="AN780" t="s">
        <v>4126</v>
      </c>
      <c r="AO780">
        <v>61250</v>
      </c>
      <c r="AU780">
        <v>5.7</v>
      </c>
      <c r="AV780" t="s">
        <v>156</v>
      </c>
      <c r="AW780" t="s">
        <v>80</v>
      </c>
      <c r="AX780" t="s">
        <v>4266</v>
      </c>
      <c r="AY780" t="s">
        <v>2226</v>
      </c>
      <c r="AZ780" t="s">
        <v>2226</v>
      </c>
    </row>
    <row r="781" spans="1:52">
      <c r="A781" s="1">
        <f>HYPERLINK("https://lsnyc.legalserver.org/matter/dynamic-profile/view/1908379","19-1908379")</f>
        <v>0</v>
      </c>
      <c r="B781" t="s">
        <v>65</v>
      </c>
      <c r="C781" t="s">
        <v>155</v>
      </c>
      <c r="D781" t="s">
        <v>234</v>
      </c>
      <c r="F781" t="s">
        <v>362</v>
      </c>
      <c r="G781" t="s">
        <v>1378</v>
      </c>
      <c r="H781" t="s">
        <v>1410</v>
      </c>
      <c r="I781" t="s">
        <v>2181</v>
      </c>
      <c r="J781" t="s">
        <v>2192</v>
      </c>
      <c r="K781">
        <v>11233</v>
      </c>
      <c r="L781" t="s">
        <v>2224</v>
      </c>
      <c r="M781" t="s">
        <v>2226</v>
      </c>
      <c r="N781" t="s">
        <v>2531</v>
      </c>
      <c r="O781" t="s">
        <v>2533</v>
      </c>
      <c r="P781" t="s">
        <v>2558</v>
      </c>
      <c r="R781" t="s">
        <v>2569</v>
      </c>
      <c r="S781" t="s">
        <v>2224</v>
      </c>
      <c r="U781" t="s">
        <v>2578</v>
      </c>
      <c r="V781" t="s">
        <v>2588</v>
      </c>
      <c r="W781" t="s">
        <v>234</v>
      </c>
      <c r="X781">
        <v>890</v>
      </c>
      <c r="Y781" t="s">
        <v>2604</v>
      </c>
      <c r="Z781" t="s">
        <v>2612</v>
      </c>
      <c r="AB781" t="s">
        <v>3338</v>
      </c>
      <c r="AC781" t="s">
        <v>2255</v>
      </c>
      <c r="AD781" t="s">
        <v>4076</v>
      </c>
      <c r="AE781">
        <v>359</v>
      </c>
      <c r="AF781" t="s">
        <v>4099</v>
      </c>
      <c r="AG781" t="s">
        <v>2255</v>
      </c>
      <c r="AH781">
        <v>9</v>
      </c>
      <c r="AI781">
        <v>1</v>
      </c>
      <c r="AJ781">
        <v>0</v>
      </c>
      <c r="AK781">
        <v>504.4</v>
      </c>
      <c r="AN781" t="s">
        <v>4126</v>
      </c>
      <c r="AO781">
        <v>63000</v>
      </c>
      <c r="AP781" t="s">
        <v>4170</v>
      </c>
      <c r="AU781">
        <v>10.4</v>
      </c>
      <c r="AV781" t="s">
        <v>204</v>
      </c>
      <c r="AW781" t="s">
        <v>4226</v>
      </c>
      <c r="AX781" t="s">
        <v>4266</v>
      </c>
      <c r="AY781" t="s">
        <v>2224</v>
      </c>
      <c r="AZ781" t="s">
        <v>2224</v>
      </c>
    </row>
    <row r="782" spans="1:52">
      <c r="A782" s="1">
        <f>HYPERLINK("https://lsnyc.legalserver.org/matter/dynamic-profile/view/1905679","19-1905679")</f>
        <v>0</v>
      </c>
      <c r="B782" t="s">
        <v>66</v>
      </c>
      <c r="C782" t="s">
        <v>155</v>
      </c>
      <c r="D782" t="s">
        <v>172</v>
      </c>
      <c r="F782" t="s">
        <v>498</v>
      </c>
      <c r="G782" t="s">
        <v>1379</v>
      </c>
      <c r="H782" t="s">
        <v>1525</v>
      </c>
      <c r="I782" t="s">
        <v>2008</v>
      </c>
      <c r="J782" t="s">
        <v>2192</v>
      </c>
      <c r="K782">
        <v>11226</v>
      </c>
      <c r="L782" t="s">
        <v>2224</v>
      </c>
      <c r="M782" t="s">
        <v>2226</v>
      </c>
      <c r="O782" t="s">
        <v>2537</v>
      </c>
      <c r="P782" t="s">
        <v>2560</v>
      </c>
      <c r="R782" t="s">
        <v>2569</v>
      </c>
      <c r="S782" t="s">
        <v>2224</v>
      </c>
      <c r="T782" t="s">
        <v>2571</v>
      </c>
      <c r="U782" t="s">
        <v>2578</v>
      </c>
      <c r="W782" t="s">
        <v>172</v>
      </c>
      <c r="X782">
        <v>0</v>
      </c>
      <c r="Y782" t="s">
        <v>2604</v>
      </c>
      <c r="AB782" t="s">
        <v>3339</v>
      </c>
      <c r="AD782" t="s">
        <v>4077</v>
      </c>
      <c r="AE782">
        <v>36</v>
      </c>
      <c r="AF782" t="s">
        <v>4099</v>
      </c>
      <c r="AH782">
        <v>0</v>
      </c>
      <c r="AI782">
        <v>2</v>
      </c>
      <c r="AJ782">
        <v>0</v>
      </c>
      <c r="AK782">
        <v>532.23</v>
      </c>
      <c r="AN782" t="s">
        <v>4126</v>
      </c>
      <c r="AO782">
        <v>90000</v>
      </c>
      <c r="AU782">
        <v>0.2</v>
      </c>
      <c r="AV782" t="s">
        <v>172</v>
      </c>
      <c r="AW782" t="s">
        <v>124</v>
      </c>
      <c r="AY782" t="s">
        <v>2226</v>
      </c>
      <c r="AZ782" t="s">
        <v>2226</v>
      </c>
    </row>
    <row r="783" spans="1:52">
      <c r="A783" s="1">
        <f>HYPERLINK("https://lsnyc.legalserver.org/matter/dynamic-profile/view/1904206","19-1904206")</f>
        <v>0</v>
      </c>
      <c r="B783" t="s">
        <v>88</v>
      </c>
      <c r="C783" t="s">
        <v>155</v>
      </c>
      <c r="D783" t="s">
        <v>175</v>
      </c>
      <c r="F783" t="s">
        <v>827</v>
      </c>
      <c r="G783" t="s">
        <v>1266</v>
      </c>
      <c r="H783" t="s">
        <v>1461</v>
      </c>
      <c r="I783" t="s">
        <v>1952</v>
      </c>
      <c r="J783" t="s">
        <v>2196</v>
      </c>
      <c r="K783">
        <v>10024</v>
      </c>
      <c r="L783" t="s">
        <v>2224</v>
      </c>
      <c r="M783" t="s">
        <v>2226</v>
      </c>
      <c r="N783" t="s">
        <v>2445</v>
      </c>
      <c r="O783" t="s">
        <v>2238</v>
      </c>
      <c r="P783" t="s">
        <v>2560</v>
      </c>
      <c r="R783" t="s">
        <v>2569</v>
      </c>
      <c r="S783" t="s">
        <v>2225</v>
      </c>
      <c r="U783" t="s">
        <v>2578</v>
      </c>
      <c r="V783" t="s">
        <v>2588</v>
      </c>
      <c r="W783" t="s">
        <v>175</v>
      </c>
      <c r="X783">
        <v>1300</v>
      </c>
      <c r="Y783" t="s">
        <v>2607</v>
      </c>
      <c r="Z783" t="s">
        <v>2615</v>
      </c>
      <c r="AB783" t="s">
        <v>2951</v>
      </c>
      <c r="AD783" t="s">
        <v>4078</v>
      </c>
      <c r="AE783">
        <v>10</v>
      </c>
      <c r="AF783" t="s">
        <v>4099</v>
      </c>
      <c r="AG783" t="s">
        <v>2255</v>
      </c>
      <c r="AH783">
        <v>30</v>
      </c>
      <c r="AI783">
        <v>2</v>
      </c>
      <c r="AJ783">
        <v>0</v>
      </c>
      <c r="AK783">
        <v>532.23</v>
      </c>
      <c r="AN783" t="s">
        <v>4126</v>
      </c>
      <c r="AO783">
        <v>90000</v>
      </c>
      <c r="AU783">
        <v>48.05</v>
      </c>
      <c r="AV783" t="s">
        <v>268</v>
      </c>
      <c r="AW783" t="s">
        <v>4237</v>
      </c>
      <c r="AX783" t="s">
        <v>4266</v>
      </c>
      <c r="AY783" t="s">
        <v>2226</v>
      </c>
      <c r="AZ783" t="s">
        <v>2226</v>
      </c>
    </row>
    <row r="784" spans="1:52">
      <c r="A784" s="1">
        <f>HYPERLINK("https://lsnyc.legalserver.org/matter/dynamic-profile/view/1910061","19-1910061")</f>
        <v>0</v>
      </c>
      <c r="B784" t="s">
        <v>70</v>
      </c>
      <c r="C784" t="s">
        <v>154</v>
      </c>
      <c r="D784" t="s">
        <v>211</v>
      </c>
      <c r="E784" t="s">
        <v>263</v>
      </c>
      <c r="F784" t="s">
        <v>828</v>
      </c>
      <c r="G784" t="s">
        <v>1380</v>
      </c>
      <c r="H784" t="s">
        <v>1939</v>
      </c>
      <c r="I784" t="s">
        <v>1946</v>
      </c>
      <c r="J784" t="s">
        <v>2194</v>
      </c>
      <c r="K784">
        <v>10452</v>
      </c>
      <c r="L784" t="s">
        <v>2224</v>
      </c>
      <c r="M784" t="s">
        <v>2226</v>
      </c>
      <c r="O784" t="s">
        <v>2238</v>
      </c>
      <c r="P784" t="s">
        <v>2561</v>
      </c>
      <c r="Q784" t="s">
        <v>2566</v>
      </c>
      <c r="R784" t="s">
        <v>2569</v>
      </c>
      <c r="S784" t="s">
        <v>2225</v>
      </c>
      <c r="U784" t="s">
        <v>2578</v>
      </c>
      <c r="W784" t="s">
        <v>214</v>
      </c>
      <c r="X784">
        <v>930.77</v>
      </c>
      <c r="Y784" t="s">
        <v>2605</v>
      </c>
      <c r="Z784" t="s">
        <v>2614</v>
      </c>
      <c r="AA784" t="s">
        <v>2630</v>
      </c>
      <c r="AB784" t="s">
        <v>3340</v>
      </c>
      <c r="AD784" t="s">
        <v>4079</v>
      </c>
      <c r="AE784">
        <v>63</v>
      </c>
      <c r="AF784" t="s">
        <v>4099</v>
      </c>
      <c r="AG784" t="s">
        <v>2255</v>
      </c>
      <c r="AH784">
        <v>30</v>
      </c>
      <c r="AI784">
        <v>1</v>
      </c>
      <c r="AJ784">
        <v>0</v>
      </c>
      <c r="AK784">
        <v>547.64</v>
      </c>
      <c r="AN784" t="s">
        <v>4126</v>
      </c>
      <c r="AO784">
        <v>68400</v>
      </c>
      <c r="AU784">
        <v>3.5</v>
      </c>
      <c r="AV784" t="s">
        <v>263</v>
      </c>
      <c r="AW784" t="s">
        <v>70</v>
      </c>
      <c r="AX784" t="s">
        <v>4266</v>
      </c>
      <c r="AY784" t="s">
        <v>2224</v>
      </c>
      <c r="AZ784" t="s">
        <v>2224</v>
      </c>
    </row>
    <row r="785" spans="1:52">
      <c r="A785" s="1">
        <f>HYPERLINK("https://lsnyc.legalserver.org/matter/dynamic-profile/view/1908743","19-1908743")</f>
        <v>0</v>
      </c>
      <c r="B785" t="s">
        <v>55</v>
      </c>
      <c r="C785" t="s">
        <v>155</v>
      </c>
      <c r="D785" t="s">
        <v>171</v>
      </c>
      <c r="F785" t="s">
        <v>481</v>
      </c>
      <c r="G785" t="s">
        <v>1381</v>
      </c>
      <c r="H785" t="s">
        <v>1940</v>
      </c>
      <c r="I785" t="s">
        <v>2074</v>
      </c>
      <c r="J785" t="s">
        <v>2220</v>
      </c>
      <c r="K785">
        <v>11104</v>
      </c>
      <c r="L785" t="s">
        <v>2224</v>
      </c>
      <c r="M785" t="s">
        <v>2226</v>
      </c>
      <c r="O785" t="s">
        <v>2238</v>
      </c>
      <c r="P785" t="s">
        <v>2556</v>
      </c>
      <c r="R785" t="s">
        <v>2570</v>
      </c>
      <c r="S785" t="s">
        <v>2225</v>
      </c>
      <c r="U785" t="s">
        <v>2578</v>
      </c>
      <c r="W785" t="s">
        <v>171</v>
      </c>
      <c r="X785">
        <v>2015</v>
      </c>
      <c r="Y785" t="s">
        <v>2603</v>
      </c>
      <c r="Z785" t="s">
        <v>2610</v>
      </c>
      <c r="AB785" t="s">
        <v>3341</v>
      </c>
      <c r="AD785" t="s">
        <v>4080</v>
      </c>
      <c r="AE785">
        <v>95</v>
      </c>
      <c r="AF785" t="s">
        <v>4099</v>
      </c>
      <c r="AH785">
        <v>-1</v>
      </c>
      <c r="AI785">
        <v>1</v>
      </c>
      <c r="AJ785">
        <v>0</v>
      </c>
      <c r="AK785">
        <v>560.45</v>
      </c>
      <c r="AL785" t="s">
        <v>4121</v>
      </c>
      <c r="AM785" t="s">
        <v>4123</v>
      </c>
      <c r="AN785" t="s">
        <v>4126</v>
      </c>
      <c r="AO785">
        <v>70000</v>
      </c>
      <c r="AU785">
        <v>1.5</v>
      </c>
      <c r="AV785" t="s">
        <v>199</v>
      </c>
      <c r="AW785" t="s">
        <v>55</v>
      </c>
      <c r="AX785" t="s">
        <v>4266</v>
      </c>
      <c r="AY785" t="s">
        <v>2226</v>
      </c>
      <c r="AZ785" t="s">
        <v>2226</v>
      </c>
    </row>
    <row r="786" spans="1:52">
      <c r="A786" s="1">
        <f>HYPERLINK("https://lsnyc.legalserver.org/matter/dynamic-profile/view/1905028","19-1905028")</f>
        <v>0</v>
      </c>
      <c r="B786" t="s">
        <v>77</v>
      </c>
      <c r="C786" t="s">
        <v>155</v>
      </c>
      <c r="D786" t="s">
        <v>180</v>
      </c>
      <c r="F786" t="s">
        <v>829</v>
      </c>
      <c r="G786" t="s">
        <v>1382</v>
      </c>
      <c r="H786" t="s">
        <v>1829</v>
      </c>
      <c r="I786" t="s">
        <v>1952</v>
      </c>
      <c r="J786" t="s">
        <v>2196</v>
      </c>
      <c r="K786">
        <v>10024</v>
      </c>
      <c r="L786" t="s">
        <v>2224</v>
      </c>
      <c r="M786" t="s">
        <v>2226</v>
      </c>
      <c r="O786" t="s">
        <v>2534</v>
      </c>
      <c r="P786" t="s">
        <v>2559</v>
      </c>
      <c r="R786" t="s">
        <v>2569</v>
      </c>
      <c r="S786" t="s">
        <v>2224</v>
      </c>
      <c r="U786" t="s">
        <v>2578</v>
      </c>
      <c r="V786" t="s">
        <v>2588</v>
      </c>
      <c r="W786" t="s">
        <v>254</v>
      </c>
      <c r="X786">
        <v>2085</v>
      </c>
      <c r="Y786" t="s">
        <v>2607</v>
      </c>
      <c r="Z786" t="s">
        <v>2615</v>
      </c>
      <c r="AB786" t="s">
        <v>3342</v>
      </c>
      <c r="AD786" t="s">
        <v>4081</v>
      </c>
      <c r="AE786">
        <v>29</v>
      </c>
      <c r="AF786" t="s">
        <v>4099</v>
      </c>
      <c r="AG786" t="s">
        <v>2255</v>
      </c>
      <c r="AH786">
        <v>2</v>
      </c>
      <c r="AI786">
        <v>1</v>
      </c>
      <c r="AJ786">
        <v>0</v>
      </c>
      <c r="AK786">
        <v>560.45</v>
      </c>
      <c r="AN786" t="s">
        <v>4126</v>
      </c>
      <c r="AO786">
        <v>70000</v>
      </c>
      <c r="AU786">
        <v>0.1</v>
      </c>
      <c r="AV786" t="s">
        <v>207</v>
      </c>
      <c r="AW786" t="s">
        <v>4237</v>
      </c>
      <c r="AX786" t="s">
        <v>4266</v>
      </c>
      <c r="AY786" t="s">
        <v>2226</v>
      </c>
      <c r="AZ786" t="s">
        <v>2226</v>
      </c>
    </row>
    <row r="787" spans="1:52">
      <c r="A787" s="1">
        <f>HYPERLINK("https://lsnyc.legalserver.org/matter/dynamic-profile/view/1907697","19-1907697")</f>
        <v>0</v>
      </c>
      <c r="B787" t="s">
        <v>89</v>
      </c>
      <c r="C787" t="s">
        <v>155</v>
      </c>
      <c r="D787" t="s">
        <v>221</v>
      </c>
      <c r="F787" t="s">
        <v>580</v>
      </c>
      <c r="G787" t="s">
        <v>1383</v>
      </c>
      <c r="H787" t="s">
        <v>1891</v>
      </c>
      <c r="J787" t="s">
        <v>2204</v>
      </c>
      <c r="K787">
        <v>11377</v>
      </c>
      <c r="L787" t="s">
        <v>2224</v>
      </c>
      <c r="M787" t="s">
        <v>2226</v>
      </c>
      <c r="N787" t="s">
        <v>2508</v>
      </c>
      <c r="O787" t="s">
        <v>2537</v>
      </c>
      <c r="P787" t="s">
        <v>2560</v>
      </c>
      <c r="R787" t="s">
        <v>2569</v>
      </c>
      <c r="S787" t="s">
        <v>2224</v>
      </c>
      <c r="U787" t="s">
        <v>2578</v>
      </c>
      <c r="V787" t="s">
        <v>2588</v>
      </c>
      <c r="W787" t="s">
        <v>221</v>
      </c>
      <c r="X787">
        <v>1543</v>
      </c>
      <c r="Y787" t="s">
        <v>2603</v>
      </c>
      <c r="Z787" t="s">
        <v>2614</v>
      </c>
      <c r="AB787" t="s">
        <v>3343</v>
      </c>
      <c r="AD787" t="s">
        <v>4082</v>
      </c>
      <c r="AE787">
        <v>390</v>
      </c>
      <c r="AF787" t="s">
        <v>2518</v>
      </c>
      <c r="AG787" t="s">
        <v>2255</v>
      </c>
      <c r="AH787">
        <v>2</v>
      </c>
      <c r="AI787">
        <v>2</v>
      </c>
      <c r="AJ787">
        <v>0</v>
      </c>
      <c r="AK787">
        <v>591.37</v>
      </c>
      <c r="AN787" t="s">
        <v>4127</v>
      </c>
      <c r="AO787">
        <v>100000</v>
      </c>
      <c r="AU787">
        <v>0.4</v>
      </c>
      <c r="AV787" t="s">
        <v>221</v>
      </c>
      <c r="AW787" t="s">
        <v>4224</v>
      </c>
      <c r="AX787" t="s">
        <v>4266</v>
      </c>
      <c r="AY787" t="s">
        <v>2224</v>
      </c>
      <c r="AZ787" t="s">
        <v>2224</v>
      </c>
    </row>
    <row r="788" spans="1:52">
      <c r="A788" s="1">
        <f>HYPERLINK("https://lsnyc.legalserver.org/matter/dynamic-profile/view/1909425","19-1909425")</f>
        <v>0</v>
      </c>
      <c r="B788" t="s">
        <v>113</v>
      </c>
      <c r="C788" t="s">
        <v>155</v>
      </c>
      <c r="D788" t="s">
        <v>194</v>
      </c>
      <c r="F788" t="s">
        <v>830</v>
      </c>
      <c r="G788" t="s">
        <v>1384</v>
      </c>
      <c r="H788" t="s">
        <v>1798</v>
      </c>
      <c r="I788" t="s">
        <v>2182</v>
      </c>
      <c r="J788" t="s">
        <v>2192</v>
      </c>
      <c r="K788">
        <v>11219</v>
      </c>
      <c r="L788" t="s">
        <v>2224</v>
      </c>
      <c r="M788" t="s">
        <v>2226</v>
      </c>
      <c r="P788" t="s">
        <v>2557</v>
      </c>
      <c r="R788" t="s">
        <v>2569</v>
      </c>
      <c r="S788" t="s">
        <v>2224</v>
      </c>
      <c r="U788" t="s">
        <v>2578</v>
      </c>
      <c r="W788" t="s">
        <v>194</v>
      </c>
      <c r="X788">
        <v>0</v>
      </c>
      <c r="Y788" t="s">
        <v>2604</v>
      </c>
      <c r="AB788" t="s">
        <v>3344</v>
      </c>
      <c r="AD788" t="s">
        <v>4083</v>
      </c>
      <c r="AE788">
        <v>20</v>
      </c>
      <c r="AH788">
        <v>0</v>
      </c>
      <c r="AI788">
        <v>2</v>
      </c>
      <c r="AJ788">
        <v>0</v>
      </c>
      <c r="AK788">
        <v>626.85</v>
      </c>
      <c r="AM788" t="s">
        <v>4125</v>
      </c>
      <c r="AN788" t="s">
        <v>4141</v>
      </c>
      <c r="AO788">
        <v>106000</v>
      </c>
      <c r="AU788">
        <v>0.2</v>
      </c>
      <c r="AV788" t="s">
        <v>194</v>
      </c>
      <c r="AW788" t="s">
        <v>124</v>
      </c>
      <c r="AX788" t="s">
        <v>4266</v>
      </c>
      <c r="AY788" t="s">
        <v>2224</v>
      </c>
      <c r="AZ788" t="s">
        <v>2224</v>
      </c>
    </row>
    <row r="789" spans="1:52">
      <c r="A789" s="1">
        <f>HYPERLINK("https://lsnyc.legalserver.org/matter/dynamic-profile/view/1909501","19-1909501")</f>
        <v>0</v>
      </c>
      <c r="B789" t="s">
        <v>86</v>
      </c>
      <c r="C789" t="s">
        <v>155</v>
      </c>
      <c r="D789" t="s">
        <v>161</v>
      </c>
      <c r="F789" t="s">
        <v>831</v>
      </c>
      <c r="G789" t="s">
        <v>1385</v>
      </c>
      <c r="H789" t="s">
        <v>1574</v>
      </c>
      <c r="I789" t="s">
        <v>2126</v>
      </c>
      <c r="J789" t="s">
        <v>2196</v>
      </c>
      <c r="K789">
        <v>10040</v>
      </c>
      <c r="L789" t="s">
        <v>2224</v>
      </c>
      <c r="M789" t="s">
        <v>2226</v>
      </c>
      <c r="O789" t="s">
        <v>2534</v>
      </c>
      <c r="P789" t="s">
        <v>2559</v>
      </c>
      <c r="R789" t="s">
        <v>2569</v>
      </c>
      <c r="S789" t="s">
        <v>2224</v>
      </c>
      <c r="U789" t="s">
        <v>2578</v>
      </c>
      <c r="W789" t="s">
        <v>161</v>
      </c>
      <c r="X789">
        <v>1738.34</v>
      </c>
      <c r="Y789" t="s">
        <v>2607</v>
      </c>
      <c r="Z789" t="s">
        <v>2617</v>
      </c>
      <c r="AB789" t="s">
        <v>2704</v>
      </c>
      <c r="AD789" t="s">
        <v>4084</v>
      </c>
      <c r="AE789">
        <v>77</v>
      </c>
      <c r="AF789" t="s">
        <v>4099</v>
      </c>
      <c r="AG789" t="s">
        <v>2255</v>
      </c>
      <c r="AH789">
        <v>5</v>
      </c>
      <c r="AI789">
        <v>2</v>
      </c>
      <c r="AJ789">
        <v>0</v>
      </c>
      <c r="AK789">
        <v>626.85</v>
      </c>
      <c r="AN789" t="s">
        <v>4126</v>
      </c>
      <c r="AO789">
        <v>106000</v>
      </c>
      <c r="AU789">
        <v>0.1</v>
      </c>
      <c r="AV789" t="s">
        <v>257</v>
      </c>
      <c r="AW789" t="s">
        <v>80</v>
      </c>
      <c r="AX789" t="s">
        <v>4266</v>
      </c>
      <c r="AY789" t="s">
        <v>2226</v>
      </c>
      <c r="AZ789" t="s">
        <v>2226</v>
      </c>
    </row>
    <row r="790" spans="1:52">
      <c r="A790" s="1">
        <f>HYPERLINK("https://lsnyc.legalserver.org/matter/dynamic-profile/view/1907714","19-1907714")</f>
        <v>0</v>
      </c>
      <c r="B790" t="s">
        <v>89</v>
      </c>
      <c r="C790" t="s">
        <v>155</v>
      </c>
      <c r="D790" t="s">
        <v>221</v>
      </c>
      <c r="F790" t="s">
        <v>832</v>
      </c>
      <c r="G790" t="s">
        <v>1386</v>
      </c>
      <c r="H790" t="s">
        <v>1891</v>
      </c>
      <c r="I790" t="s">
        <v>2081</v>
      </c>
      <c r="J790" t="s">
        <v>2204</v>
      </c>
      <c r="K790">
        <v>11377</v>
      </c>
      <c r="L790" t="s">
        <v>2224</v>
      </c>
      <c r="M790" t="s">
        <v>2226</v>
      </c>
      <c r="N790" t="s">
        <v>2508</v>
      </c>
      <c r="O790" t="s">
        <v>2537</v>
      </c>
      <c r="P790" t="s">
        <v>2560</v>
      </c>
      <c r="R790" t="s">
        <v>2569</v>
      </c>
      <c r="S790" t="s">
        <v>2224</v>
      </c>
      <c r="U790" t="s">
        <v>2578</v>
      </c>
      <c r="V790" t="s">
        <v>2588</v>
      </c>
      <c r="W790" t="s">
        <v>221</v>
      </c>
      <c r="X790">
        <v>2000</v>
      </c>
      <c r="Y790" t="s">
        <v>2603</v>
      </c>
      <c r="Z790" t="s">
        <v>2614</v>
      </c>
      <c r="AB790" t="s">
        <v>3345</v>
      </c>
      <c r="AD790" t="s">
        <v>4085</v>
      </c>
      <c r="AE790">
        <v>390</v>
      </c>
      <c r="AF790" t="s">
        <v>4099</v>
      </c>
      <c r="AG790" t="s">
        <v>2611</v>
      </c>
      <c r="AH790">
        <v>-1</v>
      </c>
      <c r="AI790">
        <v>2</v>
      </c>
      <c r="AJ790">
        <v>0</v>
      </c>
      <c r="AK790">
        <v>650.5</v>
      </c>
      <c r="AN790" t="s">
        <v>4126</v>
      </c>
      <c r="AO790">
        <v>110000</v>
      </c>
      <c r="AU790">
        <v>0.4</v>
      </c>
      <c r="AV790" t="s">
        <v>221</v>
      </c>
      <c r="AW790" t="s">
        <v>4224</v>
      </c>
      <c r="AX790" t="s">
        <v>4266</v>
      </c>
      <c r="AY790" t="s">
        <v>2224</v>
      </c>
      <c r="AZ790" t="s">
        <v>2224</v>
      </c>
    </row>
    <row r="791" spans="1:52">
      <c r="A791" s="1">
        <f>HYPERLINK("https://lsnyc.legalserver.org/matter/dynamic-profile/view/1910421","19-1910421")</f>
        <v>0</v>
      </c>
      <c r="B791" t="s">
        <v>67</v>
      </c>
      <c r="C791" t="s">
        <v>155</v>
      </c>
      <c r="D791" t="s">
        <v>178</v>
      </c>
      <c r="F791" t="s">
        <v>833</v>
      </c>
      <c r="G791" t="s">
        <v>878</v>
      </c>
      <c r="H791" t="s">
        <v>1935</v>
      </c>
      <c r="I791" t="s">
        <v>2023</v>
      </c>
      <c r="J791" t="s">
        <v>2192</v>
      </c>
      <c r="K791">
        <v>11225</v>
      </c>
      <c r="L791" t="s">
        <v>2224</v>
      </c>
      <c r="M791" t="s">
        <v>2226</v>
      </c>
      <c r="P791" t="s">
        <v>2560</v>
      </c>
      <c r="R791" t="s">
        <v>2569</v>
      </c>
      <c r="S791" t="s">
        <v>2224</v>
      </c>
      <c r="U791" t="s">
        <v>2578</v>
      </c>
      <c r="W791" t="s">
        <v>211</v>
      </c>
      <c r="X791">
        <v>0</v>
      </c>
      <c r="Y791" t="s">
        <v>2604</v>
      </c>
      <c r="AB791" t="s">
        <v>3346</v>
      </c>
      <c r="AD791" t="s">
        <v>4086</v>
      </c>
      <c r="AE791">
        <v>14</v>
      </c>
      <c r="AH791">
        <v>0</v>
      </c>
      <c r="AI791">
        <v>2</v>
      </c>
      <c r="AJ791">
        <v>0</v>
      </c>
      <c r="AK791">
        <v>656.42</v>
      </c>
      <c r="AN791" t="s">
        <v>4126</v>
      </c>
      <c r="AO791">
        <v>111000</v>
      </c>
      <c r="AU791">
        <v>0</v>
      </c>
      <c r="AW791" t="s">
        <v>153</v>
      </c>
      <c r="AX791" t="s">
        <v>4266</v>
      </c>
      <c r="AY791" t="s">
        <v>2224</v>
      </c>
      <c r="AZ791" t="s">
        <v>2224</v>
      </c>
    </row>
    <row r="792" spans="1:52">
      <c r="A792" s="1">
        <f>HYPERLINK("https://lsnyc.legalserver.org/matter/dynamic-profile/view/1911067","19-1911067")</f>
        <v>0</v>
      </c>
      <c r="B792" t="s">
        <v>67</v>
      </c>
      <c r="C792" t="s">
        <v>155</v>
      </c>
      <c r="D792" t="s">
        <v>225</v>
      </c>
      <c r="F792" t="s">
        <v>833</v>
      </c>
      <c r="G792" t="s">
        <v>878</v>
      </c>
      <c r="H792" t="s">
        <v>1935</v>
      </c>
      <c r="I792" t="s">
        <v>2023</v>
      </c>
      <c r="J792" t="s">
        <v>2192</v>
      </c>
      <c r="K792">
        <v>11225</v>
      </c>
      <c r="L792" t="s">
        <v>2224</v>
      </c>
      <c r="M792" t="s">
        <v>2226</v>
      </c>
      <c r="P792" t="s">
        <v>2560</v>
      </c>
      <c r="R792" t="s">
        <v>2569</v>
      </c>
      <c r="S792" t="s">
        <v>2224</v>
      </c>
      <c r="U792" t="s">
        <v>2578</v>
      </c>
      <c r="W792" t="s">
        <v>166</v>
      </c>
      <c r="X792">
        <v>0</v>
      </c>
      <c r="Y792" t="s">
        <v>2604</v>
      </c>
      <c r="AB792" t="s">
        <v>3346</v>
      </c>
      <c r="AD792" t="s">
        <v>4086</v>
      </c>
      <c r="AE792">
        <v>14</v>
      </c>
      <c r="AH792">
        <v>0</v>
      </c>
      <c r="AI792">
        <v>2</v>
      </c>
      <c r="AJ792">
        <v>0</v>
      </c>
      <c r="AK792">
        <v>656.42</v>
      </c>
      <c r="AN792" t="s">
        <v>4126</v>
      </c>
      <c r="AO792">
        <v>111000</v>
      </c>
      <c r="AU792">
        <v>0</v>
      </c>
      <c r="AW792" t="s">
        <v>153</v>
      </c>
      <c r="AX792" t="s">
        <v>4266</v>
      </c>
      <c r="AY792" t="s">
        <v>2224</v>
      </c>
      <c r="AZ792" t="s">
        <v>2224</v>
      </c>
    </row>
    <row r="793" spans="1:52">
      <c r="A793" s="1">
        <f>HYPERLINK("https://lsnyc.legalserver.org/matter/dynamic-profile/view/1904892","19-1904892")</f>
        <v>0</v>
      </c>
      <c r="B793" t="s">
        <v>98</v>
      </c>
      <c r="C793" t="s">
        <v>154</v>
      </c>
      <c r="D793" t="s">
        <v>210</v>
      </c>
      <c r="E793" t="s">
        <v>296</v>
      </c>
      <c r="F793" t="s">
        <v>834</v>
      </c>
      <c r="G793" t="s">
        <v>1387</v>
      </c>
      <c r="H793" t="s">
        <v>1941</v>
      </c>
      <c r="I793" t="s">
        <v>1989</v>
      </c>
      <c r="J793" t="s">
        <v>2196</v>
      </c>
      <c r="K793">
        <v>10033</v>
      </c>
      <c r="L793" t="s">
        <v>2224</v>
      </c>
      <c r="M793" t="s">
        <v>2226</v>
      </c>
      <c r="O793" t="s">
        <v>2536</v>
      </c>
      <c r="P793" t="s">
        <v>2556</v>
      </c>
      <c r="Q793" t="s">
        <v>2563</v>
      </c>
      <c r="R793" t="s">
        <v>2569</v>
      </c>
      <c r="S793" t="s">
        <v>2225</v>
      </c>
      <c r="U793" t="s">
        <v>2578</v>
      </c>
      <c r="W793" t="s">
        <v>210</v>
      </c>
      <c r="X793">
        <v>2100</v>
      </c>
      <c r="Y793" t="s">
        <v>2607</v>
      </c>
      <c r="Z793" t="s">
        <v>2617</v>
      </c>
      <c r="AA793" t="s">
        <v>2626</v>
      </c>
      <c r="AB793" t="s">
        <v>3347</v>
      </c>
      <c r="AD793" t="s">
        <v>4087</v>
      </c>
      <c r="AE793">
        <v>95</v>
      </c>
      <c r="AF793" t="s">
        <v>4099</v>
      </c>
      <c r="AG793" t="s">
        <v>2255</v>
      </c>
      <c r="AH793">
        <v>2</v>
      </c>
      <c r="AI793">
        <v>2</v>
      </c>
      <c r="AJ793">
        <v>0</v>
      </c>
      <c r="AK793">
        <v>709.64</v>
      </c>
      <c r="AN793" t="s">
        <v>4126</v>
      </c>
      <c r="AO793">
        <v>120000</v>
      </c>
      <c r="AU793">
        <v>1.1</v>
      </c>
      <c r="AV793" t="s">
        <v>228</v>
      </c>
      <c r="AW793" t="s">
        <v>80</v>
      </c>
      <c r="AX793" t="s">
        <v>4266</v>
      </c>
      <c r="AY793" t="s">
        <v>2224</v>
      </c>
      <c r="AZ793" t="s">
        <v>2224</v>
      </c>
    </row>
    <row r="794" spans="1:52">
      <c r="A794" s="1">
        <f>HYPERLINK("https://lsnyc.legalserver.org/matter/dynamic-profile/view/1911660","19-1911660")</f>
        <v>0</v>
      </c>
      <c r="B794" t="s">
        <v>134</v>
      </c>
      <c r="C794" t="s">
        <v>155</v>
      </c>
      <c r="D794" t="s">
        <v>263</v>
      </c>
      <c r="F794" t="s">
        <v>835</v>
      </c>
      <c r="G794" t="s">
        <v>1388</v>
      </c>
      <c r="H794" t="s">
        <v>1942</v>
      </c>
      <c r="I794" t="s">
        <v>2068</v>
      </c>
      <c r="J794" t="s">
        <v>2196</v>
      </c>
      <c r="K794">
        <v>10040</v>
      </c>
      <c r="L794" t="s">
        <v>2224</v>
      </c>
      <c r="M794" t="s">
        <v>2226</v>
      </c>
      <c r="P794" t="s">
        <v>2559</v>
      </c>
      <c r="R794" t="s">
        <v>2569</v>
      </c>
      <c r="S794" t="s">
        <v>2225</v>
      </c>
      <c r="U794" t="s">
        <v>2578</v>
      </c>
      <c r="W794" t="s">
        <v>263</v>
      </c>
      <c r="X794">
        <v>1850</v>
      </c>
      <c r="Y794" t="s">
        <v>2607</v>
      </c>
      <c r="Z794" t="s">
        <v>2615</v>
      </c>
      <c r="AB794" t="s">
        <v>3348</v>
      </c>
      <c r="AD794" t="s">
        <v>4088</v>
      </c>
      <c r="AE794">
        <v>33</v>
      </c>
      <c r="AF794" t="s">
        <v>4098</v>
      </c>
      <c r="AG794" t="s">
        <v>2255</v>
      </c>
      <c r="AH794">
        <v>4</v>
      </c>
      <c r="AI794">
        <v>2</v>
      </c>
      <c r="AJ794">
        <v>0</v>
      </c>
      <c r="AK794">
        <v>751.03</v>
      </c>
      <c r="AN794" t="s">
        <v>4126</v>
      </c>
      <c r="AO794">
        <v>127000</v>
      </c>
      <c r="AU794">
        <v>2</v>
      </c>
      <c r="AV794" t="s">
        <v>199</v>
      </c>
      <c r="AW794" t="s">
        <v>80</v>
      </c>
      <c r="AX794" t="s">
        <v>4266</v>
      </c>
      <c r="AY794" t="s">
        <v>2226</v>
      </c>
      <c r="AZ794" t="s">
        <v>2226</v>
      </c>
    </row>
    <row r="795" spans="1:52">
      <c r="A795" s="1">
        <f>HYPERLINK("https://lsnyc.legalserver.org/matter/dynamic-profile/view/1908229","19-1908229")</f>
        <v>0</v>
      </c>
      <c r="B795" t="s">
        <v>96</v>
      </c>
      <c r="C795" t="s">
        <v>155</v>
      </c>
      <c r="D795" t="s">
        <v>289</v>
      </c>
      <c r="F795" t="s">
        <v>836</v>
      </c>
      <c r="G795" t="s">
        <v>1389</v>
      </c>
      <c r="H795" t="s">
        <v>1892</v>
      </c>
      <c r="I795" t="s">
        <v>2183</v>
      </c>
      <c r="J795" t="s">
        <v>2192</v>
      </c>
      <c r="K795">
        <v>11216</v>
      </c>
      <c r="L795" t="s">
        <v>2224</v>
      </c>
      <c r="M795" t="s">
        <v>2226</v>
      </c>
      <c r="N795" t="s">
        <v>2510</v>
      </c>
      <c r="O795" t="s">
        <v>2546</v>
      </c>
      <c r="P795" t="s">
        <v>2558</v>
      </c>
      <c r="R795" t="s">
        <v>2569</v>
      </c>
      <c r="S795" t="s">
        <v>2224</v>
      </c>
      <c r="U795" t="s">
        <v>2578</v>
      </c>
      <c r="V795" t="s">
        <v>2588</v>
      </c>
      <c r="W795" t="s">
        <v>214</v>
      </c>
      <c r="X795">
        <v>1624.29</v>
      </c>
      <c r="Y795" t="s">
        <v>2604</v>
      </c>
      <c r="Z795" t="s">
        <v>2609</v>
      </c>
      <c r="AB795" t="s">
        <v>3349</v>
      </c>
      <c r="AC795" t="s">
        <v>2244</v>
      </c>
      <c r="AD795" t="s">
        <v>4089</v>
      </c>
      <c r="AE795">
        <v>82</v>
      </c>
      <c r="AF795" t="s">
        <v>4099</v>
      </c>
      <c r="AH795">
        <v>-1</v>
      </c>
      <c r="AI795">
        <v>1</v>
      </c>
      <c r="AJ795">
        <v>0</v>
      </c>
      <c r="AK795">
        <v>780.62</v>
      </c>
      <c r="AN795" t="s">
        <v>4126</v>
      </c>
      <c r="AO795">
        <v>97500</v>
      </c>
      <c r="AU795">
        <v>0</v>
      </c>
      <c r="AW795" t="s">
        <v>4226</v>
      </c>
      <c r="AX795" t="s">
        <v>4266</v>
      </c>
      <c r="AY795" t="s">
        <v>2224</v>
      </c>
      <c r="AZ795" t="s">
        <v>2224</v>
      </c>
    </row>
    <row r="796" spans="1:52">
      <c r="A796" s="1">
        <f>HYPERLINK("https://lsnyc.legalserver.org/matter/dynamic-profile/view/1908228","19-1908228")</f>
        <v>0</v>
      </c>
      <c r="B796" t="s">
        <v>96</v>
      </c>
      <c r="C796" t="s">
        <v>155</v>
      </c>
      <c r="D796" t="s">
        <v>289</v>
      </c>
      <c r="F796" t="s">
        <v>836</v>
      </c>
      <c r="G796" t="s">
        <v>1389</v>
      </c>
      <c r="H796" t="s">
        <v>1892</v>
      </c>
      <c r="I796" t="s">
        <v>2183</v>
      </c>
      <c r="J796" t="s">
        <v>2192</v>
      </c>
      <c r="K796">
        <v>11216</v>
      </c>
      <c r="L796" t="s">
        <v>2224</v>
      </c>
      <c r="M796" t="s">
        <v>2226</v>
      </c>
      <c r="N796" t="s">
        <v>2255</v>
      </c>
      <c r="O796" t="s">
        <v>2539</v>
      </c>
      <c r="P796" t="s">
        <v>2561</v>
      </c>
      <c r="R796" t="s">
        <v>2569</v>
      </c>
      <c r="S796" t="s">
        <v>2224</v>
      </c>
      <c r="U796" t="s">
        <v>2578</v>
      </c>
      <c r="V796" t="s">
        <v>2588</v>
      </c>
      <c r="W796" t="s">
        <v>216</v>
      </c>
      <c r="X796">
        <v>1624.29</v>
      </c>
      <c r="Y796" t="s">
        <v>2604</v>
      </c>
      <c r="Z796" t="s">
        <v>2609</v>
      </c>
      <c r="AB796" t="s">
        <v>3349</v>
      </c>
      <c r="AC796" t="s">
        <v>2244</v>
      </c>
      <c r="AD796" t="s">
        <v>4089</v>
      </c>
      <c r="AE796">
        <v>82</v>
      </c>
      <c r="AF796" t="s">
        <v>4099</v>
      </c>
      <c r="AG796" t="s">
        <v>2255</v>
      </c>
      <c r="AH796">
        <v>-1</v>
      </c>
      <c r="AI796">
        <v>1</v>
      </c>
      <c r="AJ796">
        <v>0</v>
      </c>
      <c r="AK796">
        <v>780.62</v>
      </c>
      <c r="AN796" t="s">
        <v>4126</v>
      </c>
      <c r="AO796">
        <v>97500</v>
      </c>
      <c r="AU796">
        <v>0</v>
      </c>
      <c r="AW796" t="s">
        <v>4226</v>
      </c>
      <c r="AX796" t="s">
        <v>4266</v>
      </c>
      <c r="AY796" t="s">
        <v>2224</v>
      </c>
      <c r="AZ796" t="s">
        <v>2224</v>
      </c>
    </row>
    <row r="797" spans="1:52">
      <c r="A797" s="1">
        <f>HYPERLINK("https://lsnyc.legalserver.org/matter/dynamic-profile/view/1913097","19-1913097")</f>
        <v>0</v>
      </c>
      <c r="B797" t="s">
        <v>135</v>
      </c>
      <c r="C797" t="s">
        <v>155</v>
      </c>
      <c r="D797" t="s">
        <v>241</v>
      </c>
      <c r="F797" t="s">
        <v>837</v>
      </c>
      <c r="G797" t="s">
        <v>1333</v>
      </c>
      <c r="H797" t="s">
        <v>1788</v>
      </c>
      <c r="I797">
        <v>31</v>
      </c>
      <c r="J797" t="s">
        <v>2192</v>
      </c>
      <c r="K797">
        <v>11213</v>
      </c>
      <c r="L797" t="s">
        <v>2224</v>
      </c>
      <c r="M797" t="s">
        <v>2226</v>
      </c>
      <c r="O797" t="s">
        <v>2238</v>
      </c>
      <c r="P797" t="s">
        <v>2561</v>
      </c>
      <c r="R797" t="s">
        <v>2569</v>
      </c>
      <c r="S797" t="s">
        <v>2224</v>
      </c>
      <c r="U797" t="s">
        <v>2578</v>
      </c>
      <c r="W797" t="s">
        <v>241</v>
      </c>
      <c r="X797">
        <v>944.38</v>
      </c>
      <c r="Y797" t="s">
        <v>2604</v>
      </c>
      <c r="Z797" t="s">
        <v>2609</v>
      </c>
      <c r="AB797" t="s">
        <v>3350</v>
      </c>
      <c r="AD797" t="s">
        <v>4090</v>
      </c>
      <c r="AE797">
        <v>31</v>
      </c>
      <c r="AF797" t="s">
        <v>4099</v>
      </c>
      <c r="AH797">
        <v>15</v>
      </c>
      <c r="AI797">
        <v>2</v>
      </c>
      <c r="AJ797">
        <v>0</v>
      </c>
      <c r="AK797">
        <v>786.52</v>
      </c>
      <c r="AN797" t="s">
        <v>4126</v>
      </c>
      <c r="AO797">
        <v>133000</v>
      </c>
      <c r="AU797">
        <v>4.3</v>
      </c>
      <c r="AV797" t="s">
        <v>280</v>
      </c>
      <c r="AW797" t="s">
        <v>135</v>
      </c>
      <c r="AX797" t="s">
        <v>4266</v>
      </c>
      <c r="AY797" t="s">
        <v>2224</v>
      </c>
      <c r="AZ797" t="s">
        <v>2224</v>
      </c>
    </row>
    <row r="798" spans="1:52">
      <c r="A798" s="1">
        <f>HYPERLINK("https://lsnyc.legalserver.org/matter/dynamic-profile/view/1906363","19-1906363")</f>
        <v>0</v>
      </c>
      <c r="B798" t="s">
        <v>82</v>
      </c>
      <c r="C798" t="s">
        <v>155</v>
      </c>
      <c r="D798" t="s">
        <v>191</v>
      </c>
      <c r="F798" t="s">
        <v>838</v>
      </c>
      <c r="G798" t="s">
        <v>885</v>
      </c>
      <c r="H798" t="s">
        <v>1892</v>
      </c>
      <c r="I798" t="s">
        <v>1976</v>
      </c>
      <c r="J798" t="s">
        <v>2192</v>
      </c>
      <c r="K798">
        <v>11216</v>
      </c>
      <c r="L798" t="s">
        <v>2224</v>
      </c>
      <c r="M798" t="s">
        <v>2226</v>
      </c>
      <c r="N798" t="s">
        <v>2244</v>
      </c>
      <c r="O798" t="s">
        <v>2238</v>
      </c>
      <c r="P798" t="s">
        <v>2561</v>
      </c>
      <c r="R798" t="s">
        <v>2569</v>
      </c>
      <c r="S798" t="s">
        <v>2224</v>
      </c>
      <c r="U798" t="s">
        <v>2578</v>
      </c>
      <c r="V798" t="s">
        <v>2588</v>
      </c>
      <c r="W798" t="s">
        <v>162</v>
      </c>
      <c r="X798">
        <v>1550</v>
      </c>
      <c r="Y798" t="s">
        <v>2604</v>
      </c>
      <c r="Z798" t="s">
        <v>2609</v>
      </c>
      <c r="AB798" t="s">
        <v>3351</v>
      </c>
      <c r="AC798" t="s">
        <v>2244</v>
      </c>
      <c r="AD798" t="s">
        <v>4091</v>
      </c>
      <c r="AE798">
        <v>82</v>
      </c>
      <c r="AF798" t="s">
        <v>4099</v>
      </c>
      <c r="AG798" t="s">
        <v>2255</v>
      </c>
      <c r="AH798">
        <v>8</v>
      </c>
      <c r="AI798">
        <v>1</v>
      </c>
      <c r="AJ798">
        <v>0</v>
      </c>
      <c r="AK798">
        <v>792.63</v>
      </c>
      <c r="AM798" t="s">
        <v>4125</v>
      </c>
      <c r="AN798" t="s">
        <v>4126</v>
      </c>
      <c r="AO798">
        <v>99000</v>
      </c>
      <c r="AP798" t="s">
        <v>4171</v>
      </c>
      <c r="AU798">
        <v>0</v>
      </c>
      <c r="AW798" t="s">
        <v>4226</v>
      </c>
      <c r="AX798" t="s">
        <v>4266</v>
      </c>
      <c r="AY798" t="s">
        <v>2224</v>
      </c>
      <c r="AZ798" t="s">
        <v>2224</v>
      </c>
    </row>
    <row r="799" spans="1:52">
      <c r="A799" s="1">
        <f>HYPERLINK("https://lsnyc.legalserver.org/matter/dynamic-profile/view/1906367","19-1906367")</f>
        <v>0</v>
      </c>
      <c r="B799" t="s">
        <v>82</v>
      </c>
      <c r="C799" t="s">
        <v>155</v>
      </c>
      <c r="D799" t="s">
        <v>191</v>
      </c>
      <c r="F799" t="s">
        <v>838</v>
      </c>
      <c r="G799" t="s">
        <v>885</v>
      </c>
      <c r="H799" t="s">
        <v>1892</v>
      </c>
      <c r="I799" t="s">
        <v>1976</v>
      </c>
      <c r="J799" t="s">
        <v>2192</v>
      </c>
      <c r="K799">
        <v>11216</v>
      </c>
      <c r="L799" t="s">
        <v>2224</v>
      </c>
      <c r="M799" t="s">
        <v>2226</v>
      </c>
      <c r="N799" t="s">
        <v>2532</v>
      </c>
      <c r="O799" t="s">
        <v>2535</v>
      </c>
      <c r="P799" t="s">
        <v>2558</v>
      </c>
      <c r="R799" t="s">
        <v>2569</v>
      </c>
      <c r="S799" t="s">
        <v>2224</v>
      </c>
      <c r="U799" t="s">
        <v>2578</v>
      </c>
      <c r="V799" t="s">
        <v>2587</v>
      </c>
      <c r="W799" t="s">
        <v>220</v>
      </c>
      <c r="X799">
        <v>1550</v>
      </c>
      <c r="Y799" t="s">
        <v>2604</v>
      </c>
      <c r="Z799" t="s">
        <v>2609</v>
      </c>
      <c r="AB799" t="s">
        <v>3351</v>
      </c>
      <c r="AC799" t="s">
        <v>2244</v>
      </c>
      <c r="AD799" t="s">
        <v>4091</v>
      </c>
      <c r="AE799">
        <v>82</v>
      </c>
      <c r="AF799" t="s">
        <v>4099</v>
      </c>
      <c r="AG799" t="s">
        <v>2255</v>
      </c>
      <c r="AH799">
        <v>8</v>
      </c>
      <c r="AI799">
        <v>1</v>
      </c>
      <c r="AJ799">
        <v>0</v>
      </c>
      <c r="AK799">
        <v>792.63</v>
      </c>
      <c r="AM799" t="s">
        <v>4125</v>
      </c>
      <c r="AN799" t="s">
        <v>4126</v>
      </c>
      <c r="AO799">
        <v>99000</v>
      </c>
      <c r="AP799" t="s">
        <v>4172</v>
      </c>
      <c r="AU799">
        <v>43.6</v>
      </c>
      <c r="AV799" t="s">
        <v>168</v>
      </c>
      <c r="AW799" t="s">
        <v>4226</v>
      </c>
      <c r="AX799" t="s">
        <v>4266</v>
      </c>
      <c r="AY799" t="s">
        <v>2224</v>
      </c>
      <c r="AZ799" t="s">
        <v>2224</v>
      </c>
    </row>
    <row r="800" spans="1:52">
      <c r="A800" s="1">
        <f>HYPERLINK("https://lsnyc.legalserver.org/matter/dynamic-profile/view/1908412","19-1908412")</f>
        <v>0</v>
      </c>
      <c r="B800" t="s">
        <v>87</v>
      </c>
      <c r="C800" t="s">
        <v>155</v>
      </c>
      <c r="D800" t="s">
        <v>234</v>
      </c>
      <c r="F800" t="s">
        <v>839</v>
      </c>
      <c r="G800" t="s">
        <v>1390</v>
      </c>
      <c r="H800" t="s">
        <v>1520</v>
      </c>
      <c r="I800" t="s">
        <v>2184</v>
      </c>
      <c r="J800" t="s">
        <v>2196</v>
      </c>
      <c r="K800">
        <v>10035</v>
      </c>
      <c r="L800" t="s">
        <v>2224</v>
      </c>
      <c r="M800" t="s">
        <v>2226</v>
      </c>
      <c r="O800" t="s">
        <v>2238</v>
      </c>
      <c r="P800" t="s">
        <v>2561</v>
      </c>
      <c r="R800" t="s">
        <v>2569</v>
      </c>
      <c r="S800" t="s">
        <v>2224</v>
      </c>
      <c r="U800" t="s">
        <v>2578</v>
      </c>
      <c r="V800" t="s">
        <v>2588</v>
      </c>
      <c r="W800" t="s">
        <v>247</v>
      </c>
      <c r="X800">
        <v>1510</v>
      </c>
      <c r="Y800" t="s">
        <v>2607</v>
      </c>
      <c r="Z800" t="s">
        <v>2609</v>
      </c>
      <c r="AB800" t="s">
        <v>3352</v>
      </c>
      <c r="AC800" t="s">
        <v>2255</v>
      </c>
      <c r="AD800" t="s">
        <v>4092</v>
      </c>
      <c r="AE800">
        <v>72</v>
      </c>
      <c r="AF800" t="s">
        <v>4099</v>
      </c>
      <c r="AG800" t="s">
        <v>2255</v>
      </c>
      <c r="AH800">
        <v>6</v>
      </c>
      <c r="AI800">
        <v>1</v>
      </c>
      <c r="AJ800">
        <v>0</v>
      </c>
      <c r="AK800">
        <v>800.64</v>
      </c>
      <c r="AN800" t="s">
        <v>4126</v>
      </c>
      <c r="AO800">
        <v>100000</v>
      </c>
      <c r="AP800" t="s">
        <v>4162</v>
      </c>
      <c r="AU800">
        <v>0</v>
      </c>
      <c r="AW800" t="s">
        <v>4237</v>
      </c>
      <c r="AX800" t="s">
        <v>4266</v>
      </c>
      <c r="AY800" t="s">
        <v>2224</v>
      </c>
      <c r="AZ800" t="s">
        <v>2224</v>
      </c>
    </row>
    <row r="801" spans="1:52">
      <c r="A801" s="1">
        <f>HYPERLINK("https://lsnyc.legalserver.org/matter/dynamic-profile/view/1906006","19-1906006")</f>
        <v>0</v>
      </c>
      <c r="B801" t="s">
        <v>78</v>
      </c>
      <c r="C801" t="s">
        <v>155</v>
      </c>
      <c r="D801" t="s">
        <v>164</v>
      </c>
      <c r="F801" t="s">
        <v>840</v>
      </c>
      <c r="G801" t="s">
        <v>1391</v>
      </c>
      <c r="H801" t="s">
        <v>1943</v>
      </c>
      <c r="I801" t="s">
        <v>1960</v>
      </c>
      <c r="J801" t="s">
        <v>2196</v>
      </c>
      <c r="K801">
        <v>10033</v>
      </c>
      <c r="L801" t="s">
        <v>2224</v>
      </c>
      <c r="M801" t="s">
        <v>2226</v>
      </c>
      <c r="P801" t="s">
        <v>2559</v>
      </c>
      <c r="R801" t="s">
        <v>2569</v>
      </c>
      <c r="S801" t="s">
        <v>2225</v>
      </c>
      <c r="U801" t="s">
        <v>2578</v>
      </c>
      <c r="W801" t="s">
        <v>164</v>
      </c>
      <c r="X801">
        <v>2275</v>
      </c>
      <c r="Y801" t="s">
        <v>2607</v>
      </c>
      <c r="Z801" t="s">
        <v>2617</v>
      </c>
      <c r="AB801" t="s">
        <v>3353</v>
      </c>
      <c r="AD801" t="s">
        <v>4093</v>
      </c>
      <c r="AE801">
        <v>49</v>
      </c>
      <c r="AF801" t="s">
        <v>4099</v>
      </c>
      <c r="AG801" t="s">
        <v>2255</v>
      </c>
      <c r="AH801">
        <v>8</v>
      </c>
      <c r="AI801">
        <v>3</v>
      </c>
      <c r="AJ801">
        <v>0</v>
      </c>
      <c r="AK801">
        <v>825.13</v>
      </c>
      <c r="AN801" t="s">
        <v>4126</v>
      </c>
      <c r="AO801">
        <v>176000</v>
      </c>
      <c r="AU801">
        <v>0</v>
      </c>
      <c r="AW801" t="s">
        <v>80</v>
      </c>
      <c r="AX801" t="s">
        <v>4266</v>
      </c>
      <c r="AY801" t="s">
        <v>2224</v>
      </c>
      <c r="AZ801" t="s">
        <v>2224</v>
      </c>
    </row>
    <row r="802" spans="1:52">
      <c r="A802" s="1">
        <f>HYPERLINK("https://lsnyc.legalserver.org/matter/dynamic-profile/view/1907063","19-1907063")</f>
        <v>0</v>
      </c>
      <c r="B802" t="s">
        <v>68</v>
      </c>
      <c r="C802" t="s">
        <v>155</v>
      </c>
      <c r="D802" t="s">
        <v>193</v>
      </c>
      <c r="F802" t="s">
        <v>841</v>
      </c>
      <c r="G802" t="s">
        <v>1392</v>
      </c>
      <c r="H802" t="s">
        <v>1944</v>
      </c>
      <c r="I802" t="s">
        <v>2034</v>
      </c>
      <c r="J802" t="s">
        <v>2192</v>
      </c>
      <c r="K802">
        <v>11213</v>
      </c>
      <c r="L802" t="s">
        <v>2224</v>
      </c>
      <c r="M802" t="s">
        <v>2226</v>
      </c>
      <c r="O802" t="s">
        <v>2539</v>
      </c>
      <c r="P802" t="s">
        <v>2557</v>
      </c>
      <c r="R802" t="s">
        <v>2569</v>
      </c>
      <c r="U802" t="s">
        <v>2578</v>
      </c>
      <c r="W802" t="s">
        <v>181</v>
      </c>
      <c r="X802">
        <v>0</v>
      </c>
      <c r="Y802" t="s">
        <v>2604</v>
      </c>
      <c r="AB802" t="s">
        <v>3354</v>
      </c>
      <c r="AD802" t="s">
        <v>4094</v>
      </c>
      <c r="AE802">
        <v>38</v>
      </c>
      <c r="AH802">
        <v>0</v>
      </c>
      <c r="AI802">
        <v>2</v>
      </c>
      <c r="AJ802">
        <v>0</v>
      </c>
      <c r="AK802">
        <v>839.15</v>
      </c>
      <c r="AN802" t="s">
        <v>4126</v>
      </c>
      <c r="AO802">
        <v>141900</v>
      </c>
      <c r="AU802">
        <v>1.4</v>
      </c>
      <c r="AV802" t="s">
        <v>193</v>
      </c>
      <c r="AW802" t="s">
        <v>124</v>
      </c>
      <c r="AX802" t="s">
        <v>2255</v>
      </c>
      <c r="AY802" t="s">
        <v>2226</v>
      </c>
      <c r="AZ802" t="s">
        <v>2226</v>
      </c>
    </row>
    <row r="803" spans="1:52">
      <c r="A803" s="1">
        <f>HYPERLINK("https://lsnyc.legalserver.org/matter/dynamic-profile/view/1912865","19-1912865")</f>
        <v>0</v>
      </c>
      <c r="B803" t="s">
        <v>153</v>
      </c>
      <c r="C803" t="s">
        <v>155</v>
      </c>
      <c r="D803" t="s">
        <v>204</v>
      </c>
      <c r="F803" t="s">
        <v>842</v>
      </c>
      <c r="G803" t="s">
        <v>1393</v>
      </c>
      <c r="H803" t="s">
        <v>1945</v>
      </c>
      <c r="I803" t="s">
        <v>2085</v>
      </c>
      <c r="J803" t="s">
        <v>2192</v>
      </c>
      <c r="K803">
        <v>11237</v>
      </c>
      <c r="L803" t="s">
        <v>2224</v>
      </c>
      <c r="M803" t="s">
        <v>2226</v>
      </c>
      <c r="O803" t="s">
        <v>2238</v>
      </c>
      <c r="P803" t="s">
        <v>2558</v>
      </c>
      <c r="R803" t="s">
        <v>2569</v>
      </c>
      <c r="S803" t="s">
        <v>2225</v>
      </c>
      <c r="U803" t="s">
        <v>2578</v>
      </c>
      <c r="W803" t="s">
        <v>204</v>
      </c>
      <c r="X803">
        <v>0</v>
      </c>
      <c r="Y803" t="s">
        <v>2604</v>
      </c>
      <c r="AB803" t="s">
        <v>3355</v>
      </c>
      <c r="AD803" t="s">
        <v>4095</v>
      </c>
      <c r="AE803">
        <v>0</v>
      </c>
      <c r="AH803">
        <v>7</v>
      </c>
      <c r="AI803">
        <v>5</v>
      </c>
      <c r="AJ803">
        <v>2</v>
      </c>
      <c r="AK803">
        <v>1127.92</v>
      </c>
      <c r="AN803" t="s">
        <v>4127</v>
      </c>
      <c r="AO803">
        <v>440000</v>
      </c>
      <c r="AU803">
        <v>0</v>
      </c>
      <c r="AW803" t="s">
        <v>153</v>
      </c>
      <c r="AX803" t="s">
        <v>4266</v>
      </c>
      <c r="AY803" t="s">
        <v>2226</v>
      </c>
      <c r="AZ803" t="s">
        <v>2226</v>
      </c>
    </row>
    <row r="804" spans="1:52">
      <c r="A804" s="1">
        <f>HYPERLINK("https://lsnyc.legalserver.org/matter/dynamic-profile/view/1907507","19-1907507")</f>
        <v>0</v>
      </c>
      <c r="B804" t="s">
        <v>68</v>
      </c>
      <c r="C804" t="s">
        <v>155</v>
      </c>
      <c r="D804" t="s">
        <v>162</v>
      </c>
      <c r="F804" t="s">
        <v>843</v>
      </c>
      <c r="G804" t="s">
        <v>1394</v>
      </c>
      <c r="H804" t="s">
        <v>1422</v>
      </c>
      <c r="I804" t="s">
        <v>2185</v>
      </c>
      <c r="J804" t="s">
        <v>2192</v>
      </c>
      <c r="K804">
        <v>11225</v>
      </c>
      <c r="L804" t="s">
        <v>2224</v>
      </c>
      <c r="M804" t="s">
        <v>2226</v>
      </c>
      <c r="O804" t="s">
        <v>2539</v>
      </c>
      <c r="P804" t="s">
        <v>2557</v>
      </c>
      <c r="R804" t="s">
        <v>2569</v>
      </c>
      <c r="S804" t="s">
        <v>2224</v>
      </c>
      <c r="U804" t="s">
        <v>2578</v>
      </c>
      <c r="W804" t="s">
        <v>162</v>
      </c>
      <c r="X804">
        <v>0</v>
      </c>
      <c r="Y804" t="s">
        <v>2604</v>
      </c>
      <c r="AB804" t="s">
        <v>3356</v>
      </c>
      <c r="AD804" t="s">
        <v>4096</v>
      </c>
      <c r="AE804">
        <v>46</v>
      </c>
      <c r="AH804">
        <v>0</v>
      </c>
      <c r="AI804">
        <v>1</v>
      </c>
      <c r="AJ804">
        <v>0</v>
      </c>
      <c r="AK804">
        <v>1136.91</v>
      </c>
      <c r="AN804" t="s">
        <v>4126</v>
      </c>
      <c r="AO804">
        <v>142000</v>
      </c>
      <c r="AU804">
        <v>0</v>
      </c>
      <c r="AW804" t="s">
        <v>153</v>
      </c>
      <c r="AX804" t="s">
        <v>4266</v>
      </c>
      <c r="AY804" t="s">
        <v>2224</v>
      </c>
      <c r="AZ804" t="s">
        <v>2224</v>
      </c>
    </row>
    <row r="805" spans="1:52">
      <c r="A805" s="1">
        <f>HYPERLINK("https://lsnyc.legalserver.org/matter/dynamic-profile/view/1910129","19-1910129")</f>
        <v>0</v>
      </c>
      <c r="B805" t="s">
        <v>76</v>
      </c>
      <c r="C805" t="s">
        <v>155</v>
      </c>
      <c r="D805" t="s">
        <v>211</v>
      </c>
      <c r="F805" t="s">
        <v>844</v>
      </c>
      <c r="G805" t="s">
        <v>1395</v>
      </c>
      <c r="H805" t="s">
        <v>1785</v>
      </c>
      <c r="J805" t="s">
        <v>2196</v>
      </c>
      <c r="K805">
        <v>10032</v>
      </c>
      <c r="L805" t="s">
        <v>2224</v>
      </c>
      <c r="M805" t="s">
        <v>2226</v>
      </c>
      <c r="O805" t="s">
        <v>2534</v>
      </c>
      <c r="P805" t="s">
        <v>2558</v>
      </c>
      <c r="R805" t="s">
        <v>2569</v>
      </c>
      <c r="S805" t="s">
        <v>2224</v>
      </c>
      <c r="U805" t="s">
        <v>2578</v>
      </c>
      <c r="W805" t="s">
        <v>211</v>
      </c>
      <c r="X805">
        <v>2995</v>
      </c>
      <c r="Y805" t="s">
        <v>2607</v>
      </c>
      <c r="Z805" t="s">
        <v>2617</v>
      </c>
      <c r="AB805" t="s">
        <v>3357</v>
      </c>
      <c r="AD805" t="s">
        <v>4097</v>
      </c>
      <c r="AE805">
        <v>47</v>
      </c>
      <c r="AF805" t="s">
        <v>4099</v>
      </c>
      <c r="AG805" t="s">
        <v>2255</v>
      </c>
      <c r="AH805">
        <v>1</v>
      </c>
      <c r="AI805">
        <v>2</v>
      </c>
      <c r="AJ805">
        <v>0</v>
      </c>
      <c r="AK805">
        <v>1951.51</v>
      </c>
      <c r="AN805" t="s">
        <v>4126</v>
      </c>
      <c r="AO805">
        <v>330000</v>
      </c>
      <c r="AU805">
        <v>0</v>
      </c>
      <c r="AW805" t="s">
        <v>80</v>
      </c>
      <c r="AX805" t="s">
        <v>4266</v>
      </c>
      <c r="AY805" t="s">
        <v>2226</v>
      </c>
      <c r="AZ805" t="s">
        <v>2226</v>
      </c>
    </row>
    <row r="806" spans="1:52">
      <c r="A806" s="1">
        <f>HYPERLINK("https://lsnyc.legalserver.org/matter/dynamic-profile/view/1910273","19-1910273")</f>
        <v>0</v>
      </c>
      <c r="B806" t="s">
        <v>93</v>
      </c>
      <c r="C806" t="s">
        <v>155</v>
      </c>
      <c r="D806" t="s">
        <v>281</v>
      </c>
      <c r="F806" t="s">
        <v>725</v>
      </c>
      <c r="G806" t="s">
        <v>1272</v>
      </c>
      <c r="H806" t="s">
        <v>1844</v>
      </c>
      <c r="J806" t="s">
        <v>2188</v>
      </c>
      <c r="K806">
        <v>11435</v>
      </c>
      <c r="L806" t="s">
        <v>2224</v>
      </c>
      <c r="M806" t="s">
        <v>2226</v>
      </c>
      <c r="O806" t="s">
        <v>2536</v>
      </c>
      <c r="P806" t="s">
        <v>2561</v>
      </c>
      <c r="R806" t="s">
        <v>2569</v>
      </c>
      <c r="S806" t="s">
        <v>2225</v>
      </c>
      <c r="U806" t="s">
        <v>2578</v>
      </c>
      <c r="V806" t="s">
        <v>2588</v>
      </c>
      <c r="W806" t="s">
        <v>281</v>
      </c>
      <c r="X806">
        <v>2010</v>
      </c>
      <c r="Y806" t="s">
        <v>2603</v>
      </c>
      <c r="Z806" t="s">
        <v>2620</v>
      </c>
      <c r="AB806" t="s">
        <v>3184</v>
      </c>
      <c r="AD806" t="s">
        <v>3944</v>
      </c>
      <c r="AE806">
        <v>2</v>
      </c>
      <c r="AF806" t="s">
        <v>4098</v>
      </c>
      <c r="AG806" t="s">
        <v>2255</v>
      </c>
      <c r="AH806">
        <v>-1</v>
      </c>
      <c r="AI806">
        <v>2</v>
      </c>
      <c r="AJ806">
        <v>3</v>
      </c>
      <c r="AK806">
        <v>2147.83</v>
      </c>
      <c r="AN806" t="s">
        <v>4126</v>
      </c>
      <c r="AO806">
        <v>648000</v>
      </c>
      <c r="AU806">
        <v>0.3</v>
      </c>
      <c r="AV806" t="s">
        <v>281</v>
      </c>
      <c r="AW806" t="s">
        <v>93</v>
      </c>
      <c r="AX806" t="s">
        <v>4266</v>
      </c>
      <c r="AY806" t="s">
        <v>2224</v>
      </c>
      <c r="AZ806" t="s">
        <v>2224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TRC Raw Case Data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2019-11-04T19:51:49Z</dcterms:created>
  <dcterms:modified xsi:type="dcterms:W3CDTF">2019-11-04T19:51:49Z</dcterms:modified>
</cp:coreProperties>
</file>