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e List" sheetId="1" r:id="rId1"/>
    <sheet name="Cases Summary" sheetId="2" r:id="rId2"/>
    <sheet name="Needs Release Summary" sheetId="3" r:id="rId3"/>
    <sheet name="Income Verified Summary" sheetId="4" r:id="rId4"/>
    <sheet name="Eligibility Date Summary" sheetId="5" r:id="rId5"/>
    <sheet name="SSA PA Summary" sheetId="6" r:id="rId6"/>
    <sheet name="Level of Service Summary" sheetId="7" r:id="rId7"/>
  </sheets>
  <calcPr calcId="124519" fullCalcOnLoad="1"/>
</workbook>
</file>

<file path=xl/sharedStrings.xml><?xml version="1.0" encoding="utf-8"?>
<sst xmlns="http://schemas.openxmlformats.org/spreadsheetml/2006/main" count="16632" uniqueCount="21">
  <si>
    <t>Case #</t>
  </si>
  <si>
    <t>Assigned Branch/CC</t>
  </si>
  <si>
    <t>Needs Release?</t>
  </si>
  <si>
    <t>Eligibility Date in Current Fiscal Year?</t>
  </si>
  <si>
    <t>Income Verified?</t>
  </si>
  <si>
    <t>Needs SSN or PA#?</t>
  </si>
  <si>
    <t>Needs Level of Service?</t>
  </si>
  <si>
    <t>Any Problems?</t>
  </si>
  <si>
    <t>QLS</t>
  </si>
  <si>
    <t>BkLS</t>
  </si>
  <si>
    <t>BxLS</t>
  </si>
  <si>
    <t>SILS</t>
  </si>
  <si>
    <t>MLS</t>
  </si>
  <si>
    <t>Needs HRA Release</t>
  </si>
  <si>
    <t>No Eligibility Date</t>
  </si>
  <si>
    <t>Wrong Fiscal Year</t>
  </si>
  <si>
    <t>Needs Income Verified</t>
  </si>
  <si>
    <t>Needs SSN or PA#</t>
  </si>
  <si>
    <t>Needs Level of Service</t>
  </si>
  <si>
    <t>No Problems</t>
  </si>
  <si>
    <t>Case Has Problems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</si>
</sst>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938"/>
  <sheetViews>
    <sheetView tabSelected="1" workbookViewId="0"/>
  </sheetViews>
  <sheetFormatPr defaultRowHeight="15"/>
  <cols>
    <col min="1" max="1" width="20.7109375" style="1" customWidth="1"/>
    <col min="2" max="8" width="22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f>HYPERLINK("https://cms.ls-nyc.org/matter/dynamic-profile/view/1873379","18-1873379")</f>
        <v>0</v>
      </c>
      <c r="B2" t="s">
        <v>8</v>
      </c>
      <c r="H2" t="s">
        <v>19</v>
      </c>
    </row>
    <row r="3" spans="1:8">
      <c r="A3" s="1">
        <f>HYPERLINK("https://cms.ls-nyc.org/matter/dynamic-profile/view/1896146","19-1896146")</f>
        <v>0</v>
      </c>
      <c r="B3" t="s">
        <v>8</v>
      </c>
      <c r="H3" t="s">
        <v>19</v>
      </c>
    </row>
    <row r="4" spans="1:8">
      <c r="A4" s="1">
        <f>HYPERLINK("https://cms.ls-nyc.org/matter/dynamic-profile/view/1894699","19-1894699")</f>
        <v>0</v>
      </c>
      <c r="B4" t="s">
        <v>8</v>
      </c>
      <c r="H4" t="s">
        <v>19</v>
      </c>
    </row>
    <row r="5" spans="1:8">
      <c r="A5" s="1">
        <f>HYPERLINK("https://cms.ls-nyc.org/matter/dynamic-profile/view/1874432","18-1874432")</f>
        <v>0</v>
      </c>
      <c r="B5" t="s">
        <v>8</v>
      </c>
      <c r="H5" t="s">
        <v>19</v>
      </c>
    </row>
    <row r="6" spans="1:8">
      <c r="A6" s="1">
        <f>HYPERLINK("https://cms.ls-nyc.org/matter/dynamic-profile/view/1874602","18-1874602")</f>
        <v>0</v>
      </c>
      <c r="B6" t="s">
        <v>8</v>
      </c>
      <c r="H6" t="s">
        <v>19</v>
      </c>
    </row>
    <row r="7" spans="1:8">
      <c r="A7" s="1">
        <f>HYPERLINK("https://cms.ls-nyc.org/matter/dynamic-profile/view/1899763","19-1899763")</f>
        <v>0</v>
      </c>
      <c r="B7" t="s">
        <v>8</v>
      </c>
      <c r="D7" t="s">
        <v>14</v>
      </c>
      <c r="H7" t="s">
        <v>20</v>
      </c>
    </row>
    <row r="8" spans="1:8">
      <c r="A8" s="1">
        <f>HYPERLINK("https://cms.ls-nyc.org/matter/dynamic-profile/view/1900415","19-1900415")</f>
        <v>0</v>
      </c>
      <c r="B8" t="s">
        <v>8</v>
      </c>
      <c r="H8" t="s">
        <v>19</v>
      </c>
    </row>
    <row r="9" spans="1:8">
      <c r="A9" s="1">
        <f>HYPERLINK("https://cms.ls-nyc.org/matter/dynamic-profile/view/1895286","19-1895286")</f>
        <v>0</v>
      </c>
      <c r="B9" t="s">
        <v>8</v>
      </c>
      <c r="H9" t="s">
        <v>19</v>
      </c>
    </row>
    <row r="10" spans="1:8">
      <c r="A10" s="1">
        <f>HYPERLINK("https://cms.ls-nyc.org/matter/dynamic-profile/view/1855129","18-1855129")</f>
        <v>0</v>
      </c>
      <c r="B10" t="s">
        <v>8</v>
      </c>
      <c r="D10" t="s">
        <v>15</v>
      </c>
      <c r="E10" t="s">
        <v>16</v>
      </c>
      <c r="H10" t="s">
        <v>20</v>
      </c>
    </row>
    <row r="11" spans="1:8">
      <c r="A11" s="1">
        <f>HYPERLINK("https://cms.ls-nyc.org/matter/dynamic-profile/view/1885385","18-1885385")</f>
        <v>0</v>
      </c>
      <c r="B11" t="s">
        <v>8</v>
      </c>
      <c r="H11" t="s">
        <v>19</v>
      </c>
    </row>
    <row r="12" spans="1:8">
      <c r="A12" s="1">
        <f>HYPERLINK("https://cms.ls-nyc.org/matter/dynamic-profile/view/1890870","19-1890870")</f>
        <v>0</v>
      </c>
      <c r="B12" t="s">
        <v>8</v>
      </c>
      <c r="H12" t="s">
        <v>19</v>
      </c>
    </row>
    <row r="13" spans="1:8">
      <c r="A13" s="1">
        <f>HYPERLINK("https://cms.ls-nyc.org/matter/dynamic-profile/view/1895111","19-1895111")</f>
        <v>0</v>
      </c>
      <c r="B13" t="s">
        <v>8</v>
      </c>
      <c r="H13" t="s">
        <v>19</v>
      </c>
    </row>
    <row r="14" spans="1:8">
      <c r="A14" s="1">
        <f>HYPERLINK("https://cms.ls-nyc.org/matter/dynamic-profile/view/1867207","18-1867207")</f>
        <v>0</v>
      </c>
      <c r="B14" t="s">
        <v>8</v>
      </c>
      <c r="D14" t="s">
        <v>15</v>
      </c>
      <c r="E14" t="s">
        <v>16</v>
      </c>
      <c r="H14" t="s">
        <v>20</v>
      </c>
    </row>
    <row r="15" spans="1:8">
      <c r="A15" s="1">
        <f>HYPERLINK("https://cms.ls-nyc.org/matter/dynamic-profile/view/1893856","19-1893856")</f>
        <v>0</v>
      </c>
      <c r="B15" t="s">
        <v>8</v>
      </c>
      <c r="D15" t="s">
        <v>14</v>
      </c>
      <c r="H15" t="s">
        <v>20</v>
      </c>
    </row>
    <row r="16" spans="1:8">
      <c r="A16" s="1">
        <f>HYPERLINK("https://cms.ls-nyc.org/matter/dynamic-profile/view/1895861","19-1895861")</f>
        <v>0</v>
      </c>
      <c r="B16" t="s">
        <v>8</v>
      </c>
      <c r="D16" t="s">
        <v>15</v>
      </c>
      <c r="H16" t="s">
        <v>20</v>
      </c>
    </row>
    <row r="17" spans="1:8">
      <c r="A17" s="1">
        <f>HYPERLINK("https://cms.ls-nyc.org/matter/dynamic-profile/view/1838097","17-1838097")</f>
        <v>0</v>
      </c>
      <c r="B17" t="s">
        <v>8</v>
      </c>
      <c r="C17" t="s">
        <v>13</v>
      </c>
      <c r="D17" t="s">
        <v>15</v>
      </c>
      <c r="E17" t="s">
        <v>16</v>
      </c>
      <c r="H17" t="s">
        <v>20</v>
      </c>
    </row>
    <row r="18" spans="1:8">
      <c r="A18" s="1">
        <f>HYPERLINK("https://cms.ls-nyc.org/matter/dynamic-profile/view/1895163","19-1895163")</f>
        <v>0</v>
      </c>
      <c r="B18" t="s">
        <v>8</v>
      </c>
      <c r="D18" t="s">
        <v>14</v>
      </c>
      <c r="H18" t="s">
        <v>20</v>
      </c>
    </row>
    <row r="19" spans="1:8">
      <c r="A19" s="1">
        <f>HYPERLINK("https://cms.ls-nyc.org/matter/dynamic-profile/view/1899083","19-1899083")</f>
        <v>0</v>
      </c>
      <c r="B19" t="s">
        <v>8</v>
      </c>
      <c r="E19" t="s">
        <v>16</v>
      </c>
      <c r="F19" t="s">
        <v>17</v>
      </c>
      <c r="H19" t="s">
        <v>20</v>
      </c>
    </row>
    <row r="20" spans="1:8">
      <c r="A20" s="1">
        <f>HYPERLINK("https://cms.ls-nyc.org/matter/dynamic-profile/view/1898480","19-1898480")</f>
        <v>0</v>
      </c>
      <c r="B20" t="s">
        <v>8</v>
      </c>
      <c r="F20" t="s">
        <v>17</v>
      </c>
      <c r="H20" t="s">
        <v>20</v>
      </c>
    </row>
    <row r="21" spans="1:8">
      <c r="A21" s="1">
        <f>HYPERLINK("https://cms.ls-nyc.org/matter/dynamic-profile/view/1868973","18-1868973")</f>
        <v>0</v>
      </c>
      <c r="B21" t="s">
        <v>8</v>
      </c>
      <c r="D21" t="s">
        <v>15</v>
      </c>
      <c r="F21" t="s">
        <v>17</v>
      </c>
      <c r="H21" t="s">
        <v>20</v>
      </c>
    </row>
    <row r="22" spans="1:8">
      <c r="A22" s="1">
        <f>HYPERLINK("https://cms.ls-nyc.org/matter/dynamic-profile/view/1900668","19-1900668")</f>
        <v>0</v>
      </c>
      <c r="B22" t="s">
        <v>8</v>
      </c>
      <c r="E22" t="s">
        <v>16</v>
      </c>
      <c r="H22" t="s">
        <v>20</v>
      </c>
    </row>
    <row r="23" spans="1:8">
      <c r="A23" s="1">
        <f>HYPERLINK("https://cms.ls-nyc.org/matter/dynamic-profile/view/1880749","18-1880749")</f>
        <v>0</v>
      </c>
      <c r="B23" t="s">
        <v>8</v>
      </c>
      <c r="H23" t="s">
        <v>19</v>
      </c>
    </row>
    <row r="24" spans="1:8">
      <c r="A24" s="1">
        <f>HYPERLINK("https://cms.ls-nyc.org/matter/dynamic-profile/view/1884108","18-1884108")</f>
        <v>0</v>
      </c>
      <c r="B24" t="s">
        <v>8</v>
      </c>
      <c r="C24" t="s">
        <v>13</v>
      </c>
      <c r="D24" t="s">
        <v>14</v>
      </c>
      <c r="E24" t="s">
        <v>16</v>
      </c>
      <c r="F24" t="s">
        <v>17</v>
      </c>
      <c r="H24" t="s">
        <v>20</v>
      </c>
    </row>
    <row r="25" spans="1:8">
      <c r="A25" s="1">
        <f>HYPERLINK("https://cms.ls-nyc.org/matter/dynamic-profile/view/1900069","19-1900069")</f>
        <v>0</v>
      </c>
      <c r="B25" t="s">
        <v>8</v>
      </c>
      <c r="C25" t="s">
        <v>13</v>
      </c>
      <c r="D25" t="s">
        <v>14</v>
      </c>
      <c r="E25" t="s">
        <v>16</v>
      </c>
      <c r="H25" t="s">
        <v>20</v>
      </c>
    </row>
    <row r="26" spans="1:8">
      <c r="A26" s="1">
        <f>HYPERLINK("https://cms.ls-nyc.org/matter/dynamic-profile/view/1897809","19-1897809")</f>
        <v>0</v>
      </c>
      <c r="B26" t="s">
        <v>8</v>
      </c>
      <c r="H26" t="s">
        <v>19</v>
      </c>
    </row>
    <row r="27" spans="1:8">
      <c r="A27" s="1">
        <f>HYPERLINK("https://cms.ls-nyc.org/matter/dynamic-profile/view/1895654","19-1895654")</f>
        <v>0</v>
      </c>
      <c r="B27" t="s">
        <v>8</v>
      </c>
      <c r="F27" t="s">
        <v>17</v>
      </c>
      <c r="H27" t="s">
        <v>20</v>
      </c>
    </row>
    <row r="28" spans="1:8">
      <c r="A28" s="1">
        <f>HYPERLINK("https://cms.ls-nyc.org/matter/dynamic-profile/view/1897717","19-1897717")</f>
        <v>0</v>
      </c>
      <c r="B28" t="s">
        <v>8</v>
      </c>
      <c r="F28" t="s">
        <v>17</v>
      </c>
      <c r="H28" t="s">
        <v>20</v>
      </c>
    </row>
    <row r="29" spans="1:8">
      <c r="A29" s="1">
        <f>HYPERLINK("https://cms.ls-nyc.org/matter/dynamic-profile/view/1897710","19-1897710")</f>
        <v>0</v>
      </c>
      <c r="B29" t="s">
        <v>8</v>
      </c>
      <c r="H29" t="s">
        <v>19</v>
      </c>
    </row>
    <row r="30" spans="1:8">
      <c r="A30" s="1">
        <f>HYPERLINK("https://cms.ls-nyc.org/matter/dynamic-profile/view/1900065","19-1900065")</f>
        <v>0</v>
      </c>
      <c r="B30" t="s">
        <v>8</v>
      </c>
      <c r="E30" t="s">
        <v>16</v>
      </c>
      <c r="H30" t="s">
        <v>20</v>
      </c>
    </row>
    <row r="31" spans="1:8">
      <c r="A31" s="1">
        <f>HYPERLINK("https://cms.ls-nyc.org/matter/dynamic-profile/view/1897042","19-1897042")</f>
        <v>0</v>
      </c>
      <c r="B31" t="s">
        <v>8</v>
      </c>
      <c r="F31" t="s">
        <v>17</v>
      </c>
      <c r="H31" t="s">
        <v>20</v>
      </c>
    </row>
    <row r="32" spans="1:8">
      <c r="A32" s="1">
        <f>HYPERLINK("https://cms.ls-nyc.org/matter/dynamic-profile/view/1900061","19-1900061")</f>
        <v>0</v>
      </c>
      <c r="B32" t="s">
        <v>8</v>
      </c>
      <c r="H32" t="s">
        <v>19</v>
      </c>
    </row>
    <row r="33" spans="1:8">
      <c r="A33" s="1">
        <f>HYPERLINK("https://cms.ls-nyc.org/matter/dynamic-profile/view/1898361","19-1898361")</f>
        <v>0</v>
      </c>
      <c r="B33" t="s">
        <v>8</v>
      </c>
      <c r="F33" t="s">
        <v>17</v>
      </c>
      <c r="H33" t="s">
        <v>20</v>
      </c>
    </row>
    <row r="34" spans="1:8">
      <c r="A34" s="1">
        <f>HYPERLINK("https://cms.ls-nyc.org/matter/dynamic-profile/view/1898356","19-1898356")</f>
        <v>0</v>
      </c>
      <c r="B34" t="s">
        <v>8</v>
      </c>
      <c r="F34" t="s">
        <v>17</v>
      </c>
      <c r="H34" t="s">
        <v>20</v>
      </c>
    </row>
    <row r="35" spans="1:8">
      <c r="A35" s="1">
        <f>HYPERLINK("https://cms.ls-nyc.org/matter/dynamic-profile/view/1895982","19-1895982")</f>
        <v>0</v>
      </c>
      <c r="B35" t="s">
        <v>8</v>
      </c>
      <c r="H35" t="s">
        <v>19</v>
      </c>
    </row>
    <row r="36" spans="1:8">
      <c r="A36" s="1">
        <f>HYPERLINK("https://cms.ls-nyc.org/matter/dynamic-profile/view/1879889","18-1879889")</f>
        <v>0</v>
      </c>
      <c r="B36" t="s">
        <v>8</v>
      </c>
      <c r="H36" t="s">
        <v>19</v>
      </c>
    </row>
    <row r="37" spans="1:8">
      <c r="A37" s="1">
        <f>HYPERLINK("https://cms.ls-nyc.org/matter/dynamic-profile/view/0781305","15-0781305")</f>
        <v>0</v>
      </c>
      <c r="B37" t="s">
        <v>8</v>
      </c>
      <c r="D37" t="s">
        <v>15</v>
      </c>
      <c r="E37" t="s">
        <v>16</v>
      </c>
      <c r="H37" t="s">
        <v>20</v>
      </c>
    </row>
    <row r="38" spans="1:8">
      <c r="A38" s="1">
        <f>HYPERLINK("https://cms.ls-nyc.org/matter/dynamic-profile/view/1877165","18-1877165")</f>
        <v>0</v>
      </c>
      <c r="B38" t="s">
        <v>8</v>
      </c>
      <c r="H38" t="s">
        <v>19</v>
      </c>
    </row>
    <row r="39" spans="1:8">
      <c r="A39" s="1">
        <f>HYPERLINK("https://cms.ls-nyc.org/matter/dynamic-profile/view/1889588","19-1889588")</f>
        <v>0</v>
      </c>
      <c r="B39" t="s">
        <v>8</v>
      </c>
      <c r="C39" t="s">
        <v>13</v>
      </c>
      <c r="D39" t="s">
        <v>14</v>
      </c>
      <c r="E39" t="s">
        <v>16</v>
      </c>
      <c r="H39" t="s">
        <v>20</v>
      </c>
    </row>
    <row r="40" spans="1:8">
      <c r="A40" s="1">
        <f>HYPERLINK("https://cms.ls-nyc.org/matter/dynamic-profile/view/0815667","16-0815667")</f>
        <v>0</v>
      </c>
      <c r="B40" t="s">
        <v>8</v>
      </c>
      <c r="D40" t="s">
        <v>15</v>
      </c>
      <c r="E40" t="s">
        <v>16</v>
      </c>
      <c r="H40" t="s">
        <v>20</v>
      </c>
    </row>
    <row r="41" spans="1:8">
      <c r="A41" s="1">
        <f>HYPERLINK("https://cms.ls-nyc.org/matter/dynamic-profile/view/1895483","19-1895483")</f>
        <v>0</v>
      </c>
      <c r="B41" t="s">
        <v>8</v>
      </c>
      <c r="C41" t="s">
        <v>13</v>
      </c>
      <c r="D41" t="s">
        <v>14</v>
      </c>
      <c r="E41" t="s">
        <v>16</v>
      </c>
      <c r="H41" t="s">
        <v>20</v>
      </c>
    </row>
    <row r="42" spans="1:8">
      <c r="A42" s="1">
        <f>HYPERLINK("https://cms.ls-nyc.org/matter/dynamic-profile/view/1895390","19-1895390")</f>
        <v>0</v>
      </c>
      <c r="B42" t="s">
        <v>9</v>
      </c>
      <c r="D42" t="s">
        <v>14</v>
      </c>
      <c r="G42" t="s">
        <v>18</v>
      </c>
      <c r="H42" t="s">
        <v>20</v>
      </c>
    </row>
    <row r="43" spans="1:8">
      <c r="A43" s="1">
        <f>HYPERLINK("https://cms.ls-nyc.org/matter/dynamic-profile/view/1879361","18-1879361")</f>
        <v>0</v>
      </c>
      <c r="B43" t="s">
        <v>9</v>
      </c>
      <c r="H43" t="s">
        <v>19</v>
      </c>
    </row>
    <row r="44" spans="1:8">
      <c r="A44" s="1">
        <f>HYPERLINK("https://cms.ls-nyc.org/matter/dynamic-profile/view/1900424","19-1900424")</f>
        <v>0</v>
      </c>
      <c r="B44" t="s">
        <v>9</v>
      </c>
      <c r="C44" t="s">
        <v>13</v>
      </c>
      <c r="D44" t="s">
        <v>14</v>
      </c>
      <c r="E44" t="s">
        <v>16</v>
      </c>
      <c r="G44" t="s">
        <v>18</v>
      </c>
      <c r="H44" t="s">
        <v>20</v>
      </c>
    </row>
    <row r="45" spans="1:8">
      <c r="A45" s="1">
        <f>HYPERLINK("https://cms.ls-nyc.org/matter/dynamic-profile/view/1879371","18-1879371")</f>
        <v>0</v>
      </c>
      <c r="B45" t="s">
        <v>9</v>
      </c>
      <c r="C45" t="s">
        <v>13</v>
      </c>
      <c r="D45" t="s">
        <v>14</v>
      </c>
      <c r="E45" t="s">
        <v>16</v>
      </c>
      <c r="H45" t="s">
        <v>20</v>
      </c>
    </row>
    <row r="46" spans="1:8">
      <c r="A46" s="1">
        <f>HYPERLINK("https://cms.ls-nyc.org/matter/dynamic-profile/view/1900158","19-1900158")</f>
        <v>0</v>
      </c>
      <c r="B46" t="s">
        <v>9</v>
      </c>
      <c r="C46" t="s">
        <v>13</v>
      </c>
      <c r="D46" t="s">
        <v>14</v>
      </c>
      <c r="E46" t="s">
        <v>16</v>
      </c>
      <c r="H46" t="s">
        <v>20</v>
      </c>
    </row>
    <row r="47" spans="1:8">
      <c r="A47" s="1">
        <f>HYPERLINK("https://cms.ls-nyc.org/matter/dynamic-profile/view/1893845","19-1893845")</f>
        <v>0</v>
      </c>
      <c r="B47" t="s">
        <v>9</v>
      </c>
      <c r="F47" t="s">
        <v>17</v>
      </c>
      <c r="H47" t="s">
        <v>20</v>
      </c>
    </row>
    <row r="48" spans="1:8">
      <c r="A48" s="1">
        <f>HYPERLINK("https://cms.ls-nyc.org/matter/dynamic-profile/view/1899041","19-1899041")</f>
        <v>0</v>
      </c>
      <c r="B48" t="s">
        <v>9</v>
      </c>
      <c r="E48" t="s">
        <v>16</v>
      </c>
      <c r="H48" t="s">
        <v>20</v>
      </c>
    </row>
    <row r="49" spans="1:8">
      <c r="A49" s="1">
        <f>HYPERLINK("https://cms.ls-nyc.org/matter/dynamic-profile/view/1892533","19-1892533")</f>
        <v>0</v>
      </c>
      <c r="B49" t="s">
        <v>9</v>
      </c>
      <c r="C49" t="s">
        <v>13</v>
      </c>
      <c r="E49" t="s">
        <v>16</v>
      </c>
      <c r="G49" t="s">
        <v>18</v>
      </c>
      <c r="H49" t="s">
        <v>20</v>
      </c>
    </row>
    <row r="50" spans="1:8">
      <c r="A50" s="1">
        <f>HYPERLINK("https://cms.ls-nyc.org/matter/dynamic-profile/view/1879962","18-1879962")</f>
        <v>0</v>
      </c>
      <c r="B50" t="s">
        <v>9</v>
      </c>
      <c r="E50" t="s">
        <v>16</v>
      </c>
      <c r="H50" t="s">
        <v>20</v>
      </c>
    </row>
    <row r="51" spans="1:8">
      <c r="A51" s="1">
        <f>HYPERLINK("https://cms.ls-nyc.org/matter/dynamic-profile/view/0823454","16-0823454")</f>
        <v>0</v>
      </c>
      <c r="B51" t="s">
        <v>9</v>
      </c>
      <c r="D51" t="s">
        <v>15</v>
      </c>
      <c r="E51" t="s">
        <v>16</v>
      </c>
      <c r="H51" t="s">
        <v>20</v>
      </c>
    </row>
    <row r="52" spans="1:8">
      <c r="A52" s="1">
        <f>HYPERLINK("https://cms.ls-nyc.org/matter/dynamic-profile/view/1900869","19-1900869")</f>
        <v>0</v>
      </c>
      <c r="B52" t="s">
        <v>9</v>
      </c>
      <c r="C52" t="s">
        <v>13</v>
      </c>
      <c r="D52" t="s">
        <v>14</v>
      </c>
      <c r="E52" t="s">
        <v>16</v>
      </c>
      <c r="G52" t="s">
        <v>18</v>
      </c>
      <c r="H52" t="s">
        <v>20</v>
      </c>
    </row>
    <row r="53" spans="1:8">
      <c r="A53" s="1">
        <f>HYPERLINK("https://cms.ls-nyc.org/matter/dynamic-profile/view/1891491","19-1891491")</f>
        <v>0</v>
      </c>
      <c r="B53" t="s">
        <v>9</v>
      </c>
      <c r="E53" t="s">
        <v>16</v>
      </c>
      <c r="F53" t="s">
        <v>17</v>
      </c>
      <c r="H53" t="s">
        <v>20</v>
      </c>
    </row>
    <row r="54" spans="1:8">
      <c r="A54" s="1">
        <f>HYPERLINK("https://cms.ls-nyc.org/matter/dynamic-profile/view/1891507","19-1891507")</f>
        <v>0</v>
      </c>
      <c r="B54" t="s">
        <v>9</v>
      </c>
      <c r="E54" t="s">
        <v>16</v>
      </c>
      <c r="F54" t="s">
        <v>17</v>
      </c>
      <c r="H54" t="s">
        <v>20</v>
      </c>
    </row>
    <row r="55" spans="1:8">
      <c r="A55" s="1">
        <f>HYPERLINK("https://cms.ls-nyc.org/matter/dynamic-profile/view/1891531","19-1891531")</f>
        <v>0</v>
      </c>
      <c r="B55" t="s">
        <v>9</v>
      </c>
      <c r="E55" t="s">
        <v>16</v>
      </c>
      <c r="F55" t="s">
        <v>17</v>
      </c>
      <c r="H55" t="s">
        <v>20</v>
      </c>
    </row>
    <row r="56" spans="1:8">
      <c r="A56" s="1">
        <f>HYPERLINK("https://cms.ls-nyc.org/matter/dynamic-profile/view/1892512","19-1892512")</f>
        <v>0</v>
      </c>
      <c r="B56" t="s">
        <v>9</v>
      </c>
      <c r="E56" t="s">
        <v>16</v>
      </c>
      <c r="F56" t="s">
        <v>17</v>
      </c>
      <c r="H56" t="s">
        <v>20</v>
      </c>
    </row>
    <row r="57" spans="1:8">
      <c r="A57" s="1">
        <f>HYPERLINK("https://cms.ls-nyc.org/matter/dynamic-profile/view/1897167","19-1897167")</f>
        <v>0</v>
      </c>
      <c r="B57" t="s">
        <v>9</v>
      </c>
      <c r="E57" t="s">
        <v>16</v>
      </c>
      <c r="F57" t="s">
        <v>17</v>
      </c>
      <c r="H57" t="s">
        <v>20</v>
      </c>
    </row>
    <row r="58" spans="1:8">
      <c r="A58" s="1">
        <f>HYPERLINK("https://cms.ls-nyc.org/matter/dynamic-profile/view/1897185","19-1897185")</f>
        <v>0</v>
      </c>
      <c r="B58" t="s">
        <v>9</v>
      </c>
      <c r="E58" t="s">
        <v>16</v>
      </c>
      <c r="F58" t="s">
        <v>17</v>
      </c>
      <c r="H58" t="s">
        <v>20</v>
      </c>
    </row>
    <row r="59" spans="1:8">
      <c r="A59" s="1">
        <f>HYPERLINK("https://cms.ls-nyc.org/matter/dynamic-profile/view/1897195","19-1897195")</f>
        <v>0</v>
      </c>
      <c r="B59" t="s">
        <v>9</v>
      </c>
      <c r="E59" t="s">
        <v>16</v>
      </c>
      <c r="F59" t="s">
        <v>17</v>
      </c>
      <c r="H59" t="s">
        <v>20</v>
      </c>
    </row>
    <row r="60" spans="1:8">
      <c r="A60" s="1">
        <f>HYPERLINK("https://cms.ls-nyc.org/matter/dynamic-profile/view/1897528","19-1897528")</f>
        <v>0</v>
      </c>
      <c r="B60" t="s">
        <v>9</v>
      </c>
      <c r="E60" t="s">
        <v>16</v>
      </c>
      <c r="F60" t="s">
        <v>17</v>
      </c>
      <c r="H60" t="s">
        <v>20</v>
      </c>
    </row>
    <row r="61" spans="1:8">
      <c r="A61" s="1">
        <f>HYPERLINK("https://cms.ls-nyc.org/matter/dynamic-profile/view/1865133","18-1865133")</f>
        <v>0</v>
      </c>
      <c r="B61" t="s">
        <v>9</v>
      </c>
      <c r="D61" t="s">
        <v>15</v>
      </c>
      <c r="E61" t="s">
        <v>16</v>
      </c>
      <c r="H61" t="s">
        <v>20</v>
      </c>
    </row>
    <row r="62" spans="1:8">
      <c r="A62" s="1">
        <f>HYPERLINK("https://cms.ls-nyc.org/matter/dynamic-profile/view/1878761","18-1878761")</f>
        <v>0</v>
      </c>
      <c r="B62" t="s">
        <v>9</v>
      </c>
      <c r="H62" t="s">
        <v>19</v>
      </c>
    </row>
    <row r="63" spans="1:8">
      <c r="A63" s="1">
        <f>HYPERLINK("https://cms.ls-nyc.org/matter/dynamic-profile/view/1882574","18-1882574")</f>
        <v>0</v>
      </c>
      <c r="B63" t="s">
        <v>9</v>
      </c>
      <c r="H63" t="s">
        <v>19</v>
      </c>
    </row>
    <row r="64" spans="1:8">
      <c r="A64" s="1">
        <f>HYPERLINK("https://cms.ls-nyc.org/matter/dynamic-profile/view/1887122","19-1887122")</f>
        <v>0</v>
      </c>
      <c r="B64" t="s">
        <v>9</v>
      </c>
      <c r="H64" t="s">
        <v>19</v>
      </c>
    </row>
    <row r="65" spans="1:8">
      <c r="A65" s="1">
        <f>HYPERLINK("https://cms.ls-nyc.org/matter/dynamic-profile/view/1887422","19-1887422")</f>
        <v>0</v>
      </c>
      <c r="B65" t="s">
        <v>9</v>
      </c>
      <c r="D65" t="s">
        <v>14</v>
      </c>
      <c r="H65" t="s">
        <v>20</v>
      </c>
    </row>
    <row r="66" spans="1:8">
      <c r="A66" s="1">
        <f>HYPERLINK("https://cms.ls-nyc.org/matter/dynamic-profile/view/1888792","19-1888792")</f>
        <v>0</v>
      </c>
      <c r="B66" t="s">
        <v>9</v>
      </c>
      <c r="H66" t="s">
        <v>19</v>
      </c>
    </row>
    <row r="67" spans="1:8">
      <c r="A67" s="1">
        <f>HYPERLINK("https://cms.ls-nyc.org/matter/dynamic-profile/view/1884269","18-1884269")</f>
        <v>0</v>
      </c>
      <c r="B67" t="s">
        <v>9</v>
      </c>
      <c r="C67" t="s">
        <v>13</v>
      </c>
      <c r="D67" t="s">
        <v>14</v>
      </c>
      <c r="E67" t="s">
        <v>16</v>
      </c>
      <c r="G67" t="s">
        <v>18</v>
      </c>
      <c r="H67" t="s">
        <v>20</v>
      </c>
    </row>
    <row r="68" spans="1:8">
      <c r="A68" s="1">
        <f>HYPERLINK("https://cms.ls-nyc.org/matter/dynamic-profile/view/1869417","18-1869417")</f>
        <v>0</v>
      </c>
      <c r="B68" t="s">
        <v>9</v>
      </c>
      <c r="D68" t="s">
        <v>15</v>
      </c>
      <c r="E68" t="s">
        <v>16</v>
      </c>
      <c r="H68" t="s">
        <v>20</v>
      </c>
    </row>
    <row r="69" spans="1:8">
      <c r="A69" s="1">
        <f>HYPERLINK("https://cms.ls-nyc.org/matter/dynamic-profile/view/1891494","19-1891494")</f>
        <v>0</v>
      </c>
      <c r="B69" t="s">
        <v>9</v>
      </c>
      <c r="E69" t="s">
        <v>16</v>
      </c>
      <c r="F69" t="s">
        <v>17</v>
      </c>
      <c r="H69" t="s">
        <v>20</v>
      </c>
    </row>
    <row r="70" spans="1:8">
      <c r="A70" s="1">
        <f>HYPERLINK("https://cms.ls-nyc.org/matter/dynamic-profile/view/1891511","19-1891511")</f>
        <v>0</v>
      </c>
      <c r="B70" t="s">
        <v>9</v>
      </c>
      <c r="E70" t="s">
        <v>16</v>
      </c>
      <c r="F70" t="s">
        <v>17</v>
      </c>
      <c r="H70" t="s">
        <v>20</v>
      </c>
    </row>
    <row r="71" spans="1:8">
      <c r="A71" s="1">
        <f>HYPERLINK("https://cms.ls-nyc.org/matter/dynamic-profile/view/1891534","19-1891534")</f>
        <v>0</v>
      </c>
      <c r="B71" t="s">
        <v>9</v>
      </c>
      <c r="E71" t="s">
        <v>16</v>
      </c>
      <c r="F71" t="s">
        <v>17</v>
      </c>
      <c r="H71" t="s">
        <v>20</v>
      </c>
    </row>
    <row r="72" spans="1:8">
      <c r="A72" s="1">
        <f>HYPERLINK("https://cms.ls-nyc.org/matter/dynamic-profile/view/1892517","19-1892517")</f>
        <v>0</v>
      </c>
      <c r="B72" t="s">
        <v>9</v>
      </c>
      <c r="E72" t="s">
        <v>16</v>
      </c>
      <c r="F72" t="s">
        <v>17</v>
      </c>
      <c r="H72" t="s">
        <v>20</v>
      </c>
    </row>
    <row r="73" spans="1:8">
      <c r="A73" s="1">
        <f>HYPERLINK("https://cms.ls-nyc.org/matter/dynamic-profile/view/1897171","19-1897171")</f>
        <v>0</v>
      </c>
      <c r="B73" t="s">
        <v>9</v>
      </c>
      <c r="E73" t="s">
        <v>16</v>
      </c>
      <c r="F73" t="s">
        <v>17</v>
      </c>
      <c r="H73" t="s">
        <v>20</v>
      </c>
    </row>
    <row r="74" spans="1:8">
      <c r="A74" s="1">
        <f>HYPERLINK("https://cms.ls-nyc.org/matter/dynamic-profile/view/1897190","19-1897190")</f>
        <v>0</v>
      </c>
      <c r="B74" t="s">
        <v>9</v>
      </c>
      <c r="E74" t="s">
        <v>16</v>
      </c>
      <c r="F74" t="s">
        <v>17</v>
      </c>
      <c r="H74" t="s">
        <v>20</v>
      </c>
    </row>
    <row r="75" spans="1:8">
      <c r="A75" s="1">
        <f>HYPERLINK("https://cms.ls-nyc.org/matter/dynamic-profile/view/1897201","19-1897201")</f>
        <v>0</v>
      </c>
      <c r="B75" t="s">
        <v>9</v>
      </c>
      <c r="E75" t="s">
        <v>16</v>
      </c>
      <c r="F75" t="s">
        <v>17</v>
      </c>
      <c r="H75" t="s">
        <v>20</v>
      </c>
    </row>
    <row r="76" spans="1:8">
      <c r="A76" s="1">
        <f>HYPERLINK("https://cms.ls-nyc.org/matter/dynamic-profile/view/1897530","19-1897530")</f>
        <v>0</v>
      </c>
      <c r="B76" t="s">
        <v>9</v>
      </c>
      <c r="E76" t="s">
        <v>16</v>
      </c>
      <c r="F76" t="s">
        <v>17</v>
      </c>
      <c r="H76" t="s">
        <v>20</v>
      </c>
    </row>
    <row r="77" spans="1:8">
      <c r="A77" s="1">
        <f>HYPERLINK("https://cms.ls-nyc.org/matter/dynamic-profile/view/1877819","18-1877819")</f>
        <v>0</v>
      </c>
      <c r="B77" t="s">
        <v>9</v>
      </c>
      <c r="H77" t="s">
        <v>19</v>
      </c>
    </row>
    <row r="78" spans="1:8">
      <c r="A78" s="1">
        <f>HYPERLINK("https://cms.ls-nyc.org/matter/dynamic-profile/view/1877823","18-1877823")</f>
        <v>0</v>
      </c>
      <c r="B78" t="s">
        <v>9</v>
      </c>
      <c r="H78" t="s">
        <v>19</v>
      </c>
    </row>
    <row r="79" spans="1:8">
      <c r="A79" s="1">
        <f>HYPERLINK("https://cms.ls-nyc.org/matter/dynamic-profile/view/1895279","19-1895279")</f>
        <v>0</v>
      </c>
      <c r="B79" t="s">
        <v>9</v>
      </c>
      <c r="F79" t="s">
        <v>17</v>
      </c>
      <c r="H79" t="s">
        <v>20</v>
      </c>
    </row>
    <row r="80" spans="1:8">
      <c r="A80" s="1">
        <f>HYPERLINK("https://cms.ls-nyc.org/matter/dynamic-profile/view/1898924","19-1898924")</f>
        <v>0</v>
      </c>
      <c r="B80" t="s">
        <v>9</v>
      </c>
      <c r="H80" t="s">
        <v>19</v>
      </c>
    </row>
    <row r="81" spans="1:8">
      <c r="A81" s="1">
        <f>HYPERLINK("https://cms.ls-nyc.org/matter/dynamic-profile/view/1900750","19-1900750")</f>
        <v>0</v>
      </c>
      <c r="B81" t="s">
        <v>9</v>
      </c>
      <c r="G81" t="s">
        <v>18</v>
      </c>
      <c r="H81" t="s">
        <v>20</v>
      </c>
    </row>
    <row r="82" spans="1:8">
      <c r="A82" s="1">
        <f>HYPERLINK("https://cms.ls-nyc.org/matter/dynamic-profile/view/1851961","17-1851961")</f>
        <v>0</v>
      </c>
      <c r="B82" t="s">
        <v>9</v>
      </c>
      <c r="D82" t="s">
        <v>15</v>
      </c>
      <c r="H82" t="s">
        <v>20</v>
      </c>
    </row>
    <row r="83" spans="1:8">
      <c r="A83" s="1">
        <f>HYPERLINK("https://cms.ls-nyc.org/matter/dynamic-profile/view/1875110","18-1875110")</f>
        <v>0</v>
      </c>
      <c r="B83" t="s">
        <v>9</v>
      </c>
      <c r="H83" t="s">
        <v>19</v>
      </c>
    </row>
    <row r="84" spans="1:8">
      <c r="A84" s="1">
        <f>HYPERLINK("https://cms.ls-nyc.org/matter/dynamic-profile/view/1882667","18-1882667")</f>
        <v>0</v>
      </c>
      <c r="B84" t="s">
        <v>9</v>
      </c>
      <c r="H84" t="s">
        <v>19</v>
      </c>
    </row>
    <row r="85" spans="1:8">
      <c r="A85" s="1">
        <f>HYPERLINK("https://cms.ls-nyc.org/matter/dynamic-profile/view/1876696","18-1876696")</f>
        <v>0</v>
      </c>
      <c r="B85" t="s">
        <v>9</v>
      </c>
      <c r="C85" t="s">
        <v>13</v>
      </c>
      <c r="D85" t="s">
        <v>14</v>
      </c>
      <c r="E85" t="s">
        <v>16</v>
      </c>
      <c r="G85" t="s">
        <v>18</v>
      </c>
      <c r="H85" t="s">
        <v>20</v>
      </c>
    </row>
    <row r="86" spans="1:8">
      <c r="A86" s="1">
        <f>HYPERLINK("https://cms.ls-nyc.org/matter/dynamic-profile/view/1884282","18-1884282")</f>
        <v>0</v>
      </c>
      <c r="B86" t="s">
        <v>9</v>
      </c>
      <c r="C86" t="s">
        <v>13</v>
      </c>
      <c r="E86" t="s">
        <v>16</v>
      </c>
      <c r="H86" t="s">
        <v>20</v>
      </c>
    </row>
    <row r="87" spans="1:8">
      <c r="A87" s="1">
        <f>HYPERLINK("https://cms.ls-nyc.org/matter/dynamic-profile/view/1887248","19-1887248")</f>
        <v>0</v>
      </c>
      <c r="B87" t="s">
        <v>9</v>
      </c>
      <c r="C87" t="s">
        <v>13</v>
      </c>
      <c r="D87" t="s">
        <v>14</v>
      </c>
      <c r="E87" t="s">
        <v>16</v>
      </c>
      <c r="G87" t="s">
        <v>18</v>
      </c>
      <c r="H87" t="s">
        <v>20</v>
      </c>
    </row>
    <row r="88" spans="1:8">
      <c r="A88" s="1">
        <f>HYPERLINK("https://cms.ls-nyc.org/matter/dynamic-profile/view/1835046","17-1835046")</f>
        <v>0</v>
      </c>
      <c r="B88" t="s">
        <v>9</v>
      </c>
      <c r="D88" t="s">
        <v>15</v>
      </c>
      <c r="E88" t="s">
        <v>16</v>
      </c>
      <c r="H88" t="s">
        <v>20</v>
      </c>
    </row>
    <row r="89" spans="1:8">
      <c r="A89" s="1">
        <f>HYPERLINK("https://cms.ls-nyc.org/matter/dynamic-profile/view/1879947","18-1879947")</f>
        <v>0</v>
      </c>
      <c r="B89" t="s">
        <v>9</v>
      </c>
      <c r="F89" t="s">
        <v>17</v>
      </c>
      <c r="H89" t="s">
        <v>20</v>
      </c>
    </row>
    <row r="90" spans="1:8">
      <c r="A90" s="1">
        <f>HYPERLINK("https://cms.ls-nyc.org/matter/dynamic-profile/view/1878570","18-1878570")</f>
        <v>0</v>
      </c>
      <c r="B90" t="s">
        <v>9</v>
      </c>
      <c r="E90" t="s">
        <v>16</v>
      </c>
      <c r="H90" t="s">
        <v>20</v>
      </c>
    </row>
    <row r="91" spans="1:8">
      <c r="A91" s="1">
        <f>HYPERLINK("https://cms.ls-nyc.org/matter/dynamic-profile/view/1884078","18-1884078")</f>
        <v>0</v>
      </c>
      <c r="B91" t="s">
        <v>9</v>
      </c>
      <c r="C91" t="s">
        <v>13</v>
      </c>
      <c r="F91" t="s">
        <v>17</v>
      </c>
      <c r="H91" t="s">
        <v>20</v>
      </c>
    </row>
    <row r="92" spans="1:8">
      <c r="A92" s="1">
        <f>HYPERLINK("https://cms.ls-nyc.org/matter/dynamic-profile/view/1889282","19-1889282")</f>
        <v>0</v>
      </c>
      <c r="B92" t="s">
        <v>9</v>
      </c>
      <c r="C92" t="s">
        <v>13</v>
      </c>
      <c r="F92" t="s">
        <v>17</v>
      </c>
      <c r="H92" t="s">
        <v>20</v>
      </c>
    </row>
    <row r="93" spans="1:8">
      <c r="A93" s="1">
        <f>HYPERLINK("https://cms.ls-nyc.org/matter/dynamic-profile/view/1889338","19-1889338")</f>
        <v>0</v>
      </c>
      <c r="B93" t="s">
        <v>9</v>
      </c>
      <c r="C93" t="s">
        <v>13</v>
      </c>
      <c r="F93" t="s">
        <v>17</v>
      </c>
      <c r="H93" t="s">
        <v>20</v>
      </c>
    </row>
    <row r="94" spans="1:8">
      <c r="A94" s="1">
        <f>HYPERLINK("https://cms.ls-nyc.org/matter/dynamic-profile/view/1889346","19-1889346")</f>
        <v>0</v>
      </c>
      <c r="B94" t="s">
        <v>9</v>
      </c>
      <c r="C94" t="s">
        <v>13</v>
      </c>
      <c r="F94" t="s">
        <v>17</v>
      </c>
      <c r="H94" t="s">
        <v>20</v>
      </c>
    </row>
    <row r="95" spans="1:8">
      <c r="A95" s="1">
        <f>HYPERLINK("https://cms.ls-nyc.org/matter/dynamic-profile/view/1875936","18-1875936")</f>
        <v>0</v>
      </c>
      <c r="B95" t="s">
        <v>9</v>
      </c>
      <c r="H95" t="s">
        <v>19</v>
      </c>
    </row>
    <row r="96" spans="1:8">
      <c r="A96" s="1">
        <f>HYPERLINK("https://cms.ls-nyc.org/matter/dynamic-profile/view/1896386","19-1896386")</f>
        <v>0</v>
      </c>
      <c r="B96" t="s">
        <v>9</v>
      </c>
      <c r="E96" t="s">
        <v>16</v>
      </c>
      <c r="F96" t="s">
        <v>17</v>
      </c>
      <c r="H96" t="s">
        <v>20</v>
      </c>
    </row>
    <row r="97" spans="1:8">
      <c r="A97" s="1">
        <f>HYPERLINK("https://cms.ls-nyc.org/matter/dynamic-profile/view/1879880","18-1879880")</f>
        <v>0</v>
      </c>
      <c r="B97" t="s">
        <v>9</v>
      </c>
      <c r="H97" t="s">
        <v>19</v>
      </c>
    </row>
    <row r="98" spans="1:8">
      <c r="A98" s="1">
        <f>HYPERLINK("https://cms.ls-nyc.org/matter/dynamic-profile/view/0819244","16-0819244")</f>
        <v>0</v>
      </c>
      <c r="B98" t="s">
        <v>9</v>
      </c>
      <c r="C98" t="s">
        <v>13</v>
      </c>
      <c r="D98" t="s">
        <v>14</v>
      </c>
      <c r="E98" t="s">
        <v>16</v>
      </c>
      <c r="H98" t="s">
        <v>20</v>
      </c>
    </row>
    <row r="99" spans="1:8">
      <c r="A99" s="1">
        <f>HYPERLINK("https://cms.ls-nyc.org/matter/dynamic-profile/view/1870934","18-1870934")</f>
        <v>0</v>
      </c>
      <c r="B99" t="s">
        <v>9</v>
      </c>
      <c r="H99" t="s">
        <v>19</v>
      </c>
    </row>
    <row r="100" spans="1:8">
      <c r="A100" s="1">
        <f>HYPERLINK("https://cms.ls-nyc.org/matter/dynamic-profile/view/1872177","18-1872177")</f>
        <v>0</v>
      </c>
      <c r="B100" t="s">
        <v>9</v>
      </c>
      <c r="H100" t="s">
        <v>19</v>
      </c>
    </row>
    <row r="101" spans="1:8">
      <c r="A101" s="1">
        <f>HYPERLINK("https://cms.ls-nyc.org/matter/dynamic-profile/view/1883811","18-1883811")</f>
        <v>0</v>
      </c>
      <c r="B101" t="s">
        <v>9</v>
      </c>
      <c r="H101" t="s">
        <v>19</v>
      </c>
    </row>
    <row r="102" spans="1:8">
      <c r="A102" s="1">
        <f>HYPERLINK("https://cms.ls-nyc.org/matter/dynamic-profile/view/1888436","19-1888436")</f>
        <v>0</v>
      </c>
      <c r="B102" t="s">
        <v>9</v>
      </c>
      <c r="H102" t="s">
        <v>19</v>
      </c>
    </row>
    <row r="103" spans="1:8">
      <c r="A103" s="1">
        <f>HYPERLINK("https://cms.ls-nyc.org/matter/dynamic-profile/view/1880403","18-1880403")</f>
        <v>0</v>
      </c>
      <c r="B103" t="s">
        <v>9</v>
      </c>
      <c r="E103" t="s">
        <v>16</v>
      </c>
      <c r="F103" t="s">
        <v>17</v>
      </c>
      <c r="H103" t="s">
        <v>20</v>
      </c>
    </row>
    <row r="104" spans="1:8">
      <c r="A104" s="1">
        <f>HYPERLINK("https://cms.ls-nyc.org/matter/dynamic-profile/view/1880405","18-1880405")</f>
        <v>0</v>
      </c>
      <c r="B104" t="s">
        <v>9</v>
      </c>
      <c r="E104" t="s">
        <v>16</v>
      </c>
      <c r="F104" t="s">
        <v>17</v>
      </c>
      <c r="H104" t="s">
        <v>20</v>
      </c>
    </row>
    <row r="105" spans="1:8">
      <c r="A105" s="1">
        <f>HYPERLINK("https://cms.ls-nyc.org/matter/dynamic-profile/view/1863481","18-1863481")</f>
        <v>0</v>
      </c>
      <c r="B105" t="s">
        <v>9</v>
      </c>
      <c r="F105" t="s">
        <v>17</v>
      </c>
      <c r="H105" t="s">
        <v>20</v>
      </c>
    </row>
    <row r="106" spans="1:8">
      <c r="A106" s="1">
        <f>HYPERLINK("https://cms.ls-nyc.org/matter/dynamic-profile/view/1870378","18-1870378")</f>
        <v>0</v>
      </c>
      <c r="B106" t="s">
        <v>9</v>
      </c>
      <c r="C106" t="s">
        <v>13</v>
      </c>
      <c r="D106" t="s">
        <v>14</v>
      </c>
      <c r="E106" t="s">
        <v>16</v>
      </c>
      <c r="G106" t="s">
        <v>18</v>
      </c>
      <c r="H106" t="s">
        <v>20</v>
      </c>
    </row>
    <row r="107" spans="1:8">
      <c r="A107" s="1">
        <f>HYPERLINK("https://cms.ls-nyc.org/matter/dynamic-profile/view/1872237","18-1872237")</f>
        <v>0</v>
      </c>
      <c r="B107" t="s">
        <v>9</v>
      </c>
      <c r="C107" t="s">
        <v>13</v>
      </c>
      <c r="D107" t="s">
        <v>14</v>
      </c>
      <c r="E107" t="s">
        <v>16</v>
      </c>
      <c r="F107" t="s">
        <v>17</v>
      </c>
      <c r="G107" t="s">
        <v>18</v>
      </c>
      <c r="H107" t="s">
        <v>20</v>
      </c>
    </row>
    <row r="108" spans="1:8">
      <c r="A108" s="1">
        <f>HYPERLINK("https://cms.ls-nyc.org/matter/dynamic-profile/view/1883539","18-1883539")</f>
        <v>0</v>
      </c>
      <c r="B108" t="s">
        <v>9</v>
      </c>
      <c r="C108" t="s">
        <v>13</v>
      </c>
      <c r="D108" t="s">
        <v>14</v>
      </c>
      <c r="E108" t="s">
        <v>16</v>
      </c>
      <c r="G108" t="s">
        <v>18</v>
      </c>
      <c r="H108" t="s">
        <v>20</v>
      </c>
    </row>
    <row r="109" spans="1:8">
      <c r="A109" s="1">
        <f>HYPERLINK("https://cms.ls-nyc.org/matter/dynamic-profile/view/1884067","18-1884067")</f>
        <v>0</v>
      </c>
      <c r="B109" t="s">
        <v>9</v>
      </c>
      <c r="C109" t="s">
        <v>13</v>
      </c>
      <c r="D109" t="s">
        <v>14</v>
      </c>
      <c r="E109" t="s">
        <v>16</v>
      </c>
      <c r="G109" t="s">
        <v>18</v>
      </c>
      <c r="H109" t="s">
        <v>20</v>
      </c>
    </row>
    <row r="110" spans="1:8">
      <c r="A110" s="1">
        <f>HYPERLINK("https://cms.ls-nyc.org/matter/dynamic-profile/view/1884209","18-1884209")</f>
        <v>0</v>
      </c>
      <c r="B110" t="s">
        <v>9</v>
      </c>
      <c r="C110" t="s">
        <v>13</v>
      </c>
      <c r="D110" t="s">
        <v>14</v>
      </c>
      <c r="E110" t="s">
        <v>16</v>
      </c>
      <c r="F110" t="s">
        <v>17</v>
      </c>
      <c r="G110" t="s">
        <v>18</v>
      </c>
      <c r="H110" t="s">
        <v>20</v>
      </c>
    </row>
    <row r="111" spans="1:8">
      <c r="A111" s="1">
        <f>HYPERLINK("https://cms.ls-nyc.org/matter/dynamic-profile/view/1884985","18-1884985")</f>
        <v>0</v>
      </c>
      <c r="B111" t="s">
        <v>9</v>
      </c>
      <c r="C111" t="s">
        <v>13</v>
      </c>
      <c r="D111" t="s">
        <v>14</v>
      </c>
      <c r="E111" t="s">
        <v>16</v>
      </c>
      <c r="H111" t="s">
        <v>20</v>
      </c>
    </row>
    <row r="112" spans="1:8">
      <c r="A112" s="1">
        <f>HYPERLINK("https://cms.ls-nyc.org/matter/dynamic-profile/view/1887085","19-1887085")</f>
        <v>0</v>
      </c>
      <c r="B112" t="s">
        <v>9</v>
      </c>
      <c r="C112" t="s">
        <v>13</v>
      </c>
      <c r="F112" t="s">
        <v>17</v>
      </c>
      <c r="H112" t="s">
        <v>20</v>
      </c>
    </row>
    <row r="113" spans="1:8">
      <c r="A113" s="1">
        <f>HYPERLINK("https://cms.ls-nyc.org/matter/dynamic-profile/view/1887254","19-1887254")</f>
        <v>0</v>
      </c>
      <c r="B113" t="s">
        <v>9</v>
      </c>
      <c r="C113" t="s">
        <v>13</v>
      </c>
      <c r="D113" t="s">
        <v>14</v>
      </c>
      <c r="E113" t="s">
        <v>16</v>
      </c>
      <c r="G113" t="s">
        <v>18</v>
      </c>
      <c r="H113" t="s">
        <v>20</v>
      </c>
    </row>
    <row r="114" spans="1:8">
      <c r="A114" s="1">
        <f>HYPERLINK("https://cms.ls-nyc.org/matter/dynamic-profile/view/1895026","19-1895026")</f>
        <v>0</v>
      </c>
      <c r="B114" t="s">
        <v>9</v>
      </c>
      <c r="F114" t="s">
        <v>17</v>
      </c>
      <c r="H114" t="s">
        <v>20</v>
      </c>
    </row>
    <row r="115" spans="1:8">
      <c r="A115" s="1">
        <f>HYPERLINK("https://cms.ls-nyc.org/matter/dynamic-profile/view/1898773","19-1898773")</f>
        <v>0</v>
      </c>
      <c r="B115" t="s">
        <v>9</v>
      </c>
      <c r="F115" t="s">
        <v>17</v>
      </c>
      <c r="H115" t="s">
        <v>20</v>
      </c>
    </row>
    <row r="116" spans="1:8">
      <c r="A116" s="1">
        <f>HYPERLINK("https://cms.ls-nyc.org/matter/dynamic-profile/view/1887811","19-1887811")</f>
        <v>0</v>
      </c>
      <c r="B116" t="s">
        <v>9</v>
      </c>
      <c r="D116" t="s">
        <v>15</v>
      </c>
      <c r="H116" t="s">
        <v>20</v>
      </c>
    </row>
    <row r="117" spans="1:8">
      <c r="A117" s="1">
        <f>HYPERLINK("https://cms.ls-nyc.org/matter/dynamic-profile/view/1887833","19-1887833")</f>
        <v>0</v>
      </c>
      <c r="B117" t="s">
        <v>9</v>
      </c>
      <c r="D117" t="s">
        <v>15</v>
      </c>
      <c r="E117" t="s">
        <v>16</v>
      </c>
      <c r="H117" t="s">
        <v>20</v>
      </c>
    </row>
    <row r="118" spans="1:8">
      <c r="A118" s="1">
        <f>HYPERLINK("https://cms.ls-nyc.org/matter/dynamic-profile/view/1887838","19-1887838")</f>
        <v>0</v>
      </c>
      <c r="B118" t="s">
        <v>9</v>
      </c>
      <c r="H118" t="s">
        <v>19</v>
      </c>
    </row>
    <row r="119" spans="1:8">
      <c r="A119" s="1">
        <f>HYPERLINK("https://cms.ls-nyc.org/matter/dynamic-profile/view/0798543","16-0798543")</f>
        <v>0</v>
      </c>
      <c r="B119" t="s">
        <v>9</v>
      </c>
      <c r="D119" t="s">
        <v>15</v>
      </c>
      <c r="E119" t="s">
        <v>16</v>
      </c>
      <c r="H119" t="s">
        <v>20</v>
      </c>
    </row>
    <row r="120" spans="1:8">
      <c r="A120" s="1">
        <f>HYPERLINK("https://cms.ls-nyc.org/matter/dynamic-profile/view/1870234","18-1870234")</f>
        <v>0</v>
      </c>
      <c r="B120" t="s">
        <v>9</v>
      </c>
      <c r="F120" t="s">
        <v>17</v>
      </c>
      <c r="H120" t="s">
        <v>20</v>
      </c>
    </row>
    <row r="121" spans="1:8">
      <c r="A121" s="1">
        <f>HYPERLINK("https://cms.ls-nyc.org/matter/dynamic-profile/view/1872081","18-1872081")</f>
        <v>0</v>
      </c>
      <c r="B121" t="s">
        <v>9</v>
      </c>
      <c r="D121" t="s">
        <v>15</v>
      </c>
      <c r="H121" t="s">
        <v>20</v>
      </c>
    </row>
    <row r="122" spans="1:8">
      <c r="A122" s="1">
        <f>HYPERLINK("https://cms.ls-nyc.org/matter/dynamic-profile/view/1872110","18-1872110")</f>
        <v>0</v>
      </c>
      <c r="B122" t="s">
        <v>9</v>
      </c>
      <c r="D122" t="s">
        <v>15</v>
      </c>
      <c r="E122" t="s">
        <v>16</v>
      </c>
      <c r="H122" t="s">
        <v>20</v>
      </c>
    </row>
    <row r="123" spans="1:8">
      <c r="A123" s="1">
        <f>HYPERLINK("https://cms.ls-nyc.org/matter/dynamic-profile/view/1876016","18-1876016")</f>
        <v>0</v>
      </c>
      <c r="B123" t="s">
        <v>9</v>
      </c>
      <c r="H123" t="s">
        <v>19</v>
      </c>
    </row>
    <row r="124" spans="1:8">
      <c r="A124" s="1">
        <f>HYPERLINK("https://cms.ls-nyc.org/matter/dynamic-profile/view/1880673","18-1880673")</f>
        <v>0</v>
      </c>
      <c r="B124" t="s">
        <v>9</v>
      </c>
      <c r="H124" t="s">
        <v>19</v>
      </c>
    </row>
    <row r="125" spans="1:8">
      <c r="A125" s="1">
        <f>HYPERLINK("https://cms.ls-nyc.org/matter/dynamic-profile/view/1875138","18-1875138")</f>
        <v>0</v>
      </c>
      <c r="B125" t="s">
        <v>9</v>
      </c>
      <c r="C125" t="s">
        <v>13</v>
      </c>
      <c r="D125" t="s">
        <v>14</v>
      </c>
      <c r="E125" t="s">
        <v>16</v>
      </c>
      <c r="G125" t="s">
        <v>18</v>
      </c>
      <c r="H125" t="s">
        <v>20</v>
      </c>
    </row>
    <row r="126" spans="1:8">
      <c r="A126" s="1">
        <f>HYPERLINK("https://cms.ls-nyc.org/matter/dynamic-profile/view/0830965","17-0830965")</f>
        <v>0</v>
      </c>
      <c r="B126" t="s">
        <v>9</v>
      </c>
      <c r="C126" t="s">
        <v>13</v>
      </c>
      <c r="D126" t="s">
        <v>14</v>
      </c>
      <c r="E126" t="s">
        <v>16</v>
      </c>
      <c r="H126" t="s">
        <v>20</v>
      </c>
    </row>
    <row r="127" spans="1:8">
      <c r="A127" s="1">
        <f>HYPERLINK("https://cms.ls-nyc.org/matter/dynamic-profile/view/1843785","17-1843785")</f>
        <v>0</v>
      </c>
      <c r="B127" t="s">
        <v>9</v>
      </c>
      <c r="D127" t="s">
        <v>15</v>
      </c>
      <c r="E127" t="s">
        <v>16</v>
      </c>
      <c r="H127" t="s">
        <v>20</v>
      </c>
    </row>
    <row r="128" spans="1:8">
      <c r="A128" s="1">
        <f>HYPERLINK("https://cms.ls-nyc.org/matter/dynamic-profile/view/1899996","19-1899996")</f>
        <v>0</v>
      </c>
      <c r="B128" t="s">
        <v>9</v>
      </c>
      <c r="E128" t="s">
        <v>16</v>
      </c>
      <c r="F128" t="s">
        <v>17</v>
      </c>
      <c r="H128" t="s">
        <v>20</v>
      </c>
    </row>
    <row r="129" spans="1:8">
      <c r="A129" s="1">
        <f>HYPERLINK("https://cms.ls-nyc.org/matter/dynamic-profile/view/1883756","18-1883756")</f>
        <v>0</v>
      </c>
      <c r="B129" t="s">
        <v>9</v>
      </c>
      <c r="C129" t="s">
        <v>13</v>
      </c>
      <c r="D129" t="s">
        <v>14</v>
      </c>
      <c r="E129" t="s">
        <v>16</v>
      </c>
      <c r="H129" t="s">
        <v>20</v>
      </c>
    </row>
    <row r="130" spans="1:8">
      <c r="A130" s="1">
        <f>HYPERLINK("https://cms.ls-nyc.org/matter/dynamic-profile/view/1893268","19-1893268")</f>
        <v>0</v>
      </c>
      <c r="B130" t="s">
        <v>9</v>
      </c>
      <c r="H130" t="s">
        <v>19</v>
      </c>
    </row>
    <row r="131" spans="1:8">
      <c r="A131" s="1">
        <f>HYPERLINK("https://cms.ls-nyc.org/matter/dynamic-profile/view/1896213","19-1896213")</f>
        <v>0</v>
      </c>
      <c r="B131" t="s">
        <v>9</v>
      </c>
      <c r="C131" t="s">
        <v>13</v>
      </c>
      <c r="E131" t="s">
        <v>16</v>
      </c>
      <c r="G131" t="s">
        <v>18</v>
      </c>
      <c r="H131" t="s">
        <v>20</v>
      </c>
    </row>
    <row r="132" spans="1:8">
      <c r="A132" s="1">
        <f>HYPERLINK("https://cms.ls-nyc.org/matter/dynamic-profile/view/1885097","18-1885097")</f>
        <v>0</v>
      </c>
      <c r="B132" t="s">
        <v>9</v>
      </c>
      <c r="C132" t="s">
        <v>13</v>
      </c>
      <c r="D132" t="s">
        <v>14</v>
      </c>
      <c r="E132" t="s">
        <v>16</v>
      </c>
      <c r="F132" t="s">
        <v>17</v>
      </c>
      <c r="G132" t="s">
        <v>18</v>
      </c>
      <c r="H132" t="s">
        <v>20</v>
      </c>
    </row>
    <row r="133" spans="1:8">
      <c r="A133" s="1">
        <f>HYPERLINK("https://cms.ls-nyc.org/matter/dynamic-profile/view/1895823","19-1895823")</f>
        <v>0</v>
      </c>
      <c r="B133" t="s">
        <v>9</v>
      </c>
      <c r="C133" t="s">
        <v>13</v>
      </c>
      <c r="E133" t="s">
        <v>16</v>
      </c>
      <c r="G133" t="s">
        <v>18</v>
      </c>
      <c r="H133" t="s">
        <v>20</v>
      </c>
    </row>
    <row r="134" spans="1:8">
      <c r="A134" s="1">
        <f>HYPERLINK("https://cms.ls-nyc.org/matter/dynamic-profile/view/1895830","19-1895830")</f>
        <v>0</v>
      </c>
      <c r="B134" t="s">
        <v>9</v>
      </c>
      <c r="C134" t="s">
        <v>13</v>
      </c>
      <c r="E134" t="s">
        <v>16</v>
      </c>
      <c r="G134" t="s">
        <v>18</v>
      </c>
      <c r="H134" t="s">
        <v>20</v>
      </c>
    </row>
    <row r="135" spans="1:8">
      <c r="A135" s="1">
        <f>HYPERLINK("https://cms.ls-nyc.org/matter/dynamic-profile/view/1899775","19-1899775")</f>
        <v>0</v>
      </c>
      <c r="B135" t="s">
        <v>9</v>
      </c>
      <c r="E135" t="s">
        <v>16</v>
      </c>
      <c r="H135" t="s">
        <v>20</v>
      </c>
    </row>
    <row r="136" spans="1:8">
      <c r="A136" s="1">
        <f>HYPERLINK("https://cms.ls-nyc.org/matter/dynamic-profile/view/1899781","19-1899781")</f>
        <v>0</v>
      </c>
      <c r="B136" t="s">
        <v>9</v>
      </c>
      <c r="E136" t="s">
        <v>16</v>
      </c>
      <c r="H136" t="s">
        <v>20</v>
      </c>
    </row>
    <row r="137" spans="1:8">
      <c r="A137" s="1">
        <f>HYPERLINK("https://cms.ls-nyc.org/matter/dynamic-profile/view/1899784","19-1899784")</f>
        <v>0</v>
      </c>
      <c r="B137" t="s">
        <v>9</v>
      </c>
      <c r="E137" t="s">
        <v>16</v>
      </c>
      <c r="H137" t="s">
        <v>20</v>
      </c>
    </row>
    <row r="138" spans="1:8">
      <c r="A138" s="1">
        <f>HYPERLINK("https://cms.ls-nyc.org/matter/dynamic-profile/view/1899785","19-1899785")</f>
        <v>0</v>
      </c>
      <c r="B138" t="s">
        <v>9</v>
      </c>
      <c r="E138" t="s">
        <v>16</v>
      </c>
      <c r="H138" t="s">
        <v>20</v>
      </c>
    </row>
    <row r="139" spans="1:8">
      <c r="A139" s="1">
        <f>HYPERLINK("https://cms.ls-nyc.org/matter/dynamic-profile/view/1899835","19-1899835")</f>
        <v>0</v>
      </c>
      <c r="B139" t="s">
        <v>9</v>
      </c>
      <c r="E139" t="s">
        <v>16</v>
      </c>
      <c r="H139" t="s">
        <v>20</v>
      </c>
    </row>
    <row r="140" spans="1:8">
      <c r="A140" s="1">
        <f>HYPERLINK("https://cms.ls-nyc.org/matter/dynamic-profile/view/1899861","19-1899861")</f>
        <v>0</v>
      </c>
      <c r="B140" t="s">
        <v>9</v>
      </c>
      <c r="E140" t="s">
        <v>16</v>
      </c>
      <c r="H140" t="s">
        <v>20</v>
      </c>
    </row>
    <row r="141" spans="1:8">
      <c r="A141" s="1">
        <f>HYPERLINK("https://cms.ls-nyc.org/matter/dynamic-profile/view/0779614","15-0779614")</f>
        <v>0</v>
      </c>
      <c r="B141" t="s">
        <v>9</v>
      </c>
      <c r="C141" t="s">
        <v>13</v>
      </c>
      <c r="D141" t="s">
        <v>14</v>
      </c>
      <c r="E141" t="s">
        <v>16</v>
      </c>
      <c r="H141" t="s">
        <v>20</v>
      </c>
    </row>
    <row r="142" spans="1:8">
      <c r="A142" s="1">
        <f>HYPERLINK("https://cms.ls-nyc.org/matter/dynamic-profile/view/0808322","16-0808322")</f>
        <v>0</v>
      </c>
      <c r="B142" t="s">
        <v>9</v>
      </c>
      <c r="D142" t="s">
        <v>15</v>
      </c>
      <c r="E142" t="s">
        <v>16</v>
      </c>
      <c r="H142" t="s">
        <v>20</v>
      </c>
    </row>
    <row r="143" spans="1:8">
      <c r="A143" s="1">
        <f>HYPERLINK("https://cms.ls-nyc.org/matter/dynamic-profile/view/1868237","18-1868237")</f>
        <v>0</v>
      </c>
      <c r="B143" t="s">
        <v>9</v>
      </c>
      <c r="C143" t="s">
        <v>13</v>
      </c>
      <c r="D143" t="s">
        <v>14</v>
      </c>
      <c r="E143" t="s">
        <v>16</v>
      </c>
      <c r="G143" t="s">
        <v>18</v>
      </c>
      <c r="H143" t="s">
        <v>20</v>
      </c>
    </row>
    <row r="144" spans="1:8">
      <c r="A144" s="1">
        <f>HYPERLINK("https://cms.ls-nyc.org/matter/dynamic-profile/view/1890723","19-1890723")</f>
        <v>0</v>
      </c>
      <c r="B144" t="s">
        <v>9</v>
      </c>
      <c r="C144" t="s">
        <v>13</v>
      </c>
      <c r="D144" t="s">
        <v>14</v>
      </c>
      <c r="E144" t="s">
        <v>16</v>
      </c>
      <c r="G144" t="s">
        <v>18</v>
      </c>
      <c r="H144" t="s">
        <v>20</v>
      </c>
    </row>
    <row r="145" spans="1:8">
      <c r="A145" s="1">
        <f>HYPERLINK("https://cms.ls-nyc.org/matter/dynamic-profile/view/1896031","19-1896031")</f>
        <v>0</v>
      </c>
      <c r="B145" t="s">
        <v>9</v>
      </c>
      <c r="H145" t="s">
        <v>19</v>
      </c>
    </row>
    <row r="146" spans="1:8">
      <c r="A146" s="1">
        <f>HYPERLINK("https://cms.ls-nyc.org/matter/dynamic-profile/view/0820938","16-0820938")</f>
        <v>0</v>
      </c>
      <c r="B146" t="s">
        <v>9</v>
      </c>
      <c r="D146" t="s">
        <v>15</v>
      </c>
      <c r="E146" t="s">
        <v>16</v>
      </c>
      <c r="H146" t="s">
        <v>20</v>
      </c>
    </row>
    <row r="147" spans="1:8">
      <c r="A147" s="1">
        <f>HYPERLINK("https://cms.ls-nyc.org/matter/dynamic-profile/view/0817618","16-0817618")</f>
        <v>0</v>
      </c>
      <c r="B147" t="s">
        <v>9</v>
      </c>
      <c r="D147" t="s">
        <v>15</v>
      </c>
      <c r="E147" t="s">
        <v>16</v>
      </c>
      <c r="F147" t="s">
        <v>17</v>
      </c>
      <c r="H147" t="s">
        <v>20</v>
      </c>
    </row>
    <row r="148" spans="1:8">
      <c r="A148" s="1">
        <f>HYPERLINK("https://cms.ls-nyc.org/matter/dynamic-profile/view/1891794","19-1891794")</f>
        <v>0</v>
      </c>
      <c r="B148" t="s">
        <v>9</v>
      </c>
      <c r="H148" t="s">
        <v>19</v>
      </c>
    </row>
    <row r="149" spans="1:8">
      <c r="A149" s="1">
        <f>HYPERLINK("https://cms.ls-nyc.org/matter/dynamic-profile/view/1900703","19-1900703")</f>
        <v>0</v>
      </c>
      <c r="B149" t="s">
        <v>9</v>
      </c>
      <c r="D149" t="s">
        <v>14</v>
      </c>
      <c r="E149" t="s">
        <v>16</v>
      </c>
      <c r="H149" t="s">
        <v>20</v>
      </c>
    </row>
    <row r="150" spans="1:8">
      <c r="A150" s="1">
        <f>HYPERLINK("https://cms.ls-nyc.org/matter/dynamic-profile/view/1896517","19-1896517")</f>
        <v>0</v>
      </c>
      <c r="B150" t="s">
        <v>9</v>
      </c>
      <c r="D150" t="s">
        <v>14</v>
      </c>
      <c r="F150" t="s">
        <v>17</v>
      </c>
      <c r="G150" t="s">
        <v>18</v>
      </c>
      <c r="H150" t="s">
        <v>20</v>
      </c>
    </row>
    <row r="151" spans="1:8">
      <c r="A151" s="1">
        <f>HYPERLINK("https://cms.ls-nyc.org/matter/dynamic-profile/view/1872631","18-1872631")</f>
        <v>0</v>
      </c>
      <c r="B151" t="s">
        <v>9</v>
      </c>
      <c r="C151" t="s">
        <v>13</v>
      </c>
      <c r="D151" t="s">
        <v>14</v>
      </c>
      <c r="E151" t="s">
        <v>16</v>
      </c>
      <c r="G151" t="s">
        <v>18</v>
      </c>
      <c r="H151" t="s">
        <v>20</v>
      </c>
    </row>
    <row r="152" spans="1:8">
      <c r="A152" s="1">
        <f>HYPERLINK("https://cms.ls-nyc.org/matter/dynamic-profile/view/1892535","19-1892535")</f>
        <v>0</v>
      </c>
      <c r="B152" t="s">
        <v>9</v>
      </c>
      <c r="C152" t="s">
        <v>13</v>
      </c>
      <c r="E152" t="s">
        <v>16</v>
      </c>
      <c r="G152" t="s">
        <v>18</v>
      </c>
      <c r="H152" t="s">
        <v>20</v>
      </c>
    </row>
    <row r="153" spans="1:8">
      <c r="A153" s="1">
        <f>HYPERLINK("https://cms.ls-nyc.org/matter/dynamic-profile/view/0820310","16-0820310")</f>
        <v>0</v>
      </c>
      <c r="B153" t="s">
        <v>9</v>
      </c>
      <c r="D153" t="s">
        <v>15</v>
      </c>
      <c r="E153" t="s">
        <v>16</v>
      </c>
      <c r="H153" t="s">
        <v>20</v>
      </c>
    </row>
    <row r="154" spans="1:8">
      <c r="A154" s="1">
        <f>HYPERLINK("https://cms.ls-nyc.org/matter/dynamic-profile/view/1893304","19-1893304")</f>
        <v>0</v>
      </c>
      <c r="B154" t="s">
        <v>9</v>
      </c>
      <c r="F154" t="s">
        <v>17</v>
      </c>
      <c r="H154" t="s">
        <v>20</v>
      </c>
    </row>
    <row r="155" spans="1:8">
      <c r="A155" s="1">
        <f>HYPERLINK("https://cms.ls-nyc.org/matter/dynamic-profile/view/1836085","17-1836085")</f>
        <v>0</v>
      </c>
      <c r="B155" t="s">
        <v>9</v>
      </c>
      <c r="D155" t="s">
        <v>15</v>
      </c>
      <c r="E155" t="s">
        <v>16</v>
      </c>
      <c r="H155" t="s">
        <v>20</v>
      </c>
    </row>
    <row r="156" spans="1:8">
      <c r="A156" s="1">
        <f>HYPERLINK("https://cms.ls-nyc.org/matter/dynamic-profile/view/0809425","16-0809425")</f>
        <v>0</v>
      </c>
      <c r="B156" t="s">
        <v>9</v>
      </c>
      <c r="D156" t="s">
        <v>15</v>
      </c>
      <c r="E156" t="s">
        <v>16</v>
      </c>
      <c r="H156" t="s">
        <v>20</v>
      </c>
    </row>
    <row r="157" spans="1:8">
      <c r="A157" s="1">
        <f>HYPERLINK("https://cms.ls-nyc.org/matter/dynamic-profile/view/1893301","19-1893301")</f>
        <v>0</v>
      </c>
      <c r="B157" t="s">
        <v>9</v>
      </c>
      <c r="F157" t="s">
        <v>17</v>
      </c>
      <c r="H157" t="s">
        <v>20</v>
      </c>
    </row>
    <row r="158" spans="1:8">
      <c r="A158" s="1">
        <f>HYPERLINK("https://cms.ls-nyc.org/matter/dynamic-profile/view/0828947","17-0828947")</f>
        <v>0</v>
      </c>
      <c r="B158" t="s">
        <v>9</v>
      </c>
      <c r="D158" t="s">
        <v>15</v>
      </c>
      <c r="E158" t="s">
        <v>16</v>
      </c>
      <c r="H158" t="s">
        <v>20</v>
      </c>
    </row>
    <row r="159" spans="1:8">
      <c r="A159" s="1">
        <f>HYPERLINK("https://cms.ls-nyc.org/matter/dynamic-profile/view/1871569","18-1871569")</f>
        <v>0</v>
      </c>
      <c r="B159" t="s">
        <v>9</v>
      </c>
      <c r="D159" t="s">
        <v>15</v>
      </c>
      <c r="E159" t="s">
        <v>16</v>
      </c>
      <c r="H159" t="s">
        <v>20</v>
      </c>
    </row>
    <row r="160" spans="1:8">
      <c r="A160" s="1">
        <f>HYPERLINK("https://cms.ls-nyc.org/matter/dynamic-profile/view/1893309","19-1893309")</f>
        <v>0</v>
      </c>
      <c r="B160" t="s">
        <v>9</v>
      </c>
      <c r="F160" t="s">
        <v>17</v>
      </c>
      <c r="H160" t="s">
        <v>20</v>
      </c>
    </row>
    <row r="161" spans="1:8">
      <c r="A161" s="1">
        <f>HYPERLINK("https://cms.ls-nyc.org/matter/dynamic-profile/view/1867085","18-1867085")</f>
        <v>0</v>
      </c>
      <c r="B161" t="s">
        <v>9</v>
      </c>
      <c r="D161" t="s">
        <v>15</v>
      </c>
      <c r="E161" t="s">
        <v>16</v>
      </c>
      <c r="H161" t="s">
        <v>20</v>
      </c>
    </row>
    <row r="162" spans="1:8">
      <c r="A162" s="1">
        <f>HYPERLINK("https://cms.ls-nyc.org/matter/dynamic-profile/view/1848433","17-1848433")</f>
        <v>0</v>
      </c>
      <c r="B162" t="s">
        <v>9</v>
      </c>
      <c r="C162" t="s">
        <v>13</v>
      </c>
      <c r="D162" t="s">
        <v>15</v>
      </c>
      <c r="E162" t="s">
        <v>16</v>
      </c>
      <c r="H162" t="s">
        <v>20</v>
      </c>
    </row>
    <row r="163" spans="1:8">
      <c r="A163" s="1">
        <f>HYPERLINK("https://cms.ls-nyc.org/matter/dynamic-profile/view/1889769","19-1889769")</f>
        <v>0</v>
      </c>
      <c r="B163" t="s">
        <v>9</v>
      </c>
      <c r="H163" t="s">
        <v>19</v>
      </c>
    </row>
    <row r="164" spans="1:8">
      <c r="A164" s="1">
        <f>HYPERLINK("https://cms.ls-nyc.org/matter/dynamic-profile/view/1895178","19-1895178")</f>
        <v>0</v>
      </c>
      <c r="B164" t="s">
        <v>9</v>
      </c>
      <c r="H164" t="s">
        <v>19</v>
      </c>
    </row>
    <row r="165" spans="1:8">
      <c r="A165" s="1">
        <f>HYPERLINK("https://cms.ls-nyc.org/matter/dynamic-profile/view/1836485","17-1836485")</f>
        <v>0</v>
      </c>
      <c r="B165" t="s">
        <v>9</v>
      </c>
      <c r="D165" t="s">
        <v>15</v>
      </c>
      <c r="E165" t="s">
        <v>16</v>
      </c>
      <c r="H165" t="s">
        <v>20</v>
      </c>
    </row>
    <row r="166" spans="1:8">
      <c r="A166" s="1">
        <f>HYPERLINK("https://cms.ls-nyc.org/matter/dynamic-profile/view/1895289","19-1895289")</f>
        <v>0</v>
      </c>
      <c r="B166" t="s">
        <v>9</v>
      </c>
      <c r="H166" t="s">
        <v>19</v>
      </c>
    </row>
    <row r="167" spans="1:8">
      <c r="A167" s="1">
        <f>HYPERLINK("https://cms.ls-nyc.org/matter/dynamic-profile/view/1895273","19-1895273")</f>
        <v>0</v>
      </c>
      <c r="B167" t="s">
        <v>9</v>
      </c>
      <c r="C167" t="s">
        <v>13</v>
      </c>
      <c r="D167" t="s">
        <v>14</v>
      </c>
      <c r="E167" t="s">
        <v>16</v>
      </c>
      <c r="F167" t="s">
        <v>17</v>
      </c>
      <c r="G167" t="s">
        <v>18</v>
      </c>
      <c r="H167" t="s">
        <v>20</v>
      </c>
    </row>
    <row r="168" spans="1:8">
      <c r="A168" s="1">
        <f>HYPERLINK("https://cms.ls-nyc.org/matter/dynamic-profile/view/1901085","19-1901085")</f>
        <v>0</v>
      </c>
      <c r="B168" t="s">
        <v>9</v>
      </c>
      <c r="H168" t="s">
        <v>19</v>
      </c>
    </row>
    <row r="169" spans="1:8">
      <c r="A169" s="1">
        <f>HYPERLINK("https://cms.ls-nyc.org/matter/dynamic-profile/view/1895816","19-1895816")</f>
        <v>0</v>
      </c>
      <c r="B169" t="s">
        <v>9</v>
      </c>
      <c r="C169" t="s">
        <v>13</v>
      </c>
      <c r="E169" t="s">
        <v>16</v>
      </c>
      <c r="G169" t="s">
        <v>18</v>
      </c>
      <c r="H169" t="s">
        <v>20</v>
      </c>
    </row>
    <row r="170" spans="1:8">
      <c r="A170" s="1">
        <f>HYPERLINK("https://cms.ls-nyc.org/matter/dynamic-profile/view/1886104","18-1886104")</f>
        <v>0</v>
      </c>
      <c r="B170" t="s">
        <v>9</v>
      </c>
      <c r="H170" t="s">
        <v>19</v>
      </c>
    </row>
    <row r="171" spans="1:8">
      <c r="A171" s="1">
        <f>HYPERLINK("https://cms.ls-nyc.org/matter/dynamic-profile/view/1849905","17-1849905")</f>
        <v>0</v>
      </c>
      <c r="B171" t="s">
        <v>9</v>
      </c>
      <c r="D171" t="s">
        <v>15</v>
      </c>
      <c r="E171" t="s">
        <v>16</v>
      </c>
      <c r="F171" t="s">
        <v>17</v>
      </c>
      <c r="H171" t="s">
        <v>20</v>
      </c>
    </row>
    <row r="172" spans="1:8">
      <c r="A172" s="1">
        <f>HYPERLINK("https://cms.ls-nyc.org/matter/dynamic-profile/view/1845274","17-1845274")</f>
        <v>0</v>
      </c>
      <c r="B172" t="s">
        <v>9</v>
      </c>
      <c r="D172" t="s">
        <v>15</v>
      </c>
      <c r="E172" t="s">
        <v>16</v>
      </c>
      <c r="F172" t="s">
        <v>17</v>
      </c>
      <c r="H172" t="s">
        <v>20</v>
      </c>
    </row>
    <row r="173" spans="1:8">
      <c r="A173" s="1">
        <f>HYPERLINK("https://cms.ls-nyc.org/matter/dynamic-profile/view/1870497","18-1870497")</f>
        <v>0</v>
      </c>
      <c r="B173" t="s">
        <v>9</v>
      </c>
      <c r="C173" t="s">
        <v>13</v>
      </c>
      <c r="D173" t="s">
        <v>14</v>
      </c>
      <c r="E173" t="s">
        <v>16</v>
      </c>
      <c r="G173" t="s">
        <v>18</v>
      </c>
      <c r="H173" t="s">
        <v>20</v>
      </c>
    </row>
    <row r="174" spans="1:8">
      <c r="A174" s="1">
        <f>HYPERLINK("https://cms.ls-nyc.org/matter/dynamic-profile/view/1870507","18-1870507")</f>
        <v>0</v>
      </c>
      <c r="B174" t="s">
        <v>9</v>
      </c>
      <c r="C174" t="s">
        <v>13</v>
      </c>
      <c r="D174" t="s">
        <v>14</v>
      </c>
      <c r="E174" t="s">
        <v>16</v>
      </c>
      <c r="G174" t="s">
        <v>18</v>
      </c>
      <c r="H174" t="s">
        <v>20</v>
      </c>
    </row>
    <row r="175" spans="1:8">
      <c r="A175" s="1">
        <f>HYPERLINK("https://cms.ls-nyc.org/matter/dynamic-profile/view/1852535","17-1852535")</f>
        <v>0</v>
      </c>
      <c r="B175" t="s">
        <v>9</v>
      </c>
      <c r="D175" t="s">
        <v>15</v>
      </c>
      <c r="H175" t="s">
        <v>20</v>
      </c>
    </row>
    <row r="176" spans="1:8">
      <c r="A176" s="1">
        <f>HYPERLINK("https://cms.ls-nyc.org/matter/dynamic-profile/view/1890391","19-1890391")</f>
        <v>0</v>
      </c>
      <c r="B176" t="s">
        <v>9</v>
      </c>
      <c r="H176" t="s">
        <v>19</v>
      </c>
    </row>
    <row r="177" spans="1:8">
      <c r="A177" s="1">
        <f>HYPERLINK("https://cms.ls-nyc.org/matter/dynamic-profile/view/1887311","19-1887311")</f>
        <v>0</v>
      </c>
      <c r="B177" t="s">
        <v>9</v>
      </c>
      <c r="H177" t="s">
        <v>19</v>
      </c>
    </row>
    <row r="178" spans="1:8">
      <c r="A178" s="1">
        <f>HYPERLINK("https://cms.ls-nyc.org/matter/dynamic-profile/view/1839479","17-1839479")</f>
        <v>0</v>
      </c>
      <c r="B178" t="s">
        <v>9</v>
      </c>
      <c r="D178" t="s">
        <v>15</v>
      </c>
      <c r="E178" t="s">
        <v>16</v>
      </c>
      <c r="H178" t="s">
        <v>20</v>
      </c>
    </row>
    <row r="179" spans="1:8">
      <c r="A179" s="1">
        <f>HYPERLINK("https://cms.ls-nyc.org/matter/dynamic-profile/view/1838614","17-1838614")</f>
        <v>0</v>
      </c>
      <c r="B179" t="s">
        <v>9</v>
      </c>
      <c r="D179" t="s">
        <v>15</v>
      </c>
      <c r="H179" t="s">
        <v>20</v>
      </c>
    </row>
    <row r="180" spans="1:8">
      <c r="A180" s="1">
        <f>HYPERLINK("https://cms.ls-nyc.org/matter/dynamic-profile/view/1857929","18-1857929")</f>
        <v>0</v>
      </c>
      <c r="B180" t="s">
        <v>9</v>
      </c>
      <c r="D180" t="s">
        <v>15</v>
      </c>
      <c r="E180" t="s">
        <v>16</v>
      </c>
      <c r="H180" t="s">
        <v>20</v>
      </c>
    </row>
    <row r="181" spans="1:8">
      <c r="A181" s="1">
        <f>HYPERLINK("https://cms.ls-nyc.org/matter/dynamic-profile/view/1883185","18-1883185")</f>
        <v>0</v>
      </c>
      <c r="B181" t="s">
        <v>9</v>
      </c>
      <c r="H181" t="s">
        <v>19</v>
      </c>
    </row>
    <row r="182" spans="1:8">
      <c r="A182" s="1">
        <f>HYPERLINK("https://cms.ls-nyc.org/matter/dynamic-profile/view/1872938","18-1872938")</f>
        <v>0</v>
      </c>
      <c r="B182" t="s">
        <v>9</v>
      </c>
      <c r="D182" t="s">
        <v>14</v>
      </c>
      <c r="H182" t="s">
        <v>20</v>
      </c>
    </row>
    <row r="183" spans="1:8">
      <c r="A183" s="1">
        <f>HYPERLINK("https://cms.ls-nyc.org/matter/dynamic-profile/view/1848024","17-1848024")</f>
        <v>0</v>
      </c>
      <c r="B183" t="s">
        <v>9</v>
      </c>
      <c r="D183" t="s">
        <v>15</v>
      </c>
      <c r="E183" t="s">
        <v>16</v>
      </c>
      <c r="F183" t="s">
        <v>17</v>
      </c>
      <c r="H183" t="s">
        <v>20</v>
      </c>
    </row>
    <row r="184" spans="1:8">
      <c r="A184" s="1">
        <f>HYPERLINK("https://cms.ls-nyc.org/matter/dynamic-profile/view/1889277","19-1889277")</f>
        <v>0</v>
      </c>
      <c r="B184" t="s">
        <v>9</v>
      </c>
      <c r="C184" t="s">
        <v>13</v>
      </c>
      <c r="D184" t="s">
        <v>14</v>
      </c>
      <c r="E184" t="s">
        <v>16</v>
      </c>
      <c r="G184" t="s">
        <v>18</v>
      </c>
      <c r="H184" t="s">
        <v>20</v>
      </c>
    </row>
    <row r="185" spans="1:8">
      <c r="A185" s="1">
        <f>HYPERLINK("https://cms.ls-nyc.org/matter/dynamic-profile/view/1896403","19-1896403")</f>
        <v>0</v>
      </c>
      <c r="B185" t="s">
        <v>9</v>
      </c>
      <c r="H185" t="s">
        <v>19</v>
      </c>
    </row>
    <row r="186" spans="1:8">
      <c r="A186" s="1">
        <f>HYPERLINK("https://cms.ls-nyc.org/matter/dynamic-profile/view/1899962","19-1899962")</f>
        <v>0</v>
      </c>
      <c r="B186" t="s">
        <v>9</v>
      </c>
      <c r="H186" t="s">
        <v>19</v>
      </c>
    </row>
    <row r="187" spans="1:8">
      <c r="A187" s="1">
        <f>HYPERLINK("https://cms.ls-nyc.org/matter/dynamic-profile/view/0813615","16-0813615")</f>
        <v>0</v>
      </c>
      <c r="B187" t="s">
        <v>9</v>
      </c>
      <c r="D187" t="s">
        <v>15</v>
      </c>
      <c r="E187" t="s">
        <v>16</v>
      </c>
      <c r="H187" t="s">
        <v>20</v>
      </c>
    </row>
    <row r="188" spans="1:8">
      <c r="A188" s="1">
        <f>HYPERLINK("https://cms.ls-nyc.org/matter/dynamic-profile/view/1899905","19-1899905")</f>
        <v>0</v>
      </c>
      <c r="B188" t="s">
        <v>9</v>
      </c>
      <c r="D188" t="s">
        <v>14</v>
      </c>
      <c r="H188" t="s">
        <v>20</v>
      </c>
    </row>
    <row r="189" spans="1:8">
      <c r="A189" s="1">
        <f>HYPERLINK("https://cms.ls-nyc.org/matter/dynamic-profile/view/1859694","18-1859694")</f>
        <v>0</v>
      </c>
      <c r="B189" t="s">
        <v>9</v>
      </c>
      <c r="D189" t="s">
        <v>15</v>
      </c>
      <c r="E189" t="s">
        <v>16</v>
      </c>
      <c r="H189" t="s">
        <v>20</v>
      </c>
    </row>
    <row r="190" spans="1:8">
      <c r="A190" s="1">
        <f>HYPERLINK("https://cms.ls-nyc.org/matter/dynamic-profile/view/1894214","19-1894214")</f>
        <v>0</v>
      </c>
      <c r="B190" t="s">
        <v>9</v>
      </c>
      <c r="F190" t="s">
        <v>17</v>
      </c>
      <c r="H190" t="s">
        <v>20</v>
      </c>
    </row>
    <row r="191" spans="1:8">
      <c r="A191" s="1">
        <f>HYPERLINK("https://cms.ls-nyc.org/matter/dynamic-profile/view/1899697","19-1899697")</f>
        <v>0</v>
      </c>
      <c r="B191" t="s">
        <v>9</v>
      </c>
      <c r="F191" t="s">
        <v>17</v>
      </c>
      <c r="H191" t="s">
        <v>20</v>
      </c>
    </row>
    <row r="192" spans="1:8">
      <c r="A192" s="1">
        <f>HYPERLINK("https://cms.ls-nyc.org/matter/dynamic-profile/view/1893914","19-1893914")</f>
        <v>0</v>
      </c>
      <c r="B192" t="s">
        <v>9</v>
      </c>
      <c r="C192" t="s">
        <v>13</v>
      </c>
      <c r="E192" t="s">
        <v>16</v>
      </c>
      <c r="H192" t="s">
        <v>20</v>
      </c>
    </row>
    <row r="193" spans="1:8">
      <c r="A193" s="1">
        <f>HYPERLINK("https://cms.ls-nyc.org/matter/dynamic-profile/view/1899700","19-1899700")</f>
        <v>0</v>
      </c>
      <c r="B193" t="s">
        <v>9</v>
      </c>
      <c r="C193" t="s">
        <v>13</v>
      </c>
      <c r="D193" t="s">
        <v>14</v>
      </c>
      <c r="E193" t="s">
        <v>16</v>
      </c>
      <c r="F193" t="s">
        <v>17</v>
      </c>
      <c r="G193" t="s">
        <v>18</v>
      </c>
      <c r="H193" t="s">
        <v>20</v>
      </c>
    </row>
    <row r="194" spans="1:8">
      <c r="A194" s="1">
        <f>HYPERLINK("https://cms.ls-nyc.org/matter/dynamic-profile/view/1889349","19-1889349")</f>
        <v>0</v>
      </c>
      <c r="B194" t="s">
        <v>9</v>
      </c>
      <c r="H194" t="s">
        <v>19</v>
      </c>
    </row>
    <row r="195" spans="1:8">
      <c r="A195" s="1">
        <f>HYPERLINK("https://cms.ls-nyc.org/matter/dynamic-profile/view/1892536","19-1892536")</f>
        <v>0</v>
      </c>
      <c r="B195" t="s">
        <v>9</v>
      </c>
      <c r="C195" t="s">
        <v>13</v>
      </c>
      <c r="E195" t="s">
        <v>16</v>
      </c>
      <c r="G195" t="s">
        <v>18</v>
      </c>
      <c r="H195" t="s">
        <v>20</v>
      </c>
    </row>
    <row r="196" spans="1:8">
      <c r="A196" s="1">
        <f>HYPERLINK("https://cms.ls-nyc.org/matter/dynamic-profile/view/1893757","19-1893757")</f>
        <v>0</v>
      </c>
      <c r="B196" t="s">
        <v>9</v>
      </c>
      <c r="C196" t="s">
        <v>13</v>
      </c>
      <c r="E196" t="s">
        <v>16</v>
      </c>
      <c r="G196" t="s">
        <v>18</v>
      </c>
      <c r="H196" t="s">
        <v>20</v>
      </c>
    </row>
    <row r="197" spans="1:8">
      <c r="A197" s="1">
        <f>HYPERLINK("https://cms.ls-nyc.org/matter/dynamic-profile/view/1896003","19-1896003")</f>
        <v>0</v>
      </c>
      <c r="B197" t="s">
        <v>8</v>
      </c>
      <c r="H197" t="s">
        <v>19</v>
      </c>
    </row>
    <row r="198" spans="1:8">
      <c r="A198" s="1">
        <f>HYPERLINK("https://cms.ls-nyc.org/matter/dynamic-profile/view/1896539","19-1896539")</f>
        <v>0</v>
      </c>
      <c r="B198" t="s">
        <v>8</v>
      </c>
      <c r="D198" t="s">
        <v>14</v>
      </c>
      <c r="E198" t="s">
        <v>16</v>
      </c>
      <c r="H198" t="s">
        <v>20</v>
      </c>
    </row>
    <row r="199" spans="1:8">
      <c r="A199" s="1">
        <f>HYPERLINK("https://cms.ls-nyc.org/matter/dynamic-profile/view/1864858","18-1864858")</f>
        <v>0</v>
      </c>
      <c r="B199" t="s">
        <v>8</v>
      </c>
      <c r="D199" t="s">
        <v>15</v>
      </c>
      <c r="E199" t="s">
        <v>16</v>
      </c>
      <c r="H199" t="s">
        <v>20</v>
      </c>
    </row>
    <row r="200" spans="1:8">
      <c r="A200" s="1">
        <f>HYPERLINK("https://cms.ls-nyc.org/matter/dynamic-profile/view/0805089","16-0805089")</f>
        <v>0</v>
      </c>
      <c r="B200" t="s">
        <v>8</v>
      </c>
      <c r="C200" t="s">
        <v>13</v>
      </c>
      <c r="D200" t="s">
        <v>15</v>
      </c>
      <c r="E200" t="s">
        <v>16</v>
      </c>
      <c r="H200" t="s">
        <v>20</v>
      </c>
    </row>
    <row r="201" spans="1:8">
      <c r="A201" s="1">
        <f>HYPERLINK("https://cms.ls-nyc.org/matter/dynamic-profile/view/1890884","19-1890884")</f>
        <v>0</v>
      </c>
      <c r="B201" t="s">
        <v>8</v>
      </c>
      <c r="H201" t="s">
        <v>19</v>
      </c>
    </row>
    <row r="202" spans="1:8">
      <c r="A202" s="1">
        <f>HYPERLINK("https://cms.ls-nyc.org/matter/dynamic-profile/view/1887450","19-1887450")</f>
        <v>0</v>
      </c>
      <c r="B202" t="s">
        <v>8</v>
      </c>
      <c r="H202" t="s">
        <v>19</v>
      </c>
    </row>
    <row r="203" spans="1:8">
      <c r="A203" s="1">
        <f>HYPERLINK("https://cms.ls-nyc.org/matter/dynamic-profile/view/1900499","19-1900499")</f>
        <v>0</v>
      </c>
      <c r="B203" t="s">
        <v>8</v>
      </c>
      <c r="E203" t="s">
        <v>16</v>
      </c>
      <c r="H203" t="s">
        <v>20</v>
      </c>
    </row>
    <row r="204" spans="1:8">
      <c r="A204" s="1">
        <f>HYPERLINK("https://cms.ls-nyc.org/matter/dynamic-profile/view/1899597","19-1899597")</f>
        <v>0</v>
      </c>
      <c r="B204" t="s">
        <v>10</v>
      </c>
      <c r="D204" t="s">
        <v>14</v>
      </c>
      <c r="F204" t="s">
        <v>17</v>
      </c>
      <c r="H204" t="s">
        <v>20</v>
      </c>
    </row>
    <row r="205" spans="1:8">
      <c r="A205" s="1">
        <f>HYPERLINK("https://cms.ls-nyc.org/matter/dynamic-profile/view/1875678","18-1875678")</f>
        <v>0</v>
      </c>
      <c r="B205" t="s">
        <v>10</v>
      </c>
      <c r="H205" t="s">
        <v>19</v>
      </c>
    </row>
    <row r="206" spans="1:8">
      <c r="A206" s="1">
        <f>HYPERLINK("https://cms.ls-nyc.org/matter/dynamic-profile/view/1875674","18-1875674")</f>
        <v>0</v>
      </c>
      <c r="B206" t="s">
        <v>10</v>
      </c>
      <c r="H206" t="s">
        <v>19</v>
      </c>
    </row>
    <row r="207" spans="1:8">
      <c r="A207" s="1">
        <f>HYPERLINK("https://cms.ls-nyc.org/matter/dynamic-profile/view/0826011","17-0826011")</f>
        <v>0</v>
      </c>
      <c r="B207" t="s">
        <v>10</v>
      </c>
      <c r="D207" t="s">
        <v>15</v>
      </c>
      <c r="E207" t="s">
        <v>16</v>
      </c>
      <c r="H207" t="s">
        <v>20</v>
      </c>
    </row>
    <row r="208" spans="1:8">
      <c r="A208" s="1">
        <f>HYPERLINK("https://cms.ls-nyc.org/matter/dynamic-profile/view/0826016","17-0826016")</f>
        <v>0</v>
      </c>
      <c r="B208" t="s">
        <v>10</v>
      </c>
      <c r="D208" t="s">
        <v>15</v>
      </c>
      <c r="E208" t="s">
        <v>16</v>
      </c>
      <c r="H208" t="s">
        <v>20</v>
      </c>
    </row>
    <row r="209" spans="1:8">
      <c r="A209" s="1">
        <f>HYPERLINK("https://cms.ls-nyc.org/matter/dynamic-profile/view/1894599","19-1894599")</f>
        <v>0</v>
      </c>
      <c r="B209" t="s">
        <v>10</v>
      </c>
      <c r="H209" t="s">
        <v>19</v>
      </c>
    </row>
    <row r="210" spans="1:8">
      <c r="A210" s="1">
        <f>HYPERLINK("https://cms.ls-nyc.org/matter/dynamic-profile/view/1895910","19-1895910")</f>
        <v>0</v>
      </c>
      <c r="B210" t="s">
        <v>10</v>
      </c>
      <c r="D210" t="s">
        <v>14</v>
      </c>
      <c r="E210" t="s">
        <v>16</v>
      </c>
      <c r="H210" t="s">
        <v>20</v>
      </c>
    </row>
    <row r="211" spans="1:8">
      <c r="A211" s="1">
        <f>HYPERLINK("https://cms.ls-nyc.org/matter/dynamic-profile/view/1895116","19-1895116")</f>
        <v>0</v>
      </c>
      <c r="B211" t="s">
        <v>10</v>
      </c>
      <c r="H211" t="s">
        <v>19</v>
      </c>
    </row>
    <row r="212" spans="1:8">
      <c r="A212" s="1">
        <f>HYPERLINK("https://cms.ls-nyc.org/matter/dynamic-profile/view/1893033","19-1893033")</f>
        <v>0</v>
      </c>
      <c r="B212" t="s">
        <v>10</v>
      </c>
      <c r="D212" t="s">
        <v>14</v>
      </c>
      <c r="F212" t="s">
        <v>17</v>
      </c>
      <c r="G212" t="s">
        <v>18</v>
      </c>
      <c r="H212" t="s">
        <v>20</v>
      </c>
    </row>
    <row r="213" spans="1:8">
      <c r="A213" s="1">
        <f>HYPERLINK("https://cms.ls-nyc.org/matter/dynamic-profile/view/1901275","19-1901275")</f>
        <v>0</v>
      </c>
      <c r="B213" t="s">
        <v>10</v>
      </c>
      <c r="C213" t="s">
        <v>13</v>
      </c>
      <c r="D213" t="s">
        <v>14</v>
      </c>
      <c r="E213" t="s">
        <v>16</v>
      </c>
      <c r="G213" t="s">
        <v>18</v>
      </c>
      <c r="H213" t="s">
        <v>20</v>
      </c>
    </row>
    <row r="214" spans="1:8">
      <c r="A214" s="1">
        <f>HYPERLINK("https://cms.ls-nyc.org/matter/dynamic-profile/view/1886204","18-1886204")</f>
        <v>0</v>
      </c>
      <c r="B214" t="s">
        <v>10</v>
      </c>
      <c r="C214" t="s">
        <v>13</v>
      </c>
      <c r="D214" t="s">
        <v>14</v>
      </c>
      <c r="E214" t="s">
        <v>16</v>
      </c>
      <c r="H214" t="s">
        <v>20</v>
      </c>
    </row>
    <row r="215" spans="1:8">
      <c r="A215" s="1">
        <f>HYPERLINK("https://cms.ls-nyc.org/matter/dynamic-profile/view/1885679","18-1885679")</f>
        <v>0</v>
      </c>
      <c r="B215" t="s">
        <v>10</v>
      </c>
      <c r="H215" t="s">
        <v>19</v>
      </c>
    </row>
    <row r="216" spans="1:8">
      <c r="A216" s="1">
        <f>HYPERLINK("https://cms.ls-nyc.org/matter/dynamic-profile/view/1885683","18-1885683")</f>
        <v>0</v>
      </c>
      <c r="B216" t="s">
        <v>10</v>
      </c>
      <c r="H216" t="s">
        <v>19</v>
      </c>
    </row>
    <row r="217" spans="1:8">
      <c r="A217" s="1">
        <f>HYPERLINK("https://cms.ls-nyc.org/matter/dynamic-profile/view/1900522","19-1900522")</f>
        <v>0</v>
      </c>
      <c r="B217" t="s">
        <v>10</v>
      </c>
      <c r="D217" t="s">
        <v>14</v>
      </c>
      <c r="H217" t="s">
        <v>20</v>
      </c>
    </row>
    <row r="218" spans="1:8">
      <c r="A218" s="1">
        <f>HYPERLINK("https://cms.ls-nyc.org/matter/dynamic-profile/view/1900526","19-1900526")</f>
        <v>0</v>
      </c>
      <c r="B218" t="s">
        <v>10</v>
      </c>
      <c r="D218" t="s">
        <v>14</v>
      </c>
      <c r="H218" t="s">
        <v>20</v>
      </c>
    </row>
    <row r="219" spans="1:8">
      <c r="A219" s="1">
        <f>HYPERLINK("https://cms.ls-nyc.org/matter/dynamic-profile/view/1880802","18-1880802")</f>
        <v>0</v>
      </c>
      <c r="B219" t="s">
        <v>10</v>
      </c>
      <c r="H219" t="s">
        <v>19</v>
      </c>
    </row>
    <row r="220" spans="1:8">
      <c r="A220" s="1">
        <f>HYPERLINK("https://cms.ls-nyc.org/matter/dynamic-profile/view/1895983","19-1895983")</f>
        <v>0</v>
      </c>
      <c r="B220" t="s">
        <v>10</v>
      </c>
      <c r="D220" t="s">
        <v>14</v>
      </c>
      <c r="F220" t="s">
        <v>17</v>
      </c>
      <c r="H220" t="s">
        <v>20</v>
      </c>
    </row>
    <row r="221" spans="1:8">
      <c r="A221" s="1">
        <f>HYPERLINK("https://cms.ls-nyc.org/matter/dynamic-profile/view/1896099","19-1896099")</f>
        <v>0</v>
      </c>
      <c r="B221" t="s">
        <v>10</v>
      </c>
      <c r="D221" t="s">
        <v>14</v>
      </c>
      <c r="F221" t="s">
        <v>17</v>
      </c>
      <c r="H221" t="s">
        <v>20</v>
      </c>
    </row>
    <row r="222" spans="1:8">
      <c r="A222" s="1">
        <f>HYPERLINK("https://cms.ls-nyc.org/matter/dynamic-profile/view/1886582","18-1886582")</f>
        <v>0</v>
      </c>
      <c r="B222" t="s">
        <v>10</v>
      </c>
      <c r="H222" t="s">
        <v>19</v>
      </c>
    </row>
    <row r="223" spans="1:8">
      <c r="A223" s="1">
        <f>HYPERLINK("https://cms.ls-nyc.org/matter/dynamic-profile/view/0799844","16-0799844")</f>
        <v>0</v>
      </c>
      <c r="B223" t="s">
        <v>10</v>
      </c>
      <c r="D223" t="s">
        <v>15</v>
      </c>
      <c r="E223" t="s">
        <v>16</v>
      </c>
      <c r="F223" t="s">
        <v>17</v>
      </c>
      <c r="H223" t="s">
        <v>20</v>
      </c>
    </row>
    <row r="224" spans="1:8">
      <c r="A224" s="1">
        <f>HYPERLINK("https://cms.ls-nyc.org/matter/dynamic-profile/view/0809055","16-0809055")</f>
        <v>0</v>
      </c>
      <c r="B224" t="s">
        <v>10</v>
      </c>
      <c r="D224" t="s">
        <v>15</v>
      </c>
      <c r="E224" t="s">
        <v>16</v>
      </c>
      <c r="F224" t="s">
        <v>17</v>
      </c>
      <c r="H224" t="s">
        <v>20</v>
      </c>
    </row>
    <row r="225" spans="1:8">
      <c r="A225" s="1">
        <f>HYPERLINK("https://cms.ls-nyc.org/matter/dynamic-profile/view/0811047","16-0811047")</f>
        <v>0</v>
      </c>
      <c r="B225" t="s">
        <v>10</v>
      </c>
      <c r="D225" t="s">
        <v>15</v>
      </c>
      <c r="E225" t="s">
        <v>16</v>
      </c>
      <c r="F225" t="s">
        <v>17</v>
      </c>
      <c r="H225" t="s">
        <v>20</v>
      </c>
    </row>
    <row r="226" spans="1:8">
      <c r="A226" s="1">
        <f>HYPERLINK("https://cms.ls-nyc.org/matter/dynamic-profile/view/1882654","18-1882654")</f>
        <v>0</v>
      </c>
      <c r="B226" t="s">
        <v>10</v>
      </c>
      <c r="H226" t="s">
        <v>19</v>
      </c>
    </row>
    <row r="227" spans="1:8">
      <c r="A227" s="1">
        <f>HYPERLINK("https://cms.ls-nyc.org/matter/dynamic-profile/view/1882688","18-1882688")</f>
        <v>0</v>
      </c>
      <c r="B227" t="s">
        <v>10</v>
      </c>
      <c r="H227" t="s">
        <v>19</v>
      </c>
    </row>
    <row r="228" spans="1:8">
      <c r="A228" s="1">
        <f>HYPERLINK("https://cms.ls-nyc.org/matter/dynamic-profile/view/1882734","18-1882734")</f>
        <v>0</v>
      </c>
      <c r="B228" t="s">
        <v>10</v>
      </c>
      <c r="H228" t="s">
        <v>19</v>
      </c>
    </row>
    <row r="229" spans="1:8">
      <c r="A229" s="1">
        <f>HYPERLINK("https://cms.ls-nyc.org/matter/dynamic-profile/view/1897359","19-1897359")</f>
        <v>0</v>
      </c>
      <c r="B229" t="s">
        <v>10</v>
      </c>
      <c r="H229" t="s">
        <v>19</v>
      </c>
    </row>
    <row r="230" spans="1:8">
      <c r="A230" s="1">
        <f>HYPERLINK("https://cms.ls-nyc.org/matter/dynamic-profile/view/0800080","16-0800080")</f>
        <v>0</v>
      </c>
      <c r="B230" t="s">
        <v>10</v>
      </c>
      <c r="D230" t="s">
        <v>15</v>
      </c>
      <c r="E230" t="s">
        <v>16</v>
      </c>
      <c r="F230" t="s">
        <v>17</v>
      </c>
      <c r="H230" t="s">
        <v>20</v>
      </c>
    </row>
    <row r="231" spans="1:8">
      <c r="A231" s="1">
        <f>HYPERLINK("https://cms.ls-nyc.org/matter/dynamic-profile/view/0816819","16-0816819")</f>
        <v>0</v>
      </c>
      <c r="B231" t="s">
        <v>10</v>
      </c>
      <c r="D231" t="s">
        <v>15</v>
      </c>
      <c r="E231" t="s">
        <v>16</v>
      </c>
      <c r="F231" t="s">
        <v>17</v>
      </c>
      <c r="H231" t="s">
        <v>20</v>
      </c>
    </row>
    <row r="232" spans="1:8">
      <c r="A232" s="1">
        <f>HYPERLINK("https://cms.ls-nyc.org/matter/dynamic-profile/view/0816897","16-0816897")</f>
        <v>0</v>
      </c>
      <c r="B232" t="s">
        <v>10</v>
      </c>
      <c r="D232" t="s">
        <v>15</v>
      </c>
      <c r="E232" t="s">
        <v>16</v>
      </c>
      <c r="F232" t="s">
        <v>17</v>
      </c>
      <c r="H232" t="s">
        <v>20</v>
      </c>
    </row>
    <row r="233" spans="1:8">
      <c r="A233" s="1">
        <f>HYPERLINK("https://cms.ls-nyc.org/matter/dynamic-profile/view/0816930","16-0816930")</f>
        <v>0</v>
      </c>
      <c r="B233" t="s">
        <v>10</v>
      </c>
      <c r="D233" t="s">
        <v>15</v>
      </c>
      <c r="E233" t="s">
        <v>16</v>
      </c>
      <c r="F233" t="s">
        <v>17</v>
      </c>
      <c r="H233" t="s">
        <v>20</v>
      </c>
    </row>
    <row r="234" spans="1:8">
      <c r="A234" s="1">
        <f>HYPERLINK("https://cms.ls-nyc.org/matter/dynamic-profile/view/0824075","17-0824075")</f>
        <v>0</v>
      </c>
      <c r="B234" t="s">
        <v>10</v>
      </c>
      <c r="E234" t="s">
        <v>16</v>
      </c>
      <c r="F234" t="s">
        <v>17</v>
      </c>
      <c r="H234" t="s">
        <v>20</v>
      </c>
    </row>
    <row r="235" spans="1:8">
      <c r="A235" s="1">
        <f>HYPERLINK("https://cms.ls-nyc.org/matter/dynamic-profile/view/1862820","18-1862820")</f>
        <v>0</v>
      </c>
      <c r="B235" t="s">
        <v>10</v>
      </c>
      <c r="D235" t="s">
        <v>14</v>
      </c>
      <c r="E235" t="s">
        <v>16</v>
      </c>
      <c r="F235" t="s">
        <v>17</v>
      </c>
      <c r="H235" t="s">
        <v>20</v>
      </c>
    </row>
    <row r="236" spans="1:8">
      <c r="A236" s="1">
        <f>HYPERLINK("https://cms.ls-nyc.org/matter/dynamic-profile/view/1862841","18-1862841")</f>
        <v>0</v>
      </c>
      <c r="B236" t="s">
        <v>10</v>
      </c>
      <c r="E236" t="s">
        <v>16</v>
      </c>
      <c r="F236" t="s">
        <v>17</v>
      </c>
      <c r="H236" t="s">
        <v>20</v>
      </c>
    </row>
    <row r="237" spans="1:8">
      <c r="A237" s="1">
        <f>HYPERLINK("https://cms.ls-nyc.org/matter/dynamic-profile/view/1882097","18-1882097")</f>
        <v>0</v>
      </c>
      <c r="B237" t="s">
        <v>10</v>
      </c>
      <c r="H237" t="s">
        <v>19</v>
      </c>
    </row>
    <row r="238" spans="1:8">
      <c r="A238" s="1">
        <f>HYPERLINK("https://cms.ls-nyc.org/matter/dynamic-profile/view/1882687","18-1882687")</f>
        <v>0</v>
      </c>
      <c r="B238" t="s">
        <v>10</v>
      </c>
      <c r="H238" t="s">
        <v>19</v>
      </c>
    </row>
    <row r="239" spans="1:8">
      <c r="A239" s="1">
        <f>HYPERLINK("https://cms.ls-nyc.org/matter/dynamic-profile/view/1882733","18-1882733")</f>
        <v>0</v>
      </c>
      <c r="B239" t="s">
        <v>10</v>
      </c>
      <c r="H239" t="s">
        <v>19</v>
      </c>
    </row>
    <row r="240" spans="1:8">
      <c r="A240" s="1">
        <f>HYPERLINK("https://cms.ls-nyc.org/matter/dynamic-profile/view/1886131","18-1886131")</f>
        <v>0</v>
      </c>
      <c r="B240" t="s">
        <v>10</v>
      </c>
      <c r="H240" t="s">
        <v>19</v>
      </c>
    </row>
    <row r="241" spans="1:8">
      <c r="A241" s="1">
        <f>HYPERLINK("https://cms.ls-nyc.org/matter/dynamic-profile/view/1890025","19-1890025")</f>
        <v>0</v>
      </c>
      <c r="B241" t="s">
        <v>10</v>
      </c>
      <c r="H241" t="s">
        <v>19</v>
      </c>
    </row>
    <row r="242" spans="1:8">
      <c r="A242" s="1">
        <f>HYPERLINK("https://cms.ls-nyc.org/matter/dynamic-profile/view/1898923","19-1898923")</f>
        <v>0</v>
      </c>
      <c r="B242" t="s">
        <v>10</v>
      </c>
      <c r="C242" t="s">
        <v>13</v>
      </c>
      <c r="D242" t="s">
        <v>14</v>
      </c>
      <c r="E242" t="s">
        <v>16</v>
      </c>
      <c r="F242" t="s">
        <v>17</v>
      </c>
      <c r="H242" t="s">
        <v>20</v>
      </c>
    </row>
    <row r="243" spans="1:8">
      <c r="A243" s="1">
        <f>HYPERLINK("https://cms.ls-nyc.org/matter/dynamic-profile/view/1901464","19-1901464")</f>
        <v>0</v>
      </c>
      <c r="B243" t="s">
        <v>10</v>
      </c>
      <c r="C243" t="s">
        <v>13</v>
      </c>
      <c r="D243" t="s">
        <v>14</v>
      </c>
      <c r="F243" t="s">
        <v>17</v>
      </c>
      <c r="H243" t="s">
        <v>20</v>
      </c>
    </row>
    <row r="244" spans="1:8">
      <c r="A244" s="1">
        <f>HYPERLINK("https://cms.ls-nyc.org/matter/dynamic-profile/view/1887935","19-1887935")</f>
        <v>0</v>
      </c>
      <c r="B244" t="s">
        <v>10</v>
      </c>
      <c r="D244" t="s">
        <v>14</v>
      </c>
      <c r="H244" t="s">
        <v>20</v>
      </c>
    </row>
    <row r="245" spans="1:8">
      <c r="A245" s="1">
        <f>HYPERLINK("https://cms.ls-nyc.org/matter/dynamic-profile/view/1899628","19-1899628")</f>
        <v>0</v>
      </c>
      <c r="B245" t="s">
        <v>10</v>
      </c>
      <c r="C245" t="s">
        <v>13</v>
      </c>
      <c r="D245" t="s">
        <v>14</v>
      </c>
      <c r="E245" t="s">
        <v>16</v>
      </c>
      <c r="H245" t="s">
        <v>20</v>
      </c>
    </row>
    <row r="246" spans="1:8">
      <c r="A246" s="1">
        <f>HYPERLINK("https://cms.ls-nyc.org/matter/dynamic-profile/view/1901015","19-1901015")</f>
        <v>0</v>
      </c>
      <c r="B246" t="s">
        <v>10</v>
      </c>
      <c r="D246" t="s">
        <v>14</v>
      </c>
      <c r="H246" t="s">
        <v>20</v>
      </c>
    </row>
    <row r="247" spans="1:8">
      <c r="A247" s="1">
        <f>HYPERLINK("https://cms.ls-nyc.org/matter/dynamic-profile/view/1898630","19-1898630")</f>
        <v>0</v>
      </c>
      <c r="B247" t="s">
        <v>10</v>
      </c>
      <c r="C247" t="s">
        <v>13</v>
      </c>
      <c r="D247" t="s">
        <v>14</v>
      </c>
      <c r="E247" t="s">
        <v>16</v>
      </c>
      <c r="H247" t="s">
        <v>20</v>
      </c>
    </row>
    <row r="248" spans="1:8">
      <c r="A248" s="1">
        <f>HYPERLINK("https://cms.ls-nyc.org/matter/dynamic-profile/view/1887394","19-1887394")</f>
        <v>0</v>
      </c>
      <c r="B248" t="s">
        <v>10</v>
      </c>
      <c r="H248" t="s">
        <v>19</v>
      </c>
    </row>
    <row r="249" spans="1:8">
      <c r="A249" s="1">
        <f>HYPERLINK("https://cms.ls-nyc.org/matter/dynamic-profile/view/1889950","19-1889950")</f>
        <v>0</v>
      </c>
      <c r="B249" t="s">
        <v>10</v>
      </c>
      <c r="F249" t="s">
        <v>17</v>
      </c>
      <c r="H249" t="s">
        <v>20</v>
      </c>
    </row>
    <row r="250" spans="1:8">
      <c r="A250" s="1">
        <f>HYPERLINK("https://cms.ls-nyc.org/matter/dynamic-profile/view/1890574","19-1890574")</f>
        <v>0</v>
      </c>
      <c r="B250" t="s">
        <v>10</v>
      </c>
      <c r="H250" t="s">
        <v>19</v>
      </c>
    </row>
    <row r="251" spans="1:8">
      <c r="A251" s="1">
        <f>HYPERLINK("https://cms.ls-nyc.org/matter/dynamic-profile/view/1853337","17-1853337")</f>
        <v>0</v>
      </c>
      <c r="B251" t="s">
        <v>10</v>
      </c>
      <c r="D251" t="s">
        <v>15</v>
      </c>
      <c r="E251" t="s">
        <v>16</v>
      </c>
      <c r="H251" t="s">
        <v>20</v>
      </c>
    </row>
    <row r="252" spans="1:8">
      <c r="A252" s="1">
        <f>HYPERLINK("https://cms.ls-nyc.org/matter/dynamic-profile/view/1886470","18-1886470")</f>
        <v>0</v>
      </c>
      <c r="B252" t="s">
        <v>10</v>
      </c>
      <c r="C252" t="s">
        <v>13</v>
      </c>
      <c r="D252" t="s">
        <v>14</v>
      </c>
      <c r="E252" t="s">
        <v>16</v>
      </c>
      <c r="H252" t="s">
        <v>20</v>
      </c>
    </row>
    <row r="253" spans="1:8">
      <c r="A253" s="1">
        <f>HYPERLINK("https://cms.ls-nyc.org/matter/dynamic-profile/view/1897103","19-1897103")</f>
        <v>0</v>
      </c>
      <c r="B253" t="s">
        <v>10</v>
      </c>
      <c r="H253" t="s">
        <v>19</v>
      </c>
    </row>
    <row r="254" spans="1:8">
      <c r="A254" s="1">
        <f>HYPERLINK("https://cms.ls-nyc.org/matter/dynamic-profile/view/1860904","18-1860904")</f>
        <v>0</v>
      </c>
      <c r="B254" t="s">
        <v>10</v>
      </c>
      <c r="D254" t="s">
        <v>15</v>
      </c>
      <c r="E254" t="s">
        <v>16</v>
      </c>
      <c r="H254" t="s">
        <v>20</v>
      </c>
    </row>
    <row r="255" spans="1:8">
      <c r="A255" s="1">
        <f>HYPERLINK("https://cms.ls-nyc.org/matter/dynamic-profile/view/1861954","18-1861954")</f>
        <v>0</v>
      </c>
      <c r="B255" t="s">
        <v>10</v>
      </c>
      <c r="D255" t="s">
        <v>15</v>
      </c>
      <c r="E255" t="s">
        <v>16</v>
      </c>
      <c r="H255" t="s">
        <v>20</v>
      </c>
    </row>
    <row r="256" spans="1:8">
      <c r="A256" s="1">
        <f>HYPERLINK("https://cms.ls-nyc.org/matter/dynamic-profile/view/1879510","18-1879510")</f>
        <v>0</v>
      </c>
      <c r="B256" t="s">
        <v>10</v>
      </c>
      <c r="H256" t="s">
        <v>19</v>
      </c>
    </row>
    <row r="257" spans="1:8">
      <c r="A257" s="1">
        <f>HYPERLINK("https://cms.ls-nyc.org/matter/dynamic-profile/view/1890570","19-1890570")</f>
        <v>0</v>
      </c>
      <c r="B257" t="s">
        <v>10</v>
      </c>
      <c r="H257" t="s">
        <v>19</v>
      </c>
    </row>
    <row r="258" spans="1:8">
      <c r="A258" s="1">
        <f>HYPERLINK("https://cms.ls-nyc.org/matter/dynamic-profile/view/1900199","19-1900199")</f>
        <v>0</v>
      </c>
      <c r="B258" t="s">
        <v>10</v>
      </c>
      <c r="D258" t="s">
        <v>14</v>
      </c>
      <c r="H258" t="s">
        <v>20</v>
      </c>
    </row>
    <row r="259" spans="1:8">
      <c r="A259" s="1">
        <f>HYPERLINK("https://cms.ls-nyc.org/matter/dynamic-profile/view/1890563","19-1890563")</f>
        <v>0</v>
      </c>
      <c r="B259" t="s">
        <v>10</v>
      </c>
      <c r="H259" t="s">
        <v>19</v>
      </c>
    </row>
    <row r="260" spans="1:8">
      <c r="A260" s="1">
        <f>HYPERLINK("https://cms.ls-nyc.org/matter/dynamic-profile/view/1896633","19-1896633")</f>
        <v>0</v>
      </c>
      <c r="B260" t="s">
        <v>10</v>
      </c>
      <c r="D260" t="s">
        <v>14</v>
      </c>
      <c r="F260" t="s">
        <v>17</v>
      </c>
      <c r="H260" t="s">
        <v>20</v>
      </c>
    </row>
    <row r="261" spans="1:8">
      <c r="A261" s="1">
        <f>HYPERLINK("https://cms.ls-nyc.org/matter/dynamic-profile/view/0811882","16-0811882")</f>
        <v>0</v>
      </c>
      <c r="B261" t="s">
        <v>10</v>
      </c>
      <c r="D261" t="s">
        <v>15</v>
      </c>
      <c r="E261" t="s">
        <v>16</v>
      </c>
      <c r="H261" t="s">
        <v>20</v>
      </c>
    </row>
    <row r="262" spans="1:8">
      <c r="A262" s="1">
        <f>HYPERLINK("https://cms.ls-nyc.org/matter/dynamic-profile/view/1840965","17-1840965")</f>
        <v>0</v>
      </c>
      <c r="B262" t="s">
        <v>10</v>
      </c>
      <c r="D262" t="s">
        <v>15</v>
      </c>
      <c r="E262" t="s">
        <v>16</v>
      </c>
      <c r="H262" t="s">
        <v>20</v>
      </c>
    </row>
    <row r="263" spans="1:8">
      <c r="A263" s="1">
        <f>HYPERLINK("https://cms.ls-nyc.org/matter/dynamic-profile/view/1869425","18-1869425")</f>
        <v>0</v>
      </c>
      <c r="B263" t="s">
        <v>10</v>
      </c>
      <c r="H263" t="s">
        <v>19</v>
      </c>
    </row>
    <row r="264" spans="1:8">
      <c r="A264" s="1">
        <f>HYPERLINK("https://cms.ls-nyc.org/matter/dynamic-profile/view/1893016","19-1893016")</f>
        <v>0</v>
      </c>
      <c r="B264" t="s">
        <v>10</v>
      </c>
      <c r="H264" t="s">
        <v>19</v>
      </c>
    </row>
    <row r="265" spans="1:8">
      <c r="A265" s="1">
        <f>HYPERLINK("https://cms.ls-nyc.org/matter/dynamic-profile/view/1894026","19-1894026")</f>
        <v>0</v>
      </c>
      <c r="B265" t="s">
        <v>10</v>
      </c>
      <c r="F265" t="s">
        <v>17</v>
      </c>
      <c r="H265" t="s">
        <v>20</v>
      </c>
    </row>
    <row r="266" spans="1:8">
      <c r="A266" s="1">
        <f>HYPERLINK("https://cms.ls-nyc.org/matter/dynamic-profile/view/1895588","19-1895588")</f>
        <v>0</v>
      </c>
      <c r="B266" t="s">
        <v>10</v>
      </c>
      <c r="F266" t="s">
        <v>17</v>
      </c>
      <c r="H266" t="s">
        <v>20</v>
      </c>
    </row>
    <row r="267" spans="1:8">
      <c r="A267" s="1">
        <f>HYPERLINK("https://cms.ls-nyc.org/matter/dynamic-profile/view/1898290","19-1898290")</f>
        <v>0</v>
      </c>
      <c r="B267" t="s">
        <v>10</v>
      </c>
      <c r="D267" t="s">
        <v>14</v>
      </c>
      <c r="G267" t="s">
        <v>18</v>
      </c>
      <c r="H267" t="s">
        <v>20</v>
      </c>
    </row>
    <row r="268" spans="1:8">
      <c r="A268" s="1">
        <f>HYPERLINK("https://cms.ls-nyc.org/matter/dynamic-profile/view/1864337","18-1864337")</f>
        <v>0</v>
      </c>
      <c r="B268" t="s">
        <v>10</v>
      </c>
      <c r="D268" t="s">
        <v>15</v>
      </c>
      <c r="H268" t="s">
        <v>20</v>
      </c>
    </row>
    <row r="269" spans="1:8">
      <c r="A269" s="1">
        <f>HYPERLINK("https://cms.ls-nyc.org/matter/dynamic-profile/view/1880340","18-1880340")</f>
        <v>0</v>
      </c>
      <c r="B269" t="s">
        <v>10</v>
      </c>
      <c r="H269" t="s">
        <v>19</v>
      </c>
    </row>
    <row r="270" spans="1:8">
      <c r="A270" s="1">
        <f>HYPERLINK("https://cms.ls-nyc.org/matter/dynamic-profile/view/1881643","18-1881643")</f>
        <v>0</v>
      </c>
      <c r="B270" t="s">
        <v>10</v>
      </c>
      <c r="H270" t="s">
        <v>19</v>
      </c>
    </row>
    <row r="271" spans="1:8">
      <c r="A271" s="1">
        <f>HYPERLINK("https://cms.ls-nyc.org/matter/dynamic-profile/view/0806145","16-0806145")</f>
        <v>0</v>
      </c>
      <c r="B271" t="s">
        <v>10</v>
      </c>
      <c r="D271" t="s">
        <v>15</v>
      </c>
      <c r="E271" t="s">
        <v>16</v>
      </c>
      <c r="H271" t="s">
        <v>20</v>
      </c>
    </row>
    <row r="272" spans="1:8">
      <c r="A272" s="1">
        <f>HYPERLINK("https://cms.ls-nyc.org/matter/dynamic-profile/view/0806149","16-0806149")</f>
        <v>0</v>
      </c>
      <c r="B272" t="s">
        <v>10</v>
      </c>
      <c r="D272" t="s">
        <v>15</v>
      </c>
      <c r="E272" t="s">
        <v>16</v>
      </c>
      <c r="H272" t="s">
        <v>20</v>
      </c>
    </row>
    <row r="273" spans="1:8">
      <c r="A273" s="1">
        <f>HYPERLINK("https://cms.ls-nyc.org/matter/dynamic-profile/view/0806247","16-0806247")</f>
        <v>0</v>
      </c>
      <c r="B273" t="s">
        <v>10</v>
      </c>
      <c r="C273" t="s">
        <v>13</v>
      </c>
      <c r="D273" t="s">
        <v>14</v>
      </c>
      <c r="E273" t="s">
        <v>16</v>
      </c>
      <c r="F273" t="s">
        <v>17</v>
      </c>
      <c r="H273" t="s">
        <v>20</v>
      </c>
    </row>
    <row r="274" spans="1:8">
      <c r="A274" s="1">
        <f>HYPERLINK("https://cms.ls-nyc.org/matter/dynamic-profile/view/0812519","16-0812519")</f>
        <v>0</v>
      </c>
      <c r="B274" t="s">
        <v>10</v>
      </c>
      <c r="D274" t="s">
        <v>15</v>
      </c>
      <c r="E274" t="s">
        <v>16</v>
      </c>
      <c r="F274" t="s">
        <v>17</v>
      </c>
      <c r="H274" t="s">
        <v>20</v>
      </c>
    </row>
    <row r="275" spans="1:8">
      <c r="A275" s="1">
        <f>HYPERLINK("https://cms.ls-nyc.org/matter/dynamic-profile/view/0820633","16-0820633")</f>
        <v>0</v>
      </c>
      <c r="B275" t="s">
        <v>10</v>
      </c>
      <c r="D275" t="s">
        <v>15</v>
      </c>
      <c r="E275" t="s">
        <v>16</v>
      </c>
      <c r="H275" t="s">
        <v>20</v>
      </c>
    </row>
    <row r="276" spans="1:8">
      <c r="A276" s="1">
        <f>HYPERLINK("https://cms.ls-nyc.org/matter/dynamic-profile/view/1888955","19-1888955")</f>
        <v>0</v>
      </c>
      <c r="B276" t="s">
        <v>10</v>
      </c>
      <c r="D276" t="s">
        <v>14</v>
      </c>
      <c r="H276" t="s">
        <v>20</v>
      </c>
    </row>
    <row r="277" spans="1:8">
      <c r="A277" s="1">
        <f>HYPERLINK("https://cms.ls-nyc.org/matter/dynamic-profile/view/0821600","16-0821600")</f>
        <v>0</v>
      </c>
      <c r="B277" t="s">
        <v>10</v>
      </c>
      <c r="D277" t="s">
        <v>15</v>
      </c>
      <c r="E277" t="s">
        <v>16</v>
      </c>
      <c r="F277" t="s">
        <v>17</v>
      </c>
      <c r="H277" t="s">
        <v>20</v>
      </c>
    </row>
    <row r="278" spans="1:8">
      <c r="A278" s="1">
        <f>HYPERLINK("https://cms.ls-nyc.org/matter/dynamic-profile/view/0822083","16-0822083")</f>
        <v>0</v>
      </c>
      <c r="B278" t="s">
        <v>10</v>
      </c>
      <c r="D278" t="s">
        <v>15</v>
      </c>
      <c r="E278" t="s">
        <v>16</v>
      </c>
      <c r="H278" t="s">
        <v>20</v>
      </c>
    </row>
    <row r="279" spans="1:8">
      <c r="A279" s="1">
        <f>HYPERLINK("https://cms.ls-nyc.org/matter/dynamic-profile/view/0822086","16-0822086")</f>
        <v>0</v>
      </c>
      <c r="B279" t="s">
        <v>10</v>
      </c>
      <c r="D279" t="s">
        <v>15</v>
      </c>
      <c r="E279" t="s">
        <v>16</v>
      </c>
      <c r="H279" t="s">
        <v>20</v>
      </c>
    </row>
    <row r="280" spans="1:8">
      <c r="A280" s="1">
        <f>HYPERLINK("https://cms.ls-nyc.org/matter/dynamic-profile/view/0823604","17-0823604")</f>
        <v>0</v>
      </c>
      <c r="B280" t="s">
        <v>10</v>
      </c>
      <c r="D280" t="s">
        <v>15</v>
      </c>
      <c r="E280" t="s">
        <v>16</v>
      </c>
      <c r="H280" t="s">
        <v>20</v>
      </c>
    </row>
    <row r="281" spans="1:8">
      <c r="A281" s="1">
        <f>HYPERLINK("https://cms.ls-nyc.org/matter/dynamic-profile/view/0826040","17-0826040")</f>
        <v>0</v>
      </c>
      <c r="B281" t="s">
        <v>10</v>
      </c>
      <c r="D281" t="s">
        <v>15</v>
      </c>
      <c r="E281" t="s">
        <v>16</v>
      </c>
      <c r="H281" t="s">
        <v>20</v>
      </c>
    </row>
    <row r="282" spans="1:8">
      <c r="A282" s="1">
        <f>HYPERLINK("https://cms.ls-nyc.org/matter/dynamic-profile/view/1857038","18-1857038")</f>
        <v>0</v>
      </c>
      <c r="B282" t="s">
        <v>10</v>
      </c>
      <c r="C282" t="s">
        <v>13</v>
      </c>
      <c r="D282" t="s">
        <v>14</v>
      </c>
      <c r="E282" t="s">
        <v>16</v>
      </c>
      <c r="F282" t="s">
        <v>17</v>
      </c>
      <c r="H282" t="s">
        <v>20</v>
      </c>
    </row>
    <row r="283" spans="1:8">
      <c r="A283" s="1">
        <f>HYPERLINK("https://cms.ls-nyc.org/matter/dynamic-profile/view/1857277","18-1857277")</f>
        <v>0</v>
      </c>
      <c r="B283" t="s">
        <v>10</v>
      </c>
      <c r="D283" t="s">
        <v>15</v>
      </c>
      <c r="E283" t="s">
        <v>16</v>
      </c>
      <c r="F283" t="s">
        <v>17</v>
      </c>
      <c r="H283" t="s">
        <v>20</v>
      </c>
    </row>
    <row r="284" spans="1:8">
      <c r="A284" s="1">
        <f>HYPERLINK("https://cms.ls-nyc.org/matter/dynamic-profile/view/1857342","18-1857342")</f>
        <v>0</v>
      </c>
      <c r="B284" t="s">
        <v>10</v>
      </c>
      <c r="D284" t="s">
        <v>14</v>
      </c>
      <c r="E284" t="s">
        <v>16</v>
      </c>
      <c r="H284" t="s">
        <v>20</v>
      </c>
    </row>
    <row r="285" spans="1:8">
      <c r="A285" s="1">
        <f>HYPERLINK("https://cms.ls-nyc.org/matter/dynamic-profile/view/1857520","18-1857520")</f>
        <v>0</v>
      </c>
      <c r="B285" t="s">
        <v>10</v>
      </c>
      <c r="C285" t="s">
        <v>13</v>
      </c>
      <c r="D285" t="s">
        <v>14</v>
      </c>
      <c r="E285" t="s">
        <v>16</v>
      </c>
      <c r="F285" t="s">
        <v>17</v>
      </c>
      <c r="H285" t="s">
        <v>20</v>
      </c>
    </row>
    <row r="286" spans="1:8">
      <c r="A286" s="1">
        <f>HYPERLINK("https://cms.ls-nyc.org/matter/dynamic-profile/view/1869273","18-1869273")</f>
        <v>0</v>
      </c>
      <c r="B286" t="s">
        <v>10</v>
      </c>
      <c r="D286" t="s">
        <v>15</v>
      </c>
      <c r="H286" t="s">
        <v>20</v>
      </c>
    </row>
    <row r="287" spans="1:8">
      <c r="A287" s="1">
        <f>HYPERLINK("https://cms.ls-nyc.org/matter/dynamic-profile/view/1889425","19-1889425")</f>
        <v>0</v>
      </c>
      <c r="B287" t="s">
        <v>10</v>
      </c>
      <c r="C287" t="s">
        <v>13</v>
      </c>
      <c r="D287" t="s">
        <v>14</v>
      </c>
      <c r="E287" t="s">
        <v>16</v>
      </c>
      <c r="G287" t="s">
        <v>18</v>
      </c>
      <c r="H287" t="s">
        <v>20</v>
      </c>
    </row>
    <row r="288" spans="1:8">
      <c r="A288" s="1">
        <f>HYPERLINK("https://cms.ls-nyc.org/matter/dynamic-profile/view/1894024","19-1894024")</f>
        <v>0</v>
      </c>
      <c r="B288" t="s">
        <v>10</v>
      </c>
      <c r="F288" t="s">
        <v>17</v>
      </c>
      <c r="H288" t="s">
        <v>20</v>
      </c>
    </row>
    <row r="289" spans="1:8">
      <c r="A289" s="1">
        <f>HYPERLINK("https://cms.ls-nyc.org/matter/dynamic-profile/view/1898089","19-1898089")</f>
        <v>0</v>
      </c>
      <c r="B289" t="s">
        <v>10</v>
      </c>
      <c r="D289" t="s">
        <v>14</v>
      </c>
      <c r="H289" t="s">
        <v>20</v>
      </c>
    </row>
    <row r="290" spans="1:8">
      <c r="A290" s="1">
        <f>HYPERLINK("https://cms.ls-nyc.org/matter/dynamic-profile/view/1874698","18-1874698")</f>
        <v>0</v>
      </c>
      <c r="B290" t="s">
        <v>10</v>
      </c>
      <c r="D290" t="s">
        <v>14</v>
      </c>
      <c r="E290" t="s">
        <v>16</v>
      </c>
      <c r="H290" t="s">
        <v>20</v>
      </c>
    </row>
    <row r="291" spans="1:8">
      <c r="A291" s="1">
        <f>HYPERLINK("https://cms.ls-nyc.org/matter/dynamic-profile/view/1892240","19-1892240")</f>
        <v>0</v>
      </c>
      <c r="B291" t="s">
        <v>10</v>
      </c>
      <c r="H291" t="s">
        <v>19</v>
      </c>
    </row>
    <row r="292" spans="1:8">
      <c r="A292" s="1">
        <f>HYPERLINK("https://cms.ls-nyc.org/matter/dynamic-profile/view/0788276","15-0788276")</f>
        <v>0</v>
      </c>
      <c r="B292" t="s">
        <v>10</v>
      </c>
      <c r="D292" t="s">
        <v>15</v>
      </c>
      <c r="E292" t="s">
        <v>16</v>
      </c>
      <c r="H292" t="s">
        <v>20</v>
      </c>
    </row>
    <row r="293" spans="1:8">
      <c r="A293" s="1">
        <f>HYPERLINK("https://cms.ls-nyc.org/matter/dynamic-profile/view/1897947","19-1897947")</f>
        <v>0</v>
      </c>
      <c r="B293" t="s">
        <v>10</v>
      </c>
      <c r="C293" t="s">
        <v>13</v>
      </c>
      <c r="D293" t="s">
        <v>14</v>
      </c>
      <c r="F293" t="s">
        <v>17</v>
      </c>
      <c r="H293" t="s">
        <v>20</v>
      </c>
    </row>
    <row r="294" spans="1:8">
      <c r="A294" s="1">
        <f>HYPERLINK("https://cms.ls-nyc.org/matter/dynamic-profile/view/1881829","18-1881829")</f>
        <v>0</v>
      </c>
      <c r="B294" t="s">
        <v>10</v>
      </c>
      <c r="F294" t="s">
        <v>17</v>
      </c>
      <c r="H294" t="s">
        <v>20</v>
      </c>
    </row>
    <row r="295" spans="1:8">
      <c r="A295" s="1">
        <f>HYPERLINK("https://cms.ls-nyc.org/matter/dynamic-profile/view/0798120","16-0798120")</f>
        <v>0</v>
      </c>
      <c r="B295" t="s">
        <v>10</v>
      </c>
      <c r="D295" t="s">
        <v>15</v>
      </c>
      <c r="E295" t="s">
        <v>16</v>
      </c>
      <c r="H295" t="s">
        <v>20</v>
      </c>
    </row>
    <row r="296" spans="1:8">
      <c r="A296" s="1">
        <f>HYPERLINK("https://cms.ls-nyc.org/matter/dynamic-profile/view/1897367","19-1897367")</f>
        <v>0</v>
      </c>
      <c r="B296" t="s">
        <v>10</v>
      </c>
      <c r="D296" t="s">
        <v>14</v>
      </c>
      <c r="H296" t="s">
        <v>20</v>
      </c>
    </row>
    <row r="297" spans="1:8">
      <c r="A297" s="1">
        <f>HYPERLINK("https://cms.ls-nyc.org/matter/dynamic-profile/view/1877206","18-1877206")</f>
        <v>0</v>
      </c>
      <c r="B297" t="s">
        <v>10</v>
      </c>
      <c r="H297" t="s">
        <v>19</v>
      </c>
    </row>
    <row r="298" spans="1:8">
      <c r="A298" s="1">
        <f>HYPERLINK("https://cms.ls-nyc.org/matter/dynamic-profile/view/1842829","17-1842829")</f>
        <v>0</v>
      </c>
      <c r="B298" t="s">
        <v>11</v>
      </c>
      <c r="D298" t="s">
        <v>15</v>
      </c>
      <c r="E298" t="s">
        <v>16</v>
      </c>
      <c r="H298" t="s">
        <v>20</v>
      </c>
    </row>
    <row r="299" spans="1:8">
      <c r="A299" s="1">
        <f>HYPERLINK("https://cms.ls-nyc.org/matter/dynamic-profile/view/1894846","19-1894846")</f>
        <v>0</v>
      </c>
      <c r="B299" t="s">
        <v>11</v>
      </c>
      <c r="H299" t="s">
        <v>19</v>
      </c>
    </row>
    <row r="300" spans="1:8">
      <c r="A300" s="1">
        <f>HYPERLINK("https://cms.ls-nyc.org/matter/dynamic-profile/view/1889795","19-1889795")</f>
        <v>0</v>
      </c>
      <c r="B300" t="s">
        <v>11</v>
      </c>
      <c r="C300" t="s">
        <v>13</v>
      </c>
      <c r="D300" t="s">
        <v>14</v>
      </c>
      <c r="E300" t="s">
        <v>16</v>
      </c>
      <c r="G300" t="s">
        <v>18</v>
      </c>
      <c r="H300" t="s">
        <v>20</v>
      </c>
    </row>
    <row r="301" spans="1:8">
      <c r="A301" s="1">
        <f>HYPERLINK("https://cms.ls-nyc.org/matter/dynamic-profile/view/1860584","18-1860584")</f>
        <v>0</v>
      </c>
      <c r="B301" t="s">
        <v>11</v>
      </c>
      <c r="D301" t="s">
        <v>15</v>
      </c>
      <c r="E301" t="s">
        <v>16</v>
      </c>
      <c r="H301" t="s">
        <v>20</v>
      </c>
    </row>
    <row r="302" spans="1:8">
      <c r="A302" s="1">
        <f>HYPERLINK("https://cms.ls-nyc.org/matter/dynamic-profile/view/1898133","19-1898133")</f>
        <v>0</v>
      </c>
      <c r="B302" t="s">
        <v>11</v>
      </c>
      <c r="H302" t="s">
        <v>19</v>
      </c>
    </row>
    <row r="303" spans="1:8">
      <c r="A303" s="1">
        <f>HYPERLINK("https://cms.ls-nyc.org/matter/dynamic-profile/view/1899275","19-1899275")</f>
        <v>0</v>
      </c>
      <c r="B303" t="s">
        <v>11</v>
      </c>
      <c r="E303" t="s">
        <v>16</v>
      </c>
      <c r="H303" t="s">
        <v>20</v>
      </c>
    </row>
    <row r="304" spans="1:8">
      <c r="A304" s="1">
        <f>HYPERLINK("https://cms.ls-nyc.org/matter/dynamic-profile/view/1897453","19-1897453")</f>
        <v>0</v>
      </c>
      <c r="B304" t="s">
        <v>11</v>
      </c>
      <c r="H304" t="s">
        <v>19</v>
      </c>
    </row>
    <row r="305" spans="1:8">
      <c r="A305" s="1">
        <f>HYPERLINK("https://cms.ls-nyc.org/matter/dynamic-profile/view/0812965","16-0812965")</f>
        <v>0</v>
      </c>
      <c r="B305" t="s">
        <v>11</v>
      </c>
      <c r="D305" t="s">
        <v>15</v>
      </c>
      <c r="H305" t="s">
        <v>20</v>
      </c>
    </row>
    <row r="306" spans="1:8">
      <c r="A306" s="1">
        <f>HYPERLINK("https://cms.ls-nyc.org/matter/dynamic-profile/view/1893767","19-1893767")</f>
        <v>0</v>
      </c>
      <c r="B306" t="s">
        <v>11</v>
      </c>
      <c r="H306" t="s">
        <v>19</v>
      </c>
    </row>
    <row r="307" spans="1:8">
      <c r="A307" s="1">
        <f>HYPERLINK("https://cms.ls-nyc.org/matter/dynamic-profile/view/1894440","19-1894440")</f>
        <v>0</v>
      </c>
      <c r="B307" t="s">
        <v>11</v>
      </c>
      <c r="D307" t="s">
        <v>14</v>
      </c>
      <c r="G307" t="s">
        <v>18</v>
      </c>
      <c r="H307" t="s">
        <v>20</v>
      </c>
    </row>
    <row r="308" spans="1:8">
      <c r="A308" s="1">
        <f>HYPERLINK("https://cms.ls-nyc.org/matter/dynamic-profile/view/1883713","18-1883713")</f>
        <v>0</v>
      </c>
      <c r="B308" t="s">
        <v>11</v>
      </c>
      <c r="D308" t="s">
        <v>14</v>
      </c>
      <c r="G308" t="s">
        <v>18</v>
      </c>
      <c r="H308" t="s">
        <v>20</v>
      </c>
    </row>
    <row r="309" spans="1:8">
      <c r="A309" s="1">
        <f>HYPERLINK("https://cms.ls-nyc.org/matter/dynamic-profile/view/1887107","19-1887107")</f>
        <v>0</v>
      </c>
      <c r="B309" t="s">
        <v>11</v>
      </c>
      <c r="H309" t="s">
        <v>19</v>
      </c>
    </row>
    <row r="310" spans="1:8">
      <c r="A310" s="1">
        <f>HYPERLINK("https://cms.ls-nyc.org/matter/dynamic-profile/view/1873873","18-1873873")</f>
        <v>0</v>
      </c>
      <c r="B310" t="s">
        <v>11</v>
      </c>
      <c r="C310" t="s">
        <v>13</v>
      </c>
      <c r="E310" t="s">
        <v>16</v>
      </c>
      <c r="H310" t="s">
        <v>20</v>
      </c>
    </row>
    <row r="311" spans="1:8">
      <c r="A311" s="1">
        <f>HYPERLINK("https://cms.ls-nyc.org/matter/dynamic-profile/view/1876566","18-1876566")</f>
        <v>0</v>
      </c>
      <c r="B311" t="s">
        <v>11</v>
      </c>
      <c r="C311" t="s">
        <v>13</v>
      </c>
      <c r="E311" t="s">
        <v>16</v>
      </c>
      <c r="F311" t="s">
        <v>17</v>
      </c>
      <c r="H311" t="s">
        <v>20</v>
      </c>
    </row>
    <row r="312" spans="1:8">
      <c r="A312" s="1">
        <f>HYPERLINK("https://cms.ls-nyc.org/matter/dynamic-profile/view/0767799","14-0767799")</f>
        <v>0</v>
      </c>
      <c r="B312" t="s">
        <v>11</v>
      </c>
      <c r="C312" t="s">
        <v>13</v>
      </c>
      <c r="D312" t="s">
        <v>15</v>
      </c>
      <c r="E312" t="s">
        <v>16</v>
      </c>
      <c r="H312" t="s">
        <v>20</v>
      </c>
    </row>
    <row r="313" spans="1:8">
      <c r="A313" s="1">
        <f>HYPERLINK("https://cms.ls-nyc.org/matter/dynamic-profile/view/1882165","18-1882165")</f>
        <v>0</v>
      </c>
      <c r="B313" t="s">
        <v>11</v>
      </c>
      <c r="H313" t="s">
        <v>19</v>
      </c>
    </row>
    <row r="314" spans="1:8">
      <c r="A314" s="1">
        <f>HYPERLINK("https://cms.ls-nyc.org/matter/dynamic-profile/view/1891236","19-1891236")</f>
        <v>0</v>
      </c>
      <c r="B314" t="s">
        <v>11</v>
      </c>
      <c r="H314" t="s">
        <v>19</v>
      </c>
    </row>
    <row r="315" spans="1:8">
      <c r="A315" s="1">
        <f>HYPERLINK("https://cms.ls-nyc.org/matter/dynamic-profile/view/1898486","19-1898486")</f>
        <v>0</v>
      </c>
      <c r="B315" t="s">
        <v>11</v>
      </c>
      <c r="H315" t="s">
        <v>19</v>
      </c>
    </row>
    <row r="316" spans="1:8">
      <c r="A316" s="1">
        <f>HYPERLINK("https://cms.ls-nyc.org/matter/dynamic-profile/view/1888604","19-1888604")</f>
        <v>0</v>
      </c>
      <c r="B316" t="s">
        <v>12</v>
      </c>
      <c r="H316" t="s">
        <v>19</v>
      </c>
    </row>
    <row r="317" spans="1:8">
      <c r="A317" s="1">
        <f>HYPERLINK("https://cms.ls-nyc.org/matter/dynamic-profile/view/1859889","18-1859889")</f>
        <v>0</v>
      </c>
      <c r="B317" t="s">
        <v>12</v>
      </c>
      <c r="C317" t="s">
        <v>13</v>
      </c>
      <c r="D317" t="s">
        <v>14</v>
      </c>
      <c r="E317" t="s">
        <v>16</v>
      </c>
      <c r="G317" t="s">
        <v>18</v>
      </c>
      <c r="H317" t="s">
        <v>20</v>
      </c>
    </row>
    <row r="318" spans="1:8">
      <c r="A318" s="1">
        <f>HYPERLINK("https://cms.ls-nyc.org/matter/dynamic-profile/view/1896410","19-1896410")</f>
        <v>0</v>
      </c>
      <c r="B318" t="s">
        <v>12</v>
      </c>
      <c r="C318" t="s">
        <v>13</v>
      </c>
      <c r="D318" t="s">
        <v>14</v>
      </c>
      <c r="E318" t="s">
        <v>16</v>
      </c>
      <c r="G318" t="s">
        <v>18</v>
      </c>
      <c r="H318" t="s">
        <v>20</v>
      </c>
    </row>
    <row r="319" spans="1:8">
      <c r="A319" s="1">
        <f>HYPERLINK("https://cms.ls-nyc.org/matter/dynamic-profile/view/1871563","18-1871563")</f>
        <v>0</v>
      </c>
      <c r="B319" t="s">
        <v>12</v>
      </c>
      <c r="F319" t="s">
        <v>17</v>
      </c>
      <c r="H319" t="s">
        <v>20</v>
      </c>
    </row>
    <row r="320" spans="1:8">
      <c r="A320" s="1">
        <f>HYPERLINK("https://cms.ls-nyc.org/matter/dynamic-profile/view/1835700","17-1835700")</f>
        <v>0</v>
      </c>
      <c r="B320" t="s">
        <v>12</v>
      </c>
      <c r="D320" t="s">
        <v>15</v>
      </c>
      <c r="E320" t="s">
        <v>16</v>
      </c>
      <c r="H320" t="s">
        <v>20</v>
      </c>
    </row>
    <row r="321" spans="1:8">
      <c r="A321" s="1">
        <f>HYPERLINK("https://cms.ls-nyc.org/matter/dynamic-profile/view/1848326","17-1848326")</f>
        <v>0</v>
      </c>
      <c r="B321" t="s">
        <v>12</v>
      </c>
      <c r="D321" t="s">
        <v>15</v>
      </c>
      <c r="E321" t="s">
        <v>16</v>
      </c>
      <c r="H321" t="s">
        <v>20</v>
      </c>
    </row>
    <row r="322" spans="1:8">
      <c r="A322" s="1">
        <f>HYPERLINK("https://cms.ls-nyc.org/matter/dynamic-profile/view/1896304","19-1896304")</f>
        <v>0</v>
      </c>
      <c r="B322" t="s">
        <v>12</v>
      </c>
      <c r="H322" t="s">
        <v>19</v>
      </c>
    </row>
    <row r="323" spans="1:8">
      <c r="A323" s="1">
        <f>HYPERLINK("https://cms.ls-nyc.org/matter/dynamic-profile/view/1896334","19-1896334")</f>
        <v>0</v>
      </c>
      <c r="B323" t="s">
        <v>12</v>
      </c>
      <c r="C323" t="s">
        <v>13</v>
      </c>
      <c r="D323" t="s">
        <v>14</v>
      </c>
      <c r="E323" t="s">
        <v>16</v>
      </c>
      <c r="F323" t="s">
        <v>17</v>
      </c>
      <c r="G323" t="s">
        <v>18</v>
      </c>
      <c r="H323" t="s">
        <v>20</v>
      </c>
    </row>
    <row r="324" spans="1:8">
      <c r="A324" s="1">
        <f>HYPERLINK("https://cms.ls-nyc.org/matter/dynamic-profile/view/1898144","19-1898144")</f>
        <v>0</v>
      </c>
      <c r="B324" t="s">
        <v>12</v>
      </c>
      <c r="H324" t="s">
        <v>19</v>
      </c>
    </row>
    <row r="325" spans="1:8">
      <c r="A325" s="1">
        <f>HYPERLINK("https://cms.ls-nyc.org/matter/dynamic-profile/view/1897898","19-1897898")</f>
        <v>0</v>
      </c>
      <c r="B325" t="s">
        <v>12</v>
      </c>
      <c r="H325" t="s">
        <v>19</v>
      </c>
    </row>
    <row r="326" spans="1:8">
      <c r="A326" s="1">
        <f>HYPERLINK("https://cms.ls-nyc.org/matter/dynamic-profile/view/1876735","18-1876735")</f>
        <v>0</v>
      </c>
      <c r="B326" t="s">
        <v>12</v>
      </c>
      <c r="H326" t="s">
        <v>19</v>
      </c>
    </row>
    <row r="327" spans="1:8">
      <c r="A327" s="1">
        <f>HYPERLINK("https://cms.ls-nyc.org/matter/dynamic-profile/view/1876150","18-1876150")</f>
        <v>0</v>
      </c>
      <c r="B327" t="s">
        <v>12</v>
      </c>
      <c r="H327" t="s">
        <v>19</v>
      </c>
    </row>
    <row r="328" spans="1:8">
      <c r="A328" s="1">
        <f>HYPERLINK("https://cms.ls-nyc.org/matter/dynamic-profile/view/1894615","19-1894615")</f>
        <v>0</v>
      </c>
      <c r="B328" t="s">
        <v>12</v>
      </c>
      <c r="H328" t="s">
        <v>19</v>
      </c>
    </row>
    <row r="329" spans="1:8">
      <c r="A329" s="1">
        <f>HYPERLINK("https://cms.ls-nyc.org/matter/dynamic-profile/view/1894249","19-1894249")</f>
        <v>0</v>
      </c>
      <c r="B329" t="s">
        <v>12</v>
      </c>
      <c r="H329" t="s">
        <v>19</v>
      </c>
    </row>
    <row r="330" spans="1:8">
      <c r="A330" s="1">
        <f>HYPERLINK("https://cms.ls-nyc.org/matter/dynamic-profile/view/1889022","19-1889022")</f>
        <v>0</v>
      </c>
      <c r="B330" t="s">
        <v>12</v>
      </c>
      <c r="H330" t="s">
        <v>19</v>
      </c>
    </row>
    <row r="331" spans="1:8">
      <c r="A331" s="1">
        <f>HYPERLINK("https://cms.ls-nyc.org/matter/dynamic-profile/view/1897787","19-1897787")</f>
        <v>0</v>
      </c>
      <c r="B331" t="s">
        <v>12</v>
      </c>
      <c r="F331" t="s">
        <v>17</v>
      </c>
      <c r="H331" t="s">
        <v>20</v>
      </c>
    </row>
    <row r="332" spans="1:8">
      <c r="A332" s="1">
        <f>HYPERLINK("https://cms.ls-nyc.org/matter/dynamic-profile/view/1900732","19-1900732")</f>
        <v>0</v>
      </c>
      <c r="B332" t="s">
        <v>12</v>
      </c>
      <c r="H332" t="s">
        <v>19</v>
      </c>
    </row>
    <row r="333" spans="1:8">
      <c r="A333" s="1">
        <f>HYPERLINK("https://cms.ls-nyc.org/matter/dynamic-profile/view/1900980","19-1900980")</f>
        <v>0</v>
      </c>
      <c r="B333" t="s">
        <v>12</v>
      </c>
      <c r="H333" t="s">
        <v>19</v>
      </c>
    </row>
    <row r="334" spans="1:8">
      <c r="A334" s="1">
        <f>HYPERLINK("https://cms.ls-nyc.org/matter/dynamic-profile/view/1889401","19-1889401")</f>
        <v>0</v>
      </c>
      <c r="B334" t="s">
        <v>12</v>
      </c>
      <c r="C334" t="s">
        <v>13</v>
      </c>
      <c r="D334" t="s">
        <v>14</v>
      </c>
      <c r="E334" t="s">
        <v>16</v>
      </c>
      <c r="F334" t="s">
        <v>17</v>
      </c>
      <c r="H334" t="s">
        <v>20</v>
      </c>
    </row>
    <row r="335" spans="1:8">
      <c r="A335" s="1">
        <f>HYPERLINK("https://cms.ls-nyc.org/matter/dynamic-profile/view/1898439","19-1898439")</f>
        <v>0</v>
      </c>
      <c r="B335" t="s">
        <v>12</v>
      </c>
      <c r="H335" t="s">
        <v>19</v>
      </c>
    </row>
    <row r="336" spans="1:8">
      <c r="A336" s="1">
        <f>HYPERLINK("https://cms.ls-nyc.org/matter/dynamic-profile/view/1863758","18-1863758")</f>
        <v>0</v>
      </c>
      <c r="B336" t="s">
        <v>12</v>
      </c>
      <c r="D336" t="s">
        <v>15</v>
      </c>
      <c r="H336" t="s">
        <v>20</v>
      </c>
    </row>
    <row r="337" spans="1:8">
      <c r="A337" s="1">
        <f>HYPERLINK("https://cms.ls-nyc.org/matter/dynamic-profile/view/1864155","18-1864155")</f>
        <v>0</v>
      </c>
      <c r="B337" t="s">
        <v>12</v>
      </c>
      <c r="D337" t="s">
        <v>15</v>
      </c>
      <c r="H337" t="s">
        <v>20</v>
      </c>
    </row>
    <row r="338" spans="1:8">
      <c r="A338" s="1">
        <f>HYPERLINK("https://cms.ls-nyc.org/matter/dynamic-profile/view/1864324","18-1864324")</f>
        <v>0</v>
      </c>
      <c r="B338" t="s">
        <v>12</v>
      </c>
      <c r="D338" t="s">
        <v>15</v>
      </c>
      <c r="H338" t="s">
        <v>20</v>
      </c>
    </row>
    <row r="339" spans="1:8">
      <c r="A339" s="1">
        <f>HYPERLINK("https://cms.ls-nyc.org/matter/dynamic-profile/view/1864342","18-1864342")</f>
        <v>0</v>
      </c>
      <c r="B339" t="s">
        <v>12</v>
      </c>
      <c r="D339" t="s">
        <v>15</v>
      </c>
      <c r="F339" t="s">
        <v>17</v>
      </c>
      <c r="H339" t="s">
        <v>20</v>
      </c>
    </row>
    <row r="340" spans="1:8">
      <c r="A340" s="1">
        <f>HYPERLINK("https://cms.ls-nyc.org/matter/dynamic-profile/view/1886893","19-1886893")</f>
        <v>0</v>
      </c>
      <c r="B340" t="s">
        <v>12</v>
      </c>
      <c r="D340" t="s">
        <v>15</v>
      </c>
      <c r="H340" t="s">
        <v>20</v>
      </c>
    </row>
    <row r="341" spans="1:8">
      <c r="A341" s="1">
        <f>HYPERLINK("https://cms.ls-nyc.org/matter/dynamic-profile/view/1860229","18-1860229")</f>
        <v>0</v>
      </c>
      <c r="B341" t="s">
        <v>12</v>
      </c>
      <c r="D341" t="s">
        <v>15</v>
      </c>
      <c r="E341" t="s">
        <v>16</v>
      </c>
      <c r="H341" t="s">
        <v>20</v>
      </c>
    </row>
    <row r="342" spans="1:8">
      <c r="A342" s="1">
        <f>HYPERLINK("https://cms.ls-nyc.org/matter/dynamic-profile/view/1877610","18-1877610")</f>
        <v>0</v>
      </c>
      <c r="B342" t="s">
        <v>12</v>
      </c>
      <c r="H342" t="s">
        <v>19</v>
      </c>
    </row>
    <row r="343" spans="1:8">
      <c r="A343" s="1">
        <f>HYPERLINK("https://cms.ls-nyc.org/matter/dynamic-profile/view/1894203","19-1894203")</f>
        <v>0</v>
      </c>
      <c r="B343" t="s">
        <v>12</v>
      </c>
      <c r="H343" t="s">
        <v>19</v>
      </c>
    </row>
    <row r="344" spans="1:8">
      <c r="A344" s="1">
        <f>HYPERLINK("https://cms.ls-nyc.org/matter/dynamic-profile/view/1881577","18-1881577")</f>
        <v>0</v>
      </c>
      <c r="B344" t="s">
        <v>12</v>
      </c>
      <c r="H344" t="s">
        <v>19</v>
      </c>
    </row>
    <row r="345" spans="1:8">
      <c r="A345" s="1">
        <f>HYPERLINK("https://cms.ls-nyc.org/matter/dynamic-profile/view/1878345","18-1878345")</f>
        <v>0</v>
      </c>
      <c r="B345" t="s">
        <v>12</v>
      </c>
      <c r="E345" t="s">
        <v>16</v>
      </c>
      <c r="H345" t="s">
        <v>20</v>
      </c>
    </row>
    <row r="346" spans="1:8">
      <c r="A346" s="1">
        <f>HYPERLINK("https://cms.ls-nyc.org/matter/dynamic-profile/view/1888169","19-1888169")</f>
        <v>0</v>
      </c>
      <c r="B346" t="s">
        <v>12</v>
      </c>
      <c r="C346" t="s">
        <v>13</v>
      </c>
      <c r="D346" t="s">
        <v>14</v>
      </c>
      <c r="E346" t="s">
        <v>16</v>
      </c>
      <c r="H346" t="s">
        <v>20</v>
      </c>
    </row>
    <row r="347" spans="1:8">
      <c r="A347" s="1">
        <f>HYPERLINK("https://cms.ls-nyc.org/matter/dynamic-profile/view/1884428","18-1884428")</f>
        <v>0</v>
      </c>
      <c r="B347" t="s">
        <v>12</v>
      </c>
      <c r="H347" t="s">
        <v>19</v>
      </c>
    </row>
    <row r="348" spans="1:8">
      <c r="A348" s="1">
        <f>HYPERLINK("https://cms.ls-nyc.org/matter/dynamic-profile/view/1872937","18-1872937")</f>
        <v>0</v>
      </c>
      <c r="B348" t="s">
        <v>12</v>
      </c>
      <c r="C348" t="s">
        <v>13</v>
      </c>
      <c r="D348" t="s">
        <v>14</v>
      </c>
      <c r="E348" t="s">
        <v>16</v>
      </c>
      <c r="H348" t="s">
        <v>20</v>
      </c>
    </row>
    <row r="349" spans="1:8">
      <c r="A349" s="1">
        <f>HYPERLINK("https://cms.ls-nyc.org/matter/dynamic-profile/view/1859019","18-1859019")</f>
        <v>0</v>
      </c>
      <c r="B349" t="s">
        <v>12</v>
      </c>
      <c r="C349" t="s">
        <v>13</v>
      </c>
      <c r="D349" t="s">
        <v>14</v>
      </c>
      <c r="E349" t="s">
        <v>16</v>
      </c>
      <c r="F349" t="s">
        <v>17</v>
      </c>
      <c r="G349" t="s">
        <v>18</v>
      </c>
      <c r="H349" t="s">
        <v>20</v>
      </c>
    </row>
    <row r="350" spans="1:8">
      <c r="A350" s="1">
        <f>HYPERLINK("https://cms.ls-nyc.org/matter/dynamic-profile/view/1895429","19-1895429")</f>
        <v>0</v>
      </c>
      <c r="B350" t="s">
        <v>12</v>
      </c>
      <c r="C350" t="s">
        <v>13</v>
      </c>
      <c r="D350" t="s">
        <v>14</v>
      </c>
      <c r="E350" t="s">
        <v>16</v>
      </c>
      <c r="H350" t="s">
        <v>20</v>
      </c>
    </row>
    <row r="351" spans="1:8">
      <c r="A351" s="1">
        <f>HYPERLINK("https://cms.ls-nyc.org/matter/dynamic-profile/view/1895431","19-1895431")</f>
        <v>0</v>
      </c>
      <c r="B351" t="s">
        <v>12</v>
      </c>
      <c r="C351" t="s">
        <v>13</v>
      </c>
      <c r="D351" t="s">
        <v>14</v>
      </c>
      <c r="E351" t="s">
        <v>16</v>
      </c>
      <c r="H351" t="s">
        <v>20</v>
      </c>
    </row>
    <row r="352" spans="1:8">
      <c r="A352" s="1">
        <f>HYPERLINK("https://cms.ls-nyc.org/matter/dynamic-profile/view/1886406","18-1886406")</f>
        <v>0</v>
      </c>
      <c r="B352" t="s">
        <v>9</v>
      </c>
      <c r="H352" t="s">
        <v>19</v>
      </c>
    </row>
    <row r="353" spans="1:8">
      <c r="A353" s="1">
        <f>HYPERLINK("https://cms.ls-nyc.org/matter/dynamic-profile/view/1894768","19-1894768")</f>
        <v>0</v>
      </c>
      <c r="B353" t="s">
        <v>9</v>
      </c>
      <c r="H353" t="s">
        <v>19</v>
      </c>
    </row>
    <row r="354" spans="1:8">
      <c r="A354" s="1">
        <f>HYPERLINK("https://cms.ls-nyc.org/matter/dynamic-profile/view/0820605","16-0820605")</f>
        <v>0</v>
      </c>
      <c r="B354" t="s">
        <v>10</v>
      </c>
      <c r="D354" t="s">
        <v>15</v>
      </c>
      <c r="E354" t="s">
        <v>16</v>
      </c>
      <c r="H354" t="s">
        <v>20</v>
      </c>
    </row>
    <row r="355" spans="1:8">
      <c r="A355" s="1">
        <f>HYPERLINK("https://cms.ls-nyc.org/matter/dynamic-profile/view/1896730","19-1896730")</f>
        <v>0</v>
      </c>
      <c r="B355" t="s">
        <v>9</v>
      </c>
      <c r="H355" t="s">
        <v>19</v>
      </c>
    </row>
    <row r="356" spans="1:8">
      <c r="A356" s="1">
        <f>HYPERLINK("https://cms.ls-nyc.org/matter/dynamic-profile/view/1887144","19-1887144")</f>
        <v>0</v>
      </c>
      <c r="B356" t="s">
        <v>9</v>
      </c>
      <c r="F356" t="s">
        <v>17</v>
      </c>
      <c r="H356" t="s">
        <v>20</v>
      </c>
    </row>
    <row r="357" spans="1:8">
      <c r="A357" s="1">
        <f>HYPERLINK("https://cms.ls-nyc.org/matter/dynamic-profile/view/1894125","19-1894125")</f>
        <v>0</v>
      </c>
      <c r="B357" t="s">
        <v>11</v>
      </c>
      <c r="C357" t="s">
        <v>13</v>
      </c>
      <c r="D357" t="s">
        <v>14</v>
      </c>
      <c r="E357" t="s">
        <v>16</v>
      </c>
      <c r="G357" t="s">
        <v>18</v>
      </c>
      <c r="H357" t="s">
        <v>20</v>
      </c>
    </row>
    <row r="358" spans="1:8">
      <c r="A358" s="1">
        <f>HYPERLINK("https://cms.ls-nyc.org/matter/dynamic-profile/view/1881866","18-1881866")</f>
        <v>0</v>
      </c>
      <c r="B358" t="s">
        <v>8</v>
      </c>
      <c r="D358" t="s">
        <v>14</v>
      </c>
      <c r="H358" t="s">
        <v>20</v>
      </c>
    </row>
    <row r="359" spans="1:8">
      <c r="A359" s="1">
        <f>HYPERLINK("https://cms.ls-nyc.org/matter/dynamic-profile/view/1875657","18-1875657")</f>
        <v>0</v>
      </c>
      <c r="B359" t="s">
        <v>9</v>
      </c>
      <c r="C359" t="s">
        <v>13</v>
      </c>
      <c r="D359" t="s">
        <v>14</v>
      </c>
      <c r="E359" t="s">
        <v>16</v>
      </c>
      <c r="H359" t="s">
        <v>20</v>
      </c>
    </row>
    <row r="360" spans="1:8">
      <c r="A360" s="1">
        <f>HYPERLINK("https://cms.ls-nyc.org/matter/dynamic-profile/view/0826157","17-0826157")</f>
        <v>0</v>
      </c>
      <c r="B360" t="s">
        <v>9</v>
      </c>
      <c r="D360" t="s">
        <v>15</v>
      </c>
      <c r="E360" t="s">
        <v>16</v>
      </c>
      <c r="H360" t="s">
        <v>20</v>
      </c>
    </row>
    <row r="361" spans="1:8">
      <c r="A361" s="1">
        <f>HYPERLINK("https://cms.ls-nyc.org/matter/dynamic-profile/view/1872015","18-1872015")</f>
        <v>0</v>
      </c>
      <c r="B361" t="s">
        <v>10</v>
      </c>
      <c r="H361" t="s">
        <v>19</v>
      </c>
    </row>
    <row r="362" spans="1:8">
      <c r="A362" s="1">
        <f>HYPERLINK("https://cms.ls-nyc.org/matter/dynamic-profile/view/1886227","18-1886227")</f>
        <v>0</v>
      </c>
      <c r="B362" t="s">
        <v>10</v>
      </c>
      <c r="H362" t="s">
        <v>19</v>
      </c>
    </row>
    <row r="363" spans="1:8">
      <c r="A363" s="1">
        <f>HYPERLINK("https://cms.ls-nyc.org/matter/dynamic-profile/view/0815928","16-0815928")</f>
        <v>0</v>
      </c>
      <c r="B363" t="s">
        <v>9</v>
      </c>
      <c r="D363" t="s">
        <v>15</v>
      </c>
      <c r="E363" t="s">
        <v>16</v>
      </c>
      <c r="H363" t="s">
        <v>20</v>
      </c>
    </row>
    <row r="364" spans="1:8">
      <c r="A364" s="1">
        <f>HYPERLINK("https://cms.ls-nyc.org/matter/dynamic-profile/view/1895311","19-1895311")</f>
        <v>0</v>
      </c>
      <c r="B364" t="s">
        <v>9</v>
      </c>
      <c r="H364" t="s">
        <v>19</v>
      </c>
    </row>
    <row r="365" spans="1:8">
      <c r="A365" s="1">
        <f>HYPERLINK("https://cms.ls-nyc.org/matter/dynamic-profile/view/1887906","19-1887906")</f>
        <v>0</v>
      </c>
      <c r="B365" t="s">
        <v>9</v>
      </c>
      <c r="H365" t="s">
        <v>19</v>
      </c>
    </row>
    <row r="366" spans="1:8">
      <c r="A366" s="1">
        <f>HYPERLINK("https://cms.ls-nyc.org/matter/dynamic-profile/view/1864740","18-1864740")</f>
        <v>0</v>
      </c>
      <c r="B366" t="s">
        <v>12</v>
      </c>
      <c r="D366" t="s">
        <v>15</v>
      </c>
      <c r="F366" t="s">
        <v>17</v>
      </c>
      <c r="H366" t="s">
        <v>20</v>
      </c>
    </row>
    <row r="367" spans="1:8">
      <c r="A367" s="1">
        <f>HYPERLINK("https://cms.ls-nyc.org/matter/dynamic-profile/view/0822111","16-0822111")</f>
        <v>0</v>
      </c>
      <c r="B367" t="s">
        <v>10</v>
      </c>
      <c r="D367" t="s">
        <v>15</v>
      </c>
      <c r="E367" t="s">
        <v>16</v>
      </c>
      <c r="H367" t="s">
        <v>20</v>
      </c>
    </row>
    <row r="368" spans="1:8">
      <c r="A368" s="1">
        <f>HYPERLINK("https://cms.ls-nyc.org/matter/dynamic-profile/view/1854787","17-1854787")</f>
        <v>0</v>
      </c>
      <c r="B368" t="s">
        <v>10</v>
      </c>
      <c r="D368" t="s">
        <v>15</v>
      </c>
      <c r="E368" t="s">
        <v>16</v>
      </c>
      <c r="H368" t="s">
        <v>20</v>
      </c>
    </row>
    <row r="369" spans="1:8">
      <c r="A369" s="1">
        <f>HYPERLINK("https://cms.ls-nyc.org/matter/dynamic-profile/view/1873666","18-1873666")</f>
        <v>0</v>
      </c>
      <c r="B369" t="s">
        <v>11</v>
      </c>
      <c r="C369" t="s">
        <v>13</v>
      </c>
      <c r="D369" t="s">
        <v>14</v>
      </c>
      <c r="E369" t="s">
        <v>16</v>
      </c>
      <c r="F369" t="s">
        <v>17</v>
      </c>
      <c r="G369" t="s">
        <v>18</v>
      </c>
      <c r="H369" t="s">
        <v>20</v>
      </c>
    </row>
    <row r="370" spans="1:8">
      <c r="A370" s="1">
        <f>HYPERLINK("https://cms.ls-nyc.org/matter/dynamic-profile/view/1895282","19-1895282")</f>
        <v>0</v>
      </c>
      <c r="B370" t="s">
        <v>8</v>
      </c>
      <c r="F370" t="s">
        <v>17</v>
      </c>
      <c r="H370" t="s">
        <v>20</v>
      </c>
    </row>
    <row r="371" spans="1:8">
      <c r="A371" s="1">
        <f>HYPERLINK("https://cms.ls-nyc.org/matter/dynamic-profile/view/0814120","16-0814120")</f>
        <v>0</v>
      </c>
      <c r="B371" t="s">
        <v>8</v>
      </c>
      <c r="D371" t="s">
        <v>15</v>
      </c>
      <c r="E371" t="s">
        <v>16</v>
      </c>
      <c r="H371" t="s">
        <v>20</v>
      </c>
    </row>
    <row r="372" spans="1:8">
      <c r="A372" s="1">
        <f>HYPERLINK("https://cms.ls-nyc.org/matter/dynamic-profile/view/1880194","18-1880194")</f>
        <v>0</v>
      </c>
      <c r="B372" t="s">
        <v>11</v>
      </c>
      <c r="H372" t="s">
        <v>19</v>
      </c>
    </row>
    <row r="373" spans="1:8">
      <c r="A373" s="1">
        <f>HYPERLINK("https://cms.ls-nyc.org/matter/dynamic-profile/view/1892917","19-1892917")</f>
        <v>0</v>
      </c>
      <c r="B373" t="s">
        <v>9</v>
      </c>
      <c r="H373" t="s">
        <v>19</v>
      </c>
    </row>
    <row r="374" spans="1:8">
      <c r="A374" s="1">
        <f>HYPERLINK("https://cms.ls-nyc.org/matter/dynamic-profile/view/0794454","15-0794454")</f>
        <v>0</v>
      </c>
      <c r="B374" t="s">
        <v>9</v>
      </c>
      <c r="C374" t="s">
        <v>13</v>
      </c>
      <c r="D374" t="s">
        <v>15</v>
      </c>
      <c r="E374" t="s">
        <v>16</v>
      </c>
      <c r="H374" t="s">
        <v>20</v>
      </c>
    </row>
    <row r="375" spans="1:8">
      <c r="A375" s="1">
        <f>HYPERLINK("https://cms.ls-nyc.org/matter/dynamic-profile/view/1864988","18-1864988")</f>
        <v>0</v>
      </c>
      <c r="B375" t="s">
        <v>10</v>
      </c>
      <c r="D375" t="s">
        <v>15</v>
      </c>
      <c r="E375" t="s">
        <v>16</v>
      </c>
      <c r="H375" t="s">
        <v>20</v>
      </c>
    </row>
    <row r="376" spans="1:8">
      <c r="A376" s="1">
        <f>HYPERLINK("https://cms.ls-nyc.org/matter/dynamic-profile/view/1879764","18-1879764")</f>
        <v>0</v>
      </c>
      <c r="B376" t="s">
        <v>9</v>
      </c>
      <c r="H376" t="s">
        <v>19</v>
      </c>
    </row>
    <row r="377" spans="1:8">
      <c r="A377" s="1">
        <f>HYPERLINK("https://cms.ls-nyc.org/matter/dynamic-profile/view/1894369","19-1894369")</f>
        <v>0</v>
      </c>
      <c r="B377" t="s">
        <v>9</v>
      </c>
      <c r="F377" t="s">
        <v>17</v>
      </c>
      <c r="H377" t="s">
        <v>20</v>
      </c>
    </row>
    <row r="378" spans="1:8">
      <c r="A378" s="1">
        <f>HYPERLINK("https://cms.ls-nyc.org/matter/dynamic-profile/view/1894373","19-1894373")</f>
        <v>0</v>
      </c>
      <c r="B378" t="s">
        <v>9</v>
      </c>
      <c r="F378" t="s">
        <v>17</v>
      </c>
      <c r="H378" t="s">
        <v>20</v>
      </c>
    </row>
    <row r="379" spans="1:8">
      <c r="A379" s="1">
        <f>HYPERLINK("https://cms.ls-nyc.org/matter/dynamic-profile/view/1881125","18-1881125")</f>
        <v>0</v>
      </c>
      <c r="B379" t="s">
        <v>11</v>
      </c>
      <c r="F379" t="s">
        <v>17</v>
      </c>
      <c r="H379" t="s">
        <v>20</v>
      </c>
    </row>
    <row r="380" spans="1:8">
      <c r="A380" s="1">
        <f>HYPERLINK("https://cms.ls-nyc.org/matter/dynamic-profile/view/1888003","19-1888003")</f>
        <v>0</v>
      </c>
      <c r="B380" t="s">
        <v>9</v>
      </c>
      <c r="C380" t="s">
        <v>13</v>
      </c>
      <c r="E380" t="s">
        <v>16</v>
      </c>
      <c r="F380" t="s">
        <v>17</v>
      </c>
      <c r="H380" t="s">
        <v>20</v>
      </c>
    </row>
    <row r="381" spans="1:8">
      <c r="A381" s="1">
        <f>HYPERLINK("https://cms.ls-nyc.org/matter/dynamic-profile/view/1846300","17-1846300")</f>
        <v>0</v>
      </c>
      <c r="B381" t="s">
        <v>12</v>
      </c>
      <c r="D381" t="s">
        <v>15</v>
      </c>
      <c r="E381" t="s">
        <v>16</v>
      </c>
      <c r="H381" t="s">
        <v>20</v>
      </c>
    </row>
    <row r="382" spans="1:8">
      <c r="A382" s="1">
        <f>HYPERLINK("https://cms.ls-nyc.org/matter/dynamic-profile/view/1884239","18-1884239")</f>
        <v>0</v>
      </c>
      <c r="B382" t="s">
        <v>10</v>
      </c>
      <c r="H382" t="s">
        <v>19</v>
      </c>
    </row>
    <row r="383" spans="1:8">
      <c r="A383" s="1">
        <f>HYPERLINK("https://cms.ls-nyc.org/matter/dynamic-profile/view/0794225","15-0794225")</f>
        <v>0</v>
      </c>
      <c r="B383" t="s">
        <v>10</v>
      </c>
      <c r="D383" t="s">
        <v>15</v>
      </c>
      <c r="E383" t="s">
        <v>16</v>
      </c>
      <c r="F383" t="s">
        <v>17</v>
      </c>
      <c r="H383" t="s">
        <v>20</v>
      </c>
    </row>
    <row r="384" spans="1:8">
      <c r="A384" s="1">
        <f>HYPERLINK("https://cms.ls-nyc.org/matter/dynamic-profile/view/1844798","17-1844798")</f>
        <v>0</v>
      </c>
      <c r="B384" t="s">
        <v>12</v>
      </c>
      <c r="D384" t="s">
        <v>15</v>
      </c>
      <c r="H384" t="s">
        <v>20</v>
      </c>
    </row>
    <row r="385" spans="1:8">
      <c r="A385" s="1">
        <f>HYPERLINK("https://cms.ls-nyc.org/matter/dynamic-profile/view/1889626","19-1889626")</f>
        <v>0</v>
      </c>
      <c r="B385" t="s">
        <v>9</v>
      </c>
      <c r="H385" t="s">
        <v>19</v>
      </c>
    </row>
    <row r="386" spans="1:8">
      <c r="A386" s="1">
        <f>HYPERLINK("https://cms.ls-nyc.org/matter/dynamic-profile/view/1894548","19-1894548")</f>
        <v>0</v>
      </c>
      <c r="B386" t="s">
        <v>9</v>
      </c>
      <c r="H386" t="s">
        <v>19</v>
      </c>
    </row>
    <row r="387" spans="1:8">
      <c r="A387" s="1">
        <f>HYPERLINK("https://cms.ls-nyc.org/matter/dynamic-profile/view/1864126","18-1864126")</f>
        <v>0</v>
      </c>
      <c r="B387" t="s">
        <v>12</v>
      </c>
      <c r="C387" t="s">
        <v>13</v>
      </c>
      <c r="D387" t="s">
        <v>15</v>
      </c>
      <c r="E387" t="s">
        <v>16</v>
      </c>
      <c r="H387" t="s">
        <v>20</v>
      </c>
    </row>
    <row r="388" spans="1:8">
      <c r="A388" s="1">
        <f>HYPERLINK("https://cms.ls-nyc.org/matter/dynamic-profile/view/0807221","16-0807221")</f>
        <v>0</v>
      </c>
      <c r="B388" t="s">
        <v>12</v>
      </c>
      <c r="D388" t="s">
        <v>15</v>
      </c>
      <c r="E388" t="s">
        <v>16</v>
      </c>
      <c r="H388" t="s">
        <v>20</v>
      </c>
    </row>
    <row r="389" spans="1:8">
      <c r="A389" s="1">
        <f>HYPERLINK("https://cms.ls-nyc.org/matter/dynamic-profile/view/1843588","17-1843588")</f>
        <v>0</v>
      </c>
      <c r="B389" t="s">
        <v>12</v>
      </c>
      <c r="C389" t="s">
        <v>13</v>
      </c>
      <c r="D389" t="s">
        <v>14</v>
      </c>
      <c r="E389" t="s">
        <v>16</v>
      </c>
      <c r="H389" t="s">
        <v>20</v>
      </c>
    </row>
    <row r="390" spans="1:8">
      <c r="A390" s="1">
        <f>HYPERLINK("https://cms.ls-nyc.org/matter/dynamic-profile/view/1838659","17-1838659")</f>
        <v>0</v>
      </c>
      <c r="B390" t="s">
        <v>12</v>
      </c>
      <c r="C390" t="s">
        <v>13</v>
      </c>
      <c r="D390" t="s">
        <v>15</v>
      </c>
      <c r="E390" t="s">
        <v>16</v>
      </c>
      <c r="H390" t="s">
        <v>20</v>
      </c>
    </row>
    <row r="391" spans="1:8">
      <c r="A391" s="1">
        <f>HYPERLINK("https://cms.ls-nyc.org/matter/dynamic-profile/view/1848874","17-1848874")</f>
        <v>0</v>
      </c>
      <c r="B391" t="s">
        <v>9</v>
      </c>
      <c r="D391" t="s">
        <v>15</v>
      </c>
      <c r="E391" t="s">
        <v>16</v>
      </c>
      <c r="H391" t="s">
        <v>20</v>
      </c>
    </row>
    <row r="392" spans="1:8">
      <c r="A392" s="1">
        <f>HYPERLINK("https://cms.ls-nyc.org/matter/dynamic-profile/view/1891270","19-1891270")</f>
        <v>0</v>
      </c>
      <c r="B392" t="s">
        <v>9</v>
      </c>
      <c r="H392" t="s">
        <v>19</v>
      </c>
    </row>
    <row r="393" spans="1:8">
      <c r="A393" s="1">
        <f>HYPERLINK("https://cms.ls-nyc.org/matter/dynamic-profile/view/1887152","19-1887152")</f>
        <v>0</v>
      </c>
      <c r="B393" t="s">
        <v>10</v>
      </c>
      <c r="C393" t="s">
        <v>13</v>
      </c>
      <c r="D393" t="s">
        <v>14</v>
      </c>
      <c r="E393" t="s">
        <v>16</v>
      </c>
      <c r="H393" t="s">
        <v>20</v>
      </c>
    </row>
    <row r="394" spans="1:8">
      <c r="A394" s="1">
        <f>HYPERLINK("https://cms.ls-nyc.org/matter/dynamic-profile/view/1895299","19-1895299")</f>
        <v>0</v>
      </c>
      <c r="B394" t="s">
        <v>9</v>
      </c>
      <c r="D394" t="s">
        <v>14</v>
      </c>
      <c r="E394" t="s">
        <v>16</v>
      </c>
      <c r="H394" t="s">
        <v>20</v>
      </c>
    </row>
    <row r="395" spans="1:8">
      <c r="A395" s="1">
        <f>HYPERLINK("https://cms.ls-nyc.org/matter/dynamic-profile/view/1861676","18-1861676")</f>
        <v>0</v>
      </c>
      <c r="B395" t="s">
        <v>12</v>
      </c>
      <c r="D395" t="s">
        <v>15</v>
      </c>
      <c r="E395" t="s">
        <v>16</v>
      </c>
      <c r="F395" t="s">
        <v>17</v>
      </c>
      <c r="H395" t="s">
        <v>20</v>
      </c>
    </row>
    <row r="396" spans="1:8">
      <c r="A396" s="1">
        <f>HYPERLINK("https://cms.ls-nyc.org/matter/dynamic-profile/view/1895909","19-1895909")</f>
        <v>0</v>
      </c>
      <c r="B396" t="s">
        <v>10</v>
      </c>
      <c r="H396" t="s">
        <v>19</v>
      </c>
    </row>
    <row r="397" spans="1:8">
      <c r="A397" s="1">
        <f>HYPERLINK("https://cms.ls-nyc.org/matter/dynamic-profile/view/0781658","15-0781658")</f>
        <v>0</v>
      </c>
      <c r="B397" t="s">
        <v>11</v>
      </c>
      <c r="C397" t="s">
        <v>13</v>
      </c>
      <c r="D397" t="s">
        <v>15</v>
      </c>
      <c r="E397" t="s">
        <v>16</v>
      </c>
      <c r="H397" t="s">
        <v>20</v>
      </c>
    </row>
    <row r="398" spans="1:8">
      <c r="A398" s="1">
        <f>HYPERLINK("https://cms.ls-nyc.org/matter/dynamic-profile/view/1892872","19-1892872")</f>
        <v>0</v>
      </c>
      <c r="B398" t="s">
        <v>9</v>
      </c>
      <c r="D398" t="s">
        <v>14</v>
      </c>
      <c r="H398" t="s">
        <v>20</v>
      </c>
    </row>
    <row r="399" spans="1:8">
      <c r="A399" s="1">
        <f>HYPERLINK("https://cms.ls-nyc.org/matter/dynamic-profile/view/1840141","17-1840141")</f>
        <v>0</v>
      </c>
      <c r="B399" t="s">
        <v>9</v>
      </c>
      <c r="D399" t="s">
        <v>15</v>
      </c>
      <c r="H399" t="s">
        <v>20</v>
      </c>
    </row>
    <row r="400" spans="1:8">
      <c r="A400" s="1">
        <f>HYPERLINK("https://cms.ls-nyc.org/matter/dynamic-profile/view/1839805","17-1839805")</f>
        <v>0</v>
      </c>
      <c r="B400" t="s">
        <v>9</v>
      </c>
      <c r="D400" t="s">
        <v>15</v>
      </c>
      <c r="H400" t="s">
        <v>20</v>
      </c>
    </row>
    <row r="401" spans="1:8">
      <c r="A401" s="1">
        <f>HYPERLINK("https://cms.ls-nyc.org/matter/dynamic-profile/view/1874744","18-1874744")</f>
        <v>0</v>
      </c>
      <c r="B401" t="s">
        <v>12</v>
      </c>
      <c r="H401" t="s">
        <v>19</v>
      </c>
    </row>
    <row r="402" spans="1:8">
      <c r="A402" s="1">
        <f>HYPERLINK("https://cms.ls-nyc.org/matter/dynamic-profile/view/1862083","18-1862083")</f>
        <v>0</v>
      </c>
      <c r="B402" t="s">
        <v>8</v>
      </c>
      <c r="D402" t="s">
        <v>15</v>
      </c>
      <c r="E402" t="s">
        <v>16</v>
      </c>
      <c r="H402" t="s">
        <v>20</v>
      </c>
    </row>
    <row r="403" spans="1:8">
      <c r="A403" s="1">
        <f>HYPERLINK("https://cms.ls-nyc.org/matter/dynamic-profile/view/1834324","17-1834324")</f>
        <v>0</v>
      </c>
      <c r="B403" t="s">
        <v>12</v>
      </c>
      <c r="D403" t="s">
        <v>15</v>
      </c>
      <c r="E403" t="s">
        <v>16</v>
      </c>
      <c r="H403" t="s">
        <v>20</v>
      </c>
    </row>
    <row r="404" spans="1:8">
      <c r="A404" s="1">
        <f>HYPERLINK("https://cms.ls-nyc.org/matter/dynamic-profile/view/1833941","17-1833941")</f>
        <v>0</v>
      </c>
      <c r="B404" t="s">
        <v>10</v>
      </c>
      <c r="D404" t="s">
        <v>15</v>
      </c>
      <c r="E404" t="s">
        <v>16</v>
      </c>
      <c r="H404" t="s">
        <v>20</v>
      </c>
    </row>
    <row r="405" spans="1:8">
      <c r="A405" s="1">
        <f>HYPERLINK("https://cms.ls-nyc.org/matter/dynamic-profile/view/0811672","16-0811672")</f>
        <v>0</v>
      </c>
      <c r="B405" t="s">
        <v>8</v>
      </c>
      <c r="D405" t="s">
        <v>15</v>
      </c>
      <c r="E405" t="s">
        <v>16</v>
      </c>
      <c r="H405" t="s">
        <v>20</v>
      </c>
    </row>
    <row r="406" spans="1:8">
      <c r="A406" s="1">
        <f>HYPERLINK("https://cms.ls-nyc.org/matter/dynamic-profile/view/1888301","19-1888301")</f>
        <v>0</v>
      </c>
      <c r="B406" t="s">
        <v>11</v>
      </c>
      <c r="H406" t="s">
        <v>19</v>
      </c>
    </row>
    <row r="407" spans="1:8">
      <c r="A407" s="1">
        <f>HYPERLINK("https://cms.ls-nyc.org/matter/dynamic-profile/view/1899279","19-1899279")</f>
        <v>0</v>
      </c>
      <c r="B407" t="s">
        <v>10</v>
      </c>
      <c r="C407" t="s">
        <v>13</v>
      </c>
      <c r="D407" t="s">
        <v>14</v>
      </c>
      <c r="E407" t="s">
        <v>16</v>
      </c>
      <c r="H407" t="s">
        <v>20</v>
      </c>
    </row>
    <row r="408" spans="1:8">
      <c r="A408" s="1">
        <f>HYPERLINK("https://cms.ls-nyc.org/matter/dynamic-profile/view/0820320","16-0820320")</f>
        <v>0</v>
      </c>
      <c r="B408" t="s">
        <v>9</v>
      </c>
      <c r="D408" t="s">
        <v>15</v>
      </c>
      <c r="E408" t="s">
        <v>16</v>
      </c>
      <c r="H408" t="s">
        <v>20</v>
      </c>
    </row>
    <row r="409" spans="1:8">
      <c r="A409" s="1">
        <f>HYPERLINK("https://cms.ls-nyc.org/matter/dynamic-profile/view/0800574","16-0800574")</f>
        <v>0</v>
      </c>
      <c r="B409" t="s">
        <v>9</v>
      </c>
      <c r="D409" t="s">
        <v>15</v>
      </c>
      <c r="E409" t="s">
        <v>16</v>
      </c>
      <c r="H409" t="s">
        <v>20</v>
      </c>
    </row>
    <row r="410" spans="1:8">
      <c r="A410" s="1">
        <f>HYPERLINK("https://cms.ls-nyc.org/matter/dynamic-profile/view/1900690","19-1900690")</f>
        <v>0</v>
      </c>
      <c r="B410" t="s">
        <v>10</v>
      </c>
      <c r="C410" t="s">
        <v>13</v>
      </c>
      <c r="D410" t="s">
        <v>14</v>
      </c>
      <c r="G410" t="s">
        <v>18</v>
      </c>
      <c r="H410" t="s">
        <v>20</v>
      </c>
    </row>
    <row r="411" spans="1:8">
      <c r="A411" s="1">
        <f>HYPERLINK("https://cms.ls-nyc.org/matter/dynamic-profile/view/1898492","19-1898492")</f>
        <v>0</v>
      </c>
      <c r="B411" t="s">
        <v>10</v>
      </c>
      <c r="D411" t="s">
        <v>14</v>
      </c>
      <c r="H411" t="s">
        <v>20</v>
      </c>
    </row>
    <row r="412" spans="1:8">
      <c r="A412" s="1">
        <f>HYPERLINK("https://cms.ls-nyc.org/matter/dynamic-profile/view/1853736","17-1853736")</f>
        <v>0</v>
      </c>
      <c r="B412" t="s">
        <v>12</v>
      </c>
      <c r="D412" t="s">
        <v>15</v>
      </c>
      <c r="E412" t="s">
        <v>16</v>
      </c>
      <c r="F412" t="s">
        <v>17</v>
      </c>
      <c r="H412" t="s">
        <v>20</v>
      </c>
    </row>
    <row r="413" spans="1:8">
      <c r="A413" s="1">
        <f>HYPERLINK("https://cms.ls-nyc.org/matter/dynamic-profile/view/1890032","19-1890032")</f>
        <v>0</v>
      </c>
      <c r="B413" t="s">
        <v>10</v>
      </c>
      <c r="H413" t="s">
        <v>19</v>
      </c>
    </row>
    <row r="414" spans="1:8">
      <c r="A414" s="1">
        <f>HYPERLINK("https://cms.ls-nyc.org/matter/dynamic-profile/view/1869305","18-1869305")</f>
        <v>0</v>
      </c>
      <c r="B414" t="s">
        <v>9</v>
      </c>
      <c r="H414" t="s">
        <v>19</v>
      </c>
    </row>
    <row r="415" spans="1:8">
      <c r="A415" s="1">
        <f>HYPERLINK("https://cms.ls-nyc.org/matter/dynamic-profile/view/1880957","18-1880957")</f>
        <v>0</v>
      </c>
      <c r="B415" t="s">
        <v>10</v>
      </c>
      <c r="H415" t="s">
        <v>19</v>
      </c>
    </row>
    <row r="416" spans="1:8">
      <c r="A416" s="1">
        <f>HYPERLINK("https://cms.ls-nyc.org/matter/dynamic-profile/view/1876849","18-1876849")</f>
        <v>0</v>
      </c>
      <c r="B416" t="s">
        <v>9</v>
      </c>
      <c r="C416" t="s">
        <v>13</v>
      </c>
      <c r="D416" t="s">
        <v>14</v>
      </c>
      <c r="E416" t="s">
        <v>16</v>
      </c>
      <c r="G416" t="s">
        <v>18</v>
      </c>
      <c r="H416" t="s">
        <v>20</v>
      </c>
    </row>
    <row r="417" spans="1:8">
      <c r="A417" s="1">
        <f>HYPERLINK("https://cms.ls-nyc.org/matter/dynamic-profile/view/0824707","17-0824707")</f>
        <v>0</v>
      </c>
      <c r="B417" t="s">
        <v>12</v>
      </c>
      <c r="D417" t="s">
        <v>15</v>
      </c>
      <c r="E417" t="s">
        <v>16</v>
      </c>
      <c r="F417" t="s">
        <v>17</v>
      </c>
      <c r="H417" t="s">
        <v>20</v>
      </c>
    </row>
    <row r="418" spans="1:8">
      <c r="A418" s="1">
        <f>HYPERLINK("https://cms.ls-nyc.org/matter/dynamic-profile/view/1887044","19-1887044")</f>
        <v>0</v>
      </c>
      <c r="B418" t="s">
        <v>10</v>
      </c>
      <c r="H418" t="s">
        <v>19</v>
      </c>
    </row>
    <row r="419" spans="1:8">
      <c r="A419" s="1">
        <f>HYPERLINK("https://cms.ls-nyc.org/matter/dynamic-profile/view/1888474","19-1888474")</f>
        <v>0</v>
      </c>
      <c r="B419" t="s">
        <v>9</v>
      </c>
      <c r="H419" t="s">
        <v>19</v>
      </c>
    </row>
    <row r="420" spans="1:8">
      <c r="A420" s="1">
        <f>HYPERLINK("https://cms.ls-nyc.org/matter/dynamic-profile/view/1875261","18-1875261")</f>
        <v>0</v>
      </c>
      <c r="B420" t="s">
        <v>10</v>
      </c>
      <c r="H420" t="s">
        <v>19</v>
      </c>
    </row>
    <row r="421" spans="1:8">
      <c r="A421" s="1">
        <f>HYPERLINK("https://cms.ls-nyc.org/matter/dynamic-profile/view/1863844","18-1863844")</f>
        <v>0</v>
      </c>
      <c r="B421" t="s">
        <v>8</v>
      </c>
      <c r="D421" t="s">
        <v>15</v>
      </c>
      <c r="E421" t="s">
        <v>16</v>
      </c>
      <c r="H421" t="s">
        <v>20</v>
      </c>
    </row>
    <row r="422" spans="1:8">
      <c r="A422" s="1">
        <f>HYPERLINK("https://cms.ls-nyc.org/matter/dynamic-profile/view/1900521","19-1900521")</f>
        <v>0</v>
      </c>
      <c r="B422" t="s">
        <v>12</v>
      </c>
      <c r="H422" t="s">
        <v>19</v>
      </c>
    </row>
    <row r="423" spans="1:8">
      <c r="A423" s="1">
        <f>HYPERLINK("https://cms.ls-nyc.org/matter/dynamic-profile/view/1895932","19-1895932")</f>
        <v>0</v>
      </c>
      <c r="B423" t="s">
        <v>9</v>
      </c>
      <c r="G423" t="s">
        <v>18</v>
      </c>
      <c r="H423" t="s">
        <v>20</v>
      </c>
    </row>
    <row r="424" spans="1:8">
      <c r="A424" s="1">
        <f>HYPERLINK("https://cms.ls-nyc.org/matter/dynamic-profile/view/1896780","19-1896780")</f>
        <v>0</v>
      </c>
      <c r="B424" t="s">
        <v>10</v>
      </c>
      <c r="D424" t="s">
        <v>14</v>
      </c>
      <c r="H424" t="s">
        <v>20</v>
      </c>
    </row>
    <row r="425" spans="1:8">
      <c r="A425" s="1">
        <f>HYPERLINK("https://cms.ls-nyc.org/matter/dynamic-profile/view/1884785","18-1884785")</f>
        <v>0</v>
      </c>
      <c r="B425" t="s">
        <v>11</v>
      </c>
      <c r="D425" t="s">
        <v>14</v>
      </c>
      <c r="F425" t="s">
        <v>17</v>
      </c>
      <c r="H425" t="s">
        <v>20</v>
      </c>
    </row>
    <row r="426" spans="1:8">
      <c r="A426" s="1">
        <f>HYPERLINK("https://cms.ls-nyc.org/matter/dynamic-profile/view/1893930","19-1893930")</f>
        <v>0</v>
      </c>
      <c r="B426" t="s">
        <v>11</v>
      </c>
      <c r="C426" t="s">
        <v>13</v>
      </c>
      <c r="D426" t="s">
        <v>14</v>
      </c>
      <c r="E426" t="s">
        <v>16</v>
      </c>
      <c r="G426" t="s">
        <v>18</v>
      </c>
      <c r="H426" t="s">
        <v>20</v>
      </c>
    </row>
    <row r="427" spans="1:8">
      <c r="A427" s="1">
        <f>HYPERLINK("https://cms.ls-nyc.org/matter/dynamic-profile/view/1875405","18-1875405")</f>
        <v>0</v>
      </c>
      <c r="B427" t="s">
        <v>10</v>
      </c>
      <c r="H427" t="s">
        <v>19</v>
      </c>
    </row>
    <row r="428" spans="1:8">
      <c r="A428" s="1">
        <f>HYPERLINK("https://cms.ls-nyc.org/matter/dynamic-profile/view/1845348","17-1845348")</f>
        <v>0</v>
      </c>
      <c r="B428" t="s">
        <v>9</v>
      </c>
      <c r="D428" t="s">
        <v>15</v>
      </c>
      <c r="E428" t="s">
        <v>16</v>
      </c>
      <c r="H428" t="s">
        <v>20</v>
      </c>
    </row>
    <row r="429" spans="1:8">
      <c r="A429" s="1">
        <f>HYPERLINK("https://cms.ls-nyc.org/matter/dynamic-profile/view/1875244","18-1875244")</f>
        <v>0</v>
      </c>
      <c r="B429" t="s">
        <v>9</v>
      </c>
      <c r="E429" t="s">
        <v>16</v>
      </c>
      <c r="H429" t="s">
        <v>20</v>
      </c>
    </row>
    <row r="430" spans="1:8">
      <c r="A430" s="1">
        <f>HYPERLINK("https://cms.ls-nyc.org/matter/dynamic-profile/view/1882298","18-1882298")</f>
        <v>0</v>
      </c>
      <c r="B430" t="s">
        <v>10</v>
      </c>
      <c r="H430" t="s">
        <v>19</v>
      </c>
    </row>
    <row r="431" spans="1:8">
      <c r="A431" s="1">
        <f>HYPERLINK("https://cms.ls-nyc.org/matter/dynamic-profile/view/0793963","15-0793963")</f>
        <v>0</v>
      </c>
      <c r="B431" t="s">
        <v>10</v>
      </c>
      <c r="C431" t="s">
        <v>13</v>
      </c>
      <c r="D431" t="s">
        <v>14</v>
      </c>
      <c r="E431" t="s">
        <v>16</v>
      </c>
      <c r="F431" t="s">
        <v>17</v>
      </c>
      <c r="H431" t="s">
        <v>20</v>
      </c>
    </row>
    <row r="432" spans="1:8">
      <c r="A432" s="1">
        <f>HYPERLINK("https://cms.ls-nyc.org/matter/dynamic-profile/view/1861086","18-1861086")</f>
        <v>0</v>
      </c>
      <c r="B432" t="s">
        <v>10</v>
      </c>
      <c r="D432" t="s">
        <v>15</v>
      </c>
      <c r="E432" t="s">
        <v>16</v>
      </c>
      <c r="H432" t="s">
        <v>20</v>
      </c>
    </row>
    <row r="433" spans="1:8">
      <c r="A433" s="1">
        <f>HYPERLINK("https://cms.ls-nyc.org/matter/dynamic-profile/view/1896358","19-1896358")</f>
        <v>0</v>
      </c>
      <c r="B433" t="s">
        <v>9</v>
      </c>
      <c r="C433" t="s">
        <v>13</v>
      </c>
      <c r="D433" t="s">
        <v>14</v>
      </c>
      <c r="E433" t="s">
        <v>16</v>
      </c>
      <c r="G433" t="s">
        <v>18</v>
      </c>
      <c r="H433" t="s">
        <v>20</v>
      </c>
    </row>
    <row r="434" spans="1:8">
      <c r="A434" s="1">
        <f>HYPERLINK("https://cms.ls-nyc.org/matter/dynamic-profile/view/1834675","17-1834675")</f>
        <v>0</v>
      </c>
      <c r="B434" t="s">
        <v>10</v>
      </c>
      <c r="D434" t="s">
        <v>15</v>
      </c>
      <c r="E434" t="s">
        <v>16</v>
      </c>
      <c r="H434" t="s">
        <v>20</v>
      </c>
    </row>
    <row r="435" spans="1:8">
      <c r="A435" s="1">
        <f>HYPERLINK("https://cms.ls-nyc.org/matter/dynamic-profile/view/1834045","17-1834045")</f>
        <v>0</v>
      </c>
      <c r="B435" t="s">
        <v>10</v>
      </c>
      <c r="D435" t="s">
        <v>15</v>
      </c>
      <c r="E435" t="s">
        <v>16</v>
      </c>
      <c r="H435" t="s">
        <v>20</v>
      </c>
    </row>
    <row r="436" spans="1:8">
      <c r="A436" s="1">
        <f>HYPERLINK("https://cms.ls-nyc.org/matter/dynamic-profile/view/1896325","19-1896325")</f>
        <v>0</v>
      </c>
      <c r="B436" t="s">
        <v>9</v>
      </c>
      <c r="C436" t="s">
        <v>13</v>
      </c>
      <c r="D436" t="s">
        <v>14</v>
      </c>
      <c r="E436" t="s">
        <v>16</v>
      </c>
      <c r="G436" t="s">
        <v>18</v>
      </c>
      <c r="H436" t="s">
        <v>20</v>
      </c>
    </row>
    <row r="437" spans="1:8">
      <c r="A437" s="1">
        <f>HYPERLINK("https://cms.ls-nyc.org/matter/dynamic-profile/view/1898908","19-1898908")</f>
        <v>0</v>
      </c>
      <c r="B437" t="s">
        <v>9</v>
      </c>
      <c r="D437" t="s">
        <v>14</v>
      </c>
      <c r="H437" t="s">
        <v>20</v>
      </c>
    </row>
    <row r="438" spans="1:8">
      <c r="A438" s="1">
        <f>HYPERLINK("https://cms.ls-nyc.org/matter/dynamic-profile/view/1899003","19-1899003")</f>
        <v>0</v>
      </c>
      <c r="B438" t="s">
        <v>9</v>
      </c>
      <c r="C438" t="s">
        <v>13</v>
      </c>
      <c r="H438" t="s">
        <v>20</v>
      </c>
    </row>
    <row r="439" spans="1:8">
      <c r="A439" s="1">
        <f>HYPERLINK("https://cms.ls-nyc.org/matter/dynamic-profile/view/1895751","19-1895751")</f>
        <v>0</v>
      </c>
      <c r="B439" t="s">
        <v>8</v>
      </c>
      <c r="H439" t="s">
        <v>19</v>
      </c>
    </row>
    <row r="440" spans="1:8">
      <c r="A440" s="1">
        <f>HYPERLINK("https://cms.ls-nyc.org/matter/dynamic-profile/view/1895768","19-1895768")</f>
        <v>0</v>
      </c>
      <c r="B440" t="s">
        <v>8</v>
      </c>
      <c r="H440" t="s">
        <v>19</v>
      </c>
    </row>
    <row r="441" spans="1:8">
      <c r="A441" s="1">
        <f>HYPERLINK("https://cms.ls-nyc.org/matter/dynamic-profile/view/1891852","19-1891852")</f>
        <v>0</v>
      </c>
      <c r="B441" t="s">
        <v>9</v>
      </c>
      <c r="C441" t="s">
        <v>13</v>
      </c>
      <c r="D441" t="s">
        <v>14</v>
      </c>
      <c r="E441" t="s">
        <v>16</v>
      </c>
      <c r="G441" t="s">
        <v>18</v>
      </c>
      <c r="H441" t="s">
        <v>20</v>
      </c>
    </row>
    <row r="442" spans="1:8">
      <c r="A442" s="1">
        <f>HYPERLINK("https://cms.ls-nyc.org/matter/dynamic-profile/view/1864441","18-1864441")</f>
        <v>0</v>
      </c>
      <c r="B442" t="s">
        <v>9</v>
      </c>
      <c r="D442" t="s">
        <v>15</v>
      </c>
      <c r="H442" t="s">
        <v>20</v>
      </c>
    </row>
    <row r="443" spans="1:8">
      <c r="A443" s="1">
        <f>HYPERLINK("https://cms.ls-nyc.org/matter/dynamic-profile/view/1892752","19-1892752")</f>
        <v>0</v>
      </c>
      <c r="B443" t="s">
        <v>9</v>
      </c>
      <c r="H443" t="s">
        <v>19</v>
      </c>
    </row>
    <row r="444" spans="1:8">
      <c r="A444" s="1">
        <f>HYPERLINK("https://cms.ls-nyc.org/matter/dynamic-profile/view/1878803","18-1878803")</f>
        <v>0</v>
      </c>
      <c r="B444" t="s">
        <v>9</v>
      </c>
      <c r="C444" t="s">
        <v>13</v>
      </c>
      <c r="D444" t="s">
        <v>14</v>
      </c>
      <c r="E444" t="s">
        <v>16</v>
      </c>
      <c r="G444" t="s">
        <v>18</v>
      </c>
      <c r="H444" t="s">
        <v>20</v>
      </c>
    </row>
    <row r="445" spans="1:8">
      <c r="A445" s="1">
        <f>HYPERLINK("https://cms.ls-nyc.org/matter/dynamic-profile/view/1890990","19-1890990")</f>
        <v>0</v>
      </c>
      <c r="B445" t="s">
        <v>10</v>
      </c>
      <c r="H445" t="s">
        <v>19</v>
      </c>
    </row>
    <row r="446" spans="1:8">
      <c r="A446" s="1">
        <f>HYPERLINK("https://cms.ls-nyc.org/matter/dynamic-profile/view/1873749","18-1873749")</f>
        <v>0</v>
      </c>
      <c r="B446" t="s">
        <v>8</v>
      </c>
      <c r="H446" t="s">
        <v>19</v>
      </c>
    </row>
    <row r="447" spans="1:8">
      <c r="A447" s="1">
        <f>HYPERLINK("https://cms.ls-nyc.org/matter/dynamic-profile/view/1837690","17-1837690")</f>
        <v>0</v>
      </c>
      <c r="B447" t="s">
        <v>10</v>
      </c>
      <c r="D447" t="s">
        <v>15</v>
      </c>
      <c r="E447" t="s">
        <v>16</v>
      </c>
      <c r="H447" t="s">
        <v>20</v>
      </c>
    </row>
    <row r="448" spans="1:8">
      <c r="A448" s="1">
        <f>HYPERLINK("https://cms.ls-nyc.org/matter/dynamic-profile/view/1834626","17-1834626")</f>
        <v>0</v>
      </c>
      <c r="B448" t="s">
        <v>9</v>
      </c>
      <c r="D448" t="s">
        <v>15</v>
      </c>
      <c r="E448" t="s">
        <v>16</v>
      </c>
      <c r="H448" t="s">
        <v>20</v>
      </c>
    </row>
    <row r="449" spans="1:8">
      <c r="A449" s="1">
        <f>HYPERLINK("https://cms.ls-nyc.org/matter/dynamic-profile/view/1854896","17-1854896")</f>
        <v>0</v>
      </c>
      <c r="B449" t="s">
        <v>10</v>
      </c>
      <c r="D449" t="s">
        <v>15</v>
      </c>
      <c r="E449" t="s">
        <v>16</v>
      </c>
      <c r="H449" t="s">
        <v>20</v>
      </c>
    </row>
    <row r="450" spans="1:8">
      <c r="A450" s="1">
        <f>HYPERLINK("https://cms.ls-nyc.org/matter/dynamic-profile/view/1893711","19-1893711")</f>
        <v>0</v>
      </c>
      <c r="B450" t="s">
        <v>9</v>
      </c>
      <c r="H450" t="s">
        <v>19</v>
      </c>
    </row>
    <row r="451" spans="1:8">
      <c r="A451" s="1">
        <f>HYPERLINK("https://cms.ls-nyc.org/matter/dynamic-profile/view/1852131","17-1852131")</f>
        <v>0</v>
      </c>
      <c r="B451" t="s">
        <v>11</v>
      </c>
      <c r="D451" t="s">
        <v>15</v>
      </c>
      <c r="H451" t="s">
        <v>20</v>
      </c>
    </row>
    <row r="452" spans="1:8">
      <c r="A452" s="1">
        <f>HYPERLINK("https://cms.ls-nyc.org/matter/dynamic-profile/view/1877019","18-1877019")</f>
        <v>0</v>
      </c>
      <c r="B452" t="s">
        <v>12</v>
      </c>
      <c r="E452" t="s">
        <v>16</v>
      </c>
      <c r="H452" t="s">
        <v>20</v>
      </c>
    </row>
    <row r="453" spans="1:8">
      <c r="A453" s="1">
        <f>HYPERLINK("https://cms.ls-nyc.org/matter/dynamic-profile/view/0798555","16-0798555")</f>
        <v>0</v>
      </c>
      <c r="B453" t="s">
        <v>8</v>
      </c>
      <c r="D453" t="s">
        <v>15</v>
      </c>
      <c r="E453" t="s">
        <v>16</v>
      </c>
      <c r="H453" t="s">
        <v>20</v>
      </c>
    </row>
    <row r="454" spans="1:8">
      <c r="A454" s="1">
        <f>HYPERLINK("https://cms.ls-nyc.org/matter/dynamic-profile/view/1897714","19-1897714")</f>
        <v>0</v>
      </c>
      <c r="B454" t="s">
        <v>8</v>
      </c>
      <c r="H454" t="s">
        <v>19</v>
      </c>
    </row>
    <row r="455" spans="1:8">
      <c r="A455" s="1">
        <f>HYPERLINK("https://cms.ls-nyc.org/matter/dynamic-profile/view/1867183","18-1867183")</f>
        <v>0</v>
      </c>
      <c r="B455" t="s">
        <v>10</v>
      </c>
      <c r="D455" t="s">
        <v>15</v>
      </c>
      <c r="H455" t="s">
        <v>20</v>
      </c>
    </row>
    <row r="456" spans="1:8">
      <c r="A456" s="1">
        <f>HYPERLINK("https://cms.ls-nyc.org/matter/dynamic-profile/view/0786267","15-0786267")</f>
        <v>0</v>
      </c>
      <c r="B456" t="s">
        <v>11</v>
      </c>
      <c r="C456" t="s">
        <v>13</v>
      </c>
      <c r="D456" t="s">
        <v>15</v>
      </c>
      <c r="E456" t="s">
        <v>16</v>
      </c>
      <c r="H456" t="s">
        <v>20</v>
      </c>
    </row>
    <row r="457" spans="1:8">
      <c r="A457" s="1">
        <f>HYPERLINK("https://cms.ls-nyc.org/matter/dynamic-profile/view/1875333","18-1875333")</f>
        <v>0</v>
      </c>
      <c r="B457" t="s">
        <v>12</v>
      </c>
      <c r="H457" t="s">
        <v>19</v>
      </c>
    </row>
    <row r="458" spans="1:8">
      <c r="A458" s="1">
        <f>HYPERLINK("https://cms.ls-nyc.org/matter/dynamic-profile/view/1889630","19-1889630")</f>
        <v>0</v>
      </c>
      <c r="B458" t="s">
        <v>9</v>
      </c>
      <c r="C458" t="s">
        <v>13</v>
      </c>
      <c r="D458" t="s">
        <v>14</v>
      </c>
      <c r="E458" t="s">
        <v>16</v>
      </c>
      <c r="H458" t="s">
        <v>20</v>
      </c>
    </row>
    <row r="459" spans="1:8">
      <c r="A459" s="1">
        <f>HYPERLINK("https://cms.ls-nyc.org/matter/dynamic-profile/view/1896637","19-1896637")</f>
        <v>0</v>
      </c>
      <c r="B459" t="s">
        <v>9</v>
      </c>
      <c r="C459" t="s">
        <v>13</v>
      </c>
      <c r="E459" t="s">
        <v>16</v>
      </c>
      <c r="G459" t="s">
        <v>18</v>
      </c>
      <c r="H459" t="s">
        <v>20</v>
      </c>
    </row>
    <row r="460" spans="1:8">
      <c r="A460" s="1">
        <f>HYPERLINK("https://cms.ls-nyc.org/matter/dynamic-profile/view/1880283","18-1880283")</f>
        <v>0</v>
      </c>
      <c r="B460" t="s">
        <v>9</v>
      </c>
      <c r="H460" t="s">
        <v>19</v>
      </c>
    </row>
    <row r="461" spans="1:8">
      <c r="A461" s="1">
        <f>HYPERLINK("https://cms.ls-nyc.org/matter/dynamic-profile/view/1880293","18-1880293")</f>
        <v>0</v>
      </c>
      <c r="B461" t="s">
        <v>9</v>
      </c>
      <c r="D461" t="s">
        <v>14</v>
      </c>
      <c r="H461" t="s">
        <v>20</v>
      </c>
    </row>
    <row r="462" spans="1:8">
      <c r="A462" s="1">
        <f>HYPERLINK("https://cms.ls-nyc.org/matter/dynamic-profile/view/1898155","19-1898155")</f>
        <v>0</v>
      </c>
      <c r="B462" t="s">
        <v>10</v>
      </c>
      <c r="D462" t="s">
        <v>14</v>
      </c>
      <c r="H462" t="s">
        <v>20</v>
      </c>
    </row>
    <row r="463" spans="1:8">
      <c r="A463" s="1">
        <f>HYPERLINK("https://cms.ls-nyc.org/matter/dynamic-profile/view/0817110","16-0817110")</f>
        <v>0</v>
      </c>
      <c r="B463" t="s">
        <v>9</v>
      </c>
      <c r="D463" t="s">
        <v>15</v>
      </c>
      <c r="E463" t="s">
        <v>16</v>
      </c>
      <c r="H463" t="s">
        <v>20</v>
      </c>
    </row>
    <row r="464" spans="1:8">
      <c r="A464" s="1">
        <f>HYPERLINK("https://cms.ls-nyc.org/matter/dynamic-profile/view/0823208","16-0823208")</f>
        <v>0</v>
      </c>
      <c r="B464" t="s">
        <v>9</v>
      </c>
      <c r="D464" t="s">
        <v>15</v>
      </c>
      <c r="E464" t="s">
        <v>16</v>
      </c>
      <c r="H464" t="s">
        <v>20</v>
      </c>
    </row>
    <row r="465" spans="1:8">
      <c r="A465" s="1">
        <f>HYPERLINK("https://cms.ls-nyc.org/matter/dynamic-profile/view/1881881","18-1881881")</f>
        <v>0</v>
      </c>
      <c r="B465" t="s">
        <v>12</v>
      </c>
      <c r="H465" t="s">
        <v>19</v>
      </c>
    </row>
    <row r="466" spans="1:8">
      <c r="A466" s="1">
        <f>HYPERLINK("https://cms.ls-nyc.org/matter/dynamic-profile/view/1874522","18-1874522")</f>
        <v>0</v>
      </c>
      <c r="B466" t="s">
        <v>8</v>
      </c>
      <c r="H466" t="s">
        <v>19</v>
      </c>
    </row>
    <row r="467" spans="1:8">
      <c r="A467" s="1">
        <f>HYPERLINK("https://cms.ls-nyc.org/matter/dynamic-profile/view/1880204","18-1880204")</f>
        <v>0</v>
      </c>
      <c r="B467" t="s">
        <v>10</v>
      </c>
      <c r="H467" t="s">
        <v>19</v>
      </c>
    </row>
    <row r="468" spans="1:8">
      <c r="A468" s="1">
        <f>HYPERLINK("https://cms.ls-nyc.org/matter/dynamic-profile/view/1895370","19-1895370")</f>
        <v>0</v>
      </c>
      <c r="B468" t="s">
        <v>9</v>
      </c>
      <c r="H468" t="s">
        <v>19</v>
      </c>
    </row>
    <row r="469" spans="1:8">
      <c r="A469" s="1">
        <f>HYPERLINK("https://cms.ls-nyc.org/matter/dynamic-profile/view/1892268","19-1892268")</f>
        <v>0</v>
      </c>
      <c r="B469" t="s">
        <v>10</v>
      </c>
      <c r="H469" t="s">
        <v>19</v>
      </c>
    </row>
    <row r="470" spans="1:8">
      <c r="A470" s="1">
        <f>HYPERLINK("https://cms.ls-nyc.org/matter/dynamic-profile/view/1878797","18-1878797")</f>
        <v>0</v>
      </c>
      <c r="B470" t="s">
        <v>9</v>
      </c>
      <c r="D470" t="s">
        <v>14</v>
      </c>
      <c r="H470" t="s">
        <v>20</v>
      </c>
    </row>
    <row r="471" spans="1:8">
      <c r="A471" s="1">
        <f>HYPERLINK("https://cms.ls-nyc.org/matter/dynamic-profile/view/0805079","16-0805079")</f>
        <v>0</v>
      </c>
      <c r="B471" t="s">
        <v>8</v>
      </c>
      <c r="C471" t="s">
        <v>13</v>
      </c>
      <c r="D471" t="s">
        <v>15</v>
      </c>
      <c r="E471" t="s">
        <v>16</v>
      </c>
      <c r="H471" t="s">
        <v>20</v>
      </c>
    </row>
    <row r="472" spans="1:8">
      <c r="A472" s="1">
        <f>HYPERLINK("https://cms.ls-nyc.org/matter/dynamic-profile/view/0821448","16-0821448")</f>
        <v>0</v>
      </c>
      <c r="B472" t="s">
        <v>10</v>
      </c>
      <c r="D472" t="s">
        <v>15</v>
      </c>
      <c r="E472" t="s">
        <v>16</v>
      </c>
      <c r="H472" t="s">
        <v>20</v>
      </c>
    </row>
    <row r="473" spans="1:8">
      <c r="A473" s="1">
        <f>HYPERLINK("https://cms.ls-nyc.org/matter/dynamic-profile/view/1874395","18-1874395")</f>
        <v>0</v>
      </c>
      <c r="B473" t="s">
        <v>9</v>
      </c>
      <c r="H473" t="s">
        <v>19</v>
      </c>
    </row>
    <row r="474" spans="1:8">
      <c r="A474" s="1">
        <f>HYPERLINK("https://cms.ls-nyc.org/matter/dynamic-profile/view/1863821","18-1863821")</f>
        <v>0</v>
      </c>
      <c r="B474" t="s">
        <v>12</v>
      </c>
      <c r="D474" t="s">
        <v>15</v>
      </c>
      <c r="E474" t="s">
        <v>16</v>
      </c>
      <c r="H474" t="s">
        <v>20</v>
      </c>
    </row>
    <row r="475" spans="1:8">
      <c r="A475" s="1">
        <f>HYPERLINK("https://cms.ls-nyc.org/matter/dynamic-profile/view/1879187","18-1879187")</f>
        <v>0</v>
      </c>
      <c r="B475" t="s">
        <v>10</v>
      </c>
      <c r="H475" t="s">
        <v>19</v>
      </c>
    </row>
    <row r="476" spans="1:8">
      <c r="A476" s="1">
        <f>HYPERLINK("https://cms.ls-nyc.org/matter/dynamic-profile/view/1883760","18-1883760")</f>
        <v>0</v>
      </c>
      <c r="B476" t="s">
        <v>11</v>
      </c>
      <c r="D476" t="s">
        <v>14</v>
      </c>
      <c r="G476" t="s">
        <v>18</v>
      </c>
      <c r="H476" t="s">
        <v>20</v>
      </c>
    </row>
    <row r="477" spans="1:8">
      <c r="A477" s="1">
        <f>HYPERLINK("https://cms.ls-nyc.org/matter/dynamic-profile/view/1893492","19-1893492")</f>
        <v>0</v>
      </c>
      <c r="B477" t="s">
        <v>8</v>
      </c>
      <c r="C477" t="s">
        <v>13</v>
      </c>
      <c r="D477" t="s">
        <v>14</v>
      </c>
      <c r="E477" t="s">
        <v>16</v>
      </c>
      <c r="H477" t="s">
        <v>20</v>
      </c>
    </row>
    <row r="478" spans="1:8">
      <c r="A478" s="1">
        <f>HYPERLINK("https://cms.ls-nyc.org/matter/dynamic-profile/view/1862376","18-1862376")</f>
        <v>0</v>
      </c>
      <c r="B478" t="s">
        <v>10</v>
      </c>
      <c r="D478" t="s">
        <v>15</v>
      </c>
      <c r="E478" t="s">
        <v>16</v>
      </c>
      <c r="H478" t="s">
        <v>20</v>
      </c>
    </row>
    <row r="479" spans="1:8">
      <c r="A479" s="1">
        <f>HYPERLINK("https://cms.ls-nyc.org/matter/dynamic-profile/view/1870444","18-1870444")</f>
        <v>0</v>
      </c>
      <c r="B479" t="s">
        <v>10</v>
      </c>
      <c r="D479" t="s">
        <v>15</v>
      </c>
      <c r="H479" t="s">
        <v>20</v>
      </c>
    </row>
    <row r="480" spans="1:8">
      <c r="A480" s="1">
        <f>HYPERLINK("https://cms.ls-nyc.org/matter/dynamic-profile/view/1896004","19-1896004")</f>
        <v>0</v>
      </c>
      <c r="B480" t="s">
        <v>9</v>
      </c>
      <c r="H480" t="s">
        <v>19</v>
      </c>
    </row>
    <row r="481" spans="1:8">
      <c r="A481" s="1">
        <f>HYPERLINK("https://cms.ls-nyc.org/matter/dynamic-profile/view/1861033","18-1861033")</f>
        <v>0</v>
      </c>
      <c r="B481" t="s">
        <v>8</v>
      </c>
      <c r="D481" t="s">
        <v>15</v>
      </c>
      <c r="E481" t="s">
        <v>16</v>
      </c>
      <c r="H481" t="s">
        <v>20</v>
      </c>
    </row>
    <row r="482" spans="1:8">
      <c r="A482" s="1">
        <f>HYPERLINK("https://cms.ls-nyc.org/matter/dynamic-profile/view/1862540","18-1862540")</f>
        <v>0</v>
      </c>
      <c r="B482" t="s">
        <v>8</v>
      </c>
      <c r="D482" t="s">
        <v>15</v>
      </c>
      <c r="E482" t="s">
        <v>16</v>
      </c>
      <c r="H482" t="s">
        <v>20</v>
      </c>
    </row>
    <row r="483" spans="1:8">
      <c r="A483" s="1">
        <f>HYPERLINK("https://cms.ls-nyc.org/matter/dynamic-profile/view/1857239","18-1857239")</f>
        <v>0</v>
      </c>
      <c r="B483" t="s">
        <v>10</v>
      </c>
      <c r="D483" t="s">
        <v>15</v>
      </c>
      <c r="E483" t="s">
        <v>16</v>
      </c>
      <c r="H483" t="s">
        <v>20</v>
      </c>
    </row>
    <row r="484" spans="1:8">
      <c r="A484" s="1">
        <f>HYPERLINK("https://cms.ls-nyc.org/matter/dynamic-profile/view/1900935","19-1900935")</f>
        <v>0</v>
      </c>
      <c r="B484" t="s">
        <v>10</v>
      </c>
      <c r="D484" t="s">
        <v>14</v>
      </c>
      <c r="E484" t="s">
        <v>16</v>
      </c>
      <c r="F484" t="s">
        <v>17</v>
      </c>
      <c r="H484" t="s">
        <v>20</v>
      </c>
    </row>
    <row r="485" spans="1:8">
      <c r="A485" s="1">
        <f>HYPERLINK("https://cms.ls-nyc.org/matter/dynamic-profile/view/1878786","18-1878786")</f>
        <v>0</v>
      </c>
      <c r="B485" t="s">
        <v>8</v>
      </c>
      <c r="H485" t="s">
        <v>19</v>
      </c>
    </row>
    <row r="486" spans="1:8">
      <c r="A486" s="1">
        <f>HYPERLINK("https://cms.ls-nyc.org/matter/dynamic-profile/view/1884267","18-1884267")</f>
        <v>0</v>
      </c>
      <c r="B486" t="s">
        <v>9</v>
      </c>
      <c r="H486" t="s">
        <v>19</v>
      </c>
    </row>
    <row r="487" spans="1:8">
      <c r="A487" s="1">
        <f>HYPERLINK("https://cms.ls-nyc.org/matter/dynamic-profile/view/1885519","18-1885519")</f>
        <v>0</v>
      </c>
      <c r="B487" t="s">
        <v>9</v>
      </c>
      <c r="C487" t="s">
        <v>13</v>
      </c>
      <c r="D487" t="s">
        <v>14</v>
      </c>
      <c r="E487" t="s">
        <v>16</v>
      </c>
      <c r="H487" t="s">
        <v>20</v>
      </c>
    </row>
    <row r="488" spans="1:8">
      <c r="A488" s="1">
        <f>HYPERLINK("https://cms.ls-nyc.org/matter/dynamic-profile/view/1867739","18-1867739")</f>
        <v>0</v>
      </c>
      <c r="B488" t="s">
        <v>10</v>
      </c>
      <c r="D488" t="s">
        <v>15</v>
      </c>
      <c r="E488" t="s">
        <v>16</v>
      </c>
      <c r="H488" t="s">
        <v>20</v>
      </c>
    </row>
    <row r="489" spans="1:8">
      <c r="A489" s="1">
        <f>HYPERLINK("https://cms.ls-nyc.org/matter/dynamic-profile/view/1899115","19-1899115")</f>
        <v>0</v>
      </c>
      <c r="B489" t="s">
        <v>10</v>
      </c>
      <c r="H489" t="s">
        <v>19</v>
      </c>
    </row>
    <row r="490" spans="1:8">
      <c r="A490" s="1">
        <f>HYPERLINK("https://cms.ls-nyc.org/matter/dynamic-profile/view/1879864","18-1879864")</f>
        <v>0</v>
      </c>
      <c r="B490" t="s">
        <v>9</v>
      </c>
      <c r="H490" t="s">
        <v>19</v>
      </c>
    </row>
    <row r="491" spans="1:8">
      <c r="A491" s="1">
        <f>HYPERLINK("https://cms.ls-nyc.org/matter/dynamic-profile/view/1879875","18-1879875")</f>
        <v>0</v>
      </c>
      <c r="B491" t="s">
        <v>9</v>
      </c>
      <c r="H491" t="s">
        <v>19</v>
      </c>
    </row>
    <row r="492" spans="1:8">
      <c r="A492" s="1">
        <f>HYPERLINK("https://cms.ls-nyc.org/matter/dynamic-profile/view/1896134","19-1896134")</f>
        <v>0</v>
      </c>
      <c r="B492" t="s">
        <v>10</v>
      </c>
      <c r="D492" t="s">
        <v>14</v>
      </c>
      <c r="H492" t="s">
        <v>20</v>
      </c>
    </row>
    <row r="493" spans="1:8">
      <c r="A493" s="1">
        <f>HYPERLINK("https://cms.ls-nyc.org/matter/dynamic-profile/view/0811704","16-0811704")</f>
        <v>0</v>
      </c>
      <c r="B493" t="s">
        <v>10</v>
      </c>
      <c r="D493" t="s">
        <v>15</v>
      </c>
      <c r="E493" t="s">
        <v>16</v>
      </c>
      <c r="H493" t="s">
        <v>20</v>
      </c>
    </row>
    <row r="494" spans="1:8">
      <c r="A494" s="1">
        <f>HYPERLINK("https://cms.ls-nyc.org/matter/dynamic-profile/view/0826031","17-0826031")</f>
        <v>0</v>
      </c>
      <c r="B494" t="s">
        <v>10</v>
      </c>
      <c r="D494" t="s">
        <v>15</v>
      </c>
      <c r="E494" t="s">
        <v>16</v>
      </c>
      <c r="H494" t="s">
        <v>20</v>
      </c>
    </row>
    <row r="495" spans="1:8">
      <c r="A495" s="1">
        <f>HYPERLINK("https://cms.ls-nyc.org/matter/dynamic-profile/view/1887398","19-1887398")</f>
        <v>0</v>
      </c>
      <c r="B495" t="s">
        <v>9</v>
      </c>
      <c r="H495" t="s">
        <v>19</v>
      </c>
    </row>
    <row r="496" spans="1:8">
      <c r="A496" s="1">
        <f>HYPERLINK("https://cms.ls-nyc.org/matter/dynamic-profile/view/1858122","18-1858122")</f>
        <v>0</v>
      </c>
      <c r="B496" t="s">
        <v>11</v>
      </c>
      <c r="D496" t="s">
        <v>15</v>
      </c>
      <c r="E496" t="s">
        <v>16</v>
      </c>
      <c r="H496" t="s">
        <v>20</v>
      </c>
    </row>
    <row r="497" spans="1:8">
      <c r="A497" s="1">
        <f>HYPERLINK("https://cms.ls-nyc.org/matter/dynamic-profile/view/0789062","15-0789062")</f>
        <v>0</v>
      </c>
      <c r="B497" t="s">
        <v>10</v>
      </c>
      <c r="D497" t="s">
        <v>15</v>
      </c>
      <c r="E497" t="s">
        <v>16</v>
      </c>
      <c r="H497" t="s">
        <v>20</v>
      </c>
    </row>
    <row r="498" spans="1:8">
      <c r="A498" s="1">
        <f>HYPERLINK("https://cms.ls-nyc.org/matter/dynamic-profile/view/1877409","18-1877409")</f>
        <v>0</v>
      </c>
      <c r="B498" t="s">
        <v>10</v>
      </c>
      <c r="H498" t="s">
        <v>19</v>
      </c>
    </row>
    <row r="499" spans="1:8">
      <c r="A499" s="1">
        <f>HYPERLINK("https://cms.ls-nyc.org/matter/dynamic-profile/view/1887017","19-1887017")</f>
        <v>0</v>
      </c>
      <c r="B499" t="s">
        <v>10</v>
      </c>
      <c r="H499" t="s">
        <v>19</v>
      </c>
    </row>
    <row r="500" spans="1:8">
      <c r="A500" s="1">
        <f>HYPERLINK("https://cms.ls-nyc.org/matter/dynamic-profile/view/1863407","18-1863407")</f>
        <v>0</v>
      </c>
      <c r="B500" t="s">
        <v>10</v>
      </c>
      <c r="D500" t="s">
        <v>15</v>
      </c>
      <c r="E500" t="s">
        <v>16</v>
      </c>
      <c r="H500" t="s">
        <v>20</v>
      </c>
    </row>
    <row r="501" spans="1:8">
      <c r="A501" s="1">
        <f>HYPERLINK("https://cms.ls-nyc.org/matter/dynamic-profile/view/1898796","19-1898796")</f>
        <v>0</v>
      </c>
      <c r="B501" t="s">
        <v>10</v>
      </c>
      <c r="C501" t="s">
        <v>13</v>
      </c>
      <c r="D501" t="s">
        <v>14</v>
      </c>
      <c r="H501" t="s">
        <v>20</v>
      </c>
    </row>
    <row r="502" spans="1:8">
      <c r="A502" s="1">
        <f>HYPERLINK("https://cms.ls-nyc.org/matter/dynamic-profile/view/1883400","18-1883400")</f>
        <v>0</v>
      </c>
      <c r="B502" t="s">
        <v>10</v>
      </c>
      <c r="H502" t="s">
        <v>19</v>
      </c>
    </row>
    <row r="503" spans="1:8">
      <c r="A503" s="1">
        <f>HYPERLINK("https://cms.ls-nyc.org/matter/dynamic-profile/view/1884061","18-1884061")</f>
        <v>0</v>
      </c>
      <c r="B503" t="s">
        <v>10</v>
      </c>
      <c r="H503" t="s">
        <v>19</v>
      </c>
    </row>
    <row r="504" spans="1:8">
      <c r="A504" s="1">
        <f>HYPERLINK("https://cms.ls-nyc.org/matter/dynamic-profile/view/1867515","18-1867515")</f>
        <v>0</v>
      </c>
      <c r="B504" t="s">
        <v>12</v>
      </c>
      <c r="C504" t="s">
        <v>13</v>
      </c>
      <c r="D504" t="s">
        <v>14</v>
      </c>
      <c r="E504" t="s">
        <v>16</v>
      </c>
      <c r="H504" t="s">
        <v>20</v>
      </c>
    </row>
    <row r="505" spans="1:8">
      <c r="A505" s="1">
        <f>HYPERLINK("https://cms.ls-nyc.org/matter/dynamic-profile/view/1874150","18-1874150")</f>
        <v>0</v>
      </c>
      <c r="B505" t="s">
        <v>12</v>
      </c>
      <c r="H505" t="s">
        <v>19</v>
      </c>
    </row>
    <row r="506" spans="1:8">
      <c r="A506" s="1">
        <f>HYPERLINK("https://cms.ls-nyc.org/matter/dynamic-profile/view/1881386","18-1881386")</f>
        <v>0</v>
      </c>
      <c r="B506" t="s">
        <v>9</v>
      </c>
      <c r="H506" t="s">
        <v>19</v>
      </c>
    </row>
    <row r="507" spans="1:8">
      <c r="A507" s="1">
        <f>HYPERLINK("https://cms.ls-nyc.org/matter/dynamic-profile/view/1882893","18-1882893")</f>
        <v>0</v>
      </c>
      <c r="B507" t="s">
        <v>9</v>
      </c>
      <c r="H507" t="s">
        <v>19</v>
      </c>
    </row>
    <row r="508" spans="1:8">
      <c r="A508" s="1">
        <f>HYPERLINK("https://cms.ls-nyc.org/matter/dynamic-profile/view/1847656","17-1847656")</f>
        <v>0</v>
      </c>
      <c r="B508" t="s">
        <v>9</v>
      </c>
      <c r="D508" t="s">
        <v>15</v>
      </c>
      <c r="E508" t="s">
        <v>16</v>
      </c>
      <c r="H508" t="s">
        <v>20</v>
      </c>
    </row>
    <row r="509" spans="1:8">
      <c r="A509" s="1">
        <f>HYPERLINK("https://cms.ls-nyc.org/matter/dynamic-profile/view/1893025","19-1893025")</f>
        <v>0</v>
      </c>
      <c r="B509" t="s">
        <v>10</v>
      </c>
      <c r="D509" t="s">
        <v>14</v>
      </c>
      <c r="F509" t="s">
        <v>17</v>
      </c>
      <c r="G509" t="s">
        <v>18</v>
      </c>
      <c r="H509" t="s">
        <v>20</v>
      </c>
    </row>
    <row r="510" spans="1:8">
      <c r="A510" s="1">
        <f>HYPERLINK("https://cms.ls-nyc.org/matter/dynamic-profile/view/1869741","18-1869741")</f>
        <v>0</v>
      </c>
      <c r="B510" t="s">
        <v>8</v>
      </c>
      <c r="D510" t="s">
        <v>15</v>
      </c>
      <c r="E510" t="s">
        <v>16</v>
      </c>
      <c r="H510" t="s">
        <v>20</v>
      </c>
    </row>
    <row r="511" spans="1:8">
      <c r="A511" s="1">
        <f>HYPERLINK("https://cms.ls-nyc.org/matter/dynamic-profile/view/1882976","18-1882976")</f>
        <v>0</v>
      </c>
      <c r="B511" t="s">
        <v>9</v>
      </c>
      <c r="F511" t="s">
        <v>17</v>
      </c>
      <c r="H511" t="s">
        <v>20</v>
      </c>
    </row>
    <row r="512" spans="1:8">
      <c r="A512" s="1">
        <f>HYPERLINK("https://cms.ls-nyc.org/matter/dynamic-profile/view/0806903","16-0806903")</f>
        <v>0</v>
      </c>
      <c r="B512" t="s">
        <v>10</v>
      </c>
      <c r="D512" t="s">
        <v>15</v>
      </c>
      <c r="E512" t="s">
        <v>16</v>
      </c>
      <c r="H512" t="s">
        <v>20</v>
      </c>
    </row>
    <row r="513" spans="1:8">
      <c r="A513" s="1">
        <f>HYPERLINK("https://cms.ls-nyc.org/matter/dynamic-profile/view/1864502","18-1864502")</f>
        <v>0</v>
      </c>
      <c r="B513" t="s">
        <v>12</v>
      </c>
      <c r="D513" t="s">
        <v>15</v>
      </c>
      <c r="H513" t="s">
        <v>20</v>
      </c>
    </row>
    <row r="514" spans="1:8">
      <c r="A514" s="1">
        <f>HYPERLINK("https://cms.ls-nyc.org/matter/dynamic-profile/view/1900004","19-1900004")</f>
        <v>0</v>
      </c>
      <c r="B514" t="s">
        <v>9</v>
      </c>
      <c r="C514" t="s">
        <v>13</v>
      </c>
      <c r="D514" t="s">
        <v>14</v>
      </c>
      <c r="E514" t="s">
        <v>16</v>
      </c>
      <c r="G514" t="s">
        <v>18</v>
      </c>
      <c r="H514" t="s">
        <v>20</v>
      </c>
    </row>
    <row r="515" spans="1:8">
      <c r="A515" s="1">
        <f>HYPERLINK("https://cms.ls-nyc.org/matter/dynamic-profile/view/0828584","17-0828584")</f>
        <v>0</v>
      </c>
      <c r="B515" t="s">
        <v>9</v>
      </c>
      <c r="C515" t="s">
        <v>13</v>
      </c>
      <c r="D515" t="s">
        <v>14</v>
      </c>
      <c r="E515" t="s">
        <v>16</v>
      </c>
      <c r="H515" t="s">
        <v>20</v>
      </c>
    </row>
    <row r="516" spans="1:8">
      <c r="A516" s="1">
        <f>HYPERLINK("https://cms.ls-nyc.org/matter/dynamic-profile/view/1870035","18-1870035")</f>
        <v>0</v>
      </c>
      <c r="B516" t="s">
        <v>10</v>
      </c>
      <c r="H516" t="s">
        <v>19</v>
      </c>
    </row>
    <row r="517" spans="1:8">
      <c r="A517" s="1">
        <f>HYPERLINK("https://cms.ls-nyc.org/matter/dynamic-profile/view/1876689","18-1876689")</f>
        <v>0</v>
      </c>
      <c r="B517" t="s">
        <v>10</v>
      </c>
      <c r="F517" t="s">
        <v>17</v>
      </c>
      <c r="H517" t="s">
        <v>20</v>
      </c>
    </row>
    <row r="518" spans="1:8">
      <c r="A518" s="1">
        <f>HYPERLINK("https://cms.ls-nyc.org/matter/dynamic-profile/view/1878211","18-1878211")</f>
        <v>0</v>
      </c>
      <c r="B518" t="s">
        <v>10</v>
      </c>
      <c r="H518" t="s">
        <v>19</v>
      </c>
    </row>
    <row r="519" spans="1:8">
      <c r="A519" s="1">
        <f>HYPERLINK("https://cms.ls-nyc.org/matter/dynamic-profile/view/1845580","17-1845580")</f>
        <v>0</v>
      </c>
      <c r="B519" t="s">
        <v>11</v>
      </c>
      <c r="D519" t="s">
        <v>15</v>
      </c>
      <c r="E519" t="s">
        <v>16</v>
      </c>
      <c r="H519" t="s">
        <v>20</v>
      </c>
    </row>
    <row r="520" spans="1:8">
      <c r="A520" s="1">
        <f>HYPERLINK("https://cms.ls-nyc.org/matter/dynamic-profile/view/1844363","17-1844363")</f>
        <v>0</v>
      </c>
      <c r="B520" t="s">
        <v>11</v>
      </c>
      <c r="D520" t="s">
        <v>15</v>
      </c>
      <c r="E520" t="s">
        <v>16</v>
      </c>
      <c r="H520" t="s">
        <v>20</v>
      </c>
    </row>
    <row r="521" spans="1:8">
      <c r="A521" s="1">
        <f>HYPERLINK("https://cms.ls-nyc.org/matter/dynamic-profile/view/1899834","19-1899834")</f>
        <v>0</v>
      </c>
      <c r="B521" t="s">
        <v>10</v>
      </c>
      <c r="D521" t="s">
        <v>14</v>
      </c>
      <c r="E521" t="s">
        <v>16</v>
      </c>
      <c r="H521" t="s">
        <v>20</v>
      </c>
    </row>
    <row r="522" spans="1:8">
      <c r="A522" s="1">
        <f>HYPERLINK("https://cms.ls-nyc.org/matter/dynamic-profile/view/1878085","18-1878085")</f>
        <v>0</v>
      </c>
      <c r="B522" t="s">
        <v>8</v>
      </c>
      <c r="H522" t="s">
        <v>19</v>
      </c>
    </row>
    <row r="523" spans="1:8">
      <c r="A523" s="1">
        <f>HYPERLINK("https://cms.ls-nyc.org/matter/dynamic-profile/view/1898658","19-1898658")</f>
        <v>0</v>
      </c>
      <c r="B523" t="s">
        <v>8</v>
      </c>
      <c r="H523" t="s">
        <v>19</v>
      </c>
    </row>
    <row r="524" spans="1:8">
      <c r="A524" s="1">
        <f>HYPERLINK("https://cms.ls-nyc.org/matter/dynamic-profile/view/1900400","19-1900400")</f>
        <v>0</v>
      </c>
      <c r="B524" t="s">
        <v>8</v>
      </c>
      <c r="H524" t="s">
        <v>19</v>
      </c>
    </row>
    <row r="525" spans="1:8">
      <c r="A525" s="1">
        <f>HYPERLINK("https://cms.ls-nyc.org/matter/dynamic-profile/view/1896452","19-1896452")</f>
        <v>0</v>
      </c>
      <c r="B525" t="s">
        <v>8</v>
      </c>
      <c r="H525" t="s">
        <v>19</v>
      </c>
    </row>
    <row r="526" spans="1:8">
      <c r="A526" s="1">
        <f>HYPERLINK("https://cms.ls-nyc.org/matter/dynamic-profile/view/1901212","19-1901212")</f>
        <v>0</v>
      </c>
      <c r="B526" t="s">
        <v>8</v>
      </c>
      <c r="H526" t="s">
        <v>19</v>
      </c>
    </row>
    <row r="527" spans="1:8">
      <c r="A527" s="1">
        <f>HYPERLINK("https://cms.ls-nyc.org/matter/dynamic-profile/view/1863527","18-1863527")</f>
        <v>0</v>
      </c>
      <c r="B527" t="s">
        <v>10</v>
      </c>
      <c r="D527" t="s">
        <v>15</v>
      </c>
      <c r="E527" t="s">
        <v>16</v>
      </c>
      <c r="H527" t="s">
        <v>20</v>
      </c>
    </row>
    <row r="528" spans="1:8">
      <c r="A528" s="1">
        <f>HYPERLINK("https://cms.ls-nyc.org/matter/dynamic-profile/view/1872146","18-1872146")</f>
        <v>0</v>
      </c>
      <c r="B528" t="s">
        <v>10</v>
      </c>
      <c r="H528" t="s">
        <v>19</v>
      </c>
    </row>
    <row r="529" spans="1:8">
      <c r="A529" s="1">
        <f>HYPERLINK("https://cms.ls-nyc.org/matter/dynamic-profile/view/1896718","19-1896718")</f>
        <v>0</v>
      </c>
      <c r="B529" t="s">
        <v>10</v>
      </c>
      <c r="D529" t="s">
        <v>14</v>
      </c>
      <c r="H529" t="s">
        <v>20</v>
      </c>
    </row>
    <row r="530" spans="1:8">
      <c r="A530" s="1">
        <f>HYPERLINK("https://cms.ls-nyc.org/matter/dynamic-profile/view/1895722","19-1895722")</f>
        <v>0</v>
      </c>
      <c r="B530" t="s">
        <v>12</v>
      </c>
      <c r="H530" t="s">
        <v>19</v>
      </c>
    </row>
    <row r="531" spans="1:8">
      <c r="A531" s="1">
        <f>HYPERLINK("https://cms.ls-nyc.org/matter/dynamic-profile/view/1880479","18-1880479")</f>
        <v>0</v>
      </c>
      <c r="B531" t="s">
        <v>10</v>
      </c>
      <c r="C531" t="s">
        <v>13</v>
      </c>
      <c r="D531" t="s">
        <v>14</v>
      </c>
      <c r="E531" t="s">
        <v>16</v>
      </c>
      <c r="H531" t="s">
        <v>20</v>
      </c>
    </row>
    <row r="532" spans="1:8">
      <c r="A532" s="1">
        <f>HYPERLINK("https://cms.ls-nyc.org/matter/dynamic-profile/view/1898332","19-1898332")</f>
        <v>0</v>
      </c>
      <c r="B532" t="s">
        <v>8</v>
      </c>
      <c r="H532" t="s">
        <v>19</v>
      </c>
    </row>
    <row r="533" spans="1:8">
      <c r="A533" s="1">
        <f>HYPERLINK("https://cms.ls-nyc.org/matter/dynamic-profile/view/1893238","19-1893238")</f>
        <v>0</v>
      </c>
      <c r="B533" t="s">
        <v>10</v>
      </c>
      <c r="D533" t="s">
        <v>14</v>
      </c>
      <c r="F533" t="s">
        <v>17</v>
      </c>
      <c r="H533" t="s">
        <v>20</v>
      </c>
    </row>
    <row r="534" spans="1:8">
      <c r="A534" s="1">
        <f>HYPERLINK("https://cms.ls-nyc.org/matter/dynamic-profile/view/1893584","19-1893584")</f>
        <v>0</v>
      </c>
      <c r="B534" t="s">
        <v>11</v>
      </c>
      <c r="H534" t="s">
        <v>19</v>
      </c>
    </row>
    <row r="535" spans="1:8">
      <c r="A535" s="1">
        <f>HYPERLINK("https://cms.ls-nyc.org/matter/dynamic-profile/view/1898006","19-1898006")</f>
        <v>0</v>
      </c>
      <c r="B535" t="s">
        <v>9</v>
      </c>
      <c r="H535" t="s">
        <v>19</v>
      </c>
    </row>
    <row r="536" spans="1:8">
      <c r="A536" s="1">
        <f>HYPERLINK("https://cms.ls-nyc.org/matter/dynamic-profile/view/1871295","18-1871295")</f>
        <v>0</v>
      </c>
      <c r="B536" t="s">
        <v>9</v>
      </c>
      <c r="D536" t="s">
        <v>15</v>
      </c>
      <c r="E536" t="s">
        <v>16</v>
      </c>
      <c r="H536" t="s">
        <v>20</v>
      </c>
    </row>
    <row r="537" spans="1:8">
      <c r="A537" s="1">
        <f>HYPERLINK("https://cms.ls-nyc.org/matter/dynamic-profile/view/1886957","19-1886957")</f>
        <v>0</v>
      </c>
      <c r="B537" t="s">
        <v>9</v>
      </c>
      <c r="G537" t="s">
        <v>18</v>
      </c>
      <c r="H537" t="s">
        <v>20</v>
      </c>
    </row>
    <row r="538" spans="1:8">
      <c r="A538" s="1">
        <f>HYPERLINK("https://cms.ls-nyc.org/matter/dynamic-profile/view/1866794","18-1866794")</f>
        <v>0</v>
      </c>
      <c r="B538" t="s">
        <v>10</v>
      </c>
      <c r="D538" t="s">
        <v>15</v>
      </c>
      <c r="E538" t="s">
        <v>16</v>
      </c>
      <c r="H538" t="s">
        <v>20</v>
      </c>
    </row>
    <row r="539" spans="1:8">
      <c r="A539" s="1">
        <f>HYPERLINK("https://cms.ls-nyc.org/matter/dynamic-profile/view/1872111","18-1872111")</f>
        <v>0</v>
      </c>
      <c r="B539" t="s">
        <v>12</v>
      </c>
      <c r="H539" t="s">
        <v>19</v>
      </c>
    </row>
    <row r="540" spans="1:8">
      <c r="A540" s="1">
        <f>HYPERLINK("https://cms.ls-nyc.org/matter/dynamic-profile/view/1898933","19-1898933")</f>
        <v>0</v>
      </c>
      <c r="B540" t="s">
        <v>10</v>
      </c>
      <c r="D540" t="s">
        <v>14</v>
      </c>
      <c r="H540" t="s">
        <v>20</v>
      </c>
    </row>
    <row r="541" spans="1:8">
      <c r="A541" s="1">
        <f>HYPERLINK("https://cms.ls-nyc.org/matter/dynamic-profile/view/0803743","16-0803743")</f>
        <v>0</v>
      </c>
      <c r="B541" t="s">
        <v>10</v>
      </c>
      <c r="D541" t="s">
        <v>15</v>
      </c>
      <c r="E541" t="s">
        <v>16</v>
      </c>
      <c r="H541" t="s">
        <v>20</v>
      </c>
    </row>
    <row r="542" spans="1:8">
      <c r="A542" s="1">
        <f>HYPERLINK("https://cms.ls-nyc.org/matter/dynamic-profile/view/1888389","19-1888389")</f>
        <v>0</v>
      </c>
      <c r="B542" t="s">
        <v>8</v>
      </c>
      <c r="H542" t="s">
        <v>19</v>
      </c>
    </row>
    <row r="543" spans="1:8">
      <c r="A543" s="1">
        <f>HYPERLINK("https://cms.ls-nyc.org/matter/dynamic-profile/view/1889189","19-1889189")</f>
        <v>0</v>
      </c>
      <c r="B543" t="s">
        <v>9</v>
      </c>
      <c r="F543" t="s">
        <v>17</v>
      </c>
      <c r="H543" t="s">
        <v>20</v>
      </c>
    </row>
    <row r="544" spans="1:8">
      <c r="A544" s="1">
        <f>HYPERLINK("https://cms.ls-nyc.org/matter/dynamic-profile/view/1886102","18-1886102")</f>
        <v>0</v>
      </c>
      <c r="B544" t="s">
        <v>10</v>
      </c>
      <c r="F544" t="s">
        <v>17</v>
      </c>
      <c r="H544" t="s">
        <v>20</v>
      </c>
    </row>
    <row r="545" spans="1:8">
      <c r="A545" s="1">
        <f>HYPERLINK("https://cms.ls-nyc.org/matter/dynamic-profile/view/1834714","17-1834714")</f>
        <v>0</v>
      </c>
      <c r="B545" t="s">
        <v>8</v>
      </c>
      <c r="C545" t="s">
        <v>13</v>
      </c>
      <c r="D545" t="s">
        <v>15</v>
      </c>
      <c r="E545" t="s">
        <v>16</v>
      </c>
      <c r="H545" t="s">
        <v>20</v>
      </c>
    </row>
    <row r="546" spans="1:8">
      <c r="A546" s="1">
        <f>HYPERLINK("https://cms.ls-nyc.org/matter/dynamic-profile/view/1882586","18-1882586")</f>
        <v>0</v>
      </c>
      <c r="B546" t="s">
        <v>12</v>
      </c>
      <c r="H546" t="s">
        <v>19</v>
      </c>
    </row>
    <row r="547" spans="1:8">
      <c r="A547" s="1">
        <f>HYPERLINK("https://cms.ls-nyc.org/matter/dynamic-profile/view/1876683","18-1876683")</f>
        <v>0</v>
      </c>
      <c r="B547" t="s">
        <v>10</v>
      </c>
      <c r="F547" t="s">
        <v>17</v>
      </c>
      <c r="H547" t="s">
        <v>20</v>
      </c>
    </row>
    <row r="548" spans="1:8">
      <c r="A548" s="1">
        <f>HYPERLINK("https://cms.ls-nyc.org/matter/dynamic-profile/view/1882501","18-1882501")</f>
        <v>0</v>
      </c>
      <c r="B548" t="s">
        <v>10</v>
      </c>
      <c r="H548" t="s">
        <v>19</v>
      </c>
    </row>
    <row r="549" spans="1:8">
      <c r="A549" s="1">
        <f>HYPERLINK("https://cms.ls-nyc.org/matter/dynamic-profile/view/1899049","19-1899049")</f>
        <v>0</v>
      </c>
      <c r="B549" t="s">
        <v>10</v>
      </c>
      <c r="D549" t="s">
        <v>14</v>
      </c>
      <c r="H549" t="s">
        <v>20</v>
      </c>
    </row>
    <row r="550" spans="1:8">
      <c r="A550" s="1">
        <f>HYPERLINK("https://cms.ls-nyc.org/matter/dynamic-profile/view/1869015","18-1869015")</f>
        <v>0</v>
      </c>
      <c r="B550" t="s">
        <v>9</v>
      </c>
      <c r="D550" t="s">
        <v>15</v>
      </c>
      <c r="H550" t="s">
        <v>20</v>
      </c>
    </row>
    <row r="551" spans="1:8">
      <c r="A551" s="1">
        <f>HYPERLINK("https://cms.ls-nyc.org/matter/dynamic-profile/view/1873162","18-1873162")</f>
        <v>0</v>
      </c>
      <c r="B551" t="s">
        <v>8</v>
      </c>
      <c r="H551" t="s">
        <v>19</v>
      </c>
    </row>
    <row r="552" spans="1:8">
      <c r="A552" s="1">
        <f>HYPERLINK("https://cms.ls-nyc.org/matter/dynamic-profile/view/1890682","19-1890682")</f>
        <v>0</v>
      </c>
      <c r="B552" t="s">
        <v>12</v>
      </c>
      <c r="H552" t="s">
        <v>19</v>
      </c>
    </row>
    <row r="553" spans="1:8">
      <c r="A553" s="1">
        <f>HYPERLINK("https://cms.ls-nyc.org/matter/dynamic-profile/view/1887420","19-1887420")</f>
        <v>0</v>
      </c>
      <c r="B553" t="s">
        <v>9</v>
      </c>
      <c r="H553" t="s">
        <v>19</v>
      </c>
    </row>
    <row r="554" spans="1:8">
      <c r="A554" s="1">
        <f>HYPERLINK("https://cms.ls-nyc.org/matter/dynamic-profile/view/1897120","19-1897120")</f>
        <v>0</v>
      </c>
      <c r="B554" t="s">
        <v>11</v>
      </c>
      <c r="G554" t="s">
        <v>18</v>
      </c>
      <c r="H554" t="s">
        <v>20</v>
      </c>
    </row>
    <row r="555" spans="1:8">
      <c r="A555" s="1">
        <f>HYPERLINK("https://cms.ls-nyc.org/matter/dynamic-profile/view/1899975","19-1899975")</f>
        <v>0</v>
      </c>
      <c r="B555" t="s">
        <v>8</v>
      </c>
      <c r="H555" t="s">
        <v>19</v>
      </c>
    </row>
    <row r="556" spans="1:8">
      <c r="A556" s="1">
        <f>HYPERLINK("https://cms.ls-nyc.org/matter/dynamic-profile/view/1880262","18-1880262")</f>
        <v>0</v>
      </c>
      <c r="B556" t="s">
        <v>9</v>
      </c>
      <c r="H556" t="s">
        <v>19</v>
      </c>
    </row>
    <row r="557" spans="1:8">
      <c r="A557" s="1">
        <f>HYPERLINK("https://cms.ls-nyc.org/matter/dynamic-profile/view/1877745","18-1877745")</f>
        <v>0</v>
      </c>
      <c r="B557" t="s">
        <v>12</v>
      </c>
      <c r="H557" t="s">
        <v>19</v>
      </c>
    </row>
    <row r="558" spans="1:8">
      <c r="A558" s="1">
        <f>HYPERLINK("https://cms.ls-nyc.org/matter/dynamic-profile/view/1896215","19-1896215")</f>
        <v>0</v>
      </c>
      <c r="B558" t="s">
        <v>10</v>
      </c>
      <c r="H558" t="s">
        <v>19</v>
      </c>
    </row>
    <row r="559" spans="1:8">
      <c r="A559" s="1">
        <f>HYPERLINK("https://cms.ls-nyc.org/matter/dynamic-profile/view/1896214","19-1896214")</f>
        <v>0</v>
      </c>
      <c r="B559" t="s">
        <v>10</v>
      </c>
      <c r="H559" t="s">
        <v>19</v>
      </c>
    </row>
    <row r="560" spans="1:8">
      <c r="A560" s="1">
        <f>HYPERLINK("https://cms.ls-nyc.org/matter/dynamic-profile/view/1900249","19-1900249")</f>
        <v>0</v>
      </c>
      <c r="B560" t="s">
        <v>10</v>
      </c>
      <c r="C560" t="s">
        <v>13</v>
      </c>
      <c r="D560" t="s">
        <v>14</v>
      </c>
      <c r="E560" t="s">
        <v>16</v>
      </c>
      <c r="F560" t="s">
        <v>17</v>
      </c>
      <c r="G560" t="s">
        <v>18</v>
      </c>
      <c r="H560" t="s">
        <v>20</v>
      </c>
    </row>
    <row r="561" spans="1:8">
      <c r="A561" s="1">
        <f>HYPERLINK("https://cms.ls-nyc.org/matter/dynamic-profile/view/1853541","17-1853541")</f>
        <v>0</v>
      </c>
      <c r="B561" t="s">
        <v>12</v>
      </c>
      <c r="D561" t="s">
        <v>15</v>
      </c>
      <c r="E561" t="s">
        <v>16</v>
      </c>
      <c r="H561" t="s">
        <v>20</v>
      </c>
    </row>
    <row r="562" spans="1:8">
      <c r="A562" s="1">
        <f>HYPERLINK("https://cms.ls-nyc.org/matter/dynamic-profile/view/1899384","19-1899384")</f>
        <v>0</v>
      </c>
      <c r="B562" t="s">
        <v>8</v>
      </c>
      <c r="H562" t="s">
        <v>19</v>
      </c>
    </row>
    <row r="563" spans="1:8">
      <c r="A563" s="1">
        <f>HYPERLINK("https://cms.ls-nyc.org/matter/dynamic-profile/view/1891487","19-1891487")</f>
        <v>0</v>
      </c>
      <c r="B563" t="s">
        <v>11</v>
      </c>
      <c r="H563" t="s">
        <v>19</v>
      </c>
    </row>
    <row r="564" spans="1:8">
      <c r="A564" s="1">
        <f>HYPERLINK("https://cms.ls-nyc.org/matter/dynamic-profile/view/1863429","18-1863429")</f>
        <v>0</v>
      </c>
      <c r="B564" t="s">
        <v>12</v>
      </c>
      <c r="D564" t="s">
        <v>15</v>
      </c>
      <c r="E564" t="s">
        <v>16</v>
      </c>
      <c r="H564" t="s">
        <v>20</v>
      </c>
    </row>
    <row r="565" spans="1:8">
      <c r="A565" s="1">
        <f>HYPERLINK("https://cms.ls-nyc.org/matter/dynamic-profile/view/1890105","19-1890105")</f>
        <v>0</v>
      </c>
      <c r="B565" t="s">
        <v>10</v>
      </c>
      <c r="D565" t="s">
        <v>14</v>
      </c>
      <c r="G565" t="s">
        <v>18</v>
      </c>
      <c r="H565" t="s">
        <v>20</v>
      </c>
    </row>
    <row r="566" spans="1:8">
      <c r="A566" s="1">
        <f>HYPERLINK("https://cms.ls-nyc.org/matter/dynamic-profile/view/1871632","18-1871632")</f>
        <v>0</v>
      </c>
      <c r="B566" t="s">
        <v>9</v>
      </c>
      <c r="D566" t="s">
        <v>15</v>
      </c>
      <c r="E566" t="s">
        <v>16</v>
      </c>
      <c r="H566" t="s">
        <v>20</v>
      </c>
    </row>
    <row r="567" spans="1:8">
      <c r="A567" s="1">
        <f>HYPERLINK("https://cms.ls-nyc.org/matter/dynamic-profile/view/1886889","19-1886889")</f>
        <v>0</v>
      </c>
      <c r="B567" t="s">
        <v>9</v>
      </c>
      <c r="H567" t="s">
        <v>19</v>
      </c>
    </row>
    <row r="568" spans="1:8">
      <c r="A568" s="1">
        <f>HYPERLINK("https://cms.ls-nyc.org/matter/dynamic-profile/view/1886736","18-1886736")</f>
        <v>0</v>
      </c>
      <c r="B568" t="s">
        <v>9</v>
      </c>
      <c r="C568" t="s">
        <v>13</v>
      </c>
      <c r="D568" t="s">
        <v>14</v>
      </c>
      <c r="E568" t="s">
        <v>16</v>
      </c>
      <c r="H568" t="s">
        <v>20</v>
      </c>
    </row>
    <row r="569" spans="1:8">
      <c r="A569" s="1">
        <f>HYPERLINK("https://cms.ls-nyc.org/matter/dynamic-profile/view/1858519","18-1858519")</f>
        <v>0</v>
      </c>
      <c r="B569" t="s">
        <v>12</v>
      </c>
      <c r="D569" t="s">
        <v>15</v>
      </c>
      <c r="E569" t="s">
        <v>16</v>
      </c>
      <c r="H569" t="s">
        <v>20</v>
      </c>
    </row>
    <row r="570" spans="1:8">
      <c r="A570" s="1">
        <f>HYPERLINK("https://cms.ls-nyc.org/matter/dynamic-profile/view/1899402","19-1899402")</f>
        <v>0</v>
      </c>
      <c r="B570" t="s">
        <v>8</v>
      </c>
      <c r="E570" t="s">
        <v>16</v>
      </c>
      <c r="H570" t="s">
        <v>20</v>
      </c>
    </row>
    <row r="571" spans="1:8">
      <c r="A571" s="1">
        <f>HYPERLINK("https://cms.ls-nyc.org/matter/dynamic-profile/view/1841494","17-1841494")</f>
        <v>0</v>
      </c>
      <c r="B571" t="s">
        <v>12</v>
      </c>
      <c r="D571" t="s">
        <v>15</v>
      </c>
      <c r="H571" t="s">
        <v>20</v>
      </c>
    </row>
    <row r="572" spans="1:8">
      <c r="A572" s="1">
        <f>HYPERLINK("https://cms.ls-nyc.org/matter/dynamic-profile/view/1881397","18-1881397")</f>
        <v>0</v>
      </c>
      <c r="B572" t="s">
        <v>12</v>
      </c>
      <c r="H572" t="s">
        <v>19</v>
      </c>
    </row>
    <row r="573" spans="1:8">
      <c r="A573" s="1">
        <f>HYPERLINK("https://cms.ls-nyc.org/matter/dynamic-profile/view/1870446","18-1870446")</f>
        <v>0</v>
      </c>
      <c r="B573" t="s">
        <v>9</v>
      </c>
      <c r="C573" t="s">
        <v>13</v>
      </c>
      <c r="D573" t="s">
        <v>14</v>
      </c>
      <c r="E573" t="s">
        <v>16</v>
      </c>
      <c r="G573" t="s">
        <v>18</v>
      </c>
      <c r="H573" t="s">
        <v>20</v>
      </c>
    </row>
    <row r="574" spans="1:8">
      <c r="A574" s="1">
        <f>HYPERLINK("https://cms.ls-nyc.org/matter/dynamic-profile/view/1899511","19-1899511")</f>
        <v>0</v>
      </c>
      <c r="B574" t="s">
        <v>10</v>
      </c>
      <c r="D574" t="s">
        <v>14</v>
      </c>
      <c r="H574" t="s">
        <v>20</v>
      </c>
    </row>
    <row r="575" spans="1:8">
      <c r="A575" s="1">
        <f>HYPERLINK("https://cms.ls-nyc.org/matter/dynamic-profile/view/1890777","19-1890777")</f>
        <v>0</v>
      </c>
      <c r="B575" t="s">
        <v>9</v>
      </c>
      <c r="H575" t="s">
        <v>19</v>
      </c>
    </row>
    <row r="576" spans="1:8">
      <c r="A576" s="1">
        <f>HYPERLINK("https://cms.ls-nyc.org/matter/dynamic-profile/view/1882756","18-1882756")</f>
        <v>0</v>
      </c>
      <c r="B576" t="s">
        <v>10</v>
      </c>
      <c r="H576" t="s">
        <v>19</v>
      </c>
    </row>
    <row r="577" spans="1:8">
      <c r="A577" s="1">
        <f>HYPERLINK("https://cms.ls-nyc.org/matter/dynamic-profile/view/1900864","19-1900864")</f>
        <v>0</v>
      </c>
      <c r="B577" t="s">
        <v>9</v>
      </c>
      <c r="H577" t="s">
        <v>19</v>
      </c>
    </row>
    <row r="578" spans="1:8">
      <c r="A578" s="1">
        <f>HYPERLINK("https://cms.ls-nyc.org/matter/dynamic-profile/view/1900020","19-1900020")</f>
        <v>0</v>
      </c>
      <c r="B578" t="s">
        <v>10</v>
      </c>
      <c r="D578" t="s">
        <v>14</v>
      </c>
      <c r="H578" t="s">
        <v>20</v>
      </c>
    </row>
    <row r="579" spans="1:8">
      <c r="A579" s="1">
        <f>HYPERLINK("https://cms.ls-nyc.org/matter/dynamic-profile/view/1875314","18-1875314")</f>
        <v>0</v>
      </c>
      <c r="B579" t="s">
        <v>9</v>
      </c>
      <c r="H579" t="s">
        <v>19</v>
      </c>
    </row>
    <row r="580" spans="1:8">
      <c r="A580" s="1">
        <f>HYPERLINK("https://cms.ls-nyc.org/matter/dynamic-profile/view/1896654","19-1896654")</f>
        <v>0</v>
      </c>
      <c r="B580" t="s">
        <v>9</v>
      </c>
      <c r="D580" t="s">
        <v>14</v>
      </c>
      <c r="G580" t="s">
        <v>18</v>
      </c>
      <c r="H580" t="s">
        <v>20</v>
      </c>
    </row>
    <row r="581" spans="1:8">
      <c r="A581" s="1">
        <f>HYPERLINK("https://cms.ls-nyc.org/matter/dynamic-profile/view/1897598","19-1897598")</f>
        <v>0</v>
      </c>
      <c r="B581" t="s">
        <v>9</v>
      </c>
      <c r="H581" t="s">
        <v>19</v>
      </c>
    </row>
    <row r="582" spans="1:8">
      <c r="A582" s="1">
        <f>HYPERLINK("https://cms.ls-nyc.org/matter/dynamic-profile/view/1899916","19-1899916")</f>
        <v>0</v>
      </c>
      <c r="B582" t="s">
        <v>9</v>
      </c>
      <c r="D582" t="s">
        <v>14</v>
      </c>
      <c r="G582" t="s">
        <v>18</v>
      </c>
      <c r="H582" t="s">
        <v>20</v>
      </c>
    </row>
    <row r="583" spans="1:8">
      <c r="A583" s="1">
        <f>HYPERLINK("https://cms.ls-nyc.org/matter/dynamic-profile/view/1894669","19-1894669")</f>
        <v>0</v>
      </c>
      <c r="B583" t="s">
        <v>9</v>
      </c>
      <c r="H583" t="s">
        <v>19</v>
      </c>
    </row>
    <row r="584" spans="1:8">
      <c r="A584" s="1">
        <f>HYPERLINK("https://cms.ls-nyc.org/matter/dynamic-profile/view/1899862","19-1899862")</f>
        <v>0</v>
      </c>
      <c r="B584" t="s">
        <v>10</v>
      </c>
      <c r="D584" t="s">
        <v>14</v>
      </c>
      <c r="H584" t="s">
        <v>20</v>
      </c>
    </row>
    <row r="585" spans="1:8">
      <c r="A585" s="1">
        <f>HYPERLINK("https://cms.ls-nyc.org/matter/dynamic-profile/view/1868495","18-1868495")</f>
        <v>0</v>
      </c>
      <c r="B585" t="s">
        <v>10</v>
      </c>
      <c r="D585" t="s">
        <v>15</v>
      </c>
      <c r="E585" t="s">
        <v>16</v>
      </c>
      <c r="H585" t="s">
        <v>20</v>
      </c>
    </row>
    <row r="586" spans="1:8">
      <c r="A586" s="1">
        <f>HYPERLINK("https://cms.ls-nyc.org/matter/dynamic-profile/view/1864623","18-1864623")</f>
        <v>0</v>
      </c>
      <c r="B586" t="s">
        <v>10</v>
      </c>
      <c r="D586" t="s">
        <v>15</v>
      </c>
      <c r="E586" t="s">
        <v>16</v>
      </c>
      <c r="H586" t="s">
        <v>20</v>
      </c>
    </row>
    <row r="587" spans="1:8">
      <c r="A587" s="1">
        <f>HYPERLINK("https://cms.ls-nyc.org/matter/dynamic-profile/view/1872303","18-1872303")</f>
        <v>0</v>
      </c>
      <c r="B587" t="s">
        <v>8</v>
      </c>
      <c r="H587" t="s">
        <v>19</v>
      </c>
    </row>
    <row r="588" spans="1:8">
      <c r="A588" s="1">
        <f>HYPERLINK("https://cms.ls-nyc.org/matter/dynamic-profile/view/1881968","18-1881968")</f>
        <v>0</v>
      </c>
      <c r="B588" t="s">
        <v>12</v>
      </c>
      <c r="H588" t="s">
        <v>19</v>
      </c>
    </row>
    <row r="589" spans="1:8">
      <c r="A589" s="1">
        <f>HYPERLINK("https://cms.ls-nyc.org/matter/dynamic-profile/view/0807769","16-0807769")</f>
        <v>0</v>
      </c>
      <c r="B589" t="s">
        <v>9</v>
      </c>
      <c r="C589" t="s">
        <v>13</v>
      </c>
      <c r="D589" t="s">
        <v>14</v>
      </c>
      <c r="E589" t="s">
        <v>16</v>
      </c>
      <c r="H589" t="s">
        <v>20</v>
      </c>
    </row>
    <row r="590" spans="1:8">
      <c r="A590" s="1">
        <f>HYPERLINK("https://cms.ls-nyc.org/matter/dynamic-profile/view/1899222","19-1899222")</f>
        <v>0</v>
      </c>
      <c r="B590" t="s">
        <v>8</v>
      </c>
      <c r="H590" t="s">
        <v>19</v>
      </c>
    </row>
    <row r="591" spans="1:8">
      <c r="A591" s="1">
        <f>HYPERLINK("https://cms.ls-nyc.org/matter/dynamic-profile/view/1888455","19-1888455")</f>
        <v>0</v>
      </c>
      <c r="B591" t="s">
        <v>10</v>
      </c>
      <c r="H591" t="s">
        <v>19</v>
      </c>
    </row>
    <row r="592" spans="1:8">
      <c r="A592" s="1">
        <f>HYPERLINK("https://cms.ls-nyc.org/matter/dynamic-profile/view/1885652","18-1885652")</f>
        <v>0</v>
      </c>
      <c r="B592" t="s">
        <v>10</v>
      </c>
      <c r="H592" t="s">
        <v>19</v>
      </c>
    </row>
    <row r="593" spans="1:8">
      <c r="A593" s="1">
        <f>HYPERLINK("https://cms.ls-nyc.org/matter/dynamic-profile/view/0796919","16-0796919")</f>
        <v>0</v>
      </c>
      <c r="B593" t="s">
        <v>10</v>
      </c>
      <c r="D593" t="s">
        <v>15</v>
      </c>
      <c r="E593" t="s">
        <v>16</v>
      </c>
      <c r="H593" t="s">
        <v>20</v>
      </c>
    </row>
    <row r="594" spans="1:8">
      <c r="A594" s="1">
        <f>HYPERLINK("https://cms.ls-nyc.org/matter/dynamic-profile/view/1887986","19-1887986")</f>
        <v>0</v>
      </c>
      <c r="B594" t="s">
        <v>10</v>
      </c>
      <c r="D594" t="s">
        <v>14</v>
      </c>
      <c r="H594" t="s">
        <v>20</v>
      </c>
    </row>
    <row r="595" spans="1:8">
      <c r="A595" s="1">
        <f>HYPERLINK("https://cms.ls-nyc.org/matter/dynamic-profile/view/1865284","18-1865284")</f>
        <v>0</v>
      </c>
      <c r="B595" t="s">
        <v>10</v>
      </c>
      <c r="D595" t="s">
        <v>15</v>
      </c>
      <c r="E595" t="s">
        <v>16</v>
      </c>
      <c r="H595" t="s">
        <v>20</v>
      </c>
    </row>
    <row r="596" spans="1:8">
      <c r="A596" s="1">
        <f>HYPERLINK("https://cms.ls-nyc.org/matter/dynamic-profile/view/1884197","18-1884197")</f>
        <v>0</v>
      </c>
      <c r="B596" t="s">
        <v>12</v>
      </c>
      <c r="H596" t="s">
        <v>19</v>
      </c>
    </row>
    <row r="597" spans="1:8">
      <c r="A597" s="1">
        <f>HYPERLINK("https://cms.ls-nyc.org/matter/dynamic-profile/view/0788993","15-0788993")</f>
        <v>0</v>
      </c>
      <c r="B597" t="s">
        <v>10</v>
      </c>
      <c r="D597" t="s">
        <v>15</v>
      </c>
      <c r="E597" t="s">
        <v>16</v>
      </c>
      <c r="H597" t="s">
        <v>20</v>
      </c>
    </row>
    <row r="598" spans="1:8">
      <c r="A598" s="1">
        <f>HYPERLINK("https://cms.ls-nyc.org/matter/dynamic-profile/view/1899124","19-1899124")</f>
        <v>0</v>
      </c>
      <c r="B598" t="s">
        <v>8</v>
      </c>
      <c r="H598" t="s">
        <v>19</v>
      </c>
    </row>
    <row r="599" spans="1:8">
      <c r="A599" s="1">
        <f>HYPERLINK("https://cms.ls-nyc.org/matter/dynamic-profile/view/1850179","17-1850179")</f>
        <v>0</v>
      </c>
      <c r="B599" t="s">
        <v>10</v>
      </c>
      <c r="D599" t="s">
        <v>15</v>
      </c>
      <c r="E599" t="s">
        <v>16</v>
      </c>
      <c r="H599" t="s">
        <v>20</v>
      </c>
    </row>
    <row r="600" spans="1:8">
      <c r="A600" s="1">
        <f>HYPERLINK("https://cms.ls-nyc.org/matter/dynamic-profile/view/1875112","18-1875112")</f>
        <v>0</v>
      </c>
      <c r="B600" t="s">
        <v>12</v>
      </c>
      <c r="H600" t="s">
        <v>19</v>
      </c>
    </row>
    <row r="601" spans="1:8">
      <c r="A601" s="1">
        <f>HYPERLINK("https://cms.ls-nyc.org/matter/dynamic-profile/view/1899959","19-1899959")</f>
        <v>0</v>
      </c>
      <c r="B601" t="s">
        <v>10</v>
      </c>
      <c r="D601" t="s">
        <v>14</v>
      </c>
      <c r="F601" t="s">
        <v>17</v>
      </c>
      <c r="H601" t="s">
        <v>20</v>
      </c>
    </row>
    <row r="602" spans="1:8">
      <c r="A602" s="1">
        <f>HYPERLINK("https://cms.ls-nyc.org/matter/dynamic-profile/view/1852662","17-1852662")</f>
        <v>0</v>
      </c>
      <c r="B602" t="s">
        <v>9</v>
      </c>
      <c r="D602" t="s">
        <v>15</v>
      </c>
      <c r="E602" t="s">
        <v>16</v>
      </c>
      <c r="F602" t="s">
        <v>17</v>
      </c>
      <c r="H602" t="s">
        <v>20</v>
      </c>
    </row>
    <row r="603" spans="1:8">
      <c r="A603" s="1">
        <f>HYPERLINK("https://cms.ls-nyc.org/matter/dynamic-profile/view/1858116","18-1858116")</f>
        <v>0</v>
      </c>
      <c r="B603" t="s">
        <v>9</v>
      </c>
      <c r="D603" t="s">
        <v>14</v>
      </c>
      <c r="E603" t="s">
        <v>16</v>
      </c>
      <c r="H603" t="s">
        <v>20</v>
      </c>
    </row>
    <row r="604" spans="1:8">
      <c r="A604" s="1">
        <f>HYPERLINK("https://cms.ls-nyc.org/matter/dynamic-profile/view/1879768","18-1879768")</f>
        <v>0</v>
      </c>
      <c r="B604" t="s">
        <v>9</v>
      </c>
      <c r="H604" t="s">
        <v>19</v>
      </c>
    </row>
    <row r="605" spans="1:8">
      <c r="A605" s="1">
        <f>HYPERLINK("https://cms.ls-nyc.org/matter/dynamic-profile/view/0783887","15-0783887")</f>
        <v>0</v>
      </c>
      <c r="B605" t="s">
        <v>12</v>
      </c>
      <c r="C605" t="s">
        <v>13</v>
      </c>
      <c r="D605" t="s">
        <v>15</v>
      </c>
      <c r="E605" t="s">
        <v>16</v>
      </c>
      <c r="H605" t="s">
        <v>20</v>
      </c>
    </row>
    <row r="606" spans="1:8">
      <c r="A606" s="1">
        <f>HYPERLINK("https://cms.ls-nyc.org/matter/dynamic-profile/view/1886719","18-1886719")</f>
        <v>0</v>
      </c>
      <c r="B606" t="s">
        <v>10</v>
      </c>
      <c r="F606" t="s">
        <v>17</v>
      </c>
      <c r="H606" t="s">
        <v>20</v>
      </c>
    </row>
    <row r="607" spans="1:8">
      <c r="A607" s="1">
        <f>HYPERLINK("https://cms.ls-nyc.org/matter/dynamic-profile/view/1838171","17-1838171")</f>
        <v>0</v>
      </c>
      <c r="B607" t="s">
        <v>10</v>
      </c>
      <c r="D607" t="s">
        <v>15</v>
      </c>
      <c r="E607" t="s">
        <v>16</v>
      </c>
      <c r="H607" t="s">
        <v>20</v>
      </c>
    </row>
    <row r="608" spans="1:8">
      <c r="A608" s="1">
        <f>HYPERLINK("https://cms.ls-nyc.org/matter/dynamic-profile/view/1881805","18-1881805")</f>
        <v>0</v>
      </c>
      <c r="B608" t="s">
        <v>10</v>
      </c>
      <c r="H608" t="s">
        <v>19</v>
      </c>
    </row>
    <row r="609" spans="1:8">
      <c r="A609" s="1">
        <f>HYPERLINK("https://cms.ls-nyc.org/matter/dynamic-profile/view/1856674","18-1856674")</f>
        <v>0</v>
      </c>
      <c r="B609" t="s">
        <v>8</v>
      </c>
      <c r="D609" t="s">
        <v>15</v>
      </c>
      <c r="H609" t="s">
        <v>20</v>
      </c>
    </row>
    <row r="610" spans="1:8">
      <c r="A610" s="1">
        <f>HYPERLINK("https://cms.ls-nyc.org/matter/dynamic-profile/view/1845490","17-1845490")</f>
        <v>0</v>
      </c>
      <c r="B610" t="s">
        <v>10</v>
      </c>
      <c r="D610" t="s">
        <v>15</v>
      </c>
      <c r="E610" t="s">
        <v>16</v>
      </c>
      <c r="H610" t="s">
        <v>20</v>
      </c>
    </row>
    <row r="611" spans="1:8">
      <c r="A611" s="1">
        <f>HYPERLINK("https://cms.ls-nyc.org/matter/dynamic-profile/view/1892138","19-1892138")</f>
        <v>0</v>
      </c>
      <c r="B611" t="s">
        <v>9</v>
      </c>
      <c r="H611" t="s">
        <v>19</v>
      </c>
    </row>
    <row r="612" spans="1:8">
      <c r="A612" s="1">
        <f>HYPERLINK("https://cms.ls-nyc.org/matter/dynamic-profile/view/1898434","19-1898434")</f>
        <v>0</v>
      </c>
      <c r="B612" t="s">
        <v>9</v>
      </c>
      <c r="C612" t="s">
        <v>13</v>
      </c>
      <c r="D612" t="s">
        <v>14</v>
      </c>
      <c r="E612" t="s">
        <v>16</v>
      </c>
      <c r="H612" t="s">
        <v>20</v>
      </c>
    </row>
    <row r="613" spans="1:8">
      <c r="A613" s="1">
        <f>HYPERLINK("https://cms.ls-nyc.org/matter/dynamic-profile/view/0803557","16-0803557")</f>
        <v>0</v>
      </c>
      <c r="B613" t="s">
        <v>9</v>
      </c>
      <c r="C613" t="s">
        <v>13</v>
      </c>
      <c r="D613" t="s">
        <v>15</v>
      </c>
      <c r="E613" t="s">
        <v>16</v>
      </c>
      <c r="H613" t="s">
        <v>20</v>
      </c>
    </row>
    <row r="614" spans="1:8">
      <c r="A614" s="1">
        <f>HYPERLINK("https://cms.ls-nyc.org/matter/dynamic-profile/view/1874553","18-1874553")</f>
        <v>0</v>
      </c>
      <c r="B614" t="s">
        <v>9</v>
      </c>
      <c r="H614" t="s">
        <v>19</v>
      </c>
    </row>
    <row r="615" spans="1:8">
      <c r="A615" s="1">
        <f>HYPERLINK("https://cms.ls-nyc.org/matter/dynamic-profile/view/1881373","18-1881373")</f>
        <v>0</v>
      </c>
      <c r="B615" t="s">
        <v>8</v>
      </c>
      <c r="H615" t="s">
        <v>19</v>
      </c>
    </row>
    <row r="616" spans="1:8">
      <c r="A616" s="1">
        <f>HYPERLINK("https://cms.ls-nyc.org/matter/dynamic-profile/view/1868186","18-1868186")</f>
        <v>0</v>
      </c>
      <c r="B616" t="s">
        <v>12</v>
      </c>
      <c r="D616" t="s">
        <v>15</v>
      </c>
      <c r="E616" t="s">
        <v>16</v>
      </c>
      <c r="F616" t="s">
        <v>17</v>
      </c>
      <c r="H616" t="s">
        <v>20</v>
      </c>
    </row>
    <row r="617" spans="1:8">
      <c r="A617" s="1">
        <f>HYPERLINK("https://cms.ls-nyc.org/matter/dynamic-profile/view/1896526","19-1896526")</f>
        <v>0</v>
      </c>
      <c r="B617" t="s">
        <v>10</v>
      </c>
      <c r="H617" t="s">
        <v>19</v>
      </c>
    </row>
    <row r="618" spans="1:8">
      <c r="A618" s="1">
        <f>HYPERLINK("https://cms.ls-nyc.org/matter/dynamic-profile/view/1887294","19-1887294")</f>
        <v>0</v>
      </c>
      <c r="B618" t="s">
        <v>10</v>
      </c>
      <c r="H618" t="s">
        <v>19</v>
      </c>
    </row>
    <row r="619" spans="1:8">
      <c r="A619" s="1">
        <f>HYPERLINK("https://cms.ls-nyc.org/matter/dynamic-profile/view/1863421","18-1863421")</f>
        <v>0</v>
      </c>
      <c r="B619" t="s">
        <v>10</v>
      </c>
      <c r="D619" t="s">
        <v>15</v>
      </c>
      <c r="E619" t="s">
        <v>16</v>
      </c>
      <c r="H619" t="s">
        <v>20</v>
      </c>
    </row>
    <row r="620" spans="1:8">
      <c r="A620" s="1">
        <f>HYPERLINK("https://cms.ls-nyc.org/matter/dynamic-profile/view/1887728","19-1887728")</f>
        <v>0</v>
      </c>
      <c r="B620" t="s">
        <v>12</v>
      </c>
      <c r="H620" t="s">
        <v>19</v>
      </c>
    </row>
    <row r="621" spans="1:8">
      <c r="A621" s="1">
        <f>HYPERLINK("https://cms.ls-nyc.org/matter/dynamic-profile/view/1899158","19-1899158")</f>
        <v>0</v>
      </c>
      <c r="B621" t="s">
        <v>10</v>
      </c>
      <c r="F621" t="s">
        <v>17</v>
      </c>
      <c r="H621" t="s">
        <v>20</v>
      </c>
    </row>
    <row r="622" spans="1:8">
      <c r="A622" s="1">
        <f>HYPERLINK("https://cms.ls-nyc.org/matter/dynamic-profile/view/1888949","19-1888949")</f>
        <v>0</v>
      </c>
      <c r="B622" t="s">
        <v>10</v>
      </c>
      <c r="D622" t="s">
        <v>14</v>
      </c>
      <c r="H622" t="s">
        <v>20</v>
      </c>
    </row>
    <row r="623" spans="1:8">
      <c r="A623" s="1">
        <f>HYPERLINK("https://cms.ls-nyc.org/matter/dynamic-profile/view/1861958","18-1861958")</f>
        <v>0</v>
      </c>
      <c r="B623" t="s">
        <v>10</v>
      </c>
      <c r="D623" t="s">
        <v>15</v>
      </c>
      <c r="H623" t="s">
        <v>20</v>
      </c>
    </row>
    <row r="624" spans="1:8">
      <c r="A624" s="1">
        <f>HYPERLINK("https://cms.ls-nyc.org/matter/dynamic-profile/view/1878389","18-1878389")</f>
        <v>0</v>
      </c>
      <c r="B624" t="s">
        <v>9</v>
      </c>
      <c r="C624" t="s">
        <v>13</v>
      </c>
      <c r="D624" t="s">
        <v>14</v>
      </c>
      <c r="E624" t="s">
        <v>16</v>
      </c>
      <c r="G624" t="s">
        <v>18</v>
      </c>
      <c r="H624" t="s">
        <v>20</v>
      </c>
    </row>
    <row r="625" spans="1:8">
      <c r="A625" s="1">
        <f>HYPERLINK("https://cms.ls-nyc.org/matter/dynamic-profile/view/1889779","19-1889779")</f>
        <v>0</v>
      </c>
      <c r="B625" t="s">
        <v>11</v>
      </c>
      <c r="C625" t="s">
        <v>13</v>
      </c>
      <c r="D625" t="s">
        <v>14</v>
      </c>
      <c r="E625" t="s">
        <v>16</v>
      </c>
      <c r="G625" t="s">
        <v>18</v>
      </c>
      <c r="H625" t="s">
        <v>20</v>
      </c>
    </row>
    <row r="626" spans="1:8">
      <c r="A626" s="1">
        <f>HYPERLINK("https://cms.ls-nyc.org/matter/dynamic-profile/view/1833966","17-1833966")</f>
        <v>0</v>
      </c>
      <c r="B626" t="s">
        <v>10</v>
      </c>
      <c r="D626" t="s">
        <v>15</v>
      </c>
      <c r="E626" t="s">
        <v>16</v>
      </c>
      <c r="H626" t="s">
        <v>20</v>
      </c>
    </row>
    <row r="627" spans="1:8">
      <c r="A627" s="1">
        <f>HYPERLINK("https://cms.ls-nyc.org/matter/dynamic-profile/view/1885583","18-1885583")</f>
        <v>0</v>
      </c>
      <c r="B627" t="s">
        <v>9</v>
      </c>
      <c r="H627" t="s">
        <v>19</v>
      </c>
    </row>
    <row r="628" spans="1:8">
      <c r="A628" s="1">
        <f>HYPERLINK("https://cms.ls-nyc.org/matter/dynamic-profile/view/1880786","18-1880786")</f>
        <v>0</v>
      </c>
      <c r="B628" t="s">
        <v>9</v>
      </c>
      <c r="C628" t="s">
        <v>13</v>
      </c>
      <c r="D628" t="s">
        <v>14</v>
      </c>
      <c r="E628" t="s">
        <v>16</v>
      </c>
      <c r="G628" t="s">
        <v>18</v>
      </c>
      <c r="H628" t="s">
        <v>20</v>
      </c>
    </row>
    <row r="629" spans="1:8">
      <c r="A629" s="1">
        <f>HYPERLINK("https://cms.ls-nyc.org/matter/dynamic-profile/view/1892407","19-1892407")</f>
        <v>0</v>
      </c>
      <c r="B629" t="s">
        <v>9</v>
      </c>
      <c r="H629" t="s">
        <v>19</v>
      </c>
    </row>
    <row r="630" spans="1:8">
      <c r="A630" s="1">
        <f>HYPERLINK("https://cms.ls-nyc.org/matter/dynamic-profile/view/1892810","19-1892810")</f>
        <v>0</v>
      </c>
      <c r="B630" t="s">
        <v>10</v>
      </c>
      <c r="D630" t="s">
        <v>14</v>
      </c>
      <c r="F630" t="s">
        <v>17</v>
      </c>
      <c r="G630" t="s">
        <v>18</v>
      </c>
      <c r="H630" t="s">
        <v>20</v>
      </c>
    </row>
    <row r="631" spans="1:8">
      <c r="A631" s="1">
        <f>HYPERLINK("https://cms.ls-nyc.org/matter/dynamic-profile/view/1885196","18-1885196")</f>
        <v>0</v>
      </c>
      <c r="B631" t="s">
        <v>10</v>
      </c>
      <c r="D631" t="s">
        <v>15</v>
      </c>
      <c r="F631" t="s">
        <v>17</v>
      </c>
      <c r="H631" t="s">
        <v>20</v>
      </c>
    </row>
    <row r="632" spans="1:8">
      <c r="A632" s="1">
        <f>HYPERLINK("https://cms.ls-nyc.org/matter/dynamic-profile/view/0797650","16-0797650")</f>
        <v>0</v>
      </c>
      <c r="B632" t="s">
        <v>10</v>
      </c>
      <c r="D632" t="s">
        <v>15</v>
      </c>
      <c r="E632" t="s">
        <v>16</v>
      </c>
      <c r="H632" t="s">
        <v>20</v>
      </c>
    </row>
    <row r="633" spans="1:8">
      <c r="A633" s="1">
        <f>HYPERLINK("https://cms.ls-nyc.org/matter/dynamic-profile/view/1865923","18-1865923")</f>
        <v>0</v>
      </c>
      <c r="B633" t="s">
        <v>10</v>
      </c>
      <c r="D633" t="s">
        <v>15</v>
      </c>
      <c r="E633" t="s">
        <v>16</v>
      </c>
      <c r="H633" t="s">
        <v>20</v>
      </c>
    </row>
    <row r="634" spans="1:8">
      <c r="A634" s="1">
        <f>HYPERLINK("https://cms.ls-nyc.org/matter/dynamic-profile/view/1859708","18-1859708")</f>
        <v>0</v>
      </c>
      <c r="B634" t="s">
        <v>10</v>
      </c>
      <c r="D634" t="s">
        <v>15</v>
      </c>
      <c r="E634" t="s">
        <v>16</v>
      </c>
      <c r="H634" t="s">
        <v>20</v>
      </c>
    </row>
    <row r="635" spans="1:8">
      <c r="A635" s="1">
        <f>HYPERLINK("https://cms.ls-nyc.org/matter/dynamic-profile/view/1881209","18-1881209")</f>
        <v>0</v>
      </c>
      <c r="B635" t="s">
        <v>10</v>
      </c>
      <c r="H635" t="s">
        <v>19</v>
      </c>
    </row>
    <row r="636" spans="1:8">
      <c r="A636" s="1">
        <f>HYPERLINK("https://cms.ls-nyc.org/matter/dynamic-profile/view/1881190","18-1881190")</f>
        <v>0</v>
      </c>
      <c r="B636" t="s">
        <v>10</v>
      </c>
      <c r="H636" t="s">
        <v>19</v>
      </c>
    </row>
    <row r="637" spans="1:8">
      <c r="A637" s="1">
        <f>HYPERLINK("https://cms.ls-nyc.org/matter/dynamic-profile/view/1882286","18-1882286")</f>
        <v>0</v>
      </c>
      <c r="B637" t="s">
        <v>10</v>
      </c>
      <c r="H637" t="s">
        <v>19</v>
      </c>
    </row>
    <row r="638" spans="1:8">
      <c r="A638" s="1">
        <f>HYPERLINK("https://cms.ls-nyc.org/matter/dynamic-profile/view/1884754","18-1884754")</f>
        <v>0</v>
      </c>
      <c r="B638" t="s">
        <v>10</v>
      </c>
      <c r="C638" t="s">
        <v>13</v>
      </c>
      <c r="D638" t="s">
        <v>14</v>
      </c>
      <c r="E638" t="s">
        <v>16</v>
      </c>
      <c r="G638" t="s">
        <v>18</v>
      </c>
      <c r="H638" t="s">
        <v>20</v>
      </c>
    </row>
    <row r="639" spans="1:8">
      <c r="A639" s="1">
        <f>HYPERLINK("https://cms.ls-nyc.org/matter/dynamic-profile/view/0829383","17-0829383")</f>
        <v>0</v>
      </c>
      <c r="B639" t="s">
        <v>12</v>
      </c>
      <c r="D639" t="s">
        <v>15</v>
      </c>
      <c r="E639" t="s">
        <v>16</v>
      </c>
      <c r="H639" t="s">
        <v>20</v>
      </c>
    </row>
    <row r="640" spans="1:8">
      <c r="A640" s="1">
        <f>HYPERLINK("https://cms.ls-nyc.org/matter/dynamic-profile/view/0814754","16-0814754")</f>
        <v>0</v>
      </c>
      <c r="B640" t="s">
        <v>9</v>
      </c>
      <c r="D640" t="s">
        <v>15</v>
      </c>
      <c r="E640" t="s">
        <v>16</v>
      </c>
      <c r="H640" t="s">
        <v>20</v>
      </c>
    </row>
    <row r="641" spans="1:8">
      <c r="A641" s="1">
        <f>HYPERLINK("https://cms.ls-nyc.org/matter/dynamic-profile/view/0802595","16-0802595")</f>
        <v>0</v>
      </c>
      <c r="B641" t="s">
        <v>10</v>
      </c>
      <c r="D641" t="s">
        <v>15</v>
      </c>
      <c r="E641" t="s">
        <v>16</v>
      </c>
      <c r="H641" t="s">
        <v>20</v>
      </c>
    </row>
    <row r="642" spans="1:8">
      <c r="A642" s="1">
        <f>HYPERLINK("https://cms.ls-nyc.org/matter/dynamic-profile/view/0787091","15-0787091")</f>
        <v>0</v>
      </c>
      <c r="B642" t="s">
        <v>9</v>
      </c>
      <c r="C642" t="s">
        <v>13</v>
      </c>
      <c r="D642" t="s">
        <v>14</v>
      </c>
      <c r="E642" t="s">
        <v>16</v>
      </c>
      <c r="H642" t="s">
        <v>20</v>
      </c>
    </row>
    <row r="643" spans="1:8">
      <c r="A643" s="1">
        <f>HYPERLINK("https://cms.ls-nyc.org/matter/dynamic-profile/view/0813357","16-0813357")</f>
        <v>0</v>
      </c>
      <c r="B643" t="s">
        <v>9</v>
      </c>
      <c r="C643" t="s">
        <v>13</v>
      </c>
      <c r="D643" t="s">
        <v>14</v>
      </c>
      <c r="E643" t="s">
        <v>16</v>
      </c>
      <c r="H643" t="s">
        <v>20</v>
      </c>
    </row>
    <row r="644" spans="1:8">
      <c r="A644" s="1">
        <f>HYPERLINK("https://cms.ls-nyc.org/matter/dynamic-profile/view/0789773","15-0789773")</f>
        <v>0</v>
      </c>
      <c r="B644" t="s">
        <v>11</v>
      </c>
      <c r="D644" t="s">
        <v>15</v>
      </c>
      <c r="E644" t="s">
        <v>16</v>
      </c>
      <c r="H644" t="s">
        <v>20</v>
      </c>
    </row>
    <row r="645" spans="1:8">
      <c r="A645" s="1">
        <f>HYPERLINK("https://cms.ls-nyc.org/matter/dynamic-profile/view/1841809","17-1841809")</f>
        <v>0</v>
      </c>
      <c r="B645" t="s">
        <v>10</v>
      </c>
      <c r="D645" t="s">
        <v>15</v>
      </c>
      <c r="E645" t="s">
        <v>16</v>
      </c>
      <c r="H645" t="s">
        <v>20</v>
      </c>
    </row>
    <row r="646" spans="1:8">
      <c r="A646" s="1">
        <f>HYPERLINK("https://cms.ls-nyc.org/matter/dynamic-profile/view/1841811","17-1841811")</f>
        <v>0</v>
      </c>
      <c r="B646" t="s">
        <v>10</v>
      </c>
      <c r="D646" t="s">
        <v>15</v>
      </c>
      <c r="E646" t="s">
        <v>16</v>
      </c>
      <c r="H646" t="s">
        <v>20</v>
      </c>
    </row>
    <row r="647" spans="1:8">
      <c r="A647" s="1">
        <f>HYPERLINK("https://cms.ls-nyc.org/matter/dynamic-profile/view/1841813","17-1841813")</f>
        <v>0</v>
      </c>
      <c r="B647" t="s">
        <v>10</v>
      </c>
      <c r="D647" t="s">
        <v>15</v>
      </c>
      <c r="E647" t="s">
        <v>16</v>
      </c>
      <c r="H647" t="s">
        <v>20</v>
      </c>
    </row>
    <row r="648" spans="1:8">
      <c r="A648" s="1">
        <f>HYPERLINK("https://cms.ls-nyc.org/matter/dynamic-profile/view/0823081","16-0823081")</f>
        <v>0</v>
      </c>
      <c r="B648" t="s">
        <v>9</v>
      </c>
      <c r="C648" t="s">
        <v>13</v>
      </c>
      <c r="D648" t="s">
        <v>15</v>
      </c>
      <c r="E648" t="s">
        <v>16</v>
      </c>
      <c r="H648" t="s">
        <v>20</v>
      </c>
    </row>
    <row r="649" spans="1:8">
      <c r="A649" s="1">
        <f>HYPERLINK("https://cms.ls-nyc.org/matter/dynamic-profile/view/1898695","19-1898695")</f>
        <v>0</v>
      </c>
      <c r="B649" t="s">
        <v>9</v>
      </c>
      <c r="C649" t="s">
        <v>13</v>
      </c>
      <c r="E649" t="s">
        <v>16</v>
      </c>
      <c r="F649" t="s">
        <v>17</v>
      </c>
      <c r="H649" t="s">
        <v>20</v>
      </c>
    </row>
    <row r="650" spans="1:8">
      <c r="A650" s="1">
        <f>HYPERLINK("https://cms.ls-nyc.org/matter/dynamic-profile/view/0785966","15-0785966")</f>
        <v>0</v>
      </c>
      <c r="B650" t="s">
        <v>12</v>
      </c>
      <c r="C650" t="s">
        <v>13</v>
      </c>
      <c r="D650" t="s">
        <v>15</v>
      </c>
      <c r="E650" t="s">
        <v>16</v>
      </c>
      <c r="H650" t="s">
        <v>20</v>
      </c>
    </row>
    <row r="651" spans="1:8">
      <c r="A651" s="1">
        <f>HYPERLINK("https://cms.ls-nyc.org/matter/dynamic-profile/view/1864041","18-1864041")</f>
        <v>0</v>
      </c>
      <c r="B651" t="s">
        <v>12</v>
      </c>
      <c r="D651" t="s">
        <v>15</v>
      </c>
      <c r="H651" t="s">
        <v>20</v>
      </c>
    </row>
    <row r="652" spans="1:8">
      <c r="A652" s="1">
        <f>HYPERLINK("https://cms.ls-nyc.org/matter/dynamic-profile/view/1845644","17-1845644")</f>
        <v>0</v>
      </c>
      <c r="B652" t="s">
        <v>9</v>
      </c>
      <c r="D652" t="s">
        <v>15</v>
      </c>
      <c r="E652" t="s">
        <v>16</v>
      </c>
      <c r="H652" t="s">
        <v>20</v>
      </c>
    </row>
    <row r="653" spans="1:8">
      <c r="A653" s="1">
        <f>HYPERLINK("https://cms.ls-nyc.org/matter/dynamic-profile/view/1839938","17-1839938")</f>
        <v>0</v>
      </c>
      <c r="B653" t="s">
        <v>9</v>
      </c>
      <c r="D653" t="s">
        <v>15</v>
      </c>
      <c r="E653" t="s">
        <v>16</v>
      </c>
      <c r="H653" t="s">
        <v>20</v>
      </c>
    </row>
    <row r="654" spans="1:8">
      <c r="A654" s="1">
        <f>HYPERLINK("https://cms.ls-nyc.org/matter/dynamic-profile/view/1887641","19-1887641")</f>
        <v>0</v>
      </c>
      <c r="B654" t="s">
        <v>9</v>
      </c>
      <c r="H654" t="s">
        <v>19</v>
      </c>
    </row>
    <row r="655" spans="1:8">
      <c r="A655" s="1">
        <f>HYPERLINK("https://cms.ls-nyc.org/matter/dynamic-profile/view/0817108","16-0817108")</f>
        <v>0</v>
      </c>
      <c r="B655" t="s">
        <v>9</v>
      </c>
      <c r="D655" t="s">
        <v>15</v>
      </c>
      <c r="E655" t="s">
        <v>16</v>
      </c>
      <c r="H655" t="s">
        <v>20</v>
      </c>
    </row>
    <row r="656" spans="1:8">
      <c r="A656" s="1">
        <f>HYPERLINK("https://cms.ls-nyc.org/matter/dynamic-profile/view/1863621","18-1863621")</f>
        <v>0</v>
      </c>
      <c r="B656" t="s">
        <v>12</v>
      </c>
      <c r="D656" t="s">
        <v>15</v>
      </c>
      <c r="H656" t="s">
        <v>20</v>
      </c>
    </row>
    <row r="657" spans="1:8">
      <c r="A657" s="1">
        <f>HYPERLINK("https://cms.ls-nyc.org/matter/dynamic-profile/view/1889301","19-1889301")</f>
        <v>0</v>
      </c>
      <c r="B657" t="s">
        <v>12</v>
      </c>
      <c r="H657" t="s">
        <v>19</v>
      </c>
    </row>
    <row r="658" spans="1:8">
      <c r="A658" s="1">
        <f>HYPERLINK("https://cms.ls-nyc.org/matter/dynamic-profile/view/1897307","19-1897307")</f>
        <v>0</v>
      </c>
      <c r="B658" t="s">
        <v>10</v>
      </c>
      <c r="H658" t="s">
        <v>19</v>
      </c>
    </row>
    <row r="659" spans="1:8">
      <c r="A659" s="1">
        <f>HYPERLINK("https://cms.ls-nyc.org/matter/dynamic-profile/view/0830911","17-0830911")</f>
        <v>0</v>
      </c>
      <c r="B659" t="s">
        <v>12</v>
      </c>
      <c r="D659" t="s">
        <v>15</v>
      </c>
      <c r="E659" t="s">
        <v>16</v>
      </c>
      <c r="H659" t="s">
        <v>20</v>
      </c>
    </row>
    <row r="660" spans="1:8">
      <c r="A660" s="1">
        <f>HYPERLINK("https://cms.ls-nyc.org/matter/dynamic-profile/view/0803671","16-0803671")</f>
        <v>0</v>
      </c>
      <c r="B660" t="s">
        <v>12</v>
      </c>
      <c r="D660" t="s">
        <v>15</v>
      </c>
      <c r="E660" t="s">
        <v>16</v>
      </c>
      <c r="F660" t="s">
        <v>17</v>
      </c>
      <c r="H660" t="s">
        <v>20</v>
      </c>
    </row>
    <row r="661" spans="1:8">
      <c r="A661" s="1">
        <f>HYPERLINK("https://cms.ls-nyc.org/matter/dynamic-profile/view/1854886","17-1854886")</f>
        <v>0</v>
      </c>
      <c r="B661" t="s">
        <v>10</v>
      </c>
      <c r="D661" t="s">
        <v>15</v>
      </c>
      <c r="E661" t="s">
        <v>16</v>
      </c>
      <c r="H661" t="s">
        <v>20</v>
      </c>
    </row>
    <row r="662" spans="1:8">
      <c r="A662" s="1">
        <f>HYPERLINK("https://cms.ls-nyc.org/matter/dynamic-profile/view/1855244","18-1855244")</f>
        <v>0</v>
      </c>
      <c r="B662" t="s">
        <v>10</v>
      </c>
      <c r="D662" t="s">
        <v>15</v>
      </c>
      <c r="E662" t="s">
        <v>16</v>
      </c>
      <c r="H662" t="s">
        <v>20</v>
      </c>
    </row>
    <row r="663" spans="1:8">
      <c r="A663" s="1">
        <f>HYPERLINK("https://cms.ls-nyc.org/matter/dynamic-profile/view/1891015","19-1891015")</f>
        <v>0</v>
      </c>
      <c r="B663" t="s">
        <v>10</v>
      </c>
      <c r="E663" t="s">
        <v>16</v>
      </c>
      <c r="H663" t="s">
        <v>20</v>
      </c>
    </row>
    <row r="664" spans="1:8">
      <c r="A664" s="1">
        <f>HYPERLINK("https://cms.ls-nyc.org/matter/dynamic-profile/view/1891007","19-1891007")</f>
        <v>0</v>
      </c>
      <c r="B664" t="s">
        <v>10</v>
      </c>
      <c r="E664" t="s">
        <v>16</v>
      </c>
      <c r="H664" t="s">
        <v>20</v>
      </c>
    </row>
    <row r="665" spans="1:8">
      <c r="A665" s="1">
        <f>HYPERLINK("https://cms.ls-nyc.org/matter/dynamic-profile/view/1892807","19-1892807")</f>
        <v>0</v>
      </c>
      <c r="B665" t="s">
        <v>12</v>
      </c>
      <c r="H665" t="s">
        <v>19</v>
      </c>
    </row>
    <row r="666" spans="1:8">
      <c r="A666" s="1">
        <f>HYPERLINK("https://cms.ls-nyc.org/matter/dynamic-profile/view/0831293","17-0831293")</f>
        <v>0</v>
      </c>
      <c r="B666" t="s">
        <v>9</v>
      </c>
      <c r="D666" t="s">
        <v>14</v>
      </c>
      <c r="E666" t="s">
        <v>16</v>
      </c>
      <c r="F666" t="s">
        <v>17</v>
      </c>
      <c r="H666" t="s">
        <v>20</v>
      </c>
    </row>
    <row r="667" spans="1:8">
      <c r="A667" s="1">
        <f>HYPERLINK("https://cms.ls-nyc.org/matter/dynamic-profile/view/0799231","16-0799231")</f>
        <v>0</v>
      </c>
      <c r="B667" t="s">
        <v>10</v>
      </c>
      <c r="D667" t="s">
        <v>15</v>
      </c>
      <c r="E667" t="s">
        <v>16</v>
      </c>
      <c r="H667" t="s">
        <v>20</v>
      </c>
    </row>
    <row r="668" spans="1:8">
      <c r="A668" s="1">
        <f>HYPERLINK("https://cms.ls-nyc.org/matter/dynamic-profile/view/0816949","16-0816949")</f>
        <v>0</v>
      </c>
      <c r="B668" t="s">
        <v>10</v>
      </c>
      <c r="D668" t="s">
        <v>15</v>
      </c>
      <c r="E668" t="s">
        <v>16</v>
      </c>
      <c r="H668" t="s">
        <v>20</v>
      </c>
    </row>
    <row r="669" spans="1:8">
      <c r="A669" s="1">
        <f>HYPERLINK("https://cms.ls-nyc.org/matter/dynamic-profile/view/0822537","16-0822537")</f>
        <v>0</v>
      </c>
      <c r="B669" t="s">
        <v>10</v>
      </c>
      <c r="D669" t="s">
        <v>15</v>
      </c>
      <c r="E669" t="s">
        <v>16</v>
      </c>
      <c r="H669" t="s">
        <v>20</v>
      </c>
    </row>
    <row r="670" spans="1:8">
      <c r="A670" s="1">
        <f>HYPERLINK("https://cms.ls-nyc.org/matter/dynamic-profile/view/0799013","16-0799013")</f>
        <v>0</v>
      </c>
      <c r="B670" t="s">
        <v>10</v>
      </c>
      <c r="D670" t="s">
        <v>15</v>
      </c>
      <c r="E670" t="s">
        <v>16</v>
      </c>
      <c r="H670" t="s">
        <v>20</v>
      </c>
    </row>
    <row r="671" spans="1:8">
      <c r="A671" s="1">
        <f>HYPERLINK("https://cms.ls-nyc.org/matter/dynamic-profile/view/0816939","16-0816939")</f>
        <v>0</v>
      </c>
      <c r="B671" t="s">
        <v>10</v>
      </c>
      <c r="D671" t="s">
        <v>15</v>
      </c>
      <c r="E671" t="s">
        <v>16</v>
      </c>
      <c r="H671" t="s">
        <v>20</v>
      </c>
    </row>
    <row r="672" spans="1:8">
      <c r="A672" s="1">
        <f>HYPERLINK("https://cms.ls-nyc.org/matter/dynamic-profile/view/0822529","16-0822529")</f>
        <v>0</v>
      </c>
      <c r="B672" t="s">
        <v>10</v>
      </c>
      <c r="D672" t="s">
        <v>15</v>
      </c>
      <c r="E672" t="s">
        <v>16</v>
      </c>
      <c r="H672" t="s">
        <v>20</v>
      </c>
    </row>
    <row r="673" spans="1:8">
      <c r="A673" s="1">
        <f>HYPERLINK("https://cms.ls-nyc.org/matter/dynamic-profile/view/1879107","18-1879107")</f>
        <v>0</v>
      </c>
      <c r="B673" t="s">
        <v>9</v>
      </c>
      <c r="F673" t="s">
        <v>17</v>
      </c>
      <c r="H673" t="s">
        <v>20</v>
      </c>
    </row>
    <row r="674" spans="1:8">
      <c r="A674" s="1">
        <f>HYPERLINK("https://cms.ls-nyc.org/matter/dynamic-profile/view/1870937","18-1870937")</f>
        <v>0</v>
      </c>
      <c r="B674" t="s">
        <v>12</v>
      </c>
      <c r="D674" t="s">
        <v>15</v>
      </c>
      <c r="H674" t="s">
        <v>20</v>
      </c>
    </row>
    <row r="675" spans="1:8">
      <c r="A675" s="1">
        <f>HYPERLINK("https://cms.ls-nyc.org/matter/dynamic-profile/view/1861971","18-1861971")</f>
        <v>0</v>
      </c>
      <c r="B675" t="s">
        <v>10</v>
      </c>
      <c r="D675" t="s">
        <v>15</v>
      </c>
      <c r="E675" t="s">
        <v>16</v>
      </c>
      <c r="H675" t="s">
        <v>20</v>
      </c>
    </row>
    <row r="676" spans="1:8">
      <c r="A676" s="1">
        <f>HYPERLINK("https://cms.ls-nyc.org/matter/dynamic-profile/view/1890813","19-1890813")</f>
        <v>0</v>
      </c>
      <c r="B676" t="s">
        <v>9</v>
      </c>
      <c r="C676" t="s">
        <v>13</v>
      </c>
      <c r="F676" t="s">
        <v>17</v>
      </c>
      <c r="G676" t="s">
        <v>18</v>
      </c>
      <c r="H676" t="s">
        <v>20</v>
      </c>
    </row>
    <row r="677" spans="1:8">
      <c r="A677" s="1">
        <f>HYPERLINK("https://cms.ls-nyc.org/matter/dynamic-profile/view/1896204","19-1896204")</f>
        <v>0</v>
      </c>
      <c r="B677" t="s">
        <v>10</v>
      </c>
      <c r="H677" t="s">
        <v>19</v>
      </c>
    </row>
    <row r="678" spans="1:8">
      <c r="A678" s="1">
        <f>HYPERLINK("https://cms.ls-nyc.org/matter/dynamic-profile/view/1896198","19-1896198")</f>
        <v>0</v>
      </c>
      <c r="B678" t="s">
        <v>10</v>
      </c>
      <c r="H678" t="s">
        <v>19</v>
      </c>
    </row>
    <row r="679" spans="1:8">
      <c r="A679" s="1">
        <f>HYPERLINK("https://cms.ls-nyc.org/matter/dynamic-profile/view/1889854","19-1889854")</f>
        <v>0</v>
      </c>
      <c r="B679" t="s">
        <v>10</v>
      </c>
      <c r="H679" t="s">
        <v>19</v>
      </c>
    </row>
    <row r="680" spans="1:8">
      <c r="A680" s="1">
        <f>HYPERLINK("https://cms.ls-nyc.org/matter/dynamic-profile/view/0831520","17-0831520")</f>
        <v>0</v>
      </c>
      <c r="B680" t="s">
        <v>9</v>
      </c>
      <c r="D680" t="s">
        <v>15</v>
      </c>
      <c r="E680" t="s">
        <v>16</v>
      </c>
      <c r="H680" t="s">
        <v>20</v>
      </c>
    </row>
    <row r="681" spans="1:8">
      <c r="A681" s="1">
        <f>HYPERLINK("https://cms.ls-nyc.org/matter/dynamic-profile/view/1862262","18-1862262")</f>
        <v>0</v>
      </c>
      <c r="B681" t="s">
        <v>12</v>
      </c>
      <c r="C681" t="s">
        <v>13</v>
      </c>
      <c r="D681" t="s">
        <v>14</v>
      </c>
      <c r="E681" t="s">
        <v>16</v>
      </c>
      <c r="H681" t="s">
        <v>20</v>
      </c>
    </row>
    <row r="682" spans="1:8">
      <c r="A682" s="1">
        <f>HYPERLINK("https://cms.ls-nyc.org/matter/dynamic-profile/view/1888215","19-1888215")</f>
        <v>0</v>
      </c>
      <c r="B682" t="s">
        <v>9</v>
      </c>
      <c r="C682" t="s">
        <v>13</v>
      </c>
      <c r="D682" t="s">
        <v>14</v>
      </c>
      <c r="E682" t="s">
        <v>16</v>
      </c>
      <c r="H682" t="s">
        <v>20</v>
      </c>
    </row>
    <row r="683" spans="1:8">
      <c r="A683" s="1">
        <f>HYPERLINK("https://cms.ls-nyc.org/matter/dynamic-profile/view/1894706","19-1894706")</f>
        <v>0</v>
      </c>
      <c r="B683" t="s">
        <v>9</v>
      </c>
      <c r="C683" t="s">
        <v>13</v>
      </c>
      <c r="E683" t="s">
        <v>16</v>
      </c>
      <c r="H683" t="s">
        <v>20</v>
      </c>
    </row>
    <row r="684" spans="1:8">
      <c r="A684" s="1">
        <f>HYPERLINK("https://cms.ls-nyc.org/matter/dynamic-profile/view/1858527","18-1858527")</f>
        <v>0</v>
      </c>
      <c r="B684" t="s">
        <v>9</v>
      </c>
      <c r="C684" t="s">
        <v>13</v>
      </c>
      <c r="D684" t="s">
        <v>15</v>
      </c>
      <c r="E684" t="s">
        <v>16</v>
      </c>
      <c r="H684" t="s">
        <v>20</v>
      </c>
    </row>
    <row r="685" spans="1:8">
      <c r="A685" s="1">
        <f>HYPERLINK("https://cms.ls-nyc.org/matter/dynamic-profile/view/0816888","16-0816888")</f>
        <v>0</v>
      </c>
      <c r="B685" t="s">
        <v>10</v>
      </c>
      <c r="D685" t="s">
        <v>15</v>
      </c>
      <c r="E685" t="s">
        <v>16</v>
      </c>
      <c r="H685" t="s">
        <v>20</v>
      </c>
    </row>
    <row r="686" spans="1:8">
      <c r="A686" s="1">
        <f>HYPERLINK("https://cms.ls-nyc.org/matter/dynamic-profile/view/1877721","18-1877721")</f>
        <v>0</v>
      </c>
      <c r="B686" t="s">
        <v>9</v>
      </c>
      <c r="H686" t="s">
        <v>19</v>
      </c>
    </row>
    <row r="687" spans="1:8">
      <c r="A687" s="1">
        <f>HYPERLINK("https://cms.ls-nyc.org/matter/dynamic-profile/view/0822356","16-0822356")</f>
        <v>0</v>
      </c>
      <c r="B687" t="s">
        <v>10</v>
      </c>
      <c r="D687" t="s">
        <v>15</v>
      </c>
      <c r="E687" t="s">
        <v>16</v>
      </c>
      <c r="H687" t="s">
        <v>20</v>
      </c>
    </row>
    <row r="688" spans="1:8">
      <c r="A688" s="1">
        <f>HYPERLINK("https://cms.ls-nyc.org/matter/dynamic-profile/view/1867812","18-1867812")</f>
        <v>0</v>
      </c>
      <c r="B688" t="s">
        <v>10</v>
      </c>
      <c r="D688" t="s">
        <v>15</v>
      </c>
      <c r="E688" t="s">
        <v>16</v>
      </c>
      <c r="H688" t="s">
        <v>20</v>
      </c>
    </row>
    <row r="689" spans="1:8">
      <c r="A689" s="1">
        <f>HYPERLINK("https://cms.ls-nyc.org/matter/dynamic-profile/view/1852111","17-1852111")</f>
        <v>0</v>
      </c>
      <c r="B689" t="s">
        <v>9</v>
      </c>
      <c r="D689" t="s">
        <v>15</v>
      </c>
      <c r="H689" t="s">
        <v>20</v>
      </c>
    </row>
    <row r="690" spans="1:8">
      <c r="A690" s="1">
        <f>HYPERLINK("https://cms.ls-nyc.org/matter/dynamic-profile/view/1899581","19-1899581")</f>
        <v>0</v>
      </c>
      <c r="B690" t="s">
        <v>10</v>
      </c>
      <c r="D690" t="s">
        <v>14</v>
      </c>
      <c r="H690" t="s">
        <v>20</v>
      </c>
    </row>
    <row r="691" spans="1:8">
      <c r="A691" s="1">
        <f>HYPERLINK("https://cms.ls-nyc.org/matter/dynamic-profile/view/1833670","17-1833670")</f>
        <v>0</v>
      </c>
      <c r="B691" t="s">
        <v>12</v>
      </c>
      <c r="D691" t="s">
        <v>15</v>
      </c>
      <c r="E691" t="s">
        <v>16</v>
      </c>
      <c r="H691" t="s">
        <v>20</v>
      </c>
    </row>
    <row r="692" spans="1:8">
      <c r="A692" s="1">
        <f>HYPERLINK("https://cms.ls-nyc.org/matter/dynamic-profile/view/1862877","18-1862877")</f>
        <v>0</v>
      </c>
      <c r="B692" t="s">
        <v>9</v>
      </c>
      <c r="H692" t="s">
        <v>19</v>
      </c>
    </row>
    <row r="693" spans="1:8">
      <c r="A693" s="1">
        <f>HYPERLINK("https://cms.ls-nyc.org/matter/dynamic-profile/view/0828644","17-0828644")</f>
        <v>0</v>
      </c>
      <c r="B693" t="s">
        <v>9</v>
      </c>
      <c r="D693" t="s">
        <v>15</v>
      </c>
      <c r="E693" t="s">
        <v>16</v>
      </c>
      <c r="H693" t="s">
        <v>20</v>
      </c>
    </row>
    <row r="694" spans="1:8">
      <c r="A694" s="1">
        <f>HYPERLINK("https://cms.ls-nyc.org/matter/dynamic-profile/view/1897904","19-1897904")</f>
        <v>0</v>
      </c>
      <c r="B694" t="s">
        <v>9</v>
      </c>
      <c r="H694" t="s">
        <v>19</v>
      </c>
    </row>
    <row r="695" spans="1:8">
      <c r="A695" s="1">
        <f>HYPERLINK("https://cms.ls-nyc.org/matter/dynamic-profile/view/1837914","17-1837914")</f>
        <v>0</v>
      </c>
      <c r="B695" t="s">
        <v>9</v>
      </c>
      <c r="D695" t="s">
        <v>15</v>
      </c>
      <c r="E695" t="s">
        <v>16</v>
      </c>
      <c r="H695" t="s">
        <v>20</v>
      </c>
    </row>
    <row r="696" spans="1:8">
      <c r="A696" s="1">
        <f>HYPERLINK("https://cms.ls-nyc.org/matter/dynamic-profile/view/1874480","18-1874480")</f>
        <v>0</v>
      </c>
      <c r="B696" t="s">
        <v>8</v>
      </c>
      <c r="H696" t="s">
        <v>19</v>
      </c>
    </row>
    <row r="697" spans="1:8">
      <c r="A697" s="1">
        <f>HYPERLINK("https://cms.ls-nyc.org/matter/dynamic-profile/view/1894449","19-1894449")</f>
        <v>0</v>
      </c>
      <c r="B697" t="s">
        <v>9</v>
      </c>
      <c r="C697" t="s">
        <v>13</v>
      </c>
      <c r="D697" t="s">
        <v>14</v>
      </c>
      <c r="E697" t="s">
        <v>16</v>
      </c>
      <c r="G697" t="s">
        <v>18</v>
      </c>
      <c r="H697" t="s">
        <v>20</v>
      </c>
    </row>
    <row r="698" spans="1:8">
      <c r="A698" s="1">
        <f>HYPERLINK("https://cms.ls-nyc.org/matter/dynamic-profile/view/1896986","19-1896986")</f>
        <v>0</v>
      </c>
      <c r="B698" t="s">
        <v>12</v>
      </c>
      <c r="H698" t="s">
        <v>19</v>
      </c>
    </row>
    <row r="699" spans="1:8">
      <c r="A699" s="1">
        <f>HYPERLINK("https://cms.ls-nyc.org/matter/dynamic-profile/view/1878163","18-1878163")</f>
        <v>0</v>
      </c>
      <c r="B699" t="s">
        <v>12</v>
      </c>
      <c r="H699" t="s">
        <v>19</v>
      </c>
    </row>
    <row r="700" spans="1:8">
      <c r="A700" s="1">
        <f>HYPERLINK("https://cms.ls-nyc.org/matter/dynamic-profile/view/1872640","18-1872640")</f>
        <v>0</v>
      </c>
      <c r="B700" t="s">
        <v>8</v>
      </c>
      <c r="H700" t="s">
        <v>19</v>
      </c>
    </row>
    <row r="701" spans="1:8">
      <c r="A701" s="1">
        <f>HYPERLINK("https://cms.ls-nyc.org/matter/dynamic-profile/view/1898448","19-1898448")</f>
        <v>0</v>
      </c>
      <c r="B701" t="s">
        <v>9</v>
      </c>
      <c r="C701" t="s">
        <v>13</v>
      </c>
      <c r="D701" t="s">
        <v>14</v>
      </c>
      <c r="E701" t="s">
        <v>16</v>
      </c>
      <c r="H701" t="s">
        <v>20</v>
      </c>
    </row>
    <row r="702" spans="1:8">
      <c r="A702" s="1">
        <f>HYPERLINK("https://cms.ls-nyc.org/matter/dynamic-profile/view/1895582","19-1895582")</f>
        <v>0</v>
      </c>
      <c r="B702" t="s">
        <v>9</v>
      </c>
      <c r="C702" t="s">
        <v>13</v>
      </c>
      <c r="D702" t="s">
        <v>14</v>
      </c>
      <c r="E702" t="s">
        <v>16</v>
      </c>
      <c r="H702" t="s">
        <v>20</v>
      </c>
    </row>
    <row r="703" spans="1:8">
      <c r="A703" s="1">
        <f>HYPERLINK("https://cms.ls-nyc.org/matter/dynamic-profile/view/0795548","16-0795548")</f>
        <v>0</v>
      </c>
      <c r="B703" t="s">
        <v>9</v>
      </c>
      <c r="D703" t="s">
        <v>15</v>
      </c>
      <c r="E703" t="s">
        <v>16</v>
      </c>
      <c r="H703" t="s">
        <v>20</v>
      </c>
    </row>
    <row r="704" spans="1:8">
      <c r="A704" s="1">
        <f>HYPERLINK("https://cms.ls-nyc.org/matter/dynamic-profile/view/1866057","18-1866057")</f>
        <v>0</v>
      </c>
      <c r="B704" t="s">
        <v>10</v>
      </c>
      <c r="D704" t="s">
        <v>15</v>
      </c>
      <c r="E704" t="s">
        <v>16</v>
      </c>
      <c r="F704" t="s">
        <v>17</v>
      </c>
      <c r="H704" t="s">
        <v>20</v>
      </c>
    </row>
    <row r="705" spans="1:8">
      <c r="A705" s="1">
        <f>HYPERLINK("https://cms.ls-nyc.org/matter/dynamic-profile/view/1891847","19-1891847")</f>
        <v>0</v>
      </c>
      <c r="B705" t="s">
        <v>11</v>
      </c>
      <c r="H705" t="s">
        <v>19</v>
      </c>
    </row>
    <row r="706" spans="1:8">
      <c r="A706" s="1">
        <f>HYPERLINK("https://cms.ls-nyc.org/matter/dynamic-profile/view/1865230","18-1865230")</f>
        <v>0</v>
      </c>
      <c r="B706" t="s">
        <v>10</v>
      </c>
      <c r="D706" t="s">
        <v>15</v>
      </c>
      <c r="E706" t="s">
        <v>16</v>
      </c>
      <c r="H706" t="s">
        <v>20</v>
      </c>
    </row>
    <row r="707" spans="1:8">
      <c r="A707" s="1">
        <f>HYPERLINK("https://cms.ls-nyc.org/matter/dynamic-profile/view/1872151","18-1872151")</f>
        <v>0</v>
      </c>
      <c r="B707" t="s">
        <v>10</v>
      </c>
      <c r="D707" t="s">
        <v>15</v>
      </c>
      <c r="E707" t="s">
        <v>16</v>
      </c>
      <c r="H707" t="s">
        <v>20</v>
      </c>
    </row>
    <row r="708" spans="1:8">
      <c r="A708" s="1">
        <f>HYPERLINK("https://cms.ls-nyc.org/matter/dynamic-profile/view/1888891","19-1888891")</f>
        <v>0</v>
      </c>
      <c r="B708" t="s">
        <v>9</v>
      </c>
      <c r="C708" t="s">
        <v>13</v>
      </c>
      <c r="D708" t="s">
        <v>14</v>
      </c>
      <c r="E708" t="s">
        <v>16</v>
      </c>
      <c r="G708" t="s">
        <v>18</v>
      </c>
      <c r="H708" t="s">
        <v>20</v>
      </c>
    </row>
    <row r="709" spans="1:8">
      <c r="A709" s="1">
        <f>HYPERLINK("https://cms.ls-nyc.org/matter/dynamic-profile/view/1862079","18-1862079")</f>
        <v>0</v>
      </c>
      <c r="B709" t="s">
        <v>10</v>
      </c>
      <c r="D709" t="s">
        <v>15</v>
      </c>
      <c r="E709" t="s">
        <v>16</v>
      </c>
      <c r="H709" t="s">
        <v>20</v>
      </c>
    </row>
    <row r="710" spans="1:8">
      <c r="A710" s="1">
        <f>HYPERLINK("https://cms.ls-nyc.org/matter/dynamic-profile/view/1868750","18-1868750")</f>
        <v>0</v>
      </c>
      <c r="B710" t="s">
        <v>10</v>
      </c>
      <c r="D710" t="s">
        <v>15</v>
      </c>
      <c r="E710" t="s">
        <v>16</v>
      </c>
      <c r="H710" t="s">
        <v>20</v>
      </c>
    </row>
    <row r="711" spans="1:8">
      <c r="A711" s="1">
        <f>HYPERLINK("https://cms.ls-nyc.org/matter/dynamic-profile/view/1844422","17-1844422")</f>
        <v>0</v>
      </c>
      <c r="B711" t="s">
        <v>9</v>
      </c>
      <c r="D711" t="s">
        <v>15</v>
      </c>
      <c r="E711" t="s">
        <v>16</v>
      </c>
      <c r="H711" t="s">
        <v>20</v>
      </c>
    </row>
    <row r="712" spans="1:8">
      <c r="A712" s="1">
        <f>HYPERLINK("https://cms.ls-nyc.org/matter/dynamic-profile/view/1898776","19-1898776")</f>
        <v>0</v>
      </c>
      <c r="B712" t="s">
        <v>9</v>
      </c>
      <c r="C712" t="s">
        <v>13</v>
      </c>
      <c r="D712" t="s">
        <v>14</v>
      </c>
      <c r="E712" t="s">
        <v>16</v>
      </c>
      <c r="G712" t="s">
        <v>18</v>
      </c>
      <c r="H712" t="s">
        <v>20</v>
      </c>
    </row>
    <row r="713" spans="1:8">
      <c r="A713" s="1">
        <f>HYPERLINK("https://cms.ls-nyc.org/matter/dynamic-profile/view/0796071","16-0796071")</f>
        <v>0</v>
      </c>
      <c r="B713" t="s">
        <v>10</v>
      </c>
      <c r="D713" t="s">
        <v>15</v>
      </c>
      <c r="E713" t="s">
        <v>16</v>
      </c>
      <c r="H713" t="s">
        <v>20</v>
      </c>
    </row>
    <row r="714" spans="1:8">
      <c r="A714" s="1">
        <f>HYPERLINK("https://cms.ls-nyc.org/matter/dynamic-profile/view/1857734","18-1857734")</f>
        <v>0</v>
      </c>
      <c r="B714" t="s">
        <v>11</v>
      </c>
      <c r="D714" t="s">
        <v>15</v>
      </c>
      <c r="E714" t="s">
        <v>16</v>
      </c>
      <c r="H714" t="s">
        <v>20</v>
      </c>
    </row>
    <row r="715" spans="1:8">
      <c r="A715" s="1">
        <f>HYPERLINK("https://cms.ls-nyc.org/matter/dynamic-profile/view/1858274","18-1858274")</f>
        <v>0</v>
      </c>
      <c r="B715" t="s">
        <v>8</v>
      </c>
      <c r="D715" t="s">
        <v>15</v>
      </c>
      <c r="H715" t="s">
        <v>20</v>
      </c>
    </row>
    <row r="716" spans="1:8">
      <c r="A716" s="1">
        <f>HYPERLINK("https://cms.ls-nyc.org/matter/dynamic-profile/view/1852102","17-1852102")</f>
        <v>0</v>
      </c>
      <c r="B716" t="s">
        <v>10</v>
      </c>
      <c r="D716" t="s">
        <v>15</v>
      </c>
      <c r="H716" t="s">
        <v>20</v>
      </c>
    </row>
    <row r="717" spans="1:8">
      <c r="A717" s="1">
        <f>HYPERLINK("https://cms.ls-nyc.org/matter/dynamic-profile/view/1879919","18-1879919")</f>
        <v>0</v>
      </c>
      <c r="B717" t="s">
        <v>10</v>
      </c>
      <c r="H717" t="s">
        <v>19</v>
      </c>
    </row>
    <row r="718" spans="1:8">
      <c r="A718" s="1">
        <f>HYPERLINK("https://cms.ls-nyc.org/matter/dynamic-profile/view/1889826","19-1889826")</f>
        <v>0</v>
      </c>
      <c r="B718" t="s">
        <v>10</v>
      </c>
      <c r="D718" t="s">
        <v>14</v>
      </c>
      <c r="H718" t="s">
        <v>20</v>
      </c>
    </row>
    <row r="719" spans="1:8">
      <c r="A719" s="1">
        <f>HYPERLINK("https://cms.ls-nyc.org/matter/dynamic-profile/view/1889811","19-1889811")</f>
        <v>0</v>
      </c>
      <c r="B719" t="s">
        <v>10</v>
      </c>
      <c r="H719" t="s">
        <v>19</v>
      </c>
    </row>
    <row r="720" spans="1:8">
      <c r="A720" s="1">
        <f>HYPERLINK("https://cms.ls-nyc.org/matter/dynamic-profile/view/1896625","19-1896625")</f>
        <v>0</v>
      </c>
      <c r="B720" t="s">
        <v>9</v>
      </c>
      <c r="C720" t="s">
        <v>13</v>
      </c>
      <c r="D720" t="s">
        <v>14</v>
      </c>
      <c r="E720" t="s">
        <v>16</v>
      </c>
      <c r="F720" t="s">
        <v>17</v>
      </c>
      <c r="H720" t="s">
        <v>20</v>
      </c>
    </row>
    <row r="721" spans="1:8">
      <c r="A721" s="1">
        <f>HYPERLINK("https://cms.ls-nyc.org/matter/dynamic-profile/view/1896627","19-1896627")</f>
        <v>0</v>
      </c>
      <c r="B721" t="s">
        <v>9</v>
      </c>
      <c r="C721" t="s">
        <v>13</v>
      </c>
      <c r="D721" t="s">
        <v>14</v>
      </c>
      <c r="E721" t="s">
        <v>16</v>
      </c>
      <c r="F721" t="s">
        <v>17</v>
      </c>
      <c r="H721" t="s">
        <v>20</v>
      </c>
    </row>
    <row r="722" spans="1:8">
      <c r="A722" s="1">
        <f>HYPERLINK("https://cms.ls-nyc.org/matter/dynamic-profile/view/1864963","18-1864963")</f>
        <v>0</v>
      </c>
      <c r="B722" t="s">
        <v>10</v>
      </c>
      <c r="D722" t="s">
        <v>15</v>
      </c>
      <c r="E722" t="s">
        <v>16</v>
      </c>
      <c r="H722" t="s">
        <v>20</v>
      </c>
    </row>
    <row r="723" spans="1:8">
      <c r="A723" s="1">
        <f>HYPERLINK("https://cms.ls-nyc.org/matter/dynamic-profile/view/1893549","19-1893549")</f>
        <v>0</v>
      </c>
      <c r="B723" t="s">
        <v>9</v>
      </c>
      <c r="H723" t="s">
        <v>19</v>
      </c>
    </row>
    <row r="724" spans="1:8">
      <c r="A724" s="1">
        <f>HYPERLINK("https://cms.ls-nyc.org/matter/dynamic-profile/view/0802155","16-0802155")</f>
        <v>0</v>
      </c>
      <c r="B724" t="s">
        <v>10</v>
      </c>
      <c r="D724" t="s">
        <v>15</v>
      </c>
      <c r="H724" t="s">
        <v>20</v>
      </c>
    </row>
    <row r="725" spans="1:8">
      <c r="A725" s="1">
        <f>HYPERLINK("https://cms.ls-nyc.org/matter/dynamic-profile/view/1893706","19-1893706")</f>
        <v>0</v>
      </c>
      <c r="B725" t="s">
        <v>11</v>
      </c>
      <c r="F725" t="s">
        <v>17</v>
      </c>
      <c r="H725" t="s">
        <v>20</v>
      </c>
    </row>
    <row r="726" spans="1:8">
      <c r="A726" s="1">
        <f>HYPERLINK("https://cms.ls-nyc.org/matter/dynamic-profile/view/1860628","18-1860628")</f>
        <v>0</v>
      </c>
      <c r="B726" t="s">
        <v>12</v>
      </c>
      <c r="D726" t="s">
        <v>15</v>
      </c>
      <c r="H726" t="s">
        <v>20</v>
      </c>
    </row>
    <row r="727" spans="1:8">
      <c r="A727" s="1">
        <f>HYPERLINK("https://cms.ls-nyc.org/matter/dynamic-profile/view/1877020","18-1877020")</f>
        <v>0</v>
      </c>
      <c r="B727" t="s">
        <v>12</v>
      </c>
      <c r="H727" t="s">
        <v>19</v>
      </c>
    </row>
    <row r="728" spans="1:8">
      <c r="A728" s="1">
        <f>HYPERLINK("https://cms.ls-nyc.org/matter/dynamic-profile/view/0803381","16-0803381")</f>
        <v>0</v>
      </c>
      <c r="B728" t="s">
        <v>10</v>
      </c>
      <c r="D728" t="s">
        <v>15</v>
      </c>
      <c r="E728" t="s">
        <v>16</v>
      </c>
      <c r="H728" t="s">
        <v>20</v>
      </c>
    </row>
    <row r="729" spans="1:8">
      <c r="A729" s="1">
        <f>HYPERLINK("https://cms.ls-nyc.org/matter/dynamic-profile/view/1895996","19-1895996")</f>
        <v>0</v>
      </c>
      <c r="B729" t="s">
        <v>10</v>
      </c>
      <c r="C729" t="s">
        <v>13</v>
      </c>
      <c r="D729" t="s">
        <v>14</v>
      </c>
      <c r="E729" t="s">
        <v>16</v>
      </c>
      <c r="H729" t="s">
        <v>20</v>
      </c>
    </row>
    <row r="730" spans="1:8">
      <c r="A730" s="1">
        <f>HYPERLINK("https://cms.ls-nyc.org/matter/dynamic-profile/view/1871564","18-1871564")</f>
        <v>0</v>
      </c>
      <c r="B730" t="s">
        <v>9</v>
      </c>
      <c r="D730" t="s">
        <v>15</v>
      </c>
      <c r="E730" t="s">
        <v>16</v>
      </c>
      <c r="H730" t="s">
        <v>20</v>
      </c>
    </row>
    <row r="731" spans="1:8">
      <c r="A731" s="1">
        <f>HYPERLINK("https://cms.ls-nyc.org/matter/dynamic-profile/view/1885460","18-1885460")</f>
        <v>0</v>
      </c>
      <c r="B731" t="s">
        <v>9</v>
      </c>
      <c r="H731" t="s">
        <v>19</v>
      </c>
    </row>
    <row r="732" spans="1:8">
      <c r="A732" s="1">
        <f>HYPERLINK("https://cms.ls-nyc.org/matter/dynamic-profile/view/1885530","18-1885530")</f>
        <v>0</v>
      </c>
      <c r="B732" t="s">
        <v>9</v>
      </c>
      <c r="D732" t="s">
        <v>14</v>
      </c>
      <c r="E732" t="s">
        <v>16</v>
      </c>
      <c r="H732" t="s">
        <v>20</v>
      </c>
    </row>
    <row r="733" spans="1:8">
      <c r="A733" s="1">
        <f>HYPERLINK("https://cms.ls-nyc.org/matter/dynamic-profile/view/1873178","18-1873178")</f>
        <v>0</v>
      </c>
      <c r="B733" t="s">
        <v>12</v>
      </c>
      <c r="H733" t="s">
        <v>19</v>
      </c>
    </row>
    <row r="734" spans="1:8">
      <c r="A734" s="1">
        <f>HYPERLINK("https://cms.ls-nyc.org/matter/dynamic-profile/view/1878127","18-1878127")</f>
        <v>0</v>
      </c>
      <c r="B734" t="s">
        <v>10</v>
      </c>
      <c r="H734" t="s">
        <v>19</v>
      </c>
    </row>
    <row r="735" spans="1:8">
      <c r="A735" s="1">
        <f>HYPERLINK("https://cms.ls-nyc.org/matter/dynamic-profile/view/1891035","19-1891035")</f>
        <v>0</v>
      </c>
      <c r="B735" t="s">
        <v>10</v>
      </c>
      <c r="F735" t="s">
        <v>17</v>
      </c>
      <c r="G735" t="s">
        <v>18</v>
      </c>
      <c r="H735" t="s">
        <v>20</v>
      </c>
    </row>
    <row r="736" spans="1:8">
      <c r="A736" s="1">
        <f>HYPERLINK("https://cms.ls-nyc.org/matter/dynamic-profile/view/1860289","18-1860289")</f>
        <v>0</v>
      </c>
      <c r="B736" t="s">
        <v>10</v>
      </c>
      <c r="D736" t="s">
        <v>15</v>
      </c>
      <c r="F736" t="s">
        <v>17</v>
      </c>
      <c r="H736" t="s">
        <v>20</v>
      </c>
    </row>
    <row r="737" spans="1:8">
      <c r="A737" s="1">
        <f>HYPERLINK("https://cms.ls-nyc.org/matter/dynamic-profile/view/1871738","18-1871738")</f>
        <v>0</v>
      </c>
      <c r="B737" t="s">
        <v>9</v>
      </c>
      <c r="H737" t="s">
        <v>19</v>
      </c>
    </row>
    <row r="738" spans="1:8">
      <c r="A738" s="1">
        <f>HYPERLINK("https://cms.ls-nyc.org/matter/dynamic-profile/view/1897622","19-1897622")</f>
        <v>0</v>
      </c>
      <c r="B738" t="s">
        <v>12</v>
      </c>
      <c r="H738" t="s">
        <v>19</v>
      </c>
    </row>
    <row r="739" spans="1:8">
      <c r="A739" s="1">
        <f>HYPERLINK("https://cms.ls-nyc.org/matter/dynamic-profile/view/1897652","19-1897652")</f>
        <v>0</v>
      </c>
      <c r="B739" t="s">
        <v>12</v>
      </c>
      <c r="H739" t="s">
        <v>19</v>
      </c>
    </row>
    <row r="740" spans="1:8">
      <c r="A740" s="1">
        <f>HYPERLINK("https://cms.ls-nyc.org/matter/dynamic-profile/view/1897636","19-1897636")</f>
        <v>0</v>
      </c>
      <c r="B740" t="s">
        <v>12</v>
      </c>
      <c r="H740" t="s">
        <v>19</v>
      </c>
    </row>
    <row r="741" spans="1:8">
      <c r="A741" s="1">
        <f>HYPERLINK("https://cms.ls-nyc.org/matter/dynamic-profile/view/1858775","18-1858775")</f>
        <v>0</v>
      </c>
      <c r="B741" t="s">
        <v>10</v>
      </c>
      <c r="D741" t="s">
        <v>15</v>
      </c>
      <c r="E741" t="s">
        <v>16</v>
      </c>
      <c r="H741" t="s">
        <v>20</v>
      </c>
    </row>
    <row r="742" spans="1:8">
      <c r="A742" s="1">
        <f>HYPERLINK("https://cms.ls-nyc.org/matter/dynamic-profile/view/0820939","16-0820939")</f>
        <v>0</v>
      </c>
      <c r="B742" t="s">
        <v>9</v>
      </c>
      <c r="D742" t="s">
        <v>15</v>
      </c>
      <c r="E742" t="s">
        <v>16</v>
      </c>
      <c r="H742" t="s">
        <v>20</v>
      </c>
    </row>
    <row r="743" spans="1:8">
      <c r="A743" s="1">
        <f>HYPERLINK("https://cms.ls-nyc.org/matter/dynamic-profile/view/1884734","18-1884734")</f>
        <v>0</v>
      </c>
      <c r="B743" t="s">
        <v>9</v>
      </c>
      <c r="D743" t="s">
        <v>15</v>
      </c>
      <c r="H743" t="s">
        <v>20</v>
      </c>
    </row>
    <row r="744" spans="1:8">
      <c r="A744" s="1">
        <f>HYPERLINK("https://cms.ls-nyc.org/matter/dynamic-profile/view/1886330","18-1886330")</f>
        <v>0</v>
      </c>
      <c r="B744" t="s">
        <v>9</v>
      </c>
      <c r="H744" t="s">
        <v>19</v>
      </c>
    </row>
    <row r="745" spans="1:8">
      <c r="A745" s="1">
        <f>HYPERLINK("https://cms.ls-nyc.org/matter/dynamic-profile/view/1898849","19-1898849")</f>
        <v>0</v>
      </c>
      <c r="B745" t="s">
        <v>10</v>
      </c>
      <c r="H745" t="s">
        <v>19</v>
      </c>
    </row>
    <row r="746" spans="1:8">
      <c r="A746" s="1">
        <f>HYPERLINK("https://cms.ls-nyc.org/matter/dynamic-profile/view/1878493","18-1878493")</f>
        <v>0</v>
      </c>
      <c r="B746" t="s">
        <v>11</v>
      </c>
      <c r="H746" t="s">
        <v>19</v>
      </c>
    </row>
    <row r="747" spans="1:8">
      <c r="A747" s="1">
        <f>HYPERLINK("https://cms.ls-nyc.org/matter/dynamic-profile/view/1883688","18-1883688")</f>
        <v>0</v>
      </c>
      <c r="B747" t="s">
        <v>11</v>
      </c>
      <c r="H747" t="s">
        <v>19</v>
      </c>
    </row>
    <row r="748" spans="1:8">
      <c r="A748" s="1">
        <f>HYPERLINK("https://cms.ls-nyc.org/matter/dynamic-profile/view/1865272","18-1865272")</f>
        <v>0</v>
      </c>
      <c r="B748" t="s">
        <v>10</v>
      </c>
      <c r="D748" t="s">
        <v>15</v>
      </c>
      <c r="E748" t="s">
        <v>16</v>
      </c>
      <c r="H748" t="s">
        <v>20</v>
      </c>
    </row>
    <row r="749" spans="1:8">
      <c r="A749" s="1">
        <f>HYPERLINK("https://cms.ls-nyc.org/matter/dynamic-profile/view/1857233","18-1857233")</f>
        <v>0</v>
      </c>
      <c r="B749" t="s">
        <v>9</v>
      </c>
      <c r="D749" t="s">
        <v>15</v>
      </c>
      <c r="H749" t="s">
        <v>20</v>
      </c>
    </row>
    <row r="750" spans="1:8">
      <c r="A750" s="1">
        <f>HYPERLINK("https://cms.ls-nyc.org/matter/dynamic-profile/view/1875807","18-1875807")</f>
        <v>0</v>
      </c>
      <c r="B750" t="s">
        <v>9</v>
      </c>
      <c r="C750" t="s">
        <v>13</v>
      </c>
      <c r="D750" t="s">
        <v>14</v>
      </c>
      <c r="E750" t="s">
        <v>16</v>
      </c>
      <c r="G750" t="s">
        <v>18</v>
      </c>
      <c r="H750" t="s">
        <v>20</v>
      </c>
    </row>
    <row r="751" spans="1:8">
      <c r="A751" s="1">
        <f>HYPERLINK("https://cms.ls-nyc.org/matter/dynamic-profile/view/1844003","17-1844003")</f>
        <v>0</v>
      </c>
      <c r="B751" t="s">
        <v>8</v>
      </c>
      <c r="D751" t="s">
        <v>15</v>
      </c>
      <c r="E751" t="s">
        <v>16</v>
      </c>
      <c r="H751" t="s">
        <v>20</v>
      </c>
    </row>
    <row r="752" spans="1:8">
      <c r="A752" s="1">
        <f>HYPERLINK("https://cms.ls-nyc.org/matter/dynamic-profile/view/1900257","19-1900257")</f>
        <v>0</v>
      </c>
      <c r="B752" t="s">
        <v>9</v>
      </c>
      <c r="C752" t="s">
        <v>13</v>
      </c>
      <c r="D752" t="s">
        <v>14</v>
      </c>
      <c r="E752" t="s">
        <v>16</v>
      </c>
      <c r="G752" t="s">
        <v>18</v>
      </c>
      <c r="H752" t="s">
        <v>20</v>
      </c>
    </row>
    <row r="753" spans="1:8">
      <c r="A753" s="1">
        <f>HYPERLINK("https://cms.ls-nyc.org/matter/dynamic-profile/view/1900523","19-1900523")</f>
        <v>0</v>
      </c>
      <c r="B753" t="s">
        <v>10</v>
      </c>
      <c r="D753" t="s">
        <v>14</v>
      </c>
      <c r="H753" t="s">
        <v>20</v>
      </c>
    </row>
    <row r="754" spans="1:8">
      <c r="A754" s="1">
        <f>HYPERLINK("https://cms.ls-nyc.org/matter/dynamic-profile/view/1883232","18-1883232")</f>
        <v>0</v>
      </c>
      <c r="B754" t="s">
        <v>9</v>
      </c>
      <c r="C754" t="s">
        <v>13</v>
      </c>
      <c r="D754" t="s">
        <v>14</v>
      </c>
      <c r="E754" t="s">
        <v>16</v>
      </c>
      <c r="G754" t="s">
        <v>18</v>
      </c>
      <c r="H754" t="s">
        <v>20</v>
      </c>
    </row>
    <row r="755" spans="1:8">
      <c r="A755" s="1">
        <f>HYPERLINK("https://cms.ls-nyc.org/matter/dynamic-profile/view/1880493","18-1880493")</f>
        <v>0</v>
      </c>
      <c r="B755" t="s">
        <v>10</v>
      </c>
      <c r="H755" t="s">
        <v>19</v>
      </c>
    </row>
    <row r="756" spans="1:8">
      <c r="A756" s="1">
        <f>HYPERLINK("https://cms.ls-nyc.org/matter/dynamic-profile/view/1880507","18-1880507")</f>
        <v>0</v>
      </c>
      <c r="B756" t="s">
        <v>10</v>
      </c>
      <c r="H756" t="s">
        <v>19</v>
      </c>
    </row>
    <row r="757" spans="1:8">
      <c r="A757" s="1">
        <f>HYPERLINK("https://cms.ls-nyc.org/matter/dynamic-profile/view/1846632","17-1846632")</f>
        <v>0</v>
      </c>
      <c r="B757" t="s">
        <v>9</v>
      </c>
      <c r="D757" t="s">
        <v>15</v>
      </c>
      <c r="E757" t="s">
        <v>16</v>
      </c>
      <c r="H757" t="s">
        <v>20</v>
      </c>
    </row>
    <row r="758" spans="1:8">
      <c r="A758" s="1">
        <f>HYPERLINK("https://cms.ls-nyc.org/matter/dynamic-profile/view/1881365","18-1881365")</f>
        <v>0</v>
      </c>
      <c r="B758" t="s">
        <v>12</v>
      </c>
      <c r="H758" t="s">
        <v>19</v>
      </c>
    </row>
    <row r="759" spans="1:8">
      <c r="A759" s="1">
        <f>HYPERLINK("https://cms.ls-nyc.org/matter/dynamic-profile/view/1877277","18-1877277")</f>
        <v>0</v>
      </c>
      <c r="B759" t="s">
        <v>9</v>
      </c>
      <c r="F759" t="s">
        <v>17</v>
      </c>
      <c r="H759" t="s">
        <v>20</v>
      </c>
    </row>
    <row r="760" spans="1:8">
      <c r="A760" s="1">
        <f>HYPERLINK("https://cms.ls-nyc.org/matter/dynamic-profile/view/1897018","19-1897018")</f>
        <v>0</v>
      </c>
      <c r="B760" t="s">
        <v>9</v>
      </c>
      <c r="C760" t="s">
        <v>13</v>
      </c>
      <c r="D760" t="s">
        <v>14</v>
      </c>
      <c r="E760" t="s">
        <v>16</v>
      </c>
      <c r="G760" t="s">
        <v>18</v>
      </c>
      <c r="H760" t="s">
        <v>20</v>
      </c>
    </row>
    <row r="761" spans="1:8">
      <c r="A761" s="1">
        <f>HYPERLINK("https://cms.ls-nyc.org/matter/dynamic-profile/view/1857994","17-1857994")</f>
        <v>0</v>
      </c>
      <c r="B761" t="s">
        <v>9</v>
      </c>
      <c r="C761" t="s">
        <v>13</v>
      </c>
      <c r="D761" t="s">
        <v>15</v>
      </c>
      <c r="E761" t="s">
        <v>16</v>
      </c>
      <c r="H761" t="s">
        <v>20</v>
      </c>
    </row>
    <row r="762" spans="1:8">
      <c r="A762" s="1">
        <f>HYPERLINK("https://cms.ls-nyc.org/matter/dynamic-profile/view/0830679","17-0830679")</f>
        <v>0</v>
      </c>
      <c r="B762" t="s">
        <v>9</v>
      </c>
      <c r="D762" t="s">
        <v>15</v>
      </c>
      <c r="E762" t="s">
        <v>16</v>
      </c>
      <c r="H762" t="s">
        <v>20</v>
      </c>
    </row>
    <row r="763" spans="1:8">
      <c r="A763" s="1">
        <f>HYPERLINK("https://cms.ls-nyc.org/matter/dynamic-profile/view/1863302","18-1863302")</f>
        <v>0</v>
      </c>
      <c r="B763" t="s">
        <v>9</v>
      </c>
      <c r="H763" t="s">
        <v>19</v>
      </c>
    </row>
    <row r="764" spans="1:8">
      <c r="A764" s="1">
        <f>HYPERLINK("https://cms.ls-nyc.org/matter/dynamic-profile/view/1874668","18-1874668")</f>
        <v>0</v>
      </c>
      <c r="B764" t="s">
        <v>10</v>
      </c>
      <c r="H764" t="s">
        <v>19</v>
      </c>
    </row>
    <row r="765" spans="1:8">
      <c r="A765" s="1">
        <f>HYPERLINK("https://cms.ls-nyc.org/matter/dynamic-profile/view/1900209","19-1900209")</f>
        <v>0</v>
      </c>
      <c r="B765" t="s">
        <v>8</v>
      </c>
      <c r="H765" t="s">
        <v>19</v>
      </c>
    </row>
    <row r="766" spans="1:8">
      <c r="A766" s="1">
        <f>HYPERLINK("https://cms.ls-nyc.org/matter/dynamic-profile/view/1862825","18-1862825")</f>
        <v>0</v>
      </c>
      <c r="B766" t="s">
        <v>9</v>
      </c>
      <c r="C766" t="s">
        <v>13</v>
      </c>
      <c r="D766" t="s">
        <v>14</v>
      </c>
      <c r="E766" t="s">
        <v>16</v>
      </c>
      <c r="G766" t="s">
        <v>18</v>
      </c>
      <c r="H766" t="s">
        <v>20</v>
      </c>
    </row>
    <row r="767" spans="1:8">
      <c r="A767" s="1">
        <f>HYPERLINK("https://cms.ls-nyc.org/matter/dynamic-profile/view/1894805","19-1894805")</f>
        <v>0</v>
      </c>
      <c r="B767" t="s">
        <v>9</v>
      </c>
      <c r="H767" t="s">
        <v>19</v>
      </c>
    </row>
    <row r="768" spans="1:8">
      <c r="A768" s="1">
        <f>HYPERLINK("https://cms.ls-nyc.org/matter/dynamic-profile/view/1899554","19-1899554")</f>
        <v>0</v>
      </c>
      <c r="B768" t="s">
        <v>9</v>
      </c>
      <c r="H768" t="s">
        <v>19</v>
      </c>
    </row>
    <row r="769" spans="1:8">
      <c r="A769" s="1">
        <f>HYPERLINK("https://cms.ls-nyc.org/matter/dynamic-profile/view/1890801","19-1890801")</f>
        <v>0</v>
      </c>
      <c r="B769" t="s">
        <v>10</v>
      </c>
      <c r="H769" t="s">
        <v>19</v>
      </c>
    </row>
    <row r="770" spans="1:8">
      <c r="A770" s="1">
        <f>HYPERLINK("https://cms.ls-nyc.org/matter/dynamic-profile/view/1890793","19-1890793")</f>
        <v>0</v>
      </c>
      <c r="B770" t="s">
        <v>10</v>
      </c>
      <c r="H770" t="s">
        <v>19</v>
      </c>
    </row>
    <row r="771" spans="1:8">
      <c r="A771" s="1">
        <f>HYPERLINK("https://cms.ls-nyc.org/matter/dynamic-profile/view/1862833","18-1862833")</f>
        <v>0</v>
      </c>
      <c r="B771" t="s">
        <v>10</v>
      </c>
      <c r="D771" t="s">
        <v>15</v>
      </c>
      <c r="E771" t="s">
        <v>16</v>
      </c>
      <c r="H771" t="s">
        <v>20</v>
      </c>
    </row>
    <row r="772" spans="1:8">
      <c r="A772" s="1">
        <f>HYPERLINK("https://cms.ls-nyc.org/matter/dynamic-profile/view/1889000","19-1889000")</f>
        <v>0</v>
      </c>
      <c r="B772" t="s">
        <v>10</v>
      </c>
      <c r="H772" t="s">
        <v>19</v>
      </c>
    </row>
    <row r="773" spans="1:8">
      <c r="A773" s="1">
        <f>HYPERLINK("https://cms.ls-nyc.org/matter/dynamic-profile/view/1874194","18-1874194")</f>
        <v>0</v>
      </c>
      <c r="B773" t="s">
        <v>12</v>
      </c>
      <c r="H773" t="s">
        <v>19</v>
      </c>
    </row>
    <row r="774" spans="1:8">
      <c r="A774" s="1">
        <f>HYPERLINK("https://cms.ls-nyc.org/matter/dynamic-profile/view/1895955","19-1895955")</f>
        <v>0</v>
      </c>
      <c r="B774" t="s">
        <v>8</v>
      </c>
      <c r="H774" t="s">
        <v>19</v>
      </c>
    </row>
    <row r="775" spans="1:8">
      <c r="A775" s="1">
        <f>HYPERLINK("https://cms.ls-nyc.org/matter/dynamic-profile/view/1899914","19-1899914")</f>
        <v>0</v>
      </c>
      <c r="B775" t="s">
        <v>10</v>
      </c>
      <c r="D775" t="s">
        <v>14</v>
      </c>
      <c r="H775" t="s">
        <v>20</v>
      </c>
    </row>
    <row r="776" spans="1:8">
      <c r="A776" s="1">
        <f>HYPERLINK("https://cms.ls-nyc.org/matter/dynamic-profile/view/1887510","19-1887510")</f>
        <v>0</v>
      </c>
      <c r="B776" t="s">
        <v>12</v>
      </c>
      <c r="H776" t="s">
        <v>19</v>
      </c>
    </row>
    <row r="777" spans="1:8">
      <c r="A777" s="1">
        <f>HYPERLINK("https://cms.ls-nyc.org/matter/dynamic-profile/view/1890543","19-1890543")</f>
        <v>0</v>
      </c>
      <c r="B777" t="s">
        <v>9</v>
      </c>
      <c r="E777" t="s">
        <v>16</v>
      </c>
      <c r="F777" t="s">
        <v>17</v>
      </c>
      <c r="H777" t="s">
        <v>20</v>
      </c>
    </row>
    <row r="778" spans="1:8">
      <c r="A778" s="1">
        <f>HYPERLINK("https://cms.ls-nyc.org/matter/dynamic-profile/view/1891478","19-1891478")</f>
        <v>0</v>
      </c>
      <c r="B778" t="s">
        <v>9</v>
      </c>
      <c r="E778" t="s">
        <v>16</v>
      </c>
      <c r="F778" t="s">
        <v>17</v>
      </c>
      <c r="H778" t="s">
        <v>20</v>
      </c>
    </row>
    <row r="779" spans="1:8">
      <c r="A779" s="1">
        <f>HYPERLINK("https://cms.ls-nyc.org/matter/dynamic-profile/view/1898784","19-1898784")</f>
        <v>0</v>
      </c>
      <c r="B779" t="s">
        <v>8</v>
      </c>
      <c r="H779" t="s">
        <v>19</v>
      </c>
    </row>
    <row r="780" spans="1:8">
      <c r="A780" s="1">
        <f>HYPERLINK("https://cms.ls-nyc.org/matter/dynamic-profile/view/0823967","17-0823967")</f>
        <v>0</v>
      </c>
      <c r="B780" t="s">
        <v>10</v>
      </c>
      <c r="D780" t="s">
        <v>15</v>
      </c>
      <c r="E780" t="s">
        <v>16</v>
      </c>
      <c r="H780" t="s">
        <v>20</v>
      </c>
    </row>
    <row r="781" spans="1:8">
      <c r="A781" s="1">
        <f>HYPERLINK("https://cms.ls-nyc.org/matter/dynamic-profile/view/1885681","18-1885681")</f>
        <v>0</v>
      </c>
      <c r="B781" t="s">
        <v>10</v>
      </c>
      <c r="H781" t="s">
        <v>19</v>
      </c>
    </row>
    <row r="782" spans="1:8">
      <c r="A782" s="1">
        <f>HYPERLINK("https://cms.ls-nyc.org/matter/dynamic-profile/view/1851588","17-1851588")</f>
        <v>0</v>
      </c>
      <c r="B782" t="s">
        <v>9</v>
      </c>
      <c r="D782" t="s">
        <v>15</v>
      </c>
      <c r="E782" t="s">
        <v>16</v>
      </c>
      <c r="H782" t="s">
        <v>20</v>
      </c>
    </row>
    <row r="783" spans="1:8">
      <c r="A783" s="1">
        <f>HYPERLINK("https://cms.ls-nyc.org/matter/dynamic-profile/view/1874691","18-1874691")</f>
        <v>0</v>
      </c>
      <c r="B783" t="s">
        <v>9</v>
      </c>
      <c r="H783" t="s">
        <v>19</v>
      </c>
    </row>
    <row r="784" spans="1:8">
      <c r="A784" s="1">
        <f>HYPERLINK("https://cms.ls-nyc.org/matter/dynamic-profile/view/1866254","18-1866254")</f>
        <v>0</v>
      </c>
      <c r="B784" t="s">
        <v>10</v>
      </c>
      <c r="H784" t="s">
        <v>19</v>
      </c>
    </row>
    <row r="785" spans="1:8">
      <c r="A785" s="1">
        <f>HYPERLINK("https://cms.ls-nyc.org/matter/dynamic-profile/view/1887903","19-1887903")</f>
        <v>0</v>
      </c>
      <c r="B785" t="s">
        <v>9</v>
      </c>
      <c r="H785" t="s">
        <v>19</v>
      </c>
    </row>
    <row r="786" spans="1:8">
      <c r="A786" s="1">
        <f>HYPERLINK("https://cms.ls-nyc.org/matter/dynamic-profile/view/1846774","17-1846774")</f>
        <v>0</v>
      </c>
      <c r="B786" t="s">
        <v>12</v>
      </c>
      <c r="D786" t="s">
        <v>15</v>
      </c>
      <c r="H786" t="s">
        <v>20</v>
      </c>
    </row>
    <row r="787" spans="1:8">
      <c r="A787" s="1">
        <f>HYPERLINK("https://cms.ls-nyc.org/matter/dynamic-profile/view/1859394","18-1859394")</f>
        <v>0</v>
      </c>
      <c r="B787" t="s">
        <v>10</v>
      </c>
      <c r="D787" t="s">
        <v>15</v>
      </c>
      <c r="E787" t="s">
        <v>16</v>
      </c>
      <c r="H787" t="s">
        <v>20</v>
      </c>
    </row>
    <row r="788" spans="1:8">
      <c r="A788" s="1">
        <f>HYPERLINK("https://cms.ls-nyc.org/matter/dynamic-profile/view/1882115","18-1882115")</f>
        <v>0</v>
      </c>
      <c r="B788" t="s">
        <v>10</v>
      </c>
      <c r="H788" t="s">
        <v>19</v>
      </c>
    </row>
    <row r="789" spans="1:8">
      <c r="A789" s="1">
        <f>HYPERLINK("https://cms.ls-nyc.org/matter/dynamic-profile/view/1888329","19-1888329")</f>
        <v>0</v>
      </c>
      <c r="B789" t="s">
        <v>10</v>
      </c>
      <c r="D789" t="s">
        <v>14</v>
      </c>
      <c r="H789" t="s">
        <v>20</v>
      </c>
    </row>
    <row r="790" spans="1:8">
      <c r="A790" s="1">
        <f>HYPERLINK("https://cms.ls-nyc.org/matter/dynamic-profile/view/1840381","17-1840381")</f>
        <v>0</v>
      </c>
      <c r="B790" t="s">
        <v>9</v>
      </c>
      <c r="D790" t="s">
        <v>15</v>
      </c>
      <c r="E790" t="s">
        <v>16</v>
      </c>
      <c r="H790" t="s">
        <v>20</v>
      </c>
    </row>
    <row r="791" spans="1:8">
      <c r="A791" s="1">
        <f>HYPERLINK("https://cms.ls-nyc.org/matter/dynamic-profile/view/0808046","16-0808046")</f>
        <v>0</v>
      </c>
      <c r="B791" t="s">
        <v>9</v>
      </c>
      <c r="C791" t="s">
        <v>13</v>
      </c>
      <c r="D791" t="s">
        <v>15</v>
      </c>
      <c r="E791" t="s">
        <v>16</v>
      </c>
      <c r="H791" t="s">
        <v>20</v>
      </c>
    </row>
    <row r="792" spans="1:8">
      <c r="A792" s="1">
        <f>HYPERLINK("https://cms.ls-nyc.org/matter/dynamic-profile/view/0816867","16-0816867")</f>
        <v>0</v>
      </c>
      <c r="B792" t="s">
        <v>10</v>
      </c>
      <c r="D792" t="s">
        <v>15</v>
      </c>
      <c r="E792" t="s">
        <v>16</v>
      </c>
      <c r="F792" t="s">
        <v>17</v>
      </c>
      <c r="H792" t="s">
        <v>20</v>
      </c>
    </row>
    <row r="793" spans="1:8">
      <c r="A793" s="1">
        <f>HYPERLINK("https://cms.ls-nyc.org/matter/dynamic-profile/view/1871979","18-1871979")</f>
        <v>0</v>
      </c>
      <c r="B793" t="s">
        <v>9</v>
      </c>
      <c r="H793" t="s">
        <v>19</v>
      </c>
    </row>
    <row r="794" spans="1:8">
      <c r="A794" s="1">
        <f>HYPERLINK("https://cms.ls-nyc.org/matter/dynamic-profile/view/1886699","18-1886699")</f>
        <v>0</v>
      </c>
      <c r="B794" t="s">
        <v>10</v>
      </c>
      <c r="H794" t="s">
        <v>19</v>
      </c>
    </row>
    <row r="795" spans="1:8">
      <c r="A795" s="1">
        <f>HYPERLINK("https://cms.ls-nyc.org/matter/dynamic-profile/view/1880059","18-1880059")</f>
        <v>0</v>
      </c>
      <c r="B795" t="s">
        <v>9</v>
      </c>
      <c r="C795" t="s">
        <v>13</v>
      </c>
      <c r="E795" t="s">
        <v>16</v>
      </c>
      <c r="F795" t="s">
        <v>17</v>
      </c>
      <c r="H795" t="s">
        <v>20</v>
      </c>
    </row>
    <row r="796" spans="1:8">
      <c r="A796" s="1">
        <f>HYPERLINK("https://cms.ls-nyc.org/matter/dynamic-profile/view/1880062","18-1880062")</f>
        <v>0</v>
      </c>
      <c r="B796" t="s">
        <v>9</v>
      </c>
      <c r="C796" t="s">
        <v>13</v>
      </c>
      <c r="E796" t="s">
        <v>16</v>
      </c>
      <c r="F796" t="s">
        <v>17</v>
      </c>
      <c r="H796" t="s">
        <v>20</v>
      </c>
    </row>
    <row r="797" spans="1:8">
      <c r="A797" s="1">
        <f>HYPERLINK("https://cms.ls-nyc.org/matter/dynamic-profile/view/1880054","18-1880054")</f>
        <v>0</v>
      </c>
      <c r="B797" t="s">
        <v>9</v>
      </c>
      <c r="C797" t="s">
        <v>13</v>
      </c>
      <c r="D797" t="s">
        <v>15</v>
      </c>
      <c r="E797" t="s">
        <v>16</v>
      </c>
      <c r="F797" t="s">
        <v>17</v>
      </c>
      <c r="H797" t="s">
        <v>20</v>
      </c>
    </row>
    <row r="798" spans="1:8">
      <c r="A798" s="1">
        <f>HYPERLINK("https://cms.ls-nyc.org/matter/dynamic-profile/view/1880052","18-1880052")</f>
        <v>0</v>
      </c>
      <c r="B798" t="s">
        <v>9</v>
      </c>
      <c r="C798" t="s">
        <v>13</v>
      </c>
      <c r="D798" t="s">
        <v>15</v>
      </c>
      <c r="E798" t="s">
        <v>16</v>
      </c>
      <c r="F798" t="s">
        <v>17</v>
      </c>
      <c r="H798" t="s">
        <v>20</v>
      </c>
    </row>
    <row r="799" spans="1:8">
      <c r="A799" s="1">
        <f>HYPERLINK("https://cms.ls-nyc.org/matter/dynamic-profile/view/1880041","18-1880041")</f>
        <v>0</v>
      </c>
      <c r="B799" t="s">
        <v>9</v>
      </c>
      <c r="C799" t="s">
        <v>13</v>
      </c>
      <c r="E799" t="s">
        <v>16</v>
      </c>
      <c r="F799" t="s">
        <v>17</v>
      </c>
      <c r="H799" t="s">
        <v>20</v>
      </c>
    </row>
    <row r="800" spans="1:8">
      <c r="A800" s="1">
        <f>HYPERLINK("https://cms.ls-nyc.org/matter/dynamic-profile/view/1893887","19-1893887")</f>
        <v>0</v>
      </c>
      <c r="B800" t="s">
        <v>8</v>
      </c>
      <c r="H800" t="s">
        <v>19</v>
      </c>
    </row>
    <row r="801" spans="1:8">
      <c r="A801" s="1">
        <f>HYPERLINK("https://cms.ls-nyc.org/matter/dynamic-profile/view/1893888","19-1893888")</f>
        <v>0</v>
      </c>
      <c r="B801" t="s">
        <v>10</v>
      </c>
      <c r="D801" t="s">
        <v>14</v>
      </c>
      <c r="H801" t="s">
        <v>20</v>
      </c>
    </row>
    <row r="802" spans="1:8">
      <c r="A802" s="1">
        <f>HYPERLINK("https://cms.ls-nyc.org/matter/dynamic-profile/view/1894235","19-1894235")</f>
        <v>0</v>
      </c>
      <c r="B802" t="s">
        <v>10</v>
      </c>
      <c r="H802" t="s">
        <v>19</v>
      </c>
    </row>
    <row r="803" spans="1:8">
      <c r="A803" s="1">
        <f>HYPERLINK("https://cms.ls-nyc.org/matter/dynamic-profile/view/1890012","19-1890012")</f>
        <v>0</v>
      </c>
      <c r="B803" t="s">
        <v>10</v>
      </c>
      <c r="H803" t="s">
        <v>19</v>
      </c>
    </row>
    <row r="804" spans="1:8">
      <c r="A804" s="1">
        <f>HYPERLINK("https://cms.ls-nyc.org/matter/dynamic-profile/view/1890008","19-1890008")</f>
        <v>0</v>
      </c>
      <c r="B804" t="s">
        <v>10</v>
      </c>
      <c r="H804" t="s">
        <v>19</v>
      </c>
    </row>
    <row r="805" spans="1:8">
      <c r="A805" s="1">
        <f>HYPERLINK("https://cms.ls-nyc.org/matter/dynamic-profile/view/1895890","19-1895890")</f>
        <v>0</v>
      </c>
      <c r="B805" t="s">
        <v>8</v>
      </c>
      <c r="H805" t="s">
        <v>19</v>
      </c>
    </row>
    <row r="806" spans="1:8">
      <c r="A806" s="1">
        <f>HYPERLINK("https://cms.ls-nyc.org/matter/dynamic-profile/view/1887194","19-1887194")</f>
        <v>0</v>
      </c>
      <c r="B806" t="s">
        <v>12</v>
      </c>
      <c r="D806" t="s">
        <v>14</v>
      </c>
      <c r="H806" t="s">
        <v>20</v>
      </c>
    </row>
    <row r="807" spans="1:8">
      <c r="A807" s="1">
        <f>HYPERLINK("https://cms.ls-nyc.org/matter/dynamic-profile/view/1897014","19-1897014")</f>
        <v>0</v>
      </c>
      <c r="B807" t="s">
        <v>9</v>
      </c>
      <c r="C807" t="s">
        <v>13</v>
      </c>
      <c r="E807" t="s">
        <v>16</v>
      </c>
      <c r="H807" t="s">
        <v>20</v>
      </c>
    </row>
    <row r="808" spans="1:8">
      <c r="A808" s="1">
        <f>HYPERLINK("https://cms.ls-nyc.org/matter/dynamic-profile/view/1885771","18-1885771")</f>
        <v>0</v>
      </c>
      <c r="B808" t="s">
        <v>9</v>
      </c>
      <c r="H808" t="s">
        <v>19</v>
      </c>
    </row>
    <row r="809" spans="1:8">
      <c r="A809" s="1">
        <f>HYPERLINK("https://cms.ls-nyc.org/matter/dynamic-profile/view/1878793","18-1878793")</f>
        <v>0</v>
      </c>
      <c r="B809" t="s">
        <v>8</v>
      </c>
      <c r="H809" t="s">
        <v>19</v>
      </c>
    </row>
    <row r="810" spans="1:8">
      <c r="A810" s="1">
        <f>HYPERLINK("https://cms.ls-nyc.org/matter/dynamic-profile/view/0814008","16-0814008")</f>
        <v>0</v>
      </c>
      <c r="B810" t="s">
        <v>9</v>
      </c>
      <c r="D810" t="s">
        <v>15</v>
      </c>
      <c r="E810" t="s">
        <v>16</v>
      </c>
      <c r="H810" t="s">
        <v>20</v>
      </c>
    </row>
    <row r="811" spans="1:8">
      <c r="A811" s="1">
        <f>HYPERLINK("https://cms.ls-nyc.org/matter/dynamic-profile/view/1872089","18-1872089")</f>
        <v>0</v>
      </c>
      <c r="B811" t="s">
        <v>9</v>
      </c>
      <c r="H811" t="s">
        <v>19</v>
      </c>
    </row>
    <row r="812" spans="1:8">
      <c r="A812" s="1">
        <f>HYPERLINK("https://cms.ls-nyc.org/matter/dynamic-profile/view/0816107","16-0816107")</f>
        <v>0</v>
      </c>
      <c r="B812" t="s">
        <v>10</v>
      </c>
      <c r="D812" t="s">
        <v>15</v>
      </c>
      <c r="E812" t="s">
        <v>16</v>
      </c>
      <c r="H812" t="s">
        <v>20</v>
      </c>
    </row>
    <row r="813" spans="1:8">
      <c r="A813" s="1">
        <f>HYPERLINK("https://cms.ls-nyc.org/matter/dynamic-profile/view/1875328","18-1875328")</f>
        <v>0</v>
      </c>
      <c r="B813" t="s">
        <v>10</v>
      </c>
      <c r="H813" t="s">
        <v>19</v>
      </c>
    </row>
    <row r="814" spans="1:8">
      <c r="A814" s="1">
        <f>HYPERLINK("https://cms.ls-nyc.org/matter/dynamic-profile/view/1886182","18-1886182")</f>
        <v>0</v>
      </c>
      <c r="B814" t="s">
        <v>12</v>
      </c>
      <c r="H814" t="s">
        <v>19</v>
      </c>
    </row>
    <row r="815" spans="1:8">
      <c r="A815" s="1">
        <f>HYPERLINK("https://cms.ls-nyc.org/matter/dynamic-profile/view/1876678","18-1876678")</f>
        <v>0</v>
      </c>
      <c r="B815" t="s">
        <v>10</v>
      </c>
      <c r="H815" t="s">
        <v>19</v>
      </c>
    </row>
    <row r="816" spans="1:8">
      <c r="A816" s="1">
        <f>HYPERLINK("https://cms.ls-nyc.org/matter/dynamic-profile/view/1886112","18-1886112")</f>
        <v>0</v>
      </c>
      <c r="B816" t="s">
        <v>10</v>
      </c>
      <c r="H816" t="s">
        <v>19</v>
      </c>
    </row>
    <row r="817" spans="1:8">
      <c r="A817" s="1">
        <f>HYPERLINK("https://cms.ls-nyc.org/matter/dynamic-profile/view/1876670","18-1876670")</f>
        <v>0</v>
      </c>
      <c r="B817" t="s">
        <v>10</v>
      </c>
      <c r="H817" t="s">
        <v>19</v>
      </c>
    </row>
    <row r="818" spans="1:8">
      <c r="A818" s="1">
        <f>HYPERLINK("https://cms.ls-nyc.org/matter/dynamic-profile/view/1896516","19-1896516")</f>
        <v>0</v>
      </c>
      <c r="B818" t="s">
        <v>10</v>
      </c>
      <c r="D818" t="s">
        <v>14</v>
      </c>
      <c r="H818" t="s">
        <v>20</v>
      </c>
    </row>
    <row r="819" spans="1:8">
      <c r="A819" s="1">
        <f>HYPERLINK("https://cms.ls-nyc.org/matter/dynamic-profile/view/1850022","17-1850022")</f>
        <v>0</v>
      </c>
      <c r="B819" t="s">
        <v>9</v>
      </c>
      <c r="D819" t="s">
        <v>15</v>
      </c>
      <c r="E819" t="s">
        <v>16</v>
      </c>
      <c r="H819" t="s">
        <v>20</v>
      </c>
    </row>
    <row r="820" spans="1:8">
      <c r="A820" s="1">
        <f>HYPERLINK("https://cms.ls-nyc.org/matter/dynamic-profile/view/1878241","18-1878241")</f>
        <v>0</v>
      </c>
      <c r="B820" t="s">
        <v>9</v>
      </c>
      <c r="C820" t="s">
        <v>13</v>
      </c>
      <c r="D820" t="s">
        <v>14</v>
      </c>
      <c r="E820" t="s">
        <v>16</v>
      </c>
      <c r="G820" t="s">
        <v>18</v>
      </c>
      <c r="H820" t="s">
        <v>20</v>
      </c>
    </row>
    <row r="821" spans="1:8">
      <c r="A821" s="1">
        <f>HYPERLINK("https://cms.ls-nyc.org/matter/dynamic-profile/view/1854569","17-1854569")</f>
        <v>0</v>
      </c>
      <c r="B821" t="s">
        <v>9</v>
      </c>
      <c r="D821" t="s">
        <v>15</v>
      </c>
      <c r="E821" t="s">
        <v>16</v>
      </c>
      <c r="F821" t="s">
        <v>17</v>
      </c>
      <c r="H821" t="s">
        <v>20</v>
      </c>
    </row>
    <row r="822" spans="1:8">
      <c r="A822" s="1">
        <f>HYPERLINK("https://cms.ls-nyc.org/matter/dynamic-profile/view/1886881","19-1886881")</f>
        <v>0</v>
      </c>
      <c r="B822" t="s">
        <v>10</v>
      </c>
      <c r="C822" t="s">
        <v>13</v>
      </c>
      <c r="D822" t="s">
        <v>14</v>
      </c>
      <c r="E822" t="s">
        <v>16</v>
      </c>
      <c r="F822" t="s">
        <v>17</v>
      </c>
      <c r="H822" t="s">
        <v>20</v>
      </c>
    </row>
    <row r="823" spans="1:8">
      <c r="A823" s="1">
        <f>HYPERLINK("https://cms.ls-nyc.org/matter/dynamic-profile/view/1898843","19-1898843")</f>
        <v>0</v>
      </c>
      <c r="B823" t="s">
        <v>12</v>
      </c>
      <c r="H823" t="s">
        <v>19</v>
      </c>
    </row>
    <row r="824" spans="1:8">
      <c r="A824" s="1">
        <f>HYPERLINK("https://cms.ls-nyc.org/matter/dynamic-profile/view/0814031","16-0814031")</f>
        <v>0</v>
      </c>
      <c r="B824" t="s">
        <v>9</v>
      </c>
      <c r="D824" t="s">
        <v>15</v>
      </c>
      <c r="E824" t="s">
        <v>16</v>
      </c>
      <c r="H824" t="s">
        <v>20</v>
      </c>
    </row>
    <row r="825" spans="1:8">
      <c r="A825" s="1">
        <f>HYPERLINK("https://cms.ls-nyc.org/matter/dynamic-profile/view/1898251","19-1898251")</f>
        <v>0</v>
      </c>
      <c r="B825" t="s">
        <v>9</v>
      </c>
      <c r="E825" t="s">
        <v>16</v>
      </c>
      <c r="F825" t="s">
        <v>17</v>
      </c>
      <c r="H825" t="s">
        <v>20</v>
      </c>
    </row>
    <row r="826" spans="1:8">
      <c r="A826" s="1">
        <f>HYPERLINK("https://cms.ls-nyc.org/matter/dynamic-profile/view/1898252","19-1898252")</f>
        <v>0</v>
      </c>
      <c r="B826" t="s">
        <v>9</v>
      </c>
      <c r="E826" t="s">
        <v>16</v>
      </c>
      <c r="F826" t="s">
        <v>17</v>
      </c>
      <c r="H826" t="s">
        <v>20</v>
      </c>
    </row>
    <row r="827" spans="1:8">
      <c r="A827" s="1">
        <f>HYPERLINK("https://cms.ls-nyc.org/matter/dynamic-profile/view/1897698","19-1897698")</f>
        <v>0</v>
      </c>
      <c r="B827" t="s">
        <v>11</v>
      </c>
      <c r="C827" t="s">
        <v>13</v>
      </c>
      <c r="D827" t="s">
        <v>14</v>
      </c>
      <c r="E827" t="s">
        <v>16</v>
      </c>
      <c r="G827" t="s">
        <v>18</v>
      </c>
      <c r="H827" t="s">
        <v>20</v>
      </c>
    </row>
    <row r="828" spans="1:8">
      <c r="A828" s="1">
        <f>HYPERLINK("https://cms.ls-nyc.org/matter/dynamic-profile/view/1880580","18-1880580")</f>
        <v>0</v>
      </c>
      <c r="B828" t="s">
        <v>10</v>
      </c>
      <c r="H828" t="s">
        <v>19</v>
      </c>
    </row>
    <row r="829" spans="1:8">
      <c r="A829" s="1">
        <f>HYPERLINK("https://cms.ls-nyc.org/matter/dynamic-profile/view/1870597","18-1870597")</f>
        <v>0</v>
      </c>
      <c r="B829" t="s">
        <v>9</v>
      </c>
      <c r="D829" t="s">
        <v>15</v>
      </c>
      <c r="E829" t="s">
        <v>16</v>
      </c>
      <c r="H829" t="s">
        <v>20</v>
      </c>
    </row>
    <row r="830" spans="1:8">
      <c r="A830" s="1">
        <f>HYPERLINK("https://cms.ls-nyc.org/matter/dynamic-profile/view/1896412","19-1896412")</f>
        <v>0</v>
      </c>
      <c r="B830" t="s">
        <v>11</v>
      </c>
      <c r="H830" t="s">
        <v>19</v>
      </c>
    </row>
    <row r="831" spans="1:8">
      <c r="A831" s="1">
        <f>HYPERLINK("https://cms.ls-nyc.org/matter/dynamic-profile/view/1868346","18-1868346")</f>
        <v>0</v>
      </c>
      <c r="B831" t="s">
        <v>10</v>
      </c>
      <c r="D831" t="s">
        <v>15</v>
      </c>
      <c r="E831" t="s">
        <v>16</v>
      </c>
      <c r="H831" t="s">
        <v>20</v>
      </c>
    </row>
    <row r="832" spans="1:8">
      <c r="A832" s="1">
        <f>HYPERLINK("https://cms.ls-nyc.org/matter/dynamic-profile/view/1872189","18-1872189")</f>
        <v>0</v>
      </c>
      <c r="B832" t="s">
        <v>10</v>
      </c>
      <c r="D832" t="s">
        <v>15</v>
      </c>
      <c r="E832" t="s">
        <v>16</v>
      </c>
      <c r="H832" t="s">
        <v>20</v>
      </c>
    </row>
    <row r="833" spans="1:8">
      <c r="A833" s="1">
        <f>HYPERLINK("https://cms.ls-nyc.org/matter/dynamic-profile/view/1896360","19-1896360")</f>
        <v>0</v>
      </c>
      <c r="B833" t="s">
        <v>9</v>
      </c>
      <c r="C833" t="s">
        <v>13</v>
      </c>
      <c r="D833" t="s">
        <v>14</v>
      </c>
      <c r="E833" t="s">
        <v>16</v>
      </c>
      <c r="G833" t="s">
        <v>18</v>
      </c>
      <c r="H833" t="s">
        <v>20</v>
      </c>
    </row>
    <row r="834" spans="1:8">
      <c r="A834" s="1">
        <f>HYPERLINK("https://cms.ls-nyc.org/matter/dynamic-profile/view/1837471","17-1837471")</f>
        <v>0</v>
      </c>
      <c r="B834" t="s">
        <v>9</v>
      </c>
      <c r="C834" t="s">
        <v>13</v>
      </c>
      <c r="D834" t="s">
        <v>14</v>
      </c>
      <c r="E834" t="s">
        <v>16</v>
      </c>
      <c r="H834" t="s">
        <v>20</v>
      </c>
    </row>
    <row r="835" spans="1:8">
      <c r="A835" s="1">
        <f>HYPERLINK("https://cms.ls-nyc.org/matter/dynamic-profile/view/0822906","16-0822906")</f>
        <v>0</v>
      </c>
      <c r="B835" t="s">
        <v>9</v>
      </c>
      <c r="D835" t="s">
        <v>15</v>
      </c>
      <c r="E835" t="s">
        <v>16</v>
      </c>
      <c r="F835" t="s">
        <v>17</v>
      </c>
      <c r="H835" t="s">
        <v>20</v>
      </c>
    </row>
    <row r="836" spans="1:8">
      <c r="A836" s="1">
        <f>HYPERLINK("https://cms.ls-nyc.org/matter/dynamic-profile/view/1881736","18-1881736")</f>
        <v>0</v>
      </c>
      <c r="B836" t="s">
        <v>9</v>
      </c>
      <c r="C836" t="s">
        <v>13</v>
      </c>
      <c r="D836" t="s">
        <v>14</v>
      </c>
      <c r="E836" t="s">
        <v>16</v>
      </c>
      <c r="H836" t="s">
        <v>20</v>
      </c>
    </row>
    <row r="837" spans="1:8">
      <c r="A837" s="1">
        <f>HYPERLINK("https://cms.ls-nyc.org/matter/dynamic-profile/view/1861782","18-1861782")</f>
        <v>0</v>
      </c>
      <c r="B837" t="s">
        <v>9</v>
      </c>
      <c r="C837" t="s">
        <v>13</v>
      </c>
      <c r="D837" t="s">
        <v>14</v>
      </c>
      <c r="E837" t="s">
        <v>16</v>
      </c>
      <c r="G837" t="s">
        <v>18</v>
      </c>
      <c r="H837" t="s">
        <v>20</v>
      </c>
    </row>
    <row r="838" spans="1:8">
      <c r="A838" s="1">
        <f>HYPERLINK("https://cms.ls-nyc.org/matter/dynamic-profile/view/1890532","19-1890532")</f>
        <v>0</v>
      </c>
      <c r="B838" t="s">
        <v>9</v>
      </c>
      <c r="E838" t="s">
        <v>16</v>
      </c>
      <c r="F838" t="s">
        <v>17</v>
      </c>
      <c r="H838" t="s">
        <v>20</v>
      </c>
    </row>
    <row r="839" spans="1:8">
      <c r="A839" s="1">
        <f>HYPERLINK("https://cms.ls-nyc.org/matter/dynamic-profile/view/1891856","19-1891856")</f>
        <v>0</v>
      </c>
      <c r="B839" t="s">
        <v>9</v>
      </c>
      <c r="E839" t="s">
        <v>16</v>
      </c>
      <c r="F839" t="s">
        <v>17</v>
      </c>
      <c r="H839" t="s">
        <v>20</v>
      </c>
    </row>
    <row r="840" spans="1:8">
      <c r="A840" s="1">
        <f>HYPERLINK("https://cms.ls-nyc.org/matter/dynamic-profile/view/1900951","19-1900951")</f>
        <v>0</v>
      </c>
      <c r="B840" t="s">
        <v>10</v>
      </c>
      <c r="D840" t="s">
        <v>14</v>
      </c>
      <c r="E840" t="s">
        <v>16</v>
      </c>
      <c r="H840" t="s">
        <v>20</v>
      </c>
    </row>
    <row r="841" spans="1:8">
      <c r="A841" s="1">
        <f>HYPERLINK("https://cms.ls-nyc.org/matter/dynamic-profile/view/1872780","18-1872780")</f>
        <v>0</v>
      </c>
      <c r="B841" t="s">
        <v>10</v>
      </c>
      <c r="D841" t="s">
        <v>15</v>
      </c>
      <c r="E841" t="s">
        <v>16</v>
      </c>
      <c r="H841" t="s">
        <v>20</v>
      </c>
    </row>
    <row r="842" spans="1:8">
      <c r="A842" s="1">
        <f>HYPERLINK("https://cms.ls-nyc.org/matter/dynamic-profile/view/1872785","18-1872785")</f>
        <v>0</v>
      </c>
      <c r="B842" t="s">
        <v>10</v>
      </c>
      <c r="D842" t="s">
        <v>15</v>
      </c>
      <c r="E842" t="s">
        <v>16</v>
      </c>
      <c r="H842" t="s">
        <v>20</v>
      </c>
    </row>
    <row r="843" spans="1:8">
      <c r="A843" s="1">
        <f>HYPERLINK("https://cms.ls-nyc.org/matter/dynamic-profile/view/1842875","17-1842875")</f>
        <v>0</v>
      </c>
      <c r="B843" t="s">
        <v>11</v>
      </c>
      <c r="D843" t="s">
        <v>15</v>
      </c>
      <c r="H843" t="s">
        <v>20</v>
      </c>
    </row>
    <row r="844" spans="1:8">
      <c r="A844" s="1">
        <f>HYPERLINK("https://cms.ls-nyc.org/matter/dynamic-profile/view/1872934","18-1872934")</f>
        <v>0</v>
      </c>
      <c r="B844" t="s">
        <v>9</v>
      </c>
      <c r="H844" t="s">
        <v>19</v>
      </c>
    </row>
    <row r="845" spans="1:8">
      <c r="A845" s="1">
        <f>HYPERLINK("https://cms.ls-nyc.org/matter/dynamic-profile/view/1895967","19-1895967")</f>
        <v>0</v>
      </c>
      <c r="B845" t="s">
        <v>10</v>
      </c>
      <c r="C845" t="s">
        <v>13</v>
      </c>
      <c r="D845" t="s">
        <v>14</v>
      </c>
      <c r="E845" t="s">
        <v>16</v>
      </c>
      <c r="H845" t="s">
        <v>20</v>
      </c>
    </row>
    <row r="846" spans="1:8">
      <c r="A846" s="1">
        <f>HYPERLINK("https://cms.ls-nyc.org/matter/dynamic-profile/view/1895541","19-1895541")</f>
        <v>0</v>
      </c>
      <c r="B846" t="s">
        <v>9</v>
      </c>
      <c r="H846" t="s">
        <v>19</v>
      </c>
    </row>
    <row r="847" spans="1:8">
      <c r="A847" s="1">
        <f>HYPERLINK("https://cms.ls-nyc.org/matter/dynamic-profile/view/0822954","16-0822954")</f>
        <v>0</v>
      </c>
      <c r="B847" t="s">
        <v>9</v>
      </c>
      <c r="D847" t="s">
        <v>15</v>
      </c>
      <c r="H847" t="s">
        <v>20</v>
      </c>
    </row>
    <row r="848" spans="1:8">
      <c r="A848" s="1">
        <f>HYPERLINK("https://cms.ls-nyc.org/matter/dynamic-profile/view/0822900","16-0822900")</f>
        <v>0</v>
      </c>
      <c r="B848" t="s">
        <v>9</v>
      </c>
      <c r="D848" t="s">
        <v>15</v>
      </c>
      <c r="E848" t="s">
        <v>16</v>
      </c>
      <c r="H848" t="s">
        <v>20</v>
      </c>
    </row>
    <row r="849" spans="1:8">
      <c r="A849" s="1">
        <f>HYPERLINK("https://cms.ls-nyc.org/matter/dynamic-profile/view/1890266","19-1890266")</f>
        <v>0</v>
      </c>
      <c r="B849" t="s">
        <v>10</v>
      </c>
      <c r="H849" t="s">
        <v>19</v>
      </c>
    </row>
    <row r="850" spans="1:8">
      <c r="A850" s="1">
        <f>HYPERLINK("https://cms.ls-nyc.org/matter/dynamic-profile/view/1857421","18-1857421")</f>
        <v>0</v>
      </c>
      <c r="B850" t="s">
        <v>11</v>
      </c>
      <c r="C850" t="s">
        <v>13</v>
      </c>
      <c r="D850" t="s">
        <v>15</v>
      </c>
      <c r="E850" t="s">
        <v>16</v>
      </c>
      <c r="H850" t="s">
        <v>20</v>
      </c>
    </row>
    <row r="851" spans="1:8">
      <c r="A851" s="1">
        <f>HYPERLINK("https://cms.ls-nyc.org/matter/dynamic-profile/view/1868961","18-1868961")</f>
        <v>0</v>
      </c>
      <c r="B851" t="s">
        <v>9</v>
      </c>
      <c r="D851" t="s">
        <v>15</v>
      </c>
      <c r="E851" t="s">
        <v>16</v>
      </c>
      <c r="H851" t="s">
        <v>20</v>
      </c>
    </row>
    <row r="852" spans="1:8">
      <c r="A852" s="1">
        <f>HYPERLINK("https://cms.ls-nyc.org/matter/dynamic-profile/view/1880450","18-1880450")</f>
        <v>0</v>
      </c>
      <c r="B852" t="s">
        <v>10</v>
      </c>
      <c r="H852" t="s">
        <v>19</v>
      </c>
    </row>
    <row r="853" spans="1:8">
      <c r="A853" s="1">
        <f>HYPERLINK("https://cms.ls-nyc.org/matter/dynamic-profile/view/1884535","18-1884535")</f>
        <v>0</v>
      </c>
      <c r="B853" t="s">
        <v>10</v>
      </c>
      <c r="H853" t="s">
        <v>19</v>
      </c>
    </row>
    <row r="854" spans="1:8">
      <c r="A854" s="1">
        <f>HYPERLINK("https://cms.ls-nyc.org/matter/dynamic-profile/view/1870983","18-1870983")</f>
        <v>0</v>
      </c>
      <c r="B854" t="s">
        <v>12</v>
      </c>
      <c r="D854" t="s">
        <v>15</v>
      </c>
      <c r="H854" t="s">
        <v>20</v>
      </c>
    </row>
    <row r="855" spans="1:8">
      <c r="A855" s="1">
        <f>HYPERLINK("https://cms.ls-nyc.org/matter/dynamic-profile/view/1863486","18-1863486")</f>
        <v>0</v>
      </c>
      <c r="B855" t="s">
        <v>9</v>
      </c>
      <c r="H855" t="s">
        <v>19</v>
      </c>
    </row>
    <row r="856" spans="1:8">
      <c r="A856" s="1">
        <f>HYPERLINK("https://cms.ls-nyc.org/matter/dynamic-profile/view/1833344","17-1833344")</f>
        <v>0</v>
      </c>
      <c r="B856" t="s">
        <v>9</v>
      </c>
      <c r="D856" t="s">
        <v>15</v>
      </c>
      <c r="E856" t="s">
        <v>16</v>
      </c>
      <c r="H856" t="s">
        <v>20</v>
      </c>
    </row>
    <row r="857" spans="1:8">
      <c r="A857" s="1">
        <f>HYPERLINK("https://cms.ls-nyc.org/matter/dynamic-profile/view/1879352","18-1879352")</f>
        <v>0</v>
      </c>
      <c r="B857" t="s">
        <v>8</v>
      </c>
      <c r="H857" t="s">
        <v>19</v>
      </c>
    </row>
    <row r="858" spans="1:8">
      <c r="A858" s="1">
        <f>HYPERLINK("https://cms.ls-nyc.org/matter/dynamic-profile/view/1863759","18-1863759")</f>
        <v>0</v>
      </c>
      <c r="B858" t="s">
        <v>12</v>
      </c>
      <c r="D858" t="s">
        <v>15</v>
      </c>
      <c r="H858" t="s">
        <v>20</v>
      </c>
    </row>
    <row r="859" spans="1:8">
      <c r="A859" s="1">
        <f>HYPERLINK("https://cms.ls-nyc.org/matter/dynamic-profile/view/1894362","19-1894362")</f>
        <v>0</v>
      </c>
      <c r="B859" t="s">
        <v>11</v>
      </c>
      <c r="C859" t="s">
        <v>13</v>
      </c>
      <c r="D859" t="s">
        <v>14</v>
      </c>
      <c r="E859" t="s">
        <v>16</v>
      </c>
      <c r="G859" t="s">
        <v>18</v>
      </c>
      <c r="H859" t="s">
        <v>20</v>
      </c>
    </row>
    <row r="860" spans="1:8">
      <c r="A860" s="1">
        <f>HYPERLINK("https://cms.ls-nyc.org/matter/dynamic-profile/view/1882145","18-1882145")</f>
        <v>0</v>
      </c>
      <c r="B860" t="s">
        <v>12</v>
      </c>
      <c r="H860" t="s">
        <v>19</v>
      </c>
    </row>
    <row r="861" spans="1:8">
      <c r="A861" s="1">
        <f>HYPERLINK("https://cms.ls-nyc.org/matter/dynamic-profile/view/1863837","18-1863837")</f>
        <v>0</v>
      </c>
      <c r="B861" t="s">
        <v>12</v>
      </c>
      <c r="D861" t="s">
        <v>15</v>
      </c>
      <c r="F861" t="s">
        <v>17</v>
      </c>
      <c r="H861" t="s">
        <v>20</v>
      </c>
    </row>
    <row r="862" spans="1:8">
      <c r="A862" s="1">
        <f>HYPERLINK("https://cms.ls-nyc.org/matter/dynamic-profile/view/1893217","19-1893217")</f>
        <v>0</v>
      </c>
      <c r="B862" t="s">
        <v>12</v>
      </c>
      <c r="H862" t="s">
        <v>19</v>
      </c>
    </row>
    <row r="863" spans="1:8">
      <c r="A863" s="1">
        <f>HYPERLINK("https://cms.ls-nyc.org/matter/dynamic-profile/view/1851487","17-1851487")</f>
        <v>0</v>
      </c>
      <c r="B863" t="s">
        <v>9</v>
      </c>
      <c r="D863" t="s">
        <v>15</v>
      </c>
      <c r="E863" t="s">
        <v>16</v>
      </c>
      <c r="H863" t="s">
        <v>20</v>
      </c>
    </row>
    <row r="864" spans="1:8">
      <c r="A864" s="1">
        <f>HYPERLINK("https://cms.ls-nyc.org/matter/dynamic-profile/view/1859917","18-1859917")</f>
        <v>0</v>
      </c>
      <c r="B864" t="s">
        <v>9</v>
      </c>
      <c r="C864" t="s">
        <v>13</v>
      </c>
      <c r="D864" t="s">
        <v>15</v>
      </c>
      <c r="E864" t="s">
        <v>16</v>
      </c>
      <c r="H864" t="s">
        <v>20</v>
      </c>
    </row>
    <row r="865" spans="1:8">
      <c r="A865" s="1">
        <f>HYPERLINK("https://cms.ls-nyc.org/matter/dynamic-profile/view/0822230","16-0822230")</f>
        <v>0</v>
      </c>
      <c r="B865" t="s">
        <v>10</v>
      </c>
      <c r="D865" t="s">
        <v>15</v>
      </c>
      <c r="E865" t="s">
        <v>16</v>
      </c>
      <c r="F865" t="s">
        <v>17</v>
      </c>
      <c r="H865" t="s">
        <v>20</v>
      </c>
    </row>
    <row r="866" spans="1:8">
      <c r="A866" s="1">
        <f>HYPERLINK("https://cms.ls-nyc.org/matter/dynamic-profile/view/1866109","18-1866109")</f>
        <v>0</v>
      </c>
      <c r="B866" t="s">
        <v>12</v>
      </c>
      <c r="D866" t="s">
        <v>15</v>
      </c>
      <c r="H866" t="s">
        <v>20</v>
      </c>
    </row>
    <row r="867" spans="1:8">
      <c r="A867" s="1">
        <f>HYPERLINK("https://cms.ls-nyc.org/matter/dynamic-profile/view/1868446","18-1868446")</f>
        <v>0</v>
      </c>
      <c r="B867" t="s">
        <v>12</v>
      </c>
      <c r="D867" t="s">
        <v>15</v>
      </c>
      <c r="H867" t="s">
        <v>20</v>
      </c>
    </row>
    <row r="868" spans="1:8">
      <c r="A868" s="1">
        <f>HYPERLINK("https://cms.ls-nyc.org/matter/dynamic-profile/view/1860954","18-1860954")</f>
        <v>0</v>
      </c>
      <c r="B868" t="s">
        <v>9</v>
      </c>
      <c r="D868" t="s">
        <v>15</v>
      </c>
      <c r="H868" t="s">
        <v>20</v>
      </c>
    </row>
    <row r="869" spans="1:8">
      <c r="A869" s="1">
        <f>HYPERLINK("https://cms.ls-nyc.org/matter/dynamic-profile/view/0828485","17-0828485")</f>
        <v>0</v>
      </c>
      <c r="B869" t="s">
        <v>10</v>
      </c>
      <c r="D869" t="s">
        <v>15</v>
      </c>
      <c r="H869" t="s">
        <v>20</v>
      </c>
    </row>
    <row r="870" spans="1:8">
      <c r="A870" s="1">
        <f>HYPERLINK("https://cms.ls-nyc.org/matter/dynamic-profile/view/1880858","18-1880858")</f>
        <v>0</v>
      </c>
      <c r="B870" t="s">
        <v>10</v>
      </c>
      <c r="H870" t="s">
        <v>19</v>
      </c>
    </row>
    <row r="871" spans="1:8">
      <c r="A871" s="1">
        <f>HYPERLINK("https://cms.ls-nyc.org/matter/dynamic-profile/view/1879912","18-1879912")</f>
        <v>0</v>
      </c>
      <c r="B871" t="s">
        <v>9</v>
      </c>
      <c r="H871" t="s">
        <v>19</v>
      </c>
    </row>
    <row r="872" spans="1:8">
      <c r="A872" s="1">
        <f>HYPERLINK("https://cms.ls-nyc.org/matter/dynamic-profile/view/1879917","18-1879917")</f>
        <v>0</v>
      </c>
      <c r="B872" t="s">
        <v>9</v>
      </c>
      <c r="H872" t="s">
        <v>19</v>
      </c>
    </row>
    <row r="873" spans="1:8">
      <c r="A873" s="1">
        <f>HYPERLINK("https://cms.ls-nyc.org/matter/dynamic-profile/view/1879904","18-1879904")</f>
        <v>0</v>
      </c>
      <c r="B873" t="s">
        <v>9</v>
      </c>
      <c r="D873" t="s">
        <v>15</v>
      </c>
      <c r="H873" t="s">
        <v>20</v>
      </c>
    </row>
    <row r="874" spans="1:8">
      <c r="A874" s="1">
        <f>HYPERLINK("https://cms.ls-nyc.org/matter/dynamic-profile/view/1879893","18-1879893")</f>
        <v>0</v>
      </c>
      <c r="B874" t="s">
        <v>9</v>
      </c>
      <c r="H874" t="s">
        <v>19</v>
      </c>
    </row>
    <row r="875" spans="1:8">
      <c r="A875" s="1">
        <f>HYPERLINK("https://cms.ls-nyc.org/matter/dynamic-profile/view/1879900","18-1879900")</f>
        <v>0</v>
      </c>
      <c r="B875" t="s">
        <v>9</v>
      </c>
      <c r="D875" t="s">
        <v>15</v>
      </c>
      <c r="H875" t="s">
        <v>20</v>
      </c>
    </row>
    <row r="876" spans="1:8">
      <c r="A876" s="1">
        <f>HYPERLINK("https://cms.ls-nyc.org/matter/dynamic-profile/view/1874990","18-1874990")</f>
        <v>0</v>
      </c>
      <c r="B876" t="s">
        <v>12</v>
      </c>
      <c r="H876" t="s">
        <v>19</v>
      </c>
    </row>
    <row r="877" spans="1:8">
      <c r="A877" s="1">
        <f>HYPERLINK("https://cms.ls-nyc.org/matter/dynamic-profile/view/1881219","18-1881219")</f>
        <v>0</v>
      </c>
      <c r="B877" t="s">
        <v>12</v>
      </c>
      <c r="H877" t="s">
        <v>19</v>
      </c>
    </row>
    <row r="878" spans="1:8">
      <c r="A878" s="1">
        <f>HYPERLINK("https://cms.ls-nyc.org/matter/dynamic-profile/view/1894473","19-1894473")</f>
        <v>0</v>
      </c>
      <c r="B878" t="s">
        <v>10</v>
      </c>
      <c r="C878" t="s">
        <v>13</v>
      </c>
      <c r="D878" t="s">
        <v>14</v>
      </c>
      <c r="G878" t="s">
        <v>18</v>
      </c>
      <c r="H878" t="s">
        <v>20</v>
      </c>
    </row>
    <row r="879" spans="1:8">
      <c r="A879" s="1">
        <f>HYPERLINK("https://cms.ls-nyc.org/matter/dynamic-profile/view/1880865","18-1880865")</f>
        <v>0</v>
      </c>
      <c r="B879" t="s">
        <v>10</v>
      </c>
      <c r="H879" t="s">
        <v>19</v>
      </c>
    </row>
    <row r="880" spans="1:8">
      <c r="A880" s="1">
        <f>HYPERLINK("https://cms.ls-nyc.org/matter/dynamic-profile/view/1853915","17-1853915")</f>
        <v>0</v>
      </c>
      <c r="B880" t="s">
        <v>9</v>
      </c>
      <c r="D880" t="s">
        <v>15</v>
      </c>
      <c r="H880" t="s">
        <v>20</v>
      </c>
    </row>
    <row r="881" spans="1:8">
      <c r="A881" s="1">
        <f>HYPERLINK("https://cms.ls-nyc.org/matter/dynamic-profile/view/1890420","19-1890420")</f>
        <v>0</v>
      </c>
      <c r="B881" t="s">
        <v>10</v>
      </c>
      <c r="H881" t="s">
        <v>19</v>
      </c>
    </row>
    <row r="882" spans="1:8">
      <c r="A882" s="1">
        <f>HYPERLINK("https://cms.ls-nyc.org/matter/dynamic-profile/view/1890415","19-1890415")</f>
        <v>0</v>
      </c>
      <c r="B882" t="s">
        <v>10</v>
      </c>
      <c r="H882" t="s">
        <v>19</v>
      </c>
    </row>
    <row r="883" spans="1:8">
      <c r="A883" s="1">
        <f>HYPERLINK("https://cms.ls-nyc.org/matter/dynamic-profile/view/1895214","19-1895214")</f>
        <v>0</v>
      </c>
      <c r="B883" t="s">
        <v>9</v>
      </c>
      <c r="H883" t="s">
        <v>19</v>
      </c>
    </row>
    <row r="884" spans="1:8">
      <c r="A884" s="1">
        <f>HYPERLINK("https://cms.ls-nyc.org/matter/dynamic-profile/view/1884676","18-1884676")</f>
        <v>0</v>
      </c>
      <c r="B884" t="s">
        <v>11</v>
      </c>
      <c r="H884" t="s">
        <v>19</v>
      </c>
    </row>
    <row r="885" spans="1:8">
      <c r="A885" s="1">
        <f>HYPERLINK("https://cms.ls-nyc.org/matter/dynamic-profile/view/1861447","18-1861447")</f>
        <v>0</v>
      </c>
      <c r="B885" t="s">
        <v>9</v>
      </c>
      <c r="C885" t="s">
        <v>13</v>
      </c>
      <c r="D885" t="s">
        <v>14</v>
      </c>
      <c r="E885" t="s">
        <v>16</v>
      </c>
      <c r="G885" t="s">
        <v>18</v>
      </c>
      <c r="H885" t="s">
        <v>20</v>
      </c>
    </row>
    <row r="886" spans="1:8">
      <c r="A886" s="1">
        <f>HYPERLINK("https://cms.ls-nyc.org/matter/dynamic-profile/view/1878934","18-1878934")</f>
        <v>0</v>
      </c>
      <c r="B886" t="s">
        <v>12</v>
      </c>
      <c r="H886" t="s">
        <v>19</v>
      </c>
    </row>
    <row r="887" spans="1:8">
      <c r="A887" s="1">
        <f>HYPERLINK("https://cms.ls-nyc.org/matter/dynamic-profile/view/1889042","19-1889042")</f>
        <v>0</v>
      </c>
      <c r="B887" t="s">
        <v>12</v>
      </c>
      <c r="H887" t="s">
        <v>19</v>
      </c>
    </row>
    <row r="888" spans="1:8">
      <c r="A888" s="1">
        <f>HYPERLINK("https://cms.ls-nyc.org/matter/dynamic-profile/view/1847633","17-1847633")</f>
        <v>0</v>
      </c>
      <c r="B888" t="s">
        <v>12</v>
      </c>
      <c r="D888" t="s">
        <v>15</v>
      </c>
      <c r="E888" t="s">
        <v>16</v>
      </c>
      <c r="H888" t="s">
        <v>20</v>
      </c>
    </row>
    <row r="889" spans="1:8">
      <c r="A889" s="1">
        <f>HYPERLINK("https://cms.ls-nyc.org/matter/dynamic-profile/view/1872107","18-1872107")</f>
        <v>0</v>
      </c>
      <c r="B889" t="s">
        <v>8</v>
      </c>
      <c r="H889" t="s">
        <v>19</v>
      </c>
    </row>
    <row r="890" spans="1:8">
      <c r="A890" s="1">
        <f>HYPERLINK("https://cms.ls-nyc.org/matter/dynamic-profile/view/1891183","19-1891183")</f>
        <v>0</v>
      </c>
      <c r="B890" t="s">
        <v>8</v>
      </c>
      <c r="C890" t="s">
        <v>13</v>
      </c>
      <c r="D890" t="s">
        <v>14</v>
      </c>
      <c r="H890" t="s">
        <v>20</v>
      </c>
    </row>
    <row r="891" spans="1:8">
      <c r="A891" s="1">
        <f>HYPERLINK("https://cms.ls-nyc.org/matter/dynamic-profile/view/1890555","19-1890555")</f>
        <v>0</v>
      </c>
      <c r="B891" t="s">
        <v>9</v>
      </c>
      <c r="E891" t="s">
        <v>16</v>
      </c>
      <c r="F891" t="s">
        <v>17</v>
      </c>
      <c r="H891" t="s">
        <v>20</v>
      </c>
    </row>
    <row r="892" spans="1:8">
      <c r="A892" s="1">
        <f>HYPERLINK("https://cms.ls-nyc.org/matter/dynamic-profile/view/1895048","19-1895048")</f>
        <v>0</v>
      </c>
      <c r="B892" t="s">
        <v>11</v>
      </c>
      <c r="H892" t="s">
        <v>19</v>
      </c>
    </row>
    <row r="893" spans="1:8">
      <c r="A893" s="1">
        <f>HYPERLINK("https://cms.ls-nyc.org/matter/dynamic-profile/view/1885321","18-1885321")</f>
        <v>0</v>
      </c>
      <c r="B893" t="s">
        <v>10</v>
      </c>
      <c r="H893" t="s">
        <v>19</v>
      </c>
    </row>
    <row r="894" spans="1:8">
      <c r="A894" s="1">
        <f>HYPERLINK("https://cms.ls-nyc.org/matter/dynamic-profile/view/1875830","18-1875830")</f>
        <v>0</v>
      </c>
      <c r="B894" t="s">
        <v>10</v>
      </c>
      <c r="H894" t="s">
        <v>19</v>
      </c>
    </row>
    <row r="895" spans="1:8">
      <c r="A895" s="1">
        <f>HYPERLINK("https://cms.ls-nyc.org/matter/dynamic-profile/view/1876048","18-1876048")</f>
        <v>0</v>
      </c>
      <c r="B895" t="s">
        <v>9</v>
      </c>
      <c r="C895" t="s">
        <v>13</v>
      </c>
      <c r="D895" t="s">
        <v>14</v>
      </c>
      <c r="E895" t="s">
        <v>16</v>
      </c>
      <c r="F895" t="s">
        <v>17</v>
      </c>
      <c r="H895" t="s">
        <v>20</v>
      </c>
    </row>
    <row r="896" spans="1:8">
      <c r="A896" s="1">
        <f>HYPERLINK("https://cms.ls-nyc.org/matter/dynamic-profile/view/1895229","19-1895229")</f>
        <v>0</v>
      </c>
      <c r="B896" t="s">
        <v>8</v>
      </c>
      <c r="H896" t="s">
        <v>19</v>
      </c>
    </row>
    <row r="897" spans="1:8">
      <c r="A897" s="1">
        <f>HYPERLINK("https://cms.ls-nyc.org/matter/dynamic-profile/view/1894728","19-1894728")</f>
        <v>0</v>
      </c>
      <c r="B897" t="s">
        <v>9</v>
      </c>
      <c r="H897" t="s">
        <v>19</v>
      </c>
    </row>
    <row r="898" spans="1:8">
      <c r="A898" s="1">
        <f>HYPERLINK("https://cms.ls-nyc.org/matter/dynamic-profile/view/1899724","19-1899724")</f>
        <v>0</v>
      </c>
      <c r="B898" t="s">
        <v>12</v>
      </c>
      <c r="E898" t="s">
        <v>16</v>
      </c>
      <c r="H898" t="s">
        <v>20</v>
      </c>
    </row>
    <row r="899" spans="1:8">
      <c r="A899" s="1">
        <f>HYPERLINK("https://cms.ls-nyc.org/matter/dynamic-profile/view/1859387","18-1859387")</f>
        <v>0</v>
      </c>
      <c r="B899" t="s">
        <v>12</v>
      </c>
      <c r="D899" t="s">
        <v>15</v>
      </c>
      <c r="E899" t="s">
        <v>16</v>
      </c>
      <c r="H899" t="s">
        <v>20</v>
      </c>
    </row>
    <row r="900" spans="1:8">
      <c r="A900" s="1">
        <f>HYPERLINK("https://cms.ls-nyc.org/matter/dynamic-profile/view/1890408","18-1890408")</f>
        <v>0</v>
      </c>
      <c r="B900" t="s">
        <v>10</v>
      </c>
      <c r="H900" t="s">
        <v>19</v>
      </c>
    </row>
    <row r="901" spans="1:8">
      <c r="A901" s="1">
        <f>HYPERLINK("https://cms.ls-nyc.org/matter/dynamic-profile/view/1888263","19-1888263")</f>
        <v>0</v>
      </c>
      <c r="B901" t="s">
        <v>10</v>
      </c>
      <c r="D901" t="s">
        <v>14</v>
      </c>
      <c r="F901" t="s">
        <v>17</v>
      </c>
      <c r="H901" t="s">
        <v>20</v>
      </c>
    </row>
    <row r="902" spans="1:8">
      <c r="A902" s="1">
        <f>HYPERLINK("https://cms.ls-nyc.org/matter/dynamic-profile/view/1895185","19-1895185")</f>
        <v>0</v>
      </c>
      <c r="B902" t="s">
        <v>8</v>
      </c>
      <c r="H902" t="s">
        <v>19</v>
      </c>
    </row>
    <row r="903" spans="1:8">
      <c r="A903" s="1">
        <f>HYPERLINK("https://cms.ls-nyc.org/matter/dynamic-profile/view/1897059","19-1897059")</f>
        <v>0</v>
      </c>
      <c r="B903" t="s">
        <v>9</v>
      </c>
      <c r="D903" t="s">
        <v>14</v>
      </c>
      <c r="G903" t="s">
        <v>18</v>
      </c>
      <c r="H903" t="s">
        <v>20</v>
      </c>
    </row>
    <row r="904" spans="1:8">
      <c r="A904" s="1">
        <f>HYPERLINK("https://cms.ls-nyc.org/matter/dynamic-profile/view/1873802","18-1873802")</f>
        <v>0</v>
      </c>
      <c r="B904" t="s">
        <v>12</v>
      </c>
      <c r="F904" t="s">
        <v>17</v>
      </c>
      <c r="H904" t="s">
        <v>20</v>
      </c>
    </row>
    <row r="905" spans="1:8">
      <c r="A905" s="1">
        <f>HYPERLINK("https://cms.ls-nyc.org/matter/dynamic-profile/view/0804346","16-0804346")</f>
        <v>0</v>
      </c>
      <c r="B905" t="s">
        <v>9</v>
      </c>
      <c r="D905" t="s">
        <v>15</v>
      </c>
      <c r="E905" t="s">
        <v>16</v>
      </c>
      <c r="H905" t="s">
        <v>20</v>
      </c>
    </row>
    <row r="906" spans="1:8">
      <c r="A906" s="1">
        <f>HYPERLINK("https://cms.ls-nyc.org/matter/dynamic-profile/view/1878835","18-1878835")</f>
        <v>0</v>
      </c>
      <c r="B906" t="s">
        <v>9</v>
      </c>
      <c r="H906" t="s">
        <v>19</v>
      </c>
    </row>
    <row r="907" spans="1:8">
      <c r="A907" s="1">
        <f>HYPERLINK("https://cms.ls-nyc.org/matter/dynamic-profile/view/1866167","18-1866167")</f>
        <v>0</v>
      </c>
      <c r="B907" t="s">
        <v>12</v>
      </c>
      <c r="D907" t="s">
        <v>15</v>
      </c>
      <c r="H907" t="s">
        <v>20</v>
      </c>
    </row>
    <row r="908" spans="1:8">
      <c r="A908" s="1">
        <f>HYPERLINK("https://cms.ls-nyc.org/matter/dynamic-profile/view/1899050","19-1899050")</f>
        <v>0</v>
      </c>
      <c r="B908" t="s">
        <v>10</v>
      </c>
      <c r="D908" t="s">
        <v>14</v>
      </c>
      <c r="H908" t="s">
        <v>20</v>
      </c>
    </row>
    <row r="909" spans="1:8">
      <c r="A909" s="1">
        <f>HYPERLINK("https://cms.ls-nyc.org/matter/dynamic-profile/view/0821517","16-0821517")</f>
        <v>0</v>
      </c>
      <c r="B909" t="s">
        <v>10</v>
      </c>
      <c r="D909" t="s">
        <v>15</v>
      </c>
      <c r="E909" t="s">
        <v>16</v>
      </c>
      <c r="H909" t="s">
        <v>20</v>
      </c>
    </row>
    <row r="910" spans="1:8">
      <c r="A910" s="1">
        <f>HYPERLINK("https://cms.ls-nyc.org/matter/dynamic-profile/view/0806911","16-0806911")</f>
        <v>0</v>
      </c>
      <c r="B910" t="s">
        <v>12</v>
      </c>
      <c r="D910" t="s">
        <v>15</v>
      </c>
      <c r="E910" t="s">
        <v>16</v>
      </c>
      <c r="H910" t="s">
        <v>20</v>
      </c>
    </row>
    <row r="911" spans="1:8">
      <c r="A911" s="1">
        <f>HYPERLINK("https://cms.ls-nyc.org/matter/dynamic-profile/view/1875518","18-1875518")</f>
        <v>0</v>
      </c>
      <c r="B911" t="s">
        <v>9</v>
      </c>
      <c r="C911" t="s">
        <v>13</v>
      </c>
      <c r="D911" t="s">
        <v>14</v>
      </c>
      <c r="E911" t="s">
        <v>16</v>
      </c>
      <c r="F911" t="s">
        <v>17</v>
      </c>
      <c r="H911" t="s">
        <v>20</v>
      </c>
    </row>
    <row r="912" spans="1:8">
      <c r="A912" s="1">
        <f>HYPERLINK("https://cms.ls-nyc.org/matter/dynamic-profile/view/1898295","19-1898295")</f>
        <v>0</v>
      </c>
      <c r="B912" t="s">
        <v>10</v>
      </c>
      <c r="D912" t="s">
        <v>14</v>
      </c>
      <c r="H912" t="s">
        <v>20</v>
      </c>
    </row>
    <row r="913" spans="1:8">
      <c r="A913" s="1">
        <f>HYPERLINK("https://cms.ls-nyc.org/matter/dynamic-profile/view/1888652","19-1888652")</f>
        <v>0</v>
      </c>
      <c r="B913" t="s">
        <v>11</v>
      </c>
      <c r="C913" t="s">
        <v>13</v>
      </c>
      <c r="D913" t="s">
        <v>14</v>
      </c>
      <c r="E913" t="s">
        <v>16</v>
      </c>
      <c r="G913" t="s">
        <v>18</v>
      </c>
      <c r="H913" t="s">
        <v>20</v>
      </c>
    </row>
    <row r="914" spans="1:8">
      <c r="A914" s="1">
        <f>HYPERLINK("https://cms.ls-nyc.org/matter/dynamic-profile/view/1861928","18-1861928")</f>
        <v>0</v>
      </c>
      <c r="B914" t="s">
        <v>9</v>
      </c>
      <c r="D914" t="s">
        <v>15</v>
      </c>
      <c r="E914" t="s">
        <v>16</v>
      </c>
      <c r="H914" t="s">
        <v>20</v>
      </c>
    </row>
    <row r="915" spans="1:8">
      <c r="A915" s="1">
        <f>HYPERLINK("https://cms.ls-nyc.org/matter/dynamic-profile/view/1851310","17-1851310")</f>
        <v>0</v>
      </c>
      <c r="B915" t="s">
        <v>9</v>
      </c>
      <c r="D915" t="s">
        <v>15</v>
      </c>
      <c r="H915" t="s">
        <v>20</v>
      </c>
    </row>
    <row r="916" spans="1:8">
      <c r="A916" s="1">
        <f>HYPERLINK("https://cms.ls-nyc.org/matter/dynamic-profile/view/1840577","17-1840577")</f>
        <v>0</v>
      </c>
      <c r="B916" t="s">
        <v>12</v>
      </c>
      <c r="D916" t="s">
        <v>15</v>
      </c>
      <c r="E916" t="s">
        <v>16</v>
      </c>
      <c r="H916" t="s">
        <v>20</v>
      </c>
    </row>
    <row r="917" spans="1:8">
      <c r="A917" s="1">
        <f>HYPERLINK("https://cms.ls-nyc.org/matter/dynamic-profile/view/0798640","16-0798640")</f>
        <v>0</v>
      </c>
      <c r="B917" t="s">
        <v>11</v>
      </c>
      <c r="C917" t="s">
        <v>13</v>
      </c>
      <c r="D917" t="s">
        <v>15</v>
      </c>
      <c r="E917" t="s">
        <v>16</v>
      </c>
      <c r="H917" t="s">
        <v>20</v>
      </c>
    </row>
    <row r="918" spans="1:8">
      <c r="A918" s="1">
        <f>HYPERLINK("https://cms.ls-nyc.org/matter/dynamic-profile/view/1895562","19-1895562")</f>
        <v>0</v>
      </c>
      <c r="B918" t="s">
        <v>9</v>
      </c>
      <c r="C918" t="s">
        <v>13</v>
      </c>
      <c r="D918" t="s">
        <v>14</v>
      </c>
      <c r="E918" t="s">
        <v>16</v>
      </c>
      <c r="G918" t="s">
        <v>18</v>
      </c>
      <c r="H918" t="s">
        <v>20</v>
      </c>
    </row>
    <row r="919" spans="1:8">
      <c r="A919" s="1">
        <f>HYPERLINK("https://cms.ls-nyc.org/matter/dynamic-profile/view/1887977","19-1887977")</f>
        <v>0</v>
      </c>
      <c r="B919" t="s">
        <v>10</v>
      </c>
      <c r="D919" t="s">
        <v>14</v>
      </c>
      <c r="H919" t="s">
        <v>20</v>
      </c>
    </row>
    <row r="920" spans="1:8">
      <c r="A920" s="1">
        <f>HYPERLINK("https://cms.ls-nyc.org/matter/dynamic-profile/view/1871476","18-1871476")</f>
        <v>0</v>
      </c>
      <c r="B920" t="s">
        <v>12</v>
      </c>
      <c r="C920" t="s">
        <v>13</v>
      </c>
      <c r="D920" t="s">
        <v>14</v>
      </c>
      <c r="E920" t="s">
        <v>16</v>
      </c>
      <c r="H920" t="s">
        <v>20</v>
      </c>
    </row>
    <row r="921" spans="1:8">
      <c r="A921" s="1">
        <f>HYPERLINK("https://cms.ls-nyc.org/matter/dynamic-profile/view/1836319","17-1836319")</f>
        <v>0</v>
      </c>
      <c r="B921" t="s">
        <v>12</v>
      </c>
      <c r="C921" t="s">
        <v>13</v>
      </c>
      <c r="D921" t="s">
        <v>15</v>
      </c>
      <c r="E921" t="s">
        <v>16</v>
      </c>
      <c r="H921" t="s">
        <v>20</v>
      </c>
    </row>
    <row r="922" spans="1:8">
      <c r="A922" s="1">
        <f>HYPERLINK("https://cms.ls-nyc.org/matter/dynamic-profile/view/1900448","19-1900448")</f>
        <v>0</v>
      </c>
      <c r="B922" t="s">
        <v>9</v>
      </c>
      <c r="D922" t="s">
        <v>14</v>
      </c>
      <c r="E922" t="s">
        <v>16</v>
      </c>
      <c r="F922" t="s">
        <v>17</v>
      </c>
      <c r="G922" t="s">
        <v>18</v>
      </c>
      <c r="H922" t="s">
        <v>20</v>
      </c>
    </row>
    <row r="923" spans="1:8">
      <c r="A923" s="1">
        <f>HYPERLINK("https://cms.ls-nyc.org/matter/dynamic-profile/view/1900011","19-1900011")</f>
        <v>0</v>
      </c>
      <c r="B923" t="s">
        <v>9</v>
      </c>
      <c r="H923" t="s">
        <v>19</v>
      </c>
    </row>
    <row r="924" spans="1:8">
      <c r="A924" s="1">
        <f>HYPERLINK("https://cms.ls-nyc.org/matter/dynamic-profile/view/1895314","19-1895314")</f>
        <v>0</v>
      </c>
      <c r="B924" t="s">
        <v>9</v>
      </c>
      <c r="H924" t="s">
        <v>19</v>
      </c>
    </row>
    <row r="925" spans="1:8">
      <c r="A925" s="1">
        <f>HYPERLINK("https://cms.ls-nyc.org/matter/dynamic-profile/view/1901614","19-1901614")</f>
        <v>0</v>
      </c>
      <c r="B925" t="s">
        <v>10</v>
      </c>
      <c r="D925" t="s">
        <v>14</v>
      </c>
      <c r="H925" t="s">
        <v>20</v>
      </c>
    </row>
    <row r="926" spans="1:8">
      <c r="A926" s="1">
        <f>HYPERLINK("https://cms.ls-nyc.org/matter/dynamic-profile/view/1893224","19-1893224")</f>
        <v>0</v>
      </c>
      <c r="B926" t="s">
        <v>11</v>
      </c>
      <c r="H926" t="s">
        <v>19</v>
      </c>
    </row>
    <row r="927" spans="1:8">
      <c r="A927" s="1">
        <f>HYPERLINK("https://cms.ls-nyc.org/matter/dynamic-profile/view/1884304","18-1884304")</f>
        <v>0</v>
      </c>
      <c r="B927" t="s">
        <v>9</v>
      </c>
      <c r="H927" t="s">
        <v>19</v>
      </c>
    </row>
    <row r="928" spans="1:8">
      <c r="A928" s="1">
        <f>HYPERLINK("https://cms.ls-nyc.org/matter/dynamic-profile/view/1861859","18-1861859")</f>
        <v>0</v>
      </c>
      <c r="B928" t="s">
        <v>9</v>
      </c>
      <c r="C928" t="s">
        <v>13</v>
      </c>
      <c r="D928" t="s">
        <v>15</v>
      </c>
      <c r="E928" t="s">
        <v>16</v>
      </c>
      <c r="F928" t="s">
        <v>17</v>
      </c>
      <c r="H928" t="s">
        <v>20</v>
      </c>
    </row>
    <row r="929" spans="1:8">
      <c r="A929" s="1">
        <f>HYPERLINK("https://cms.ls-nyc.org/matter/dynamic-profile/view/1890691","19-1890691")</f>
        <v>0</v>
      </c>
      <c r="B929" t="s">
        <v>10</v>
      </c>
      <c r="F929" t="s">
        <v>17</v>
      </c>
      <c r="H929" t="s">
        <v>20</v>
      </c>
    </row>
    <row r="930" spans="1:8">
      <c r="A930" s="1">
        <f>HYPERLINK("https://cms.ls-nyc.org/matter/dynamic-profile/view/1863818","18-1863818")</f>
        <v>0</v>
      </c>
      <c r="B930" t="s">
        <v>12</v>
      </c>
      <c r="D930" t="s">
        <v>15</v>
      </c>
      <c r="H930" t="s">
        <v>20</v>
      </c>
    </row>
    <row r="931" spans="1:8">
      <c r="A931" s="1">
        <f>HYPERLINK("https://cms.ls-nyc.org/matter/dynamic-profile/view/1864378","18-1864378")</f>
        <v>0</v>
      </c>
      <c r="B931" t="s">
        <v>12</v>
      </c>
      <c r="D931" t="s">
        <v>15</v>
      </c>
      <c r="H931" t="s">
        <v>20</v>
      </c>
    </row>
    <row r="932" spans="1:8">
      <c r="A932" s="1">
        <f>HYPERLINK("https://cms.ls-nyc.org/matter/dynamic-profile/view/1852394","17-1852394")</f>
        <v>0</v>
      </c>
      <c r="B932" t="s">
        <v>8</v>
      </c>
      <c r="D932" t="s">
        <v>15</v>
      </c>
      <c r="E932" t="s">
        <v>16</v>
      </c>
      <c r="H932" t="s">
        <v>20</v>
      </c>
    </row>
    <row r="933" spans="1:8">
      <c r="A933" s="1">
        <f>HYPERLINK("https://cms.ls-nyc.org/matter/dynamic-profile/view/1851670","17-1851670")</f>
        <v>0</v>
      </c>
      <c r="B933" t="s">
        <v>12</v>
      </c>
      <c r="D933" t="s">
        <v>15</v>
      </c>
      <c r="E933" t="s">
        <v>16</v>
      </c>
      <c r="H933" t="s">
        <v>20</v>
      </c>
    </row>
    <row r="934" spans="1:8">
      <c r="A934" s="1">
        <f>HYPERLINK("https://cms.ls-nyc.org/matter/dynamic-profile/view/1883059","18-1883059")</f>
        <v>0</v>
      </c>
      <c r="B934" t="s">
        <v>10</v>
      </c>
      <c r="H934" t="s">
        <v>19</v>
      </c>
    </row>
    <row r="935" spans="1:8">
      <c r="A935" s="1">
        <f>HYPERLINK("https://cms.ls-nyc.org/matter/dynamic-profile/view/1860830","18-1860830")</f>
        <v>0</v>
      </c>
      <c r="B935" t="s">
        <v>8</v>
      </c>
      <c r="D935" t="s">
        <v>15</v>
      </c>
      <c r="E935" t="s">
        <v>16</v>
      </c>
      <c r="H935" t="s">
        <v>20</v>
      </c>
    </row>
    <row r="936" spans="1:8">
      <c r="A936" s="1">
        <f>HYPERLINK("https://cms.ls-nyc.org/matter/dynamic-profile/view/1863243","18-1863243")</f>
        <v>0</v>
      </c>
      <c r="B936" t="s">
        <v>9</v>
      </c>
      <c r="D936" t="s">
        <v>15</v>
      </c>
      <c r="E936" t="s">
        <v>16</v>
      </c>
      <c r="H936" t="s">
        <v>20</v>
      </c>
    </row>
    <row r="937" spans="1:8">
      <c r="A937" s="1">
        <f>HYPERLINK("https://cms.ls-nyc.org/matter/dynamic-profile/view/1886769","18-1886769")</f>
        <v>0</v>
      </c>
      <c r="B937" t="s">
        <v>10</v>
      </c>
      <c r="D937" t="s">
        <v>14</v>
      </c>
      <c r="H937" t="s">
        <v>20</v>
      </c>
    </row>
    <row r="938" spans="1:8">
      <c r="A938" s="1">
        <f>HYPERLINK("https://cms.ls-nyc.org/matter/dynamic-profile/view/1878942","18-1878942")</f>
        <v>0</v>
      </c>
      <c r="B938" t="s">
        <v>12</v>
      </c>
      <c r="H938" t="s">
        <v>19</v>
      </c>
    </row>
    <row r="939" spans="1:8">
      <c r="A939" s="1">
        <f>HYPERLINK("https://cms.ls-nyc.org/matter/dynamic-profile/view/1900546","19-1900546")</f>
        <v>0</v>
      </c>
      <c r="B939" t="s">
        <v>12</v>
      </c>
      <c r="F939" t="s">
        <v>17</v>
      </c>
      <c r="H939" t="s">
        <v>20</v>
      </c>
    </row>
    <row r="940" spans="1:8">
      <c r="A940" s="1">
        <f>HYPERLINK("https://cms.ls-nyc.org/matter/dynamic-profile/view/1896744","19-1896744")</f>
        <v>0</v>
      </c>
      <c r="B940" t="s">
        <v>9</v>
      </c>
      <c r="H940" t="s">
        <v>19</v>
      </c>
    </row>
    <row r="941" spans="1:8">
      <c r="A941" s="1">
        <f>HYPERLINK("https://cms.ls-nyc.org/matter/dynamic-profile/view/1896749","19-1896749")</f>
        <v>0</v>
      </c>
      <c r="B941" t="s">
        <v>9</v>
      </c>
      <c r="D941" t="s">
        <v>15</v>
      </c>
      <c r="H941" t="s">
        <v>20</v>
      </c>
    </row>
    <row r="942" spans="1:8">
      <c r="A942" s="1">
        <f>HYPERLINK("https://cms.ls-nyc.org/matter/dynamic-profile/view/1896748","19-1896748")</f>
        <v>0</v>
      </c>
      <c r="B942" t="s">
        <v>9</v>
      </c>
      <c r="H942" t="s">
        <v>19</v>
      </c>
    </row>
    <row r="943" spans="1:8">
      <c r="A943" s="1">
        <f>HYPERLINK("https://cms.ls-nyc.org/matter/dynamic-profile/view/1896739","19-1896739")</f>
        <v>0</v>
      </c>
      <c r="B943" t="s">
        <v>9</v>
      </c>
      <c r="H943" t="s">
        <v>19</v>
      </c>
    </row>
    <row r="944" spans="1:8">
      <c r="A944" s="1">
        <f>HYPERLINK("https://cms.ls-nyc.org/matter/dynamic-profile/view/1896742","19-1896742")</f>
        <v>0</v>
      </c>
      <c r="B944" t="s">
        <v>9</v>
      </c>
      <c r="H944" t="s">
        <v>19</v>
      </c>
    </row>
    <row r="945" spans="1:8">
      <c r="A945" s="1">
        <f>HYPERLINK("https://cms.ls-nyc.org/matter/dynamic-profile/view/1900468","19-1900468")</f>
        <v>0</v>
      </c>
      <c r="B945" t="s">
        <v>9</v>
      </c>
      <c r="C945" t="s">
        <v>13</v>
      </c>
      <c r="E945" t="s">
        <v>16</v>
      </c>
      <c r="H945" t="s">
        <v>20</v>
      </c>
    </row>
    <row r="946" spans="1:8">
      <c r="A946" s="1">
        <f>HYPERLINK("https://cms.ls-nyc.org/matter/dynamic-profile/view/1899716","19-1899716")</f>
        <v>0</v>
      </c>
      <c r="B946" t="s">
        <v>9</v>
      </c>
      <c r="C946" t="s">
        <v>13</v>
      </c>
      <c r="D946" t="s">
        <v>14</v>
      </c>
      <c r="E946" t="s">
        <v>16</v>
      </c>
      <c r="G946" t="s">
        <v>18</v>
      </c>
      <c r="H946" t="s">
        <v>20</v>
      </c>
    </row>
    <row r="947" spans="1:8">
      <c r="A947" s="1">
        <f>HYPERLINK("https://cms.ls-nyc.org/matter/dynamic-profile/view/1893686","19-1893686")</f>
        <v>0</v>
      </c>
      <c r="B947" t="s">
        <v>9</v>
      </c>
      <c r="H947" t="s">
        <v>19</v>
      </c>
    </row>
    <row r="948" spans="1:8">
      <c r="A948" s="1">
        <f>HYPERLINK("https://cms.ls-nyc.org/matter/dynamic-profile/view/1836815","17-1836815")</f>
        <v>0</v>
      </c>
      <c r="B948" t="s">
        <v>10</v>
      </c>
      <c r="D948" t="s">
        <v>15</v>
      </c>
      <c r="E948" t="s">
        <v>16</v>
      </c>
      <c r="H948" t="s">
        <v>20</v>
      </c>
    </row>
    <row r="949" spans="1:8">
      <c r="A949" s="1">
        <f>HYPERLINK("https://cms.ls-nyc.org/matter/dynamic-profile/view/1848068","17-1848068")</f>
        <v>0</v>
      </c>
      <c r="B949" t="s">
        <v>12</v>
      </c>
      <c r="D949" t="s">
        <v>14</v>
      </c>
      <c r="E949" t="s">
        <v>16</v>
      </c>
      <c r="F949" t="s">
        <v>17</v>
      </c>
      <c r="H949" t="s">
        <v>20</v>
      </c>
    </row>
    <row r="950" spans="1:8">
      <c r="A950" s="1">
        <f>HYPERLINK("https://cms.ls-nyc.org/matter/dynamic-profile/view/1898212","19-1898212")</f>
        <v>0</v>
      </c>
      <c r="B950" t="s">
        <v>9</v>
      </c>
      <c r="H950" t="s">
        <v>19</v>
      </c>
    </row>
    <row r="951" spans="1:8">
      <c r="A951" s="1">
        <f>HYPERLINK("https://cms.ls-nyc.org/matter/dynamic-profile/view/1889478","19-1889478")</f>
        <v>0</v>
      </c>
      <c r="B951" t="s">
        <v>11</v>
      </c>
      <c r="C951" t="s">
        <v>13</v>
      </c>
      <c r="E951" t="s">
        <v>16</v>
      </c>
      <c r="H951" t="s">
        <v>20</v>
      </c>
    </row>
    <row r="952" spans="1:8">
      <c r="A952" s="1">
        <f>HYPERLINK("https://cms.ls-nyc.org/matter/dynamic-profile/view/1840635","17-1840635")</f>
        <v>0</v>
      </c>
      <c r="B952" t="s">
        <v>10</v>
      </c>
      <c r="D952" t="s">
        <v>15</v>
      </c>
      <c r="H952" t="s">
        <v>20</v>
      </c>
    </row>
    <row r="953" spans="1:8">
      <c r="A953" s="1">
        <f>HYPERLINK("https://cms.ls-nyc.org/matter/dynamic-profile/view/1885048","18-1885048")</f>
        <v>0</v>
      </c>
      <c r="B953" t="s">
        <v>9</v>
      </c>
      <c r="H953" t="s">
        <v>19</v>
      </c>
    </row>
    <row r="954" spans="1:8">
      <c r="A954" s="1">
        <f>HYPERLINK("https://cms.ls-nyc.org/matter/dynamic-profile/view/1885024","18-1885024")</f>
        <v>0</v>
      </c>
      <c r="B954" t="s">
        <v>9</v>
      </c>
      <c r="H954" t="s">
        <v>19</v>
      </c>
    </row>
    <row r="955" spans="1:8">
      <c r="A955" s="1">
        <f>HYPERLINK("https://cms.ls-nyc.org/matter/dynamic-profile/view/1875780","18-1875780")</f>
        <v>0</v>
      </c>
      <c r="B955" t="s">
        <v>10</v>
      </c>
      <c r="H955" t="s">
        <v>19</v>
      </c>
    </row>
    <row r="956" spans="1:8">
      <c r="A956" s="1">
        <f>HYPERLINK("https://cms.ls-nyc.org/matter/dynamic-profile/view/1870265","18-1870265")</f>
        <v>0</v>
      </c>
      <c r="B956" t="s">
        <v>10</v>
      </c>
      <c r="D956" t="s">
        <v>15</v>
      </c>
      <c r="E956" t="s">
        <v>16</v>
      </c>
      <c r="H956" t="s">
        <v>20</v>
      </c>
    </row>
    <row r="957" spans="1:8">
      <c r="A957" s="1">
        <f>HYPERLINK("https://cms.ls-nyc.org/matter/dynamic-profile/view/0822113","16-0822113")</f>
        <v>0</v>
      </c>
      <c r="B957" t="s">
        <v>10</v>
      </c>
      <c r="D957" t="s">
        <v>15</v>
      </c>
      <c r="E957" t="s">
        <v>16</v>
      </c>
      <c r="H957" t="s">
        <v>20</v>
      </c>
    </row>
    <row r="958" spans="1:8">
      <c r="A958" s="1">
        <f>HYPERLINK("https://cms.ls-nyc.org/matter/dynamic-profile/view/1879757","18-1879757")</f>
        <v>0</v>
      </c>
      <c r="B958" t="s">
        <v>12</v>
      </c>
      <c r="H958" t="s">
        <v>19</v>
      </c>
    </row>
    <row r="959" spans="1:8">
      <c r="A959" s="1">
        <f>HYPERLINK("https://cms.ls-nyc.org/matter/dynamic-profile/view/0822307","16-0822307")</f>
        <v>0</v>
      </c>
      <c r="B959" t="s">
        <v>9</v>
      </c>
      <c r="D959" t="s">
        <v>15</v>
      </c>
      <c r="E959" t="s">
        <v>16</v>
      </c>
      <c r="H959" t="s">
        <v>20</v>
      </c>
    </row>
    <row r="960" spans="1:8">
      <c r="A960" s="1">
        <f>HYPERLINK("https://cms.ls-nyc.org/matter/dynamic-profile/view/1895025","19-1895025")</f>
        <v>0</v>
      </c>
      <c r="B960" t="s">
        <v>9</v>
      </c>
      <c r="F960" t="s">
        <v>17</v>
      </c>
      <c r="H960" t="s">
        <v>20</v>
      </c>
    </row>
    <row r="961" spans="1:8">
      <c r="A961" s="1">
        <f>HYPERLINK("https://cms.ls-nyc.org/matter/dynamic-profile/view/1865906","18-1865906")</f>
        <v>0</v>
      </c>
      <c r="B961" t="s">
        <v>10</v>
      </c>
      <c r="D961" t="s">
        <v>15</v>
      </c>
      <c r="H961" t="s">
        <v>20</v>
      </c>
    </row>
    <row r="962" spans="1:8">
      <c r="A962" s="1">
        <f>HYPERLINK("https://cms.ls-nyc.org/matter/dynamic-profile/view/1879487","18-1879487")</f>
        <v>0</v>
      </c>
      <c r="B962" t="s">
        <v>8</v>
      </c>
      <c r="H962" t="s">
        <v>19</v>
      </c>
    </row>
    <row r="963" spans="1:8">
      <c r="A963" s="1">
        <f>HYPERLINK("https://cms.ls-nyc.org/matter/dynamic-profile/view/1886032","18-1886032")</f>
        <v>0</v>
      </c>
      <c r="B963" t="s">
        <v>9</v>
      </c>
      <c r="H963" t="s">
        <v>19</v>
      </c>
    </row>
    <row r="964" spans="1:8">
      <c r="A964" s="1">
        <f>HYPERLINK("https://cms.ls-nyc.org/matter/dynamic-profile/view/1861186","18-1861186")</f>
        <v>0</v>
      </c>
      <c r="B964" t="s">
        <v>9</v>
      </c>
      <c r="C964" t="s">
        <v>13</v>
      </c>
      <c r="D964" t="s">
        <v>15</v>
      </c>
      <c r="E964" t="s">
        <v>16</v>
      </c>
      <c r="H964" t="s">
        <v>20</v>
      </c>
    </row>
    <row r="965" spans="1:8">
      <c r="A965" s="1">
        <f>HYPERLINK("https://cms.ls-nyc.org/matter/dynamic-profile/view/1890432","19-1890432")</f>
        <v>0</v>
      </c>
      <c r="B965" t="s">
        <v>11</v>
      </c>
      <c r="H965" t="s">
        <v>19</v>
      </c>
    </row>
    <row r="966" spans="1:8">
      <c r="A966" s="1">
        <f>HYPERLINK("https://cms.ls-nyc.org/matter/dynamic-profile/view/1893630","19-1893630")</f>
        <v>0</v>
      </c>
      <c r="B966" t="s">
        <v>10</v>
      </c>
      <c r="D966" t="s">
        <v>14</v>
      </c>
      <c r="F966" t="s">
        <v>17</v>
      </c>
      <c r="H966" t="s">
        <v>20</v>
      </c>
    </row>
    <row r="967" spans="1:8">
      <c r="A967" s="1">
        <f>HYPERLINK("https://cms.ls-nyc.org/matter/dynamic-profile/view/1890030","19-1890030")</f>
        <v>0</v>
      </c>
      <c r="B967" t="s">
        <v>12</v>
      </c>
      <c r="H967" t="s">
        <v>19</v>
      </c>
    </row>
    <row r="968" spans="1:8">
      <c r="A968" s="1">
        <f>HYPERLINK("https://cms.ls-nyc.org/matter/dynamic-profile/view/0828029","17-0828029")</f>
        <v>0</v>
      </c>
      <c r="B968" t="s">
        <v>12</v>
      </c>
      <c r="C968" t="s">
        <v>13</v>
      </c>
      <c r="D968" t="s">
        <v>15</v>
      </c>
      <c r="E968" t="s">
        <v>16</v>
      </c>
      <c r="H968" t="s">
        <v>20</v>
      </c>
    </row>
    <row r="969" spans="1:8">
      <c r="A969" s="1">
        <f>HYPERLINK("https://cms.ls-nyc.org/matter/dynamic-profile/view/1869585","18-1869585")</f>
        <v>0</v>
      </c>
      <c r="B969" t="s">
        <v>11</v>
      </c>
      <c r="C969" t="s">
        <v>13</v>
      </c>
      <c r="D969" t="s">
        <v>14</v>
      </c>
      <c r="E969" t="s">
        <v>16</v>
      </c>
      <c r="G969" t="s">
        <v>18</v>
      </c>
      <c r="H969" t="s">
        <v>20</v>
      </c>
    </row>
    <row r="970" spans="1:8">
      <c r="A970" s="1">
        <f>HYPERLINK("https://cms.ls-nyc.org/matter/dynamic-profile/view/1869788","18-1869788")</f>
        <v>0</v>
      </c>
      <c r="B970" t="s">
        <v>8</v>
      </c>
      <c r="D970" t="s">
        <v>15</v>
      </c>
      <c r="E970" t="s">
        <v>16</v>
      </c>
      <c r="H970" t="s">
        <v>20</v>
      </c>
    </row>
    <row r="971" spans="1:8">
      <c r="A971" s="1">
        <f>HYPERLINK("https://cms.ls-nyc.org/matter/dynamic-profile/view/1857039","18-1857039")</f>
        <v>0</v>
      </c>
      <c r="B971" t="s">
        <v>10</v>
      </c>
      <c r="E971" t="s">
        <v>16</v>
      </c>
      <c r="H971" t="s">
        <v>20</v>
      </c>
    </row>
    <row r="972" spans="1:8">
      <c r="A972" s="1">
        <f>HYPERLINK("https://cms.ls-nyc.org/matter/dynamic-profile/view/1872098","18-1872098")</f>
        <v>0</v>
      </c>
      <c r="B972" t="s">
        <v>8</v>
      </c>
      <c r="H972" t="s">
        <v>19</v>
      </c>
    </row>
    <row r="973" spans="1:8">
      <c r="A973" s="1">
        <f>HYPERLINK("https://cms.ls-nyc.org/matter/dynamic-profile/view/1891396","19-1891396")</f>
        <v>0</v>
      </c>
      <c r="B973" t="s">
        <v>9</v>
      </c>
      <c r="H973" t="s">
        <v>19</v>
      </c>
    </row>
    <row r="974" spans="1:8">
      <c r="A974" s="1">
        <f>HYPERLINK("https://cms.ls-nyc.org/matter/dynamic-profile/view/1895855","19-1895855")</f>
        <v>0</v>
      </c>
      <c r="B974" t="s">
        <v>8</v>
      </c>
      <c r="D974" t="s">
        <v>14</v>
      </c>
      <c r="H974" t="s">
        <v>20</v>
      </c>
    </row>
    <row r="975" spans="1:8">
      <c r="A975" s="1">
        <f>HYPERLINK("https://cms.ls-nyc.org/matter/dynamic-profile/view/1860642","18-1860642")</f>
        <v>0</v>
      </c>
      <c r="B975" t="s">
        <v>12</v>
      </c>
      <c r="D975" t="s">
        <v>15</v>
      </c>
      <c r="E975" t="s">
        <v>16</v>
      </c>
      <c r="H975" t="s">
        <v>20</v>
      </c>
    </row>
    <row r="976" spans="1:8">
      <c r="A976" s="1">
        <f>HYPERLINK("https://cms.ls-nyc.org/matter/dynamic-profile/view/1864750","18-1864750")</f>
        <v>0</v>
      </c>
      <c r="B976" t="s">
        <v>12</v>
      </c>
      <c r="D976" t="s">
        <v>15</v>
      </c>
      <c r="H976" t="s">
        <v>20</v>
      </c>
    </row>
    <row r="977" spans="1:8">
      <c r="A977" s="1">
        <f>HYPERLINK("https://cms.ls-nyc.org/matter/dynamic-profile/view/1888975","19-1888975")</f>
        <v>0</v>
      </c>
      <c r="B977" t="s">
        <v>9</v>
      </c>
      <c r="E977" t="s">
        <v>16</v>
      </c>
      <c r="H977" t="s">
        <v>20</v>
      </c>
    </row>
    <row r="978" spans="1:8">
      <c r="A978" s="1">
        <f>HYPERLINK("https://cms.ls-nyc.org/matter/dynamic-profile/view/1896793","19-1896793")</f>
        <v>0</v>
      </c>
      <c r="B978" t="s">
        <v>9</v>
      </c>
      <c r="F978" t="s">
        <v>17</v>
      </c>
      <c r="H978" t="s">
        <v>20</v>
      </c>
    </row>
    <row r="979" spans="1:8">
      <c r="A979" s="1">
        <f>HYPERLINK("https://cms.ls-nyc.org/matter/dynamic-profile/view/1896798","19-1896798")</f>
        <v>0</v>
      </c>
      <c r="B979" t="s">
        <v>9</v>
      </c>
      <c r="D979" t="s">
        <v>15</v>
      </c>
      <c r="F979" t="s">
        <v>17</v>
      </c>
      <c r="H979" t="s">
        <v>20</v>
      </c>
    </row>
    <row r="980" spans="1:8">
      <c r="A980" s="1">
        <f>HYPERLINK("https://cms.ls-nyc.org/matter/dynamic-profile/view/1896797","19-1896797")</f>
        <v>0</v>
      </c>
      <c r="B980" t="s">
        <v>9</v>
      </c>
      <c r="F980" t="s">
        <v>17</v>
      </c>
      <c r="H980" t="s">
        <v>20</v>
      </c>
    </row>
    <row r="981" spans="1:8">
      <c r="A981" s="1">
        <f>HYPERLINK("https://cms.ls-nyc.org/matter/dynamic-profile/view/1896778","19-1896778")</f>
        <v>0</v>
      </c>
      <c r="B981" t="s">
        <v>9</v>
      </c>
      <c r="F981" t="s">
        <v>17</v>
      </c>
      <c r="H981" t="s">
        <v>20</v>
      </c>
    </row>
    <row r="982" spans="1:8">
      <c r="A982" s="1">
        <f>HYPERLINK("https://cms.ls-nyc.org/matter/dynamic-profile/view/1896791","19-1896791")</f>
        <v>0</v>
      </c>
      <c r="B982" t="s">
        <v>9</v>
      </c>
      <c r="F982" t="s">
        <v>17</v>
      </c>
      <c r="H982" t="s">
        <v>20</v>
      </c>
    </row>
    <row r="983" spans="1:8">
      <c r="A983" s="1">
        <f>HYPERLINK("https://cms.ls-nyc.org/matter/dynamic-profile/view/1900458","19-1900458")</f>
        <v>0</v>
      </c>
      <c r="B983" t="s">
        <v>9</v>
      </c>
      <c r="F983" t="s">
        <v>17</v>
      </c>
      <c r="H983" t="s">
        <v>20</v>
      </c>
    </row>
    <row r="984" spans="1:8">
      <c r="A984" s="1">
        <f>HYPERLINK("https://cms.ls-nyc.org/matter/dynamic-profile/view/1900651","19-1900651")</f>
        <v>0</v>
      </c>
      <c r="B984" t="s">
        <v>9</v>
      </c>
      <c r="H984" t="s">
        <v>19</v>
      </c>
    </row>
    <row r="985" spans="1:8">
      <c r="A985" s="1">
        <f>HYPERLINK("https://cms.ls-nyc.org/matter/dynamic-profile/view/1895307","19-1895307")</f>
        <v>0</v>
      </c>
      <c r="B985" t="s">
        <v>9</v>
      </c>
      <c r="H985" t="s">
        <v>19</v>
      </c>
    </row>
    <row r="986" spans="1:8">
      <c r="A986" s="1">
        <f>HYPERLINK("https://cms.ls-nyc.org/matter/dynamic-profile/view/1875217","18-1875217")</f>
        <v>0</v>
      </c>
      <c r="B986" t="s">
        <v>10</v>
      </c>
      <c r="H986" t="s">
        <v>19</v>
      </c>
    </row>
    <row r="987" spans="1:8">
      <c r="A987" s="1">
        <f>HYPERLINK("https://cms.ls-nyc.org/matter/dynamic-profile/view/1899475","19-1899475")</f>
        <v>0</v>
      </c>
      <c r="B987" t="s">
        <v>10</v>
      </c>
      <c r="D987" t="s">
        <v>14</v>
      </c>
      <c r="H987" t="s">
        <v>20</v>
      </c>
    </row>
    <row r="988" spans="1:8">
      <c r="A988" s="1">
        <f>HYPERLINK("https://cms.ls-nyc.org/matter/dynamic-profile/view/1857132","18-1857132")</f>
        <v>0</v>
      </c>
      <c r="B988" t="s">
        <v>10</v>
      </c>
      <c r="D988" t="s">
        <v>15</v>
      </c>
      <c r="E988" t="s">
        <v>16</v>
      </c>
      <c r="H988" t="s">
        <v>20</v>
      </c>
    </row>
    <row r="989" spans="1:8">
      <c r="A989" s="1">
        <f>HYPERLINK("https://cms.ls-nyc.org/matter/dynamic-profile/view/1885967","18-1885967")</f>
        <v>0</v>
      </c>
      <c r="B989" t="s">
        <v>10</v>
      </c>
      <c r="D989" t="s">
        <v>14</v>
      </c>
      <c r="H989" t="s">
        <v>20</v>
      </c>
    </row>
    <row r="990" spans="1:8">
      <c r="A990" s="1">
        <f>HYPERLINK("https://cms.ls-nyc.org/matter/dynamic-profile/view/1887380","19-1887380")</f>
        <v>0</v>
      </c>
      <c r="B990" t="s">
        <v>10</v>
      </c>
      <c r="H990" t="s">
        <v>19</v>
      </c>
    </row>
    <row r="991" spans="1:8">
      <c r="A991" s="1">
        <f>HYPERLINK("https://cms.ls-nyc.org/matter/dynamic-profile/view/1861493","18-1861493")</f>
        <v>0</v>
      </c>
      <c r="B991" t="s">
        <v>9</v>
      </c>
      <c r="C991" t="s">
        <v>13</v>
      </c>
      <c r="D991" t="s">
        <v>15</v>
      </c>
      <c r="E991" t="s">
        <v>16</v>
      </c>
      <c r="H991" t="s">
        <v>20</v>
      </c>
    </row>
    <row r="992" spans="1:8">
      <c r="A992" s="1">
        <f>HYPERLINK("https://cms.ls-nyc.org/matter/dynamic-profile/view/1879092","18-1879092")</f>
        <v>0</v>
      </c>
      <c r="B992" t="s">
        <v>12</v>
      </c>
      <c r="C992" t="s">
        <v>13</v>
      </c>
      <c r="D992" t="s">
        <v>14</v>
      </c>
      <c r="E992" t="s">
        <v>16</v>
      </c>
      <c r="F992" t="s">
        <v>17</v>
      </c>
      <c r="G992" t="s">
        <v>18</v>
      </c>
      <c r="H992" t="s">
        <v>20</v>
      </c>
    </row>
    <row r="993" spans="1:8">
      <c r="A993" s="1">
        <f>HYPERLINK("https://cms.ls-nyc.org/matter/dynamic-profile/view/1886661","18-1886661")</f>
        <v>0</v>
      </c>
      <c r="B993" t="s">
        <v>9</v>
      </c>
      <c r="H993" t="s">
        <v>19</v>
      </c>
    </row>
    <row r="994" spans="1:8">
      <c r="A994" s="1">
        <f>HYPERLINK("https://cms.ls-nyc.org/matter/dynamic-profile/view/1874940","18-1874940")</f>
        <v>0</v>
      </c>
      <c r="B994" t="s">
        <v>10</v>
      </c>
      <c r="H994" t="s">
        <v>19</v>
      </c>
    </row>
    <row r="995" spans="1:8">
      <c r="A995" s="1">
        <f>HYPERLINK("https://cms.ls-nyc.org/matter/dynamic-profile/view/1857641","18-1857641")</f>
        <v>0</v>
      </c>
      <c r="B995" t="s">
        <v>11</v>
      </c>
      <c r="D995" t="s">
        <v>15</v>
      </c>
      <c r="E995" t="s">
        <v>16</v>
      </c>
      <c r="F995" t="s">
        <v>17</v>
      </c>
      <c r="H995" t="s">
        <v>20</v>
      </c>
    </row>
    <row r="996" spans="1:8">
      <c r="A996" s="1">
        <f>HYPERLINK("https://cms.ls-nyc.org/matter/dynamic-profile/view/1890605","19-1890605")</f>
        <v>0</v>
      </c>
      <c r="B996" t="s">
        <v>9</v>
      </c>
      <c r="F996" t="s">
        <v>17</v>
      </c>
      <c r="H996" t="s">
        <v>20</v>
      </c>
    </row>
    <row r="997" spans="1:8">
      <c r="A997" s="1">
        <f>HYPERLINK("https://cms.ls-nyc.org/matter/dynamic-profile/view/1899841","19-1899841")</f>
        <v>0</v>
      </c>
      <c r="B997" t="s">
        <v>10</v>
      </c>
      <c r="D997" t="s">
        <v>14</v>
      </c>
      <c r="H997" t="s">
        <v>20</v>
      </c>
    </row>
    <row r="998" spans="1:8">
      <c r="A998" s="1">
        <f>HYPERLINK("https://cms.ls-nyc.org/matter/dynamic-profile/view/1890386","19-1890386")</f>
        <v>0</v>
      </c>
      <c r="B998" t="s">
        <v>12</v>
      </c>
      <c r="H998" t="s">
        <v>19</v>
      </c>
    </row>
    <row r="999" spans="1:8">
      <c r="A999" s="1">
        <f>HYPERLINK("https://cms.ls-nyc.org/matter/dynamic-profile/view/1888062","19-1888062")</f>
        <v>0</v>
      </c>
      <c r="B999" t="s">
        <v>12</v>
      </c>
      <c r="H999" t="s">
        <v>19</v>
      </c>
    </row>
    <row r="1000" spans="1:8">
      <c r="A1000" s="1">
        <f>HYPERLINK("https://cms.ls-nyc.org/matter/dynamic-profile/view/1846357","17-1846357")</f>
        <v>0</v>
      </c>
      <c r="B1000" t="s">
        <v>8</v>
      </c>
      <c r="D1000" t="s">
        <v>15</v>
      </c>
      <c r="E1000" t="s">
        <v>16</v>
      </c>
      <c r="H1000" t="s">
        <v>20</v>
      </c>
    </row>
    <row r="1001" spans="1:8">
      <c r="A1001" s="1">
        <f>HYPERLINK("https://cms.ls-nyc.org/matter/dynamic-profile/view/1863305","18-1863305")</f>
        <v>0</v>
      </c>
      <c r="B1001" t="s">
        <v>9</v>
      </c>
      <c r="H1001" t="s">
        <v>19</v>
      </c>
    </row>
    <row r="1002" spans="1:8">
      <c r="A1002" s="1">
        <f>HYPERLINK("https://cms.ls-nyc.org/matter/dynamic-profile/view/1847253","17-1847253")</f>
        <v>0</v>
      </c>
      <c r="B1002" t="s">
        <v>10</v>
      </c>
      <c r="D1002" t="s">
        <v>15</v>
      </c>
      <c r="E1002" t="s">
        <v>16</v>
      </c>
      <c r="H1002" t="s">
        <v>20</v>
      </c>
    </row>
    <row r="1003" spans="1:8">
      <c r="A1003" s="1">
        <f>HYPERLINK("https://cms.ls-nyc.org/matter/dynamic-profile/view/0821038","16-0821038")</f>
        <v>0</v>
      </c>
      <c r="B1003" t="s">
        <v>10</v>
      </c>
      <c r="D1003" t="s">
        <v>15</v>
      </c>
      <c r="E1003" t="s">
        <v>16</v>
      </c>
      <c r="H1003" t="s">
        <v>20</v>
      </c>
    </row>
    <row r="1004" spans="1:8">
      <c r="A1004" s="1">
        <f>HYPERLINK("https://cms.ls-nyc.org/matter/dynamic-profile/view/1895346","19-1895346")</f>
        <v>0</v>
      </c>
      <c r="B1004" t="s">
        <v>9</v>
      </c>
      <c r="H1004" t="s">
        <v>19</v>
      </c>
    </row>
    <row r="1005" spans="1:8">
      <c r="A1005" s="1">
        <f>HYPERLINK("https://cms.ls-nyc.org/matter/dynamic-profile/view/1877662","18-1877662")</f>
        <v>0</v>
      </c>
      <c r="B1005" t="s">
        <v>10</v>
      </c>
      <c r="H1005" t="s">
        <v>19</v>
      </c>
    </row>
    <row r="1006" spans="1:8">
      <c r="A1006" s="1">
        <f>HYPERLINK("https://cms.ls-nyc.org/matter/dynamic-profile/view/1877700","18-1877700")</f>
        <v>0</v>
      </c>
      <c r="B1006" t="s">
        <v>10</v>
      </c>
      <c r="H1006" t="s">
        <v>19</v>
      </c>
    </row>
    <row r="1007" spans="1:8">
      <c r="A1007" s="1">
        <f>HYPERLINK("https://cms.ls-nyc.org/matter/dynamic-profile/view/1899732","19-1899732")</f>
        <v>0</v>
      </c>
      <c r="B1007" t="s">
        <v>9</v>
      </c>
      <c r="H1007" t="s">
        <v>19</v>
      </c>
    </row>
    <row r="1008" spans="1:8">
      <c r="A1008" s="1">
        <f>HYPERLINK("https://cms.ls-nyc.org/matter/dynamic-profile/view/1891038","19-1891038")</f>
        <v>0</v>
      </c>
      <c r="B1008" t="s">
        <v>12</v>
      </c>
      <c r="H1008" t="s">
        <v>19</v>
      </c>
    </row>
    <row r="1009" spans="1:8">
      <c r="A1009" s="1">
        <f>HYPERLINK("https://cms.ls-nyc.org/matter/dynamic-profile/view/1886210","18-1886210")</f>
        <v>0</v>
      </c>
      <c r="B1009" t="s">
        <v>10</v>
      </c>
      <c r="H1009" t="s">
        <v>19</v>
      </c>
    </row>
    <row r="1010" spans="1:8">
      <c r="A1010" s="1">
        <f>HYPERLINK("https://cms.ls-nyc.org/matter/dynamic-profile/view/1841830","17-1841830")</f>
        <v>0</v>
      </c>
      <c r="B1010" t="s">
        <v>12</v>
      </c>
      <c r="D1010" t="s">
        <v>15</v>
      </c>
      <c r="E1010" t="s">
        <v>16</v>
      </c>
      <c r="H1010" t="s">
        <v>20</v>
      </c>
    </row>
    <row r="1011" spans="1:8">
      <c r="A1011" s="1">
        <f>HYPERLINK("https://cms.ls-nyc.org/matter/dynamic-profile/view/1885176","18-1885176")</f>
        <v>0</v>
      </c>
      <c r="B1011" t="s">
        <v>9</v>
      </c>
      <c r="H1011" t="s">
        <v>19</v>
      </c>
    </row>
    <row r="1012" spans="1:8">
      <c r="A1012" s="1">
        <f>HYPERLINK("https://cms.ls-nyc.org/matter/dynamic-profile/view/1885174","18-1885174")</f>
        <v>0</v>
      </c>
      <c r="B1012" t="s">
        <v>9</v>
      </c>
      <c r="H1012" t="s">
        <v>19</v>
      </c>
    </row>
    <row r="1013" spans="1:8">
      <c r="A1013" s="1">
        <f>HYPERLINK("https://cms.ls-nyc.org/matter/dynamic-profile/view/1888028","19-1888028")</f>
        <v>0</v>
      </c>
      <c r="B1013" t="s">
        <v>12</v>
      </c>
      <c r="H1013" t="s">
        <v>19</v>
      </c>
    </row>
    <row r="1014" spans="1:8">
      <c r="A1014" s="1">
        <f>HYPERLINK("https://cms.ls-nyc.org/matter/dynamic-profile/view/1864398","18-1864398")</f>
        <v>0</v>
      </c>
      <c r="B1014" t="s">
        <v>12</v>
      </c>
      <c r="D1014" t="s">
        <v>15</v>
      </c>
      <c r="H1014" t="s">
        <v>20</v>
      </c>
    </row>
    <row r="1015" spans="1:8">
      <c r="A1015" s="1">
        <f>HYPERLINK("https://cms.ls-nyc.org/matter/dynamic-profile/view/1888064","19-1888064")</f>
        <v>0</v>
      </c>
      <c r="B1015" t="s">
        <v>12</v>
      </c>
      <c r="F1015" t="s">
        <v>17</v>
      </c>
      <c r="H1015" t="s">
        <v>20</v>
      </c>
    </row>
    <row r="1016" spans="1:8">
      <c r="A1016" s="1">
        <f>HYPERLINK("https://cms.ls-nyc.org/matter/dynamic-profile/view/1844065","17-1844065")</f>
        <v>0</v>
      </c>
      <c r="B1016" t="s">
        <v>8</v>
      </c>
      <c r="D1016" t="s">
        <v>15</v>
      </c>
      <c r="E1016" t="s">
        <v>16</v>
      </c>
      <c r="H1016" t="s">
        <v>20</v>
      </c>
    </row>
    <row r="1017" spans="1:8">
      <c r="A1017" s="1">
        <f>HYPERLINK("https://cms.ls-nyc.org/matter/dynamic-profile/view/1854759","17-1854759")</f>
        <v>0</v>
      </c>
      <c r="B1017" t="s">
        <v>9</v>
      </c>
      <c r="C1017" t="s">
        <v>13</v>
      </c>
      <c r="D1017" t="s">
        <v>14</v>
      </c>
      <c r="E1017" t="s">
        <v>16</v>
      </c>
      <c r="H1017" t="s">
        <v>20</v>
      </c>
    </row>
    <row r="1018" spans="1:8">
      <c r="A1018" s="1">
        <f>HYPERLINK("https://cms.ls-nyc.org/matter/dynamic-profile/view/1851832","17-1851832")</f>
        <v>0</v>
      </c>
      <c r="B1018" t="s">
        <v>9</v>
      </c>
      <c r="D1018" t="s">
        <v>15</v>
      </c>
      <c r="E1018" t="s">
        <v>16</v>
      </c>
      <c r="H1018" t="s">
        <v>20</v>
      </c>
    </row>
    <row r="1019" spans="1:8">
      <c r="A1019" s="1">
        <f>HYPERLINK("https://cms.ls-nyc.org/matter/dynamic-profile/view/1834795","17-1834795")</f>
        <v>0</v>
      </c>
      <c r="B1019" t="s">
        <v>10</v>
      </c>
      <c r="D1019" t="s">
        <v>15</v>
      </c>
      <c r="E1019" t="s">
        <v>16</v>
      </c>
      <c r="H1019" t="s">
        <v>20</v>
      </c>
    </row>
    <row r="1020" spans="1:8">
      <c r="A1020" s="1">
        <f>HYPERLINK("https://cms.ls-nyc.org/matter/dynamic-profile/view/0800192","16-0800192")</f>
        <v>0</v>
      </c>
      <c r="B1020" t="s">
        <v>10</v>
      </c>
      <c r="D1020" t="s">
        <v>15</v>
      </c>
      <c r="E1020" t="s">
        <v>16</v>
      </c>
      <c r="H1020" t="s">
        <v>20</v>
      </c>
    </row>
    <row r="1021" spans="1:8">
      <c r="A1021" s="1">
        <f>HYPERLINK("https://cms.ls-nyc.org/matter/dynamic-profile/view/0827377","17-0827377")</f>
        <v>0</v>
      </c>
      <c r="B1021" t="s">
        <v>8</v>
      </c>
      <c r="D1021" t="s">
        <v>15</v>
      </c>
      <c r="E1021" t="s">
        <v>16</v>
      </c>
      <c r="H1021" t="s">
        <v>20</v>
      </c>
    </row>
    <row r="1022" spans="1:8">
      <c r="A1022" s="1">
        <f>HYPERLINK("https://cms.ls-nyc.org/matter/dynamic-profile/view/1834291","17-1834291")</f>
        <v>0</v>
      </c>
      <c r="B1022" t="s">
        <v>11</v>
      </c>
      <c r="D1022" t="s">
        <v>15</v>
      </c>
      <c r="H1022" t="s">
        <v>20</v>
      </c>
    </row>
    <row r="1023" spans="1:8">
      <c r="A1023" s="1">
        <f>HYPERLINK("https://cms.ls-nyc.org/matter/dynamic-profile/view/1845030","17-1845030")</f>
        <v>0</v>
      </c>
      <c r="B1023" t="s">
        <v>10</v>
      </c>
      <c r="D1023" t="s">
        <v>15</v>
      </c>
      <c r="E1023" t="s">
        <v>16</v>
      </c>
      <c r="H1023" t="s">
        <v>20</v>
      </c>
    </row>
    <row r="1024" spans="1:8">
      <c r="A1024" s="1">
        <f>HYPERLINK("https://cms.ls-nyc.org/matter/dynamic-profile/view/1898175","19-1898175")</f>
        <v>0</v>
      </c>
      <c r="B1024" t="s">
        <v>9</v>
      </c>
      <c r="H1024" t="s">
        <v>19</v>
      </c>
    </row>
    <row r="1025" spans="1:8">
      <c r="A1025" s="1">
        <f>HYPERLINK("https://cms.ls-nyc.org/matter/dynamic-profile/view/1885823","18-1885823")</f>
        <v>0</v>
      </c>
      <c r="B1025" t="s">
        <v>11</v>
      </c>
      <c r="H1025" t="s">
        <v>19</v>
      </c>
    </row>
    <row r="1026" spans="1:8">
      <c r="A1026" s="1">
        <f>HYPERLINK("https://cms.ls-nyc.org/matter/dynamic-profile/view/1843079","17-1843079")</f>
        <v>0</v>
      </c>
      <c r="B1026" t="s">
        <v>12</v>
      </c>
      <c r="D1026" t="s">
        <v>15</v>
      </c>
      <c r="H1026" t="s">
        <v>20</v>
      </c>
    </row>
    <row r="1027" spans="1:8">
      <c r="A1027" s="1">
        <f>HYPERLINK("https://cms.ls-nyc.org/matter/dynamic-profile/view/1834629","17-1834629")</f>
        <v>0</v>
      </c>
      <c r="B1027" t="s">
        <v>12</v>
      </c>
      <c r="D1027" t="s">
        <v>15</v>
      </c>
      <c r="E1027" t="s">
        <v>16</v>
      </c>
      <c r="H1027" t="s">
        <v>20</v>
      </c>
    </row>
    <row r="1028" spans="1:8">
      <c r="A1028" s="1">
        <f>HYPERLINK("https://cms.ls-nyc.org/matter/dynamic-profile/view/1840371","17-1840371")</f>
        <v>0</v>
      </c>
      <c r="B1028" t="s">
        <v>12</v>
      </c>
      <c r="D1028" t="s">
        <v>15</v>
      </c>
      <c r="E1028" t="s">
        <v>16</v>
      </c>
      <c r="H1028" t="s">
        <v>20</v>
      </c>
    </row>
    <row r="1029" spans="1:8">
      <c r="A1029" s="1">
        <f>HYPERLINK("https://cms.ls-nyc.org/matter/dynamic-profile/view/1900610","19-1900610")</f>
        <v>0</v>
      </c>
      <c r="B1029" t="s">
        <v>10</v>
      </c>
      <c r="D1029" t="s">
        <v>14</v>
      </c>
      <c r="H1029" t="s">
        <v>20</v>
      </c>
    </row>
    <row r="1030" spans="1:8">
      <c r="A1030" s="1">
        <f>HYPERLINK("https://cms.ls-nyc.org/matter/dynamic-profile/view/1897608","19-1897608")</f>
        <v>0</v>
      </c>
      <c r="B1030" t="s">
        <v>12</v>
      </c>
      <c r="H1030" t="s">
        <v>19</v>
      </c>
    </row>
    <row r="1031" spans="1:8">
      <c r="A1031" s="1">
        <f>HYPERLINK("https://cms.ls-nyc.org/matter/dynamic-profile/view/1882544","18-1882544")</f>
        <v>0</v>
      </c>
      <c r="B1031" t="s">
        <v>9</v>
      </c>
      <c r="H1031" t="s">
        <v>19</v>
      </c>
    </row>
    <row r="1032" spans="1:8">
      <c r="A1032" s="1">
        <f>HYPERLINK("https://cms.ls-nyc.org/matter/dynamic-profile/view/1869399","18-1869399")</f>
        <v>0</v>
      </c>
      <c r="B1032" t="s">
        <v>9</v>
      </c>
      <c r="C1032" t="s">
        <v>13</v>
      </c>
      <c r="D1032" t="s">
        <v>14</v>
      </c>
      <c r="E1032" t="s">
        <v>16</v>
      </c>
      <c r="G1032" t="s">
        <v>18</v>
      </c>
      <c r="H1032" t="s">
        <v>20</v>
      </c>
    </row>
    <row r="1033" spans="1:8">
      <c r="A1033" s="1">
        <f>HYPERLINK("https://cms.ls-nyc.org/matter/dynamic-profile/view/1871432","18-1871432")</f>
        <v>0</v>
      </c>
      <c r="B1033" t="s">
        <v>9</v>
      </c>
      <c r="F1033" t="s">
        <v>17</v>
      </c>
      <c r="H1033" t="s">
        <v>20</v>
      </c>
    </row>
    <row r="1034" spans="1:8">
      <c r="A1034" s="1">
        <f>HYPERLINK("https://cms.ls-nyc.org/matter/dynamic-profile/view/1885788","18-1885788")</f>
        <v>0</v>
      </c>
      <c r="B1034" t="s">
        <v>9</v>
      </c>
      <c r="F1034" t="s">
        <v>17</v>
      </c>
      <c r="H1034" t="s">
        <v>20</v>
      </c>
    </row>
    <row r="1035" spans="1:8">
      <c r="A1035" s="1">
        <f>HYPERLINK("https://cms.ls-nyc.org/matter/dynamic-profile/view/1869943","18-1869943")</f>
        <v>0</v>
      </c>
      <c r="B1035" t="s">
        <v>9</v>
      </c>
      <c r="C1035" t="s">
        <v>13</v>
      </c>
      <c r="D1035" t="s">
        <v>14</v>
      </c>
      <c r="E1035" t="s">
        <v>16</v>
      </c>
      <c r="F1035" t="s">
        <v>17</v>
      </c>
      <c r="G1035" t="s">
        <v>18</v>
      </c>
      <c r="H1035" t="s">
        <v>20</v>
      </c>
    </row>
    <row r="1036" spans="1:8">
      <c r="A1036" s="1">
        <f>HYPERLINK("https://cms.ls-nyc.org/matter/dynamic-profile/view/1876790","18-1876790")</f>
        <v>0</v>
      </c>
      <c r="B1036" t="s">
        <v>9</v>
      </c>
      <c r="H1036" t="s">
        <v>19</v>
      </c>
    </row>
    <row r="1037" spans="1:8">
      <c r="A1037" s="1">
        <f>HYPERLINK("https://cms.ls-nyc.org/matter/dynamic-profile/view/1876794","18-1876794")</f>
        <v>0</v>
      </c>
      <c r="B1037" t="s">
        <v>9</v>
      </c>
      <c r="H1037" t="s">
        <v>19</v>
      </c>
    </row>
    <row r="1038" spans="1:8">
      <c r="A1038" s="1">
        <f>HYPERLINK("https://cms.ls-nyc.org/matter/dynamic-profile/view/1885587","18-1885587")</f>
        <v>0</v>
      </c>
      <c r="B1038" t="s">
        <v>10</v>
      </c>
      <c r="H1038" t="s">
        <v>19</v>
      </c>
    </row>
    <row r="1039" spans="1:8">
      <c r="A1039" s="1">
        <f>HYPERLINK("https://cms.ls-nyc.org/matter/dynamic-profile/view/1878862","18-1878862")</f>
        <v>0</v>
      </c>
      <c r="B1039" t="s">
        <v>10</v>
      </c>
      <c r="H1039" t="s">
        <v>19</v>
      </c>
    </row>
    <row r="1040" spans="1:8">
      <c r="A1040" s="1">
        <f>HYPERLINK("https://cms.ls-nyc.org/matter/dynamic-profile/view/1875776","18-1875776")</f>
        <v>0</v>
      </c>
      <c r="B1040" t="s">
        <v>10</v>
      </c>
      <c r="H1040" t="s">
        <v>19</v>
      </c>
    </row>
    <row r="1041" spans="1:8">
      <c r="A1041" s="1">
        <f>HYPERLINK("https://cms.ls-nyc.org/matter/dynamic-profile/view/1878974","18-1878974")</f>
        <v>0</v>
      </c>
      <c r="B1041" t="s">
        <v>11</v>
      </c>
      <c r="H1041" t="s">
        <v>19</v>
      </c>
    </row>
    <row r="1042" spans="1:8">
      <c r="A1042" s="1">
        <f>HYPERLINK("https://cms.ls-nyc.org/matter/dynamic-profile/view/1872340","18-1872340")</f>
        <v>0</v>
      </c>
      <c r="B1042" t="s">
        <v>12</v>
      </c>
      <c r="F1042" t="s">
        <v>17</v>
      </c>
      <c r="H1042" t="s">
        <v>20</v>
      </c>
    </row>
    <row r="1043" spans="1:8">
      <c r="A1043" s="1">
        <f>HYPERLINK("https://cms.ls-nyc.org/matter/dynamic-profile/view/1878529","18-1878529")</f>
        <v>0</v>
      </c>
      <c r="B1043" t="s">
        <v>12</v>
      </c>
      <c r="F1043" t="s">
        <v>17</v>
      </c>
      <c r="H1043" t="s">
        <v>20</v>
      </c>
    </row>
    <row r="1044" spans="1:8">
      <c r="A1044" s="1">
        <f>HYPERLINK("https://cms.ls-nyc.org/matter/dynamic-profile/view/1901172","19-1901172")</f>
        <v>0</v>
      </c>
      <c r="B1044" t="s">
        <v>9</v>
      </c>
      <c r="H1044" t="s">
        <v>19</v>
      </c>
    </row>
    <row r="1045" spans="1:8">
      <c r="A1045" s="1">
        <f>HYPERLINK("https://cms.ls-nyc.org/matter/dynamic-profile/view/1895285","19-1895285")</f>
        <v>0</v>
      </c>
      <c r="B1045" t="s">
        <v>9</v>
      </c>
      <c r="F1045" t="s">
        <v>17</v>
      </c>
      <c r="H1045" t="s">
        <v>20</v>
      </c>
    </row>
    <row r="1046" spans="1:8">
      <c r="A1046" s="1">
        <f>HYPERLINK("https://cms.ls-nyc.org/matter/dynamic-profile/view/1893008","19-1893008")</f>
        <v>0</v>
      </c>
      <c r="B1046" t="s">
        <v>10</v>
      </c>
      <c r="D1046" t="s">
        <v>14</v>
      </c>
      <c r="G1046" t="s">
        <v>18</v>
      </c>
      <c r="H1046" t="s">
        <v>20</v>
      </c>
    </row>
    <row r="1047" spans="1:8">
      <c r="A1047" s="1">
        <f>HYPERLINK("https://cms.ls-nyc.org/matter/dynamic-profile/view/1895537","19-1895537")</f>
        <v>0</v>
      </c>
      <c r="B1047" t="s">
        <v>10</v>
      </c>
      <c r="D1047" t="s">
        <v>14</v>
      </c>
      <c r="H1047" t="s">
        <v>20</v>
      </c>
    </row>
    <row r="1048" spans="1:8">
      <c r="A1048" s="1">
        <f>HYPERLINK("https://cms.ls-nyc.org/matter/dynamic-profile/view/1899746","19-1899746")</f>
        <v>0</v>
      </c>
      <c r="B1048" t="s">
        <v>12</v>
      </c>
      <c r="H1048" t="s">
        <v>19</v>
      </c>
    </row>
    <row r="1049" spans="1:8">
      <c r="A1049" s="1">
        <f>HYPERLINK("https://cms.ls-nyc.org/matter/dynamic-profile/view/1842018","17-1842018")</f>
        <v>0</v>
      </c>
      <c r="B1049" t="s">
        <v>12</v>
      </c>
      <c r="C1049" t="s">
        <v>13</v>
      </c>
      <c r="D1049" t="s">
        <v>15</v>
      </c>
      <c r="E1049" t="s">
        <v>16</v>
      </c>
      <c r="F1049" t="s">
        <v>17</v>
      </c>
      <c r="H1049" t="s">
        <v>20</v>
      </c>
    </row>
    <row r="1050" spans="1:8">
      <c r="A1050" s="1">
        <f>HYPERLINK("https://cms.ls-nyc.org/matter/dynamic-profile/view/1889927","19-1889927")</f>
        <v>0</v>
      </c>
      <c r="B1050" t="s">
        <v>10</v>
      </c>
      <c r="F1050" t="s">
        <v>17</v>
      </c>
      <c r="H1050" t="s">
        <v>20</v>
      </c>
    </row>
    <row r="1051" spans="1:8">
      <c r="A1051" s="1">
        <f>HYPERLINK("https://cms.ls-nyc.org/matter/dynamic-profile/view/1841227","17-1841227")</f>
        <v>0</v>
      </c>
      <c r="B1051" t="s">
        <v>10</v>
      </c>
      <c r="D1051" t="s">
        <v>15</v>
      </c>
      <c r="E1051" t="s">
        <v>16</v>
      </c>
      <c r="H1051" t="s">
        <v>20</v>
      </c>
    </row>
    <row r="1052" spans="1:8">
      <c r="A1052" s="1">
        <f>HYPERLINK("https://cms.ls-nyc.org/matter/dynamic-profile/view/1836709","17-1836709")</f>
        <v>0</v>
      </c>
      <c r="B1052" t="s">
        <v>12</v>
      </c>
      <c r="D1052" t="s">
        <v>15</v>
      </c>
      <c r="E1052" t="s">
        <v>16</v>
      </c>
      <c r="H1052" t="s">
        <v>20</v>
      </c>
    </row>
    <row r="1053" spans="1:8">
      <c r="A1053" s="1">
        <f>HYPERLINK("https://cms.ls-nyc.org/matter/dynamic-profile/view/1871913","18-1871913")</f>
        <v>0</v>
      </c>
      <c r="B1053" t="s">
        <v>10</v>
      </c>
      <c r="H1053" t="s">
        <v>19</v>
      </c>
    </row>
    <row r="1054" spans="1:8">
      <c r="A1054" s="1">
        <f>HYPERLINK("https://cms.ls-nyc.org/matter/dynamic-profile/view/1860410","18-1860410")</f>
        <v>0</v>
      </c>
      <c r="B1054" t="s">
        <v>10</v>
      </c>
      <c r="D1054" t="s">
        <v>15</v>
      </c>
      <c r="E1054" t="s">
        <v>16</v>
      </c>
      <c r="H1054" t="s">
        <v>20</v>
      </c>
    </row>
    <row r="1055" spans="1:8">
      <c r="A1055" s="1">
        <f>HYPERLINK("https://cms.ls-nyc.org/matter/dynamic-profile/view/1863825","18-1863825")</f>
        <v>0</v>
      </c>
      <c r="B1055" t="s">
        <v>12</v>
      </c>
      <c r="D1055" t="s">
        <v>15</v>
      </c>
      <c r="H1055" t="s">
        <v>20</v>
      </c>
    </row>
    <row r="1056" spans="1:8">
      <c r="A1056" s="1">
        <f>HYPERLINK("https://cms.ls-nyc.org/matter/dynamic-profile/view/1878374","18-1878374")</f>
        <v>0</v>
      </c>
      <c r="B1056" t="s">
        <v>9</v>
      </c>
      <c r="H1056" t="s">
        <v>19</v>
      </c>
    </row>
    <row r="1057" spans="1:8">
      <c r="A1057" s="1">
        <f>HYPERLINK("https://cms.ls-nyc.org/matter/dynamic-profile/view/1880031","18-1880031")</f>
        <v>0</v>
      </c>
      <c r="B1057" t="s">
        <v>9</v>
      </c>
      <c r="H1057" t="s">
        <v>19</v>
      </c>
    </row>
    <row r="1058" spans="1:8">
      <c r="A1058" s="1">
        <f>HYPERLINK("https://cms.ls-nyc.org/matter/dynamic-profile/view/1880033","18-1880033")</f>
        <v>0</v>
      </c>
      <c r="B1058" t="s">
        <v>9</v>
      </c>
      <c r="H1058" t="s">
        <v>19</v>
      </c>
    </row>
    <row r="1059" spans="1:8">
      <c r="A1059" s="1">
        <f>HYPERLINK("https://cms.ls-nyc.org/matter/dynamic-profile/view/1880023","18-1880023")</f>
        <v>0</v>
      </c>
      <c r="B1059" t="s">
        <v>9</v>
      </c>
      <c r="D1059" t="s">
        <v>15</v>
      </c>
      <c r="H1059" t="s">
        <v>20</v>
      </c>
    </row>
    <row r="1060" spans="1:8">
      <c r="A1060" s="1">
        <f>HYPERLINK("https://cms.ls-nyc.org/matter/dynamic-profile/view/1880018","18-1880018")</f>
        <v>0</v>
      </c>
      <c r="B1060" t="s">
        <v>9</v>
      </c>
      <c r="H1060" t="s">
        <v>19</v>
      </c>
    </row>
    <row r="1061" spans="1:8">
      <c r="A1061" s="1">
        <f>HYPERLINK("https://cms.ls-nyc.org/matter/dynamic-profile/view/1880021","18-1880021")</f>
        <v>0</v>
      </c>
      <c r="B1061" t="s">
        <v>9</v>
      </c>
      <c r="D1061" t="s">
        <v>15</v>
      </c>
      <c r="H1061" t="s">
        <v>20</v>
      </c>
    </row>
    <row r="1062" spans="1:8">
      <c r="A1062" s="1">
        <f>HYPERLINK("https://cms.ls-nyc.org/matter/dynamic-profile/view/1862429","18-1862429")</f>
        <v>0</v>
      </c>
      <c r="B1062" t="s">
        <v>10</v>
      </c>
      <c r="D1062" t="s">
        <v>15</v>
      </c>
      <c r="E1062" t="s">
        <v>16</v>
      </c>
      <c r="H1062" t="s">
        <v>20</v>
      </c>
    </row>
    <row r="1063" spans="1:8">
      <c r="A1063" s="1">
        <f>HYPERLINK("https://cms.ls-nyc.org/matter/dynamic-profile/view/1868766","18-1868766")</f>
        <v>0</v>
      </c>
      <c r="B1063" t="s">
        <v>10</v>
      </c>
      <c r="D1063" t="s">
        <v>15</v>
      </c>
      <c r="E1063" t="s">
        <v>16</v>
      </c>
      <c r="H1063" t="s">
        <v>20</v>
      </c>
    </row>
    <row r="1064" spans="1:8">
      <c r="A1064" s="1">
        <f>HYPERLINK("https://cms.ls-nyc.org/matter/dynamic-profile/view/1895930","19-1895930")</f>
        <v>0</v>
      </c>
      <c r="B1064" t="s">
        <v>8</v>
      </c>
      <c r="H1064" t="s">
        <v>19</v>
      </c>
    </row>
    <row r="1065" spans="1:8">
      <c r="A1065" s="1">
        <f>HYPERLINK("https://cms.ls-nyc.org/matter/dynamic-profile/view/1860335","18-1860335")</f>
        <v>0</v>
      </c>
      <c r="B1065" t="s">
        <v>8</v>
      </c>
      <c r="D1065" t="s">
        <v>15</v>
      </c>
      <c r="E1065" t="s">
        <v>16</v>
      </c>
      <c r="H1065" t="s">
        <v>20</v>
      </c>
    </row>
    <row r="1066" spans="1:8">
      <c r="A1066" s="1">
        <f>HYPERLINK("https://cms.ls-nyc.org/matter/dynamic-profile/view/1894931","19-1894931")</f>
        <v>0</v>
      </c>
      <c r="B1066" t="s">
        <v>9</v>
      </c>
      <c r="C1066" t="s">
        <v>13</v>
      </c>
      <c r="D1066" t="s">
        <v>14</v>
      </c>
      <c r="E1066" t="s">
        <v>16</v>
      </c>
      <c r="H1066" t="s">
        <v>20</v>
      </c>
    </row>
    <row r="1067" spans="1:8">
      <c r="A1067" s="1">
        <f>HYPERLINK("https://cms.ls-nyc.org/matter/dynamic-profile/view/1876434","18-1876434")</f>
        <v>0</v>
      </c>
      <c r="B1067" t="s">
        <v>12</v>
      </c>
      <c r="H1067" t="s">
        <v>19</v>
      </c>
    </row>
    <row r="1068" spans="1:8">
      <c r="A1068" s="1">
        <f>HYPERLINK("https://cms.ls-nyc.org/matter/dynamic-profile/view/1878534","18-1878534")</f>
        <v>0</v>
      </c>
      <c r="B1068" t="s">
        <v>12</v>
      </c>
      <c r="H1068" t="s">
        <v>19</v>
      </c>
    </row>
    <row r="1069" spans="1:8">
      <c r="A1069" s="1">
        <f>HYPERLINK("https://cms.ls-nyc.org/matter/dynamic-profile/view/1847654","17-1847654")</f>
        <v>0</v>
      </c>
      <c r="B1069" t="s">
        <v>12</v>
      </c>
      <c r="D1069" t="s">
        <v>15</v>
      </c>
      <c r="E1069" t="s">
        <v>16</v>
      </c>
      <c r="H1069" t="s">
        <v>20</v>
      </c>
    </row>
    <row r="1070" spans="1:8">
      <c r="A1070" s="1">
        <f>HYPERLINK("https://cms.ls-nyc.org/matter/dynamic-profile/view/1858227","18-1858227")</f>
        <v>0</v>
      </c>
      <c r="B1070" t="s">
        <v>12</v>
      </c>
      <c r="D1070" t="s">
        <v>15</v>
      </c>
      <c r="E1070" t="s">
        <v>16</v>
      </c>
      <c r="F1070" t="s">
        <v>17</v>
      </c>
      <c r="H1070" t="s">
        <v>20</v>
      </c>
    </row>
    <row r="1071" spans="1:8">
      <c r="A1071" s="1">
        <f>HYPERLINK("https://cms.ls-nyc.org/matter/dynamic-profile/view/1868559","18-1868559")</f>
        <v>0</v>
      </c>
      <c r="B1071" t="s">
        <v>10</v>
      </c>
      <c r="D1071" t="s">
        <v>15</v>
      </c>
      <c r="H1071" t="s">
        <v>20</v>
      </c>
    </row>
    <row r="1072" spans="1:8">
      <c r="A1072" s="1">
        <f>HYPERLINK("https://cms.ls-nyc.org/matter/dynamic-profile/view/0794749","15-0794749")</f>
        <v>0</v>
      </c>
      <c r="B1072" t="s">
        <v>9</v>
      </c>
      <c r="D1072" t="s">
        <v>15</v>
      </c>
      <c r="E1072" t="s">
        <v>16</v>
      </c>
      <c r="H1072" t="s">
        <v>20</v>
      </c>
    </row>
    <row r="1073" spans="1:8">
      <c r="A1073" s="1">
        <f>HYPERLINK("https://cms.ls-nyc.org/matter/dynamic-profile/view/1862717","18-1862717")</f>
        <v>0</v>
      </c>
      <c r="B1073" t="s">
        <v>9</v>
      </c>
      <c r="C1073" t="s">
        <v>13</v>
      </c>
      <c r="D1073" t="s">
        <v>14</v>
      </c>
      <c r="E1073" t="s">
        <v>16</v>
      </c>
      <c r="H1073" t="s">
        <v>20</v>
      </c>
    </row>
    <row r="1074" spans="1:8">
      <c r="A1074" s="1">
        <f>HYPERLINK("https://cms.ls-nyc.org/matter/dynamic-profile/view/1873840","18-1873840")</f>
        <v>0</v>
      </c>
      <c r="B1074" t="s">
        <v>12</v>
      </c>
      <c r="H1074" t="s">
        <v>19</v>
      </c>
    </row>
    <row r="1075" spans="1:8">
      <c r="A1075" s="1">
        <f>HYPERLINK("https://cms.ls-nyc.org/matter/dynamic-profile/view/1837952","17-1837952")</f>
        <v>0</v>
      </c>
      <c r="B1075" t="s">
        <v>9</v>
      </c>
      <c r="C1075" t="s">
        <v>13</v>
      </c>
      <c r="D1075" t="s">
        <v>14</v>
      </c>
      <c r="E1075" t="s">
        <v>16</v>
      </c>
      <c r="H1075" t="s">
        <v>20</v>
      </c>
    </row>
    <row r="1076" spans="1:8">
      <c r="A1076" s="1">
        <f>HYPERLINK("https://cms.ls-nyc.org/matter/dynamic-profile/view/1864094","18-1864094")</f>
        <v>0</v>
      </c>
      <c r="B1076" t="s">
        <v>12</v>
      </c>
      <c r="D1076" t="s">
        <v>15</v>
      </c>
      <c r="F1076" t="s">
        <v>17</v>
      </c>
      <c r="H1076" t="s">
        <v>20</v>
      </c>
    </row>
    <row r="1077" spans="1:8">
      <c r="A1077" s="1">
        <f>HYPERLINK("https://cms.ls-nyc.org/matter/dynamic-profile/view/1835050","17-1835050")</f>
        <v>0</v>
      </c>
      <c r="B1077" t="s">
        <v>9</v>
      </c>
      <c r="D1077" t="s">
        <v>15</v>
      </c>
      <c r="H1077" t="s">
        <v>20</v>
      </c>
    </row>
    <row r="1078" spans="1:8">
      <c r="A1078" s="1">
        <f>HYPERLINK("https://cms.ls-nyc.org/matter/dynamic-profile/view/1854568","17-1854568")</f>
        <v>0</v>
      </c>
      <c r="B1078" t="s">
        <v>9</v>
      </c>
      <c r="D1078" t="s">
        <v>15</v>
      </c>
      <c r="H1078" t="s">
        <v>20</v>
      </c>
    </row>
    <row r="1079" spans="1:8">
      <c r="A1079" s="1">
        <f>HYPERLINK("https://cms.ls-nyc.org/matter/dynamic-profile/view/1860226","18-1860226")</f>
        <v>0</v>
      </c>
      <c r="B1079" t="s">
        <v>8</v>
      </c>
      <c r="D1079" t="s">
        <v>15</v>
      </c>
      <c r="E1079" t="s">
        <v>16</v>
      </c>
      <c r="H1079" t="s">
        <v>20</v>
      </c>
    </row>
    <row r="1080" spans="1:8">
      <c r="A1080" s="1">
        <f>HYPERLINK("https://cms.ls-nyc.org/matter/dynamic-profile/view/0830558","17-0830558")</f>
        <v>0</v>
      </c>
      <c r="B1080" t="s">
        <v>12</v>
      </c>
      <c r="C1080" t="s">
        <v>13</v>
      </c>
      <c r="D1080" t="s">
        <v>14</v>
      </c>
      <c r="H1080" t="s">
        <v>20</v>
      </c>
    </row>
    <row r="1081" spans="1:8">
      <c r="A1081" s="1">
        <f>HYPERLINK("https://cms.ls-nyc.org/matter/dynamic-profile/view/0822061","16-0822061")</f>
        <v>0</v>
      </c>
      <c r="B1081" t="s">
        <v>10</v>
      </c>
      <c r="D1081" t="s">
        <v>15</v>
      </c>
      <c r="E1081" t="s">
        <v>16</v>
      </c>
      <c r="H1081" t="s">
        <v>20</v>
      </c>
    </row>
    <row r="1082" spans="1:8">
      <c r="A1082" s="1">
        <f>HYPERLINK("https://cms.ls-nyc.org/matter/dynamic-profile/view/0822062","16-0822062")</f>
        <v>0</v>
      </c>
      <c r="B1082" t="s">
        <v>10</v>
      </c>
      <c r="D1082" t="s">
        <v>15</v>
      </c>
      <c r="E1082" t="s">
        <v>16</v>
      </c>
      <c r="H1082" t="s">
        <v>20</v>
      </c>
    </row>
    <row r="1083" spans="1:8">
      <c r="A1083" s="1">
        <f>HYPERLINK("https://cms.ls-nyc.org/matter/dynamic-profile/view/1896032","19-1896032")</f>
        <v>0</v>
      </c>
      <c r="B1083" t="s">
        <v>9</v>
      </c>
      <c r="H1083" t="s">
        <v>19</v>
      </c>
    </row>
    <row r="1084" spans="1:8">
      <c r="A1084" s="1">
        <f>HYPERLINK("https://cms.ls-nyc.org/matter/dynamic-profile/view/1885754","18-1885754")</f>
        <v>0</v>
      </c>
      <c r="B1084" t="s">
        <v>10</v>
      </c>
      <c r="H1084" t="s">
        <v>19</v>
      </c>
    </row>
    <row r="1085" spans="1:8">
      <c r="A1085" s="1">
        <f>HYPERLINK("https://cms.ls-nyc.org/matter/dynamic-profile/view/1894066","19-1894066")</f>
        <v>0</v>
      </c>
      <c r="B1085" t="s">
        <v>10</v>
      </c>
      <c r="H1085" t="s">
        <v>19</v>
      </c>
    </row>
    <row r="1086" spans="1:8">
      <c r="A1086" s="1">
        <f>HYPERLINK("https://cms.ls-nyc.org/matter/dynamic-profile/view/1894064","19-1894064")</f>
        <v>0</v>
      </c>
      <c r="B1086" t="s">
        <v>10</v>
      </c>
      <c r="H1086" t="s">
        <v>19</v>
      </c>
    </row>
    <row r="1087" spans="1:8">
      <c r="A1087" s="1">
        <f>HYPERLINK("https://cms.ls-nyc.org/matter/dynamic-profile/view/1894063","18-1894063")</f>
        <v>0</v>
      </c>
      <c r="B1087" t="s">
        <v>10</v>
      </c>
      <c r="H1087" t="s">
        <v>19</v>
      </c>
    </row>
    <row r="1088" spans="1:8">
      <c r="A1088" s="1">
        <f>HYPERLINK("https://cms.ls-nyc.org/matter/dynamic-profile/view/1900393","19-1900393")</f>
        <v>0</v>
      </c>
      <c r="B1088" t="s">
        <v>8</v>
      </c>
      <c r="F1088" t="s">
        <v>17</v>
      </c>
      <c r="H1088" t="s">
        <v>20</v>
      </c>
    </row>
    <row r="1089" spans="1:8">
      <c r="A1089" s="1">
        <f>HYPERLINK("https://cms.ls-nyc.org/matter/dynamic-profile/view/1884964","18-1884964")</f>
        <v>0</v>
      </c>
      <c r="B1089" t="s">
        <v>10</v>
      </c>
      <c r="H1089" t="s">
        <v>19</v>
      </c>
    </row>
    <row r="1090" spans="1:8">
      <c r="A1090" s="1">
        <f>HYPERLINK("https://cms.ls-nyc.org/matter/dynamic-profile/view/1898369","19-1898369")</f>
        <v>0</v>
      </c>
      <c r="B1090" t="s">
        <v>12</v>
      </c>
      <c r="H1090" t="s">
        <v>19</v>
      </c>
    </row>
    <row r="1091" spans="1:8">
      <c r="A1091" s="1">
        <f>HYPERLINK("https://cms.ls-nyc.org/matter/dynamic-profile/view/1897224","19-1897224")</f>
        <v>0</v>
      </c>
      <c r="B1091" t="s">
        <v>12</v>
      </c>
      <c r="H1091" t="s">
        <v>19</v>
      </c>
    </row>
    <row r="1092" spans="1:8">
      <c r="A1092" s="1">
        <f>HYPERLINK("https://cms.ls-nyc.org/matter/dynamic-profile/view/1839692","17-1839692")</f>
        <v>0</v>
      </c>
      <c r="B1092" t="s">
        <v>9</v>
      </c>
      <c r="D1092" t="s">
        <v>15</v>
      </c>
      <c r="E1092" t="s">
        <v>16</v>
      </c>
      <c r="H1092" t="s">
        <v>20</v>
      </c>
    </row>
    <row r="1093" spans="1:8">
      <c r="A1093" s="1">
        <f>HYPERLINK("https://cms.ls-nyc.org/matter/dynamic-profile/view/1884912","18-1884912")</f>
        <v>0</v>
      </c>
      <c r="B1093" t="s">
        <v>10</v>
      </c>
      <c r="H1093" t="s">
        <v>19</v>
      </c>
    </row>
    <row r="1094" spans="1:8">
      <c r="A1094" s="1">
        <f>HYPERLINK("https://cms.ls-nyc.org/matter/dynamic-profile/view/0793591","15-0793591")</f>
        <v>0</v>
      </c>
      <c r="B1094" t="s">
        <v>9</v>
      </c>
      <c r="C1094" t="s">
        <v>13</v>
      </c>
      <c r="D1094" t="s">
        <v>15</v>
      </c>
      <c r="E1094" t="s">
        <v>16</v>
      </c>
      <c r="H1094" t="s">
        <v>20</v>
      </c>
    </row>
    <row r="1095" spans="1:8">
      <c r="A1095" s="1">
        <f>HYPERLINK("https://cms.ls-nyc.org/matter/dynamic-profile/view/0780350","15-0780350")</f>
        <v>0</v>
      </c>
      <c r="B1095" t="s">
        <v>9</v>
      </c>
      <c r="C1095" t="s">
        <v>13</v>
      </c>
      <c r="D1095" t="s">
        <v>15</v>
      </c>
      <c r="E1095" t="s">
        <v>16</v>
      </c>
      <c r="H1095" t="s">
        <v>20</v>
      </c>
    </row>
    <row r="1096" spans="1:8">
      <c r="A1096" s="1">
        <f>HYPERLINK("https://cms.ls-nyc.org/matter/dynamic-profile/view/1900437","19-1900437")</f>
        <v>0</v>
      </c>
      <c r="B1096" t="s">
        <v>9</v>
      </c>
      <c r="E1096" t="s">
        <v>16</v>
      </c>
      <c r="G1096" t="s">
        <v>18</v>
      </c>
      <c r="H1096" t="s">
        <v>20</v>
      </c>
    </row>
    <row r="1097" spans="1:8">
      <c r="A1097" s="1">
        <f>HYPERLINK("https://cms.ls-nyc.org/matter/dynamic-profile/view/1898865","19-1898865")</f>
        <v>0</v>
      </c>
      <c r="B1097" t="s">
        <v>10</v>
      </c>
      <c r="H1097" t="s">
        <v>19</v>
      </c>
    </row>
    <row r="1098" spans="1:8">
      <c r="A1098" s="1">
        <f>HYPERLINK("https://cms.ls-nyc.org/matter/dynamic-profile/view/0819705","16-0819705")</f>
        <v>0</v>
      </c>
      <c r="B1098" t="s">
        <v>10</v>
      </c>
      <c r="D1098" t="s">
        <v>15</v>
      </c>
      <c r="E1098" t="s">
        <v>16</v>
      </c>
      <c r="H1098" t="s">
        <v>20</v>
      </c>
    </row>
    <row r="1099" spans="1:8">
      <c r="A1099" s="1">
        <f>HYPERLINK("https://cms.ls-nyc.org/matter/dynamic-profile/view/0792461","15-0792461")</f>
        <v>0</v>
      </c>
      <c r="B1099" t="s">
        <v>8</v>
      </c>
      <c r="D1099" t="s">
        <v>15</v>
      </c>
      <c r="E1099" t="s">
        <v>16</v>
      </c>
      <c r="H1099" t="s">
        <v>20</v>
      </c>
    </row>
    <row r="1100" spans="1:8">
      <c r="A1100" s="1">
        <f>HYPERLINK("https://cms.ls-nyc.org/matter/dynamic-profile/view/1889641","19-1889641")</f>
        <v>0</v>
      </c>
      <c r="B1100" t="s">
        <v>12</v>
      </c>
      <c r="C1100" t="s">
        <v>13</v>
      </c>
      <c r="D1100" t="s">
        <v>14</v>
      </c>
      <c r="E1100" t="s">
        <v>16</v>
      </c>
      <c r="H1100" t="s">
        <v>20</v>
      </c>
    </row>
    <row r="1101" spans="1:8">
      <c r="A1101" s="1">
        <f>HYPERLINK("https://cms.ls-nyc.org/matter/dynamic-profile/view/1840563","17-1840563")</f>
        <v>0</v>
      </c>
      <c r="B1101" t="s">
        <v>9</v>
      </c>
      <c r="D1101" t="s">
        <v>15</v>
      </c>
      <c r="E1101" t="s">
        <v>16</v>
      </c>
      <c r="H1101" t="s">
        <v>20</v>
      </c>
    </row>
    <row r="1102" spans="1:8">
      <c r="A1102" s="1">
        <f>HYPERLINK("https://cms.ls-nyc.org/matter/dynamic-profile/view/1896190","19-1896190")</f>
        <v>0</v>
      </c>
      <c r="B1102" t="s">
        <v>9</v>
      </c>
      <c r="C1102" t="s">
        <v>13</v>
      </c>
      <c r="D1102" t="s">
        <v>14</v>
      </c>
      <c r="E1102" t="s">
        <v>16</v>
      </c>
      <c r="G1102" t="s">
        <v>18</v>
      </c>
      <c r="H1102" t="s">
        <v>20</v>
      </c>
    </row>
    <row r="1103" spans="1:8">
      <c r="A1103" s="1">
        <f>HYPERLINK("https://cms.ls-nyc.org/matter/dynamic-profile/view/1889330","19-1889330")</f>
        <v>0</v>
      </c>
      <c r="B1103" t="s">
        <v>9</v>
      </c>
      <c r="H1103" t="s">
        <v>19</v>
      </c>
    </row>
    <row r="1104" spans="1:8">
      <c r="A1104" s="1">
        <f>HYPERLINK("https://cms.ls-nyc.org/matter/dynamic-profile/view/1862026","18-1862026")</f>
        <v>0</v>
      </c>
      <c r="B1104" t="s">
        <v>11</v>
      </c>
      <c r="D1104" t="s">
        <v>15</v>
      </c>
      <c r="E1104" t="s">
        <v>16</v>
      </c>
      <c r="H1104" t="s">
        <v>20</v>
      </c>
    </row>
    <row r="1105" spans="1:8">
      <c r="A1105" s="1">
        <f>HYPERLINK("https://cms.ls-nyc.org/matter/dynamic-profile/view/1898897","19-1898897")</f>
        <v>0</v>
      </c>
      <c r="B1105" t="s">
        <v>9</v>
      </c>
      <c r="H1105" t="s">
        <v>19</v>
      </c>
    </row>
    <row r="1106" spans="1:8">
      <c r="A1106" s="1">
        <f>HYPERLINK("https://cms.ls-nyc.org/matter/dynamic-profile/view/1886471","18-1886471")</f>
        <v>0</v>
      </c>
      <c r="B1106" t="s">
        <v>10</v>
      </c>
      <c r="H1106" t="s">
        <v>19</v>
      </c>
    </row>
    <row r="1107" spans="1:8">
      <c r="A1107" s="1">
        <f>HYPERLINK("https://cms.ls-nyc.org/matter/dynamic-profile/view/1901176","19-1901176")</f>
        <v>0</v>
      </c>
      <c r="B1107" t="s">
        <v>9</v>
      </c>
      <c r="D1107" t="s">
        <v>14</v>
      </c>
      <c r="G1107" t="s">
        <v>18</v>
      </c>
      <c r="H1107" t="s">
        <v>20</v>
      </c>
    </row>
    <row r="1108" spans="1:8">
      <c r="A1108" s="1">
        <f>HYPERLINK("https://cms.ls-nyc.org/matter/dynamic-profile/view/1898611","19-1898611")</f>
        <v>0</v>
      </c>
      <c r="B1108" t="s">
        <v>9</v>
      </c>
      <c r="C1108" t="s">
        <v>13</v>
      </c>
      <c r="D1108" t="s">
        <v>14</v>
      </c>
      <c r="E1108" t="s">
        <v>16</v>
      </c>
      <c r="H1108" t="s">
        <v>20</v>
      </c>
    </row>
    <row r="1109" spans="1:8">
      <c r="A1109" s="1">
        <f>HYPERLINK("https://cms.ls-nyc.org/matter/dynamic-profile/view/1864028","18-1864028")</f>
        <v>0</v>
      </c>
      <c r="B1109" t="s">
        <v>11</v>
      </c>
      <c r="D1109" t="s">
        <v>15</v>
      </c>
      <c r="E1109" t="s">
        <v>16</v>
      </c>
      <c r="H1109" t="s">
        <v>20</v>
      </c>
    </row>
    <row r="1110" spans="1:8">
      <c r="A1110" s="1">
        <f>HYPERLINK("https://cms.ls-nyc.org/matter/dynamic-profile/view/1875194","18-1875194")</f>
        <v>0</v>
      </c>
      <c r="B1110" t="s">
        <v>8</v>
      </c>
      <c r="H1110" t="s">
        <v>19</v>
      </c>
    </row>
    <row r="1111" spans="1:8">
      <c r="A1111" s="1">
        <f>HYPERLINK("https://cms.ls-nyc.org/matter/dynamic-profile/view/0800228","16-0800228")</f>
        <v>0</v>
      </c>
      <c r="B1111" t="s">
        <v>10</v>
      </c>
      <c r="D1111" t="s">
        <v>15</v>
      </c>
      <c r="E1111" t="s">
        <v>16</v>
      </c>
      <c r="F1111" t="s">
        <v>17</v>
      </c>
      <c r="H1111" t="s">
        <v>20</v>
      </c>
    </row>
    <row r="1112" spans="1:8">
      <c r="A1112" s="1">
        <f>HYPERLINK("https://cms.ls-nyc.org/matter/dynamic-profile/view/0800218","16-0800218")</f>
        <v>0</v>
      </c>
      <c r="B1112" t="s">
        <v>10</v>
      </c>
      <c r="D1112" t="s">
        <v>15</v>
      </c>
      <c r="E1112" t="s">
        <v>16</v>
      </c>
      <c r="F1112" t="s">
        <v>17</v>
      </c>
      <c r="H1112" t="s">
        <v>20</v>
      </c>
    </row>
    <row r="1113" spans="1:8">
      <c r="A1113" s="1">
        <f>HYPERLINK("https://cms.ls-nyc.org/matter/dynamic-profile/view/1895881","19-1895881")</f>
        <v>0</v>
      </c>
      <c r="B1113" t="s">
        <v>8</v>
      </c>
      <c r="H1113" t="s">
        <v>19</v>
      </c>
    </row>
    <row r="1114" spans="1:8">
      <c r="A1114" s="1">
        <f>HYPERLINK("https://cms.ls-nyc.org/matter/dynamic-profile/view/1895324","19-1895324")</f>
        <v>0</v>
      </c>
      <c r="B1114" t="s">
        <v>9</v>
      </c>
      <c r="H1114" t="s">
        <v>19</v>
      </c>
    </row>
    <row r="1115" spans="1:8">
      <c r="A1115" s="1">
        <f>HYPERLINK("https://cms.ls-nyc.org/matter/dynamic-profile/view/1894735","19-1894735")</f>
        <v>0</v>
      </c>
      <c r="B1115" t="s">
        <v>12</v>
      </c>
      <c r="D1115" t="s">
        <v>14</v>
      </c>
      <c r="F1115" t="s">
        <v>17</v>
      </c>
      <c r="H1115" t="s">
        <v>20</v>
      </c>
    </row>
    <row r="1116" spans="1:8">
      <c r="A1116" s="1">
        <f>HYPERLINK("https://cms.ls-nyc.org/matter/dynamic-profile/view/1899756","19-1899756")</f>
        <v>0</v>
      </c>
      <c r="B1116" t="s">
        <v>11</v>
      </c>
      <c r="C1116" t="s">
        <v>13</v>
      </c>
      <c r="D1116" t="s">
        <v>14</v>
      </c>
      <c r="E1116" t="s">
        <v>16</v>
      </c>
      <c r="G1116" t="s">
        <v>18</v>
      </c>
      <c r="H1116" t="s">
        <v>20</v>
      </c>
    </row>
    <row r="1117" spans="1:8">
      <c r="A1117" s="1">
        <f>HYPERLINK("https://cms.ls-nyc.org/matter/dynamic-profile/view/1887202","19-1887202")</f>
        <v>0</v>
      </c>
      <c r="B1117" t="s">
        <v>9</v>
      </c>
      <c r="F1117" t="s">
        <v>17</v>
      </c>
      <c r="H1117" t="s">
        <v>20</v>
      </c>
    </row>
    <row r="1118" spans="1:8">
      <c r="A1118" s="1">
        <f>HYPERLINK("https://cms.ls-nyc.org/matter/dynamic-profile/view/1880701","18-1880701")</f>
        <v>0</v>
      </c>
      <c r="B1118" t="s">
        <v>9</v>
      </c>
      <c r="F1118" t="s">
        <v>17</v>
      </c>
      <c r="H1118" t="s">
        <v>20</v>
      </c>
    </row>
    <row r="1119" spans="1:8">
      <c r="A1119" s="1">
        <f>HYPERLINK("https://cms.ls-nyc.org/matter/dynamic-profile/view/0823980","17-0823980")</f>
        <v>0</v>
      </c>
      <c r="B1119" t="s">
        <v>9</v>
      </c>
      <c r="D1119" t="s">
        <v>15</v>
      </c>
      <c r="E1119" t="s">
        <v>16</v>
      </c>
      <c r="H1119" t="s">
        <v>20</v>
      </c>
    </row>
    <row r="1120" spans="1:8">
      <c r="A1120" s="1">
        <f>HYPERLINK("https://cms.ls-nyc.org/matter/dynamic-profile/view/1889053","19-1889053")</f>
        <v>0</v>
      </c>
      <c r="B1120" t="s">
        <v>9</v>
      </c>
      <c r="F1120" t="s">
        <v>17</v>
      </c>
      <c r="H1120" t="s">
        <v>20</v>
      </c>
    </row>
    <row r="1121" spans="1:8">
      <c r="A1121" s="1">
        <f>HYPERLINK("https://cms.ls-nyc.org/matter/dynamic-profile/view/1893248","19-1893248")</f>
        <v>0</v>
      </c>
      <c r="B1121" t="s">
        <v>9</v>
      </c>
      <c r="F1121" t="s">
        <v>17</v>
      </c>
      <c r="H1121" t="s">
        <v>20</v>
      </c>
    </row>
    <row r="1122" spans="1:8">
      <c r="A1122" s="1">
        <f>HYPERLINK("https://cms.ls-nyc.org/matter/dynamic-profile/view/1871005","18-1871005")</f>
        <v>0</v>
      </c>
      <c r="B1122" t="s">
        <v>8</v>
      </c>
      <c r="D1122" t="s">
        <v>15</v>
      </c>
      <c r="E1122" t="s">
        <v>16</v>
      </c>
      <c r="H1122" t="s">
        <v>20</v>
      </c>
    </row>
    <row r="1123" spans="1:8">
      <c r="A1123" s="1">
        <f>HYPERLINK("https://cms.ls-nyc.org/matter/dynamic-profile/view/0822074","16-0822074")</f>
        <v>0</v>
      </c>
      <c r="B1123" t="s">
        <v>10</v>
      </c>
      <c r="D1123" t="s">
        <v>15</v>
      </c>
      <c r="E1123" t="s">
        <v>16</v>
      </c>
      <c r="H1123" t="s">
        <v>20</v>
      </c>
    </row>
    <row r="1124" spans="1:8">
      <c r="A1124" s="1">
        <f>HYPERLINK("https://cms.ls-nyc.org/matter/dynamic-profile/view/0822078","16-0822078")</f>
        <v>0</v>
      </c>
      <c r="B1124" t="s">
        <v>10</v>
      </c>
      <c r="D1124" t="s">
        <v>15</v>
      </c>
      <c r="E1124" t="s">
        <v>16</v>
      </c>
      <c r="H1124" t="s">
        <v>20</v>
      </c>
    </row>
    <row r="1125" spans="1:8">
      <c r="A1125" s="1">
        <f>HYPERLINK("https://cms.ls-nyc.org/matter/dynamic-profile/view/1876456","18-1876456")</f>
        <v>0</v>
      </c>
      <c r="B1125" t="s">
        <v>10</v>
      </c>
      <c r="H1125" t="s">
        <v>19</v>
      </c>
    </row>
    <row r="1126" spans="1:8">
      <c r="A1126" s="1">
        <f>HYPERLINK("https://cms.ls-nyc.org/matter/dynamic-profile/view/1880595","18-1880595")</f>
        <v>0</v>
      </c>
      <c r="B1126" t="s">
        <v>10</v>
      </c>
      <c r="H1126" t="s">
        <v>19</v>
      </c>
    </row>
    <row r="1127" spans="1:8">
      <c r="A1127" s="1">
        <f>HYPERLINK("https://cms.ls-nyc.org/matter/dynamic-profile/view/1882287","18-1882287")</f>
        <v>0</v>
      </c>
      <c r="B1127" t="s">
        <v>10</v>
      </c>
      <c r="H1127" t="s">
        <v>19</v>
      </c>
    </row>
    <row r="1128" spans="1:8">
      <c r="A1128" s="1">
        <f>HYPERLINK("https://cms.ls-nyc.org/matter/dynamic-profile/view/1891713","19-1891713")</f>
        <v>0</v>
      </c>
      <c r="B1128" t="s">
        <v>9</v>
      </c>
      <c r="H1128" t="s">
        <v>19</v>
      </c>
    </row>
    <row r="1129" spans="1:8">
      <c r="A1129" s="1">
        <f>HYPERLINK("https://cms.ls-nyc.org/matter/dynamic-profile/view/1898722","19-1898722")</f>
        <v>0</v>
      </c>
      <c r="B1129" t="s">
        <v>8</v>
      </c>
      <c r="H1129" t="s">
        <v>19</v>
      </c>
    </row>
    <row r="1130" spans="1:8">
      <c r="A1130" s="1">
        <f>HYPERLINK("https://cms.ls-nyc.org/matter/dynamic-profile/view/1894868","19-1894868")</f>
        <v>0</v>
      </c>
      <c r="B1130" t="s">
        <v>12</v>
      </c>
      <c r="H1130" t="s">
        <v>19</v>
      </c>
    </row>
    <row r="1131" spans="1:8">
      <c r="A1131" s="1">
        <f>HYPERLINK("https://cms.ls-nyc.org/matter/dynamic-profile/view/1898093","19-1898093")</f>
        <v>0</v>
      </c>
      <c r="B1131" t="s">
        <v>8</v>
      </c>
      <c r="H1131" t="s">
        <v>19</v>
      </c>
    </row>
    <row r="1132" spans="1:8">
      <c r="A1132" s="1">
        <f>HYPERLINK("https://cms.ls-nyc.org/matter/dynamic-profile/view/1892915","19-1892915")</f>
        <v>0</v>
      </c>
      <c r="B1132" t="s">
        <v>11</v>
      </c>
      <c r="C1132" t="s">
        <v>13</v>
      </c>
      <c r="D1132" t="s">
        <v>14</v>
      </c>
      <c r="E1132" t="s">
        <v>16</v>
      </c>
      <c r="G1132" t="s">
        <v>18</v>
      </c>
      <c r="H1132" t="s">
        <v>20</v>
      </c>
    </row>
    <row r="1133" spans="1:8">
      <c r="A1133" s="1">
        <f>HYPERLINK("https://cms.ls-nyc.org/matter/dynamic-profile/view/1887762","19-1887762")</f>
        <v>0</v>
      </c>
      <c r="B1133" t="s">
        <v>9</v>
      </c>
      <c r="E1133" t="s">
        <v>16</v>
      </c>
      <c r="H1133" t="s">
        <v>20</v>
      </c>
    </row>
    <row r="1134" spans="1:8">
      <c r="A1134" s="1">
        <f>HYPERLINK("https://cms.ls-nyc.org/matter/dynamic-profile/view/1871914","18-1871914")</f>
        <v>0</v>
      </c>
      <c r="B1134" t="s">
        <v>10</v>
      </c>
      <c r="H1134" t="s">
        <v>19</v>
      </c>
    </row>
    <row r="1135" spans="1:8">
      <c r="A1135" s="1">
        <f>HYPERLINK("https://cms.ls-nyc.org/matter/dynamic-profile/view/1883970","18-1883970")</f>
        <v>0</v>
      </c>
      <c r="B1135" t="s">
        <v>10</v>
      </c>
      <c r="H1135" t="s">
        <v>19</v>
      </c>
    </row>
    <row r="1136" spans="1:8">
      <c r="A1136" s="1">
        <f>HYPERLINK("https://cms.ls-nyc.org/matter/dynamic-profile/view/1888033","19-1888033")</f>
        <v>0</v>
      </c>
      <c r="B1136" t="s">
        <v>12</v>
      </c>
      <c r="H1136" t="s">
        <v>19</v>
      </c>
    </row>
    <row r="1137" spans="1:8">
      <c r="A1137" s="1">
        <f>HYPERLINK("https://cms.ls-nyc.org/matter/dynamic-profile/view/1897127","19-1897127")</f>
        <v>0</v>
      </c>
      <c r="B1137" t="s">
        <v>11</v>
      </c>
      <c r="F1137" t="s">
        <v>17</v>
      </c>
      <c r="H1137" t="s">
        <v>20</v>
      </c>
    </row>
    <row r="1138" spans="1:8">
      <c r="A1138" s="1">
        <f>HYPERLINK("https://cms.ls-nyc.org/matter/dynamic-profile/view/1890002","19-1890002")</f>
        <v>0</v>
      </c>
      <c r="B1138" t="s">
        <v>10</v>
      </c>
      <c r="H1138" t="s">
        <v>19</v>
      </c>
    </row>
    <row r="1139" spans="1:8">
      <c r="A1139" s="1">
        <f>HYPERLINK("https://cms.ls-nyc.org/matter/dynamic-profile/view/1889998","19-1889998")</f>
        <v>0</v>
      </c>
      <c r="B1139" t="s">
        <v>10</v>
      </c>
      <c r="H1139" t="s">
        <v>19</v>
      </c>
    </row>
    <row r="1140" spans="1:8">
      <c r="A1140" s="1">
        <f>HYPERLINK("https://cms.ls-nyc.org/matter/dynamic-profile/view/1854099","17-1854099")</f>
        <v>0</v>
      </c>
      <c r="B1140" t="s">
        <v>10</v>
      </c>
      <c r="D1140" t="s">
        <v>15</v>
      </c>
      <c r="E1140" t="s">
        <v>16</v>
      </c>
      <c r="H1140" t="s">
        <v>20</v>
      </c>
    </row>
    <row r="1141" spans="1:8">
      <c r="A1141" s="1">
        <f>HYPERLINK("https://cms.ls-nyc.org/matter/dynamic-profile/view/1880333","18-1880333")</f>
        <v>0</v>
      </c>
      <c r="B1141" t="s">
        <v>10</v>
      </c>
      <c r="H1141" t="s">
        <v>19</v>
      </c>
    </row>
    <row r="1142" spans="1:8">
      <c r="A1142" s="1">
        <f>HYPERLINK("https://cms.ls-nyc.org/matter/dynamic-profile/view/1892380","19-1892380")</f>
        <v>0</v>
      </c>
      <c r="B1142" t="s">
        <v>10</v>
      </c>
      <c r="C1142" t="s">
        <v>13</v>
      </c>
      <c r="D1142" t="s">
        <v>14</v>
      </c>
      <c r="E1142" t="s">
        <v>16</v>
      </c>
      <c r="H1142" t="s">
        <v>20</v>
      </c>
    </row>
    <row r="1143" spans="1:8">
      <c r="A1143" s="1">
        <f>HYPERLINK("https://cms.ls-nyc.org/matter/dynamic-profile/view/1841101","17-1841101")</f>
        <v>0</v>
      </c>
      <c r="B1143" t="s">
        <v>10</v>
      </c>
      <c r="D1143" t="s">
        <v>15</v>
      </c>
      <c r="E1143" t="s">
        <v>16</v>
      </c>
      <c r="H1143" t="s">
        <v>20</v>
      </c>
    </row>
    <row r="1144" spans="1:8">
      <c r="A1144" s="1">
        <f>HYPERLINK("https://cms.ls-nyc.org/matter/dynamic-profile/view/1857283","18-1857283")</f>
        <v>0</v>
      </c>
      <c r="B1144" t="s">
        <v>10</v>
      </c>
      <c r="D1144" t="s">
        <v>15</v>
      </c>
      <c r="E1144" t="s">
        <v>16</v>
      </c>
      <c r="H1144" t="s">
        <v>20</v>
      </c>
    </row>
    <row r="1145" spans="1:8">
      <c r="A1145" s="1">
        <f>HYPERLINK("https://cms.ls-nyc.org/matter/dynamic-profile/view/1842815","17-1842815")</f>
        <v>0</v>
      </c>
      <c r="B1145" t="s">
        <v>12</v>
      </c>
      <c r="C1145" t="s">
        <v>13</v>
      </c>
      <c r="D1145" t="s">
        <v>15</v>
      </c>
      <c r="E1145" t="s">
        <v>16</v>
      </c>
      <c r="H1145" t="s">
        <v>20</v>
      </c>
    </row>
    <row r="1146" spans="1:8">
      <c r="A1146" s="1">
        <f>HYPERLINK("https://cms.ls-nyc.org/matter/dynamic-profile/view/1896815","19-1896815")</f>
        <v>0</v>
      </c>
      <c r="B1146" t="s">
        <v>8</v>
      </c>
      <c r="H1146" t="s">
        <v>19</v>
      </c>
    </row>
    <row r="1147" spans="1:8">
      <c r="A1147" s="1">
        <f>HYPERLINK("https://cms.ls-nyc.org/matter/dynamic-profile/view/0820315","16-0820315")</f>
        <v>0</v>
      </c>
      <c r="B1147" t="s">
        <v>9</v>
      </c>
      <c r="D1147" t="s">
        <v>15</v>
      </c>
      <c r="E1147" t="s">
        <v>16</v>
      </c>
      <c r="H1147" t="s">
        <v>20</v>
      </c>
    </row>
    <row r="1148" spans="1:8">
      <c r="A1148" s="1">
        <f>HYPERLINK("https://cms.ls-nyc.org/matter/dynamic-profile/view/0800674","16-0800674")</f>
        <v>0</v>
      </c>
      <c r="B1148" t="s">
        <v>9</v>
      </c>
      <c r="D1148" t="s">
        <v>15</v>
      </c>
      <c r="E1148" t="s">
        <v>16</v>
      </c>
      <c r="H1148" t="s">
        <v>20</v>
      </c>
    </row>
    <row r="1149" spans="1:8">
      <c r="A1149" s="1">
        <f>HYPERLINK("https://cms.ls-nyc.org/matter/dynamic-profile/view/1855461","18-1855461")</f>
        <v>0</v>
      </c>
      <c r="B1149" t="s">
        <v>9</v>
      </c>
      <c r="D1149" t="s">
        <v>15</v>
      </c>
      <c r="E1149" t="s">
        <v>16</v>
      </c>
      <c r="H1149" t="s">
        <v>20</v>
      </c>
    </row>
    <row r="1150" spans="1:8">
      <c r="A1150" s="1">
        <f>HYPERLINK("https://cms.ls-nyc.org/matter/dynamic-profile/view/1845340","17-1845340")</f>
        <v>0</v>
      </c>
      <c r="B1150" t="s">
        <v>9</v>
      </c>
      <c r="D1150" t="s">
        <v>15</v>
      </c>
      <c r="E1150" t="s">
        <v>16</v>
      </c>
      <c r="H1150" t="s">
        <v>20</v>
      </c>
    </row>
    <row r="1151" spans="1:8">
      <c r="A1151" s="1">
        <f>HYPERLINK("https://cms.ls-nyc.org/matter/dynamic-profile/view/1894126","19-1894126")</f>
        <v>0</v>
      </c>
      <c r="B1151" t="s">
        <v>10</v>
      </c>
      <c r="D1151" t="s">
        <v>14</v>
      </c>
      <c r="H1151" t="s">
        <v>20</v>
      </c>
    </row>
    <row r="1152" spans="1:8">
      <c r="A1152" s="1">
        <f>HYPERLINK("https://cms.ls-nyc.org/matter/dynamic-profile/view/1894123","19-1894123")</f>
        <v>0</v>
      </c>
      <c r="B1152" t="s">
        <v>10</v>
      </c>
      <c r="H1152" t="s">
        <v>19</v>
      </c>
    </row>
    <row r="1153" spans="1:8">
      <c r="A1153" s="1">
        <f>HYPERLINK("https://cms.ls-nyc.org/matter/dynamic-profile/view/1894220","19-1894220")</f>
        <v>0</v>
      </c>
      <c r="B1153" t="s">
        <v>10</v>
      </c>
      <c r="H1153" t="s">
        <v>19</v>
      </c>
    </row>
    <row r="1154" spans="1:8">
      <c r="A1154" s="1">
        <f>HYPERLINK("https://cms.ls-nyc.org/matter/dynamic-profile/view/1854948","18-1854948")</f>
        <v>0</v>
      </c>
      <c r="B1154" t="s">
        <v>10</v>
      </c>
      <c r="D1154" t="s">
        <v>15</v>
      </c>
      <c r="E1154" t="s">
        <v>16</v>
      </c>
      <c r="H1154" t="s">
        <v>20</v>
      </c>
    </row>
    <row r="1155" spans="1:8">
      <c r="A1155" s="1">
        <f>HYPERLINK("https://cms.ls-nyc.org/matter/dynamic-profile/view/1859264","18-1859264")</f>
        <v>0</v>
      </c>
      <c r="B1155" t="s">
        <v>10</v>
      </c>
      <c r="D1155" t="s">
        <v>15</v>
      </c>
      <c r="E1155" t="s">
        <v>16</v>
      </c>
      <c r="H1155" t="s">
        <v>20</v>
      </c>
    </row>
    <row r="1156" spans="1:8">
      <c r="A1156" s="1">
        <f>HYPERLINK("https://cms.ls-nyc.org/matter/dynamic-profile/view/1891498","19-1891498")</f>
        <v>0</v>
      </c>
      <c r="B1156" t="s">
        <v>8</v>
      </c>
      <c r="H1156" t="s">
        <v>19</v>
      </c>
    </row>
    <row r="1157" spans="1:8">
      <c r="A1157" s="1">
        <f>HYPERLINK("https://cms.ls-nyc.org/matter/dynamic-profile/view/1900776","19-1900776")</f>
        <v>0</v>
      </c>
      <c r="B1157" t="s">
        <v>8</v>
      </c>
      <c r="H1157" t="s">
        <v>19</v>
      </c>
    </row>
    <row r="1158" spans="1:8">
      <c r="A1158" s="1">
        <f>HYPERLINK("https://cms.ls-nyc.org/matter/dynamic-profile/view/1874385","18-1874385")</f>
        <v>0</v>
      </c>
      <c r="B1158" t="s">
        <v>10</v>
      </c>
      <c r="H1158" t="s">
        <v>19</v>
      </c>
    </row>
    <row r="1159" spans="1:8">
      <c r="A1159" s="1">
        <f>HYPERLINK("https://cms.ls-nyc.org/matter/dynamic-profile/view/1886735","18-1886735")</f>
        <v>0</v>
      </c>
      <c r="B1159" t="s">
        <v>9</v>
      </c>
      <c r="H1159" t="s">
        <v>19</v>
      </c>
    </row>
    <row r="1160" spans="1:8">
      <c r="A1160" s="1">
        <f>HYPERLINK("https://cms.ls-nyc.org/matter/dynamic-profile/view/1885163","18-1885163")</f>
        <v>0</v>
      </c>
      <c r="B1160" t="s">
        <v>9</v>
      </c>
      <c r="H1160" t="s">
        <v>19</v>
      </c>
    </row>
    <row r="1161" spans="1:8">
      <c r="A1161" s="1">
        <f>HYPERLINK("https://cms.ls-nyc.org/matter/dynamic-profile/view/1885151","18-1885151")</f>
        <v>0</v>
      </c>
      <c r="B1161" t="s">
        <v>9</v>
      </c>
      <c r="H1161" t="s">
        <v>19</v>
      </c>
    </row>
    <row r="1162" spans="1:8">
      <c r="A1162" s="1">
        <f>HYPERLINK("https://cms.ls-nyc.org/matter/dynamic-profile/view/1864586","18-1864586")</f>
        <v>0</v>
      </c>
      <c r="B1162" t="s">
        <v>10</v>
      </c>
      <c r="H1162" t="s">
        <v>19</v>
      </c>
    </row>
    <row r="1163" spans="1:8">
      <c r="A1163" s="1">
        <f>HYPERLINK("https://cms.ls-nyc.org/matter/dynamic-profile/view/1870358","18-1870358")</f>
        <v>0</v>
      </c>
      <c r="B1163" t="s">
        <v>12</v>
      </c>
      <c r="D1163" t="s">
        <v>15</v>
      </c>
      <c r="E1163" t="s">
        <v>16</v>
      </c>
      <c r="H1163" t="s">
        <v>20</v>
      </c>
    </row>
    <row r="1164" spans="1:8">
      <c r="A1164" s="1">
        <f>HYPERLINK("https://cms.ls-nyc.org/matter/dynamic-profile/view/1894962","19-1894962")</f>
        <v>0</v>
      </c>
      <c r="B1164" t="s">
        <v>9</v>
      </c>
      <c r="H1164" t="s">
        <v>19</v>
      </c>
    </row>
    <row r="1165" spans="1:8">
      <c r="A1165" s="1">
        <f>HYPERLINK("https://cms.ls-nyc.org/matter/dynamic-profile/view/0812518","16-0812518")</f>
        <v>0</v>
      </c>
      <c r="B1165" t="s">
        <v>10</v>
      </c>
      <c r="D1165" t="s">
        <v>15</v>
      </c>
      <c r="E1165" t="s">
        <v>16</v>
      </c>
      <c r="H1165" t="s">
        <v>20</v>
      </c>
    </row>
    <row r="1166" spans="1:8">
      <c r="A1166" s="1">
        <f>HYPERLINK("https://cms.ls-nyc.org/matter/dynamic-profile/view/1896243","19-1896243")</f>
        <v>0</v>
      </c>
      <c r="B1166" t="s">
        <v>8</v>
      </c>
      <c r="H1166" t="s">
        <v>19</v>
      </c>
    </row>
    <row r="1167" spans="1:8">
      <c r="A1167" s="1">
        <f>HYPERLINK("https://cms.ls-nyc.org/matter/dynamic-profile/view/1896249","19-1896249")</f>
        <v>0</v>
      </c>
      <c r="B1167" t="s">
        <v>8</v>
      </c>
      <c r="H1167" t="s">
        <v>19</v>
      </c>
    </row>
    <row r="1168" spans="1:8">
      <c r="A1168" s="1">
        <f>HYPERLINK("https://cms.ls-nyc.org/matter/dynamic-profile/view/1899977","19-1899977")</f>
        <v>0</v>
      </c>
      <c r="B1168" t="s">
        <v>10</v>
      </c>
      <c r="D1168" t="s">
        <v>14</v>
      </c>
      <c r="E1168" t="s">
        <v>16</v>
      </c>
      <c r="H1168" t="s">
        <v>20</v>
      </c>
    </row>
    <row r="1169" spans="1:8">
      <c r="A1169" s="1">
        <f>HYPERLINK("https://cms.ls-nyc.org/matter/dynamic-profile/view/1838874","17-1838874")</f>
        <v>0</v>
      </c>
      <c r="B1169" t="s">
        <v>9</v>
      </c>
      <c r="D1169" t="s">
        <v>15</v>
      </c>
      <c r="E1169" t="s">
        <v>16</v>
      </c>
      <c r="H1169" t="s">
        <v>20</v>
      </c>
    </row>
    <row r="1170" spans="1:8">
      <c r="A1170" s="1">
        <f>HYPERLINK("https://cms.ls-nyc.org/matter/dynamic-profile/view/0799050","16-0799050")</f>
        <v>0</v>
      </c>
      <c r="B1170" t="s">
        <v>10</v>
      </c>
      <c r="D1170" t="s">
        <v>15</v>
      </c>
      <c r="E1170" t="s">
        <v>16</v>
      </c>
      <c r="H1170" t="s">
        <v>20</v>
      </c>
    </row>
    <row r="1171" spans="1:8">
      <c r="A1171" s="1">
        <f>HYPERLINK("https://cms.ls-nyc.org/matter/dynamic-profile/view/0816973","16-0816973")</f>
        <v>0</v>
      </c>
      <c r="B1171" t="s">
        <v>10</v>
      </c>
      <c r="D1171" t="s">
        <v>15</v>
      </c>
      <c r="E1171" t="s">
        <v>16</v>
      </c>
      <c r="H1171" t="s">
        <v>20</v>
      </c>
    </row>
    <row r="1172" spans="1:8">
      <c r="A1172" s="1">
        <f>HYPERLINK("https://cms.ls-nyc.org/matter/dynamic-profile/view/0822605","16-0822605")</f>
        <v>0</v>
      </c>
      <c r="B1172" t="s">
        <v>10</v>
      </c>
      <c r="D1172" t="s">
        <v>15</v>
      </c>
      <c r="E1172" t="s">
        <v>16</v>
      </c>
      <c r="H1172" t="s">
        <v>20</v>
      </c>
    </row>
    <row r="1173" spans="1:8">
      <c r="A1173" s="1">
        <f>HYPERLINK("https://cms.ls-nyc.org/matter/dynamic-profile/view/1888040","19-1888040")</f>
        <v>0</v>
      </c>
      <c r="B1173" t="s">
        <v>12</v>
      </c>
      <c r="F1173" t="s">
        <v>17</v>
      </c>
      <c r="H1173" t="s">
        <v>20</v>
      </c>
    </row>
    <row r="1174" spans="1:8">
      <c r="A1174" s="1">
        <f>HYPERLINK("https://cms.ls-nyc.org/matter/dynamic-profile/view/1881986","18-1881986")</f>
        <v>0</v>
      </c>
      <c r="B1174" t="s">
        <v>11</v>
      </c>
      <c r="H1174" t="s">
        <v>19</v>
      </c>
    </row>
    <row r="1175" spans="1:8">
      <c r="A1175" s="1">
        <f>HYPERLINK("https://cms.ls-nyc.org/matter/dynamic-profile/view/1873228","18-1873228")</f>
        <v>0</v>
      </c>
      <c r="B1175" t="s">
        <v>10</v>
      </c>
      <c r="H1175" t="s">
        <v>19</v>
      </c>
    </row>
    <row r="1176" spans="1:8">
      <c r="A1176" s="1">
        <f>HYPERLINK("https://cms.ls-nyc.org/matter/dynamic-profile/view/1871654","18-1871654")</f>
        <v>0</v>
      </c>
      <c r="B1176" t="s">
        <v>11</v>
      </c>
      <c r="E1176" t="s">
        <v>16</v>
      </c>
      <c r="F1176" t="s">
        <v>17</v>
      </c>
      <c r="H1176" t="s">
        <v>20</v>
      </c>
    </row>
    <row r="1177" spans="1:8">
      <c r="A1177" s="1">
        <f>HYPERLINK("https://cms.ls-nyc.org/matter/dynamic-profile/view/1881809","18-1881809")</f>
        <v>0</v>
      </c>
      <c r="B1177" t="s">
        <v>10</v>
      </c>
      <c r="H1177" t="s">
        <v>19</v>
      </c>
    </row>
    <row r="1178" spans="1:8">
      <c r="A1178" s="1">
        <f>HYPERLINK("https://cms.ls-nyc.org/matter/dynamic-profile/view/1849579","17-1849579")</f>
        <v>0</v>
      </c>
      <c r="B1178" t="s">
        <v>10</v>
      </c>
      <c r="D1178" t="s">
        <v>15</v>
      </c>
      <c r="E1178" t="s">
        <v>16</v>
      </c>
      <c r="H1178" t="s">
        <v>20</v>
      </c>
    </row>
    <row r="1179" spans="1:8">
      <c r="A1179" s="1">
        <f>HYPERLINK("https://cms.ls-nyc.org/matter/dynamic-profile/view/1896561","19-1896561")</f>
        <v>0</v>
      </c>
      <c r="B1179" t="s">
        <v>10</v>
      </c>
      <c r="D1179" t="s">
        <v>14</v>
      </c>
      <c r="H1179" t="s">
        <v>20</v>
      </c>
    </row>
    <row r="1180" spans="1:8">
      <c r="A1180" s="1">
        <f>HYPERLINK("https://cms.ls-nyc.org/matter/dynamic-profile/view/1847819","17-1847819")</f>
        <v>0</v>
      </c>
      <c r="B1180" t="s">
        <v>8</v>
      </c>
      <c r="D1180" t="s">
        <v>15</v>
      </c>
      <c r="E1180" t="s">
        <v>16</v>
      </c>
      <c r="H1180" t="s">
        <v>20</v>
      </c>
    </row>
    <row r="1181" spans="1:8">
      <c r="A1181" s="1">
        <f>HYPERLINK("https://cms.ls-nyc.org/matter/dynamic-profile/view/0830729","17-0830729")</f>
        <v>0</v>
      </c>
      <c r="B1181" t="s">
        <v>9</v>
      </c>
      <c r="D1181" t="s">
        <v>15</v>
      </c>
      <c r="E1181" t="s">
        <v>16</v>
      </c>
      <c r="H1181" t="s">
        <v>20</v>
      </c>
    </row>
    <row r="1182" spans="1:8">
      <c r="A1182" s="1">
        <f>HYPERLINK("https://cms.ls-nyc.org/matter/dynamic-profile/view/1847705","17-1847705")</f>
        <v>0</v>
      </c>
      <c r="B1182" t="s">
        <v>12</v>
      </c>
      <c r="C1182" t="s">
        <v>13</v>
      </c>
      <c r="D1182" t="s">
        <v>14</v>
      </c>
      <c r="E1182" t="s">
        <v>16</v>
      </c>
      <c r="G1182" t="s">
        <v>18</v>
      </c>
      <c r="H1182" t="s">
        <v>20</v>
      </c>
    </row>
    <row r="1183" spans="1:8">
      <c r="A1183" s="1">
        <f>HYPERLINK("https://cms.ls-nyc.org/matter/dynamic-profile/view/1834800","17-1834800")</f>
        <v>0</v>
      </c>
      <c r="B1183" t="s">
        <v>12</v>
      </c>
      <c r="D1183" t="s">
        <v>15</v>
      </c>
      <c r="E1183" t="s">
        <v>16</v>
      </c>
      <c r="H1183" t="s">
        <v>20</v>
      </c>
    </row>
    <row r="1184" spans="1:8">
      <c r="A1184" s="1">
        <f>HYPERLINK("https://cms.ls-nyc.org/matter/dynamic-profile/view/1897119","19-1897119")</f>
        <v>0</v>
      </c>
      <c r="B1184" t="s">
        <v>8</v>
      </c>
      <c r="H1184" t="s">
        <v>19</v>
      </c>
    </row>
    <row r="1185" spans="1:8">
      <c r="A1185" s="1">
        <f>HYPERLINK("https://cms.ls-nyc.org/matter/dynamic-profile/view/1897230","19-1897230")</f>
        <v>0</v>
      </c>
      <c r="B1185" t="s">
        <v>8</v>
      </c>
      <c r="H1185" t="s">
        <v>19</v>
      </c>
    </row>
    <row r="1186" spans="1:8">
      <c r="A1186" s="1">
        <f>HYPERLINK("https://cms.ls-nyc.org/matter/dynamic-profile/view/1891259","19-1891259")</f>
        <v>0</v>
      </c>
      <c r="B1186" t="s">
        <v>8</v>
      </c>
      <c r="F1186" t="s">
        <v>17</v>
      </c>
      <c r="H1186" t="s">
        <v>20</v>
      </c>
    </row>
    <row r="1187" spans="1:8">
      <c r="A1187" s="1">
        <f>HYPERLINK("https://cms.ls-nyc.org/matter/dynamic-profile/view/1889923","19-1889923")</f>
        <v>0</v>
      </c>
      <c r="B1187" t="s">
        <v>10</v>
      </c>
      <c r="F1187" t="s">
        <v>17</v>
      </c>
      <c r="H1187" t="s">
        <v>20</v>
      </c>
    </row>
    <row r="1188" spans="1:8">
      <c r="A1188" s="1">
        <f>HYPERLINK("https://cms.ls-nyc.org/matter/dynamic-profile/view/1894505","19-1894505")</f>
        <v>0</v>
      </c>
      <c r="B1188" t="s">
        <v>10</v>
      </c>
      <c r="F1188" t="s">
        <v>17</v>
      </c>
      <c r="H1188" t="s">
        <v>20</v>
      </c>
    </row>
    <row r="1189" spans="1:8">
      <c r="A1189" s="1">
        <f>HYPERLINK("https://cms.ls-nyc.org/matter/dynamic-profile/view/1887831","19-1887831")</f>
        <v>0</v>
      </c>
      <c r="B1189" t="s">
        <v>9</v>
      </c>
      <c r="H1189" t="s">
        <v>19</v>
      </c>
    </row>
    <row r="1190" spans="1:8">
      <c r="A1190" s="1">
        <f>HYPERLINK("https://cms.ls-nyc.org/matter/dynamic-profile/view/1875921","18-1875921")</f>
        <v>0</v>
      </c>
      <c r="B1190" t="s">
        <v>9</v>
      </c>
      <c r="H1190" t="s">
        <v>19</v>
      </c>
    </row>
    <row r="1191" spans="1:8">
      <c r="A1191" s="1">
        <f>HYPERLINK("https://cms.ls-nyc.org/matter/dynamic-profile/view/1854512","17-1854512")</f>
        <v>0</v>
      </c>
      <c r="B1191" t="s">
        <v>9</v>
      </c>
      <c r="C1191" t="s">
        <v>13</v>
      </c>
      <c r="D1191" t="s">
        <v>15</v>
      </c>
      <c r="E1191" t="s">
        <v>16</v>
      </c>
      <c r="H1191" t="s">
        <v>20</v>
      </c>
    </row>
    <row r="1192" spans="1:8">
      <c r="A1192" s="1">
        <f>HYPERLINK("https://cms.ls-nyc.org/matter/dynamic-profile/view/1867088","18-1867088")</f>
        <v>0</v>
      </c>
      <c r="B1192" t="s">
        <v>9</v>
      </c>
      <c r="D1192" t="s">
        <v>15</v>
      </c>
      <c r="E1192" t="s">
        <v>16</v>
      </c>
      <c r="H1192" t="s">
        <v>20</v>
      </c>
    </row>
    <row r="1193" spans="1:8">
      <c r="A1193" s="1">
        <f>HYPERLINK("https://cms.ls-nyc.org/matter/dynamic-profile/view/1897943","19-1897943")</f>
        <v>0</v>
      </c>
      <c r="B1193" t="s">
        <v>10</v>
      </c>
      <c r="D1193" t="s">
        <v>14</v>
      </c>
      <c r="F1193" t="s">
        <v>17</v>
      </c>
      <c r="H1193" t="s">
        <v>20</v>
      </c>
    </row>
    <row r="1194" spans="1:8">
      <c r="A1194" s="1">
        <f>HYPERLINK("https://cms.ls-nyc.org/matter/dynamic-profile/view/1872335","18-1872335")</f>
        <v>0</v>
      </c>
      <c r="B1194" t="s">
        <v>10</v>
      </c>
      <c r="H1194" t="s">
        <v>19</v>
      </c>
    </row>
    <row r="1195" spans="1:8">
      <c r="A1195" s="1">
        <f>HYPERLINK("https://cms.ls-nyc.org/matter/dynamic-profile/view/1893344","19-1893344")</f>
        <v>0</v>
      </c>
      <c r="B1195" t="s">
        <v>11</v>
      </c>
      <c r="C1195" t="s">
        <v>13</v>
      </c>
      <c r="D1195" t="s">
        <v>14</v>
      </c>
      <c r="E1195" t="s">
        <v>16</v>
      </c>
      <c r="G1195" t="s">
        <v>18</v>
      </c>
      <c r="H1195" t="s">
        <v>20</v>
      </c>
    </row>
    <row r="1196" spans="1:8">
      <c r="A1196" s="1">
        <f>HYPERLINK("https://cms.ls-nyc.org/matter/dynamic-profile/view/1898008","19-1898008")</f>
        <v>0</v>
      </c>
      <c r="B1196" t="s">
        <v>9</v>
      </c>
      <c r="H1196" t="s">
        <v>19</v>
      </c>
    </row>
    <row r="1197" spans="1:8">
      <c r="A1197" s="1">
        <f>HYPERLINK("https://cms.ls-nyc.org/matter/dynamic-profile/view/1861934","18-1861934")</f>
        <v>0</v>
      </c>
      <c r="B1197" t="s">
        <v>10</v>
      </c>
      <c r="D1197" t="s">
        <v>15</v>
      </c>
      <c r="E1197" t="s">
        <v>16</v>
      </c>
      <c r="H1197" t="s">
        <v>20</v>
      </c>
    </row>
    <row r="1198" spans="1:8">
      <c r="A1198" s="1">
        <f>HYPERLINK("https://cms.ls-nyc.org/matter/dynamic-profile/view/1856971","18-1856971")</f>
        <v>0</v>
      </c>
      <c r="B1198" t="s">
        <v>12</v>
      </c>
      <c r="D1198" t="s">
        <v>15</v>
      </c>
      <c r="E1198" t="s">
        <v>16</v>
      </c>
      <c r="H1198" t="s">
        <v>20</v>
      </c>
    </row>
    <row r="1199" spans="1:8">
      <c r="A1199" s="1">
        <f>HYPERLINK("https://cms.ls-nyc.org/matter/dynamic-profile/view/1886339","18-1886339")</f>
        <v>0</v>
      </c>
      <c r="B1199" t="s">
        <v>10</v>
      </c>
      <c r="H1199" t="s">
        <v>19</v>
      </c>
    </row>
    <row r="1200" spans="1:8">
      <c r="A1200" s="1">
        <f>HYPERLINK("https://cms.ls-nyc.org/matter/dynamic-profile/view/1886340","18-1886340")</f>
        <v>0</v>
      </c>
      <c r="B1200" t="s">
        <v>10</v>
      </c>
      <c r="H1200" t="s">
        <v>19</v>
      </c>
    </row>
    <row r="1201" spans="1:8">
      <c r="A1201" s="1">
        <f>HYPERLINK("https://cms.ls-nyc.org/matter/dynamic-profile/view/1885942","18-1885942")</f>
        <v>0</v>
      </c>
      <c r="B1201" t="s">
        <v>12</v>
      </c>
      <c r="H1201" t="s">
        <v>19</v>
      </c>
    </row>
    <row r="1202" spans="1:8">
      <c r="A1202" s="1">
        <f>HYPERLINK("https://cms.ls-nyc.org/matter/dynamic-profile/view/1889325","19-1889325")</f>
        <v>0</v>
      </c>
      <c r="B1202" t="s">
        <v>9</v>
      </c>
      <c r="C1202" t="s">
        <v>13</v>
      </c>
      <c r="H1202" t="s">
        <v>20</v>
      </c>
    </row>
    <row r="1203" spans="1:8">
      <c r="A1203" s="1">
        <f>HYPERLINK("https://cms.ls-nyc.org/matter/dynamic-profile/view/1881520","18-1881520")</f>
        <v>0</v>
      </c>
      <c r="B1203" t="s">
        <v>9</v>
      </c>
      <c r="H1203" t="s">
        <v>19</v>
      </c>
    </row>
    <row r="1204" spans="1:8">
      <c r="A1204" s="1">
        <f>HYPERLINK("https://cms.ls-nyc.org/matter/dynamic-profile/view/1885309","18-1885309")</f>
        <v>0</v>
      </c>
      <c r="B1204" t="s">
        <v>9</v>
      </c>
      <c r="H1204" t="s">
        <v>19</v>
      </c>
    </row>
    <row r="1205" spans="1:8">
      <c r="A1205" s="1">
        <f>HYPERLINK("https://cms.ls-nyc.org/matter/dynamic-profile/view/1885969","18-1885969")</f>
        <v>0</v>
      </c>
      <c r="B1205" t="s">
        <v>10</v>
      </c>
      <c r="H1205" t="s">
        <v>19</v>
      </c>
    </row>
    <row r="1206" spans="1:8">
      <c r="A1206" s="1">
        <f>HYPERLINK("https://cms.ls-nyc.org/matter/dynamic-profile/view/1899950","19-1899950")</f>
        <v>0</v>
      </c>
      <c r="B1206" t="s">
        <v>8</v>
      </c>
      <c r="H1206" t="s">
        <v>19</v>
      </c>
    </row>
    <row r="1207" spans="1:8">
      <c r="A1207" s="1">
        <f>HYPERLINK("https://cms.ls-nyc.org/matter/dynamic-profile/view/1846318","17-1846318")</f>
        <v>0</v>
      </c>
      <c r="B1207" t="s">
        <v>12</v>
      </c>
      <c r="C1207" t="s">
        <v>13</v>
      </c>
      <c r="D1207" t="s">
        <v>14</v>
      </c>
      <c r="E1207" t="s">
        <v>16</v>
      </c>
      <c r="F1207" t="s">
        <v>17</v>
      </c>
      <c r="H1207" t="s">
        <v>20</v>
      </c>
    </row>
    <row r="1208" spans="1:8">
      <c r="A1208" s="1">
        <f>HYPERLINK("https://cms.ls-nyc.org/matter/dynamic-profile/view/1886946","19-1886946")</f>
        <v>0</v>
      </c>
      <c r="B1208" t="s">
        <v>10</v>
      </c>
      <c r="H1208" t="s">
        <v>19</v>
      </c>
    </row>
    <row r="1209" spans="1:8">
      <c r="A1209" s="1">
        <f>HYPERLINK("https://cms.ls-nyc.org/matter/dynamic-profile/view/1876929","18-1876929")</f>
        <v>0</v>
      </c>
      <c r="B1209" t="s">
        <v>10</v>
      </c>
      <c r="H1209" t="s">
        <v>19</v>
      </c>
    </row>
    <row r="1210" spans="1:8">
      <c r="A1210" s="1">
        <f>HYPERLINK("https://cms.ls-nyc.org/matter/dynamic-profile/view/1882288","18-1882288")</f>
        <v>0</v>
      </c>
      <c r="B1210" t="s">
        <v>9</v>
      </c>
      <c r="H1210" t="s">
        <v>19</v>
      </c>
    </row>
    <row r="1211" spans="1:8">
      <c r="A1211" s="1">
        <f>HYPERLINK("https://cms.ls-nyc.org/matter/dynamic-profile/view/1887040","19-1887040")</f>
        <v>0</v>
      </c>
      <c r="B1211" t="s">
        <v>10</v>
      </c>
      <c r="C1211" t="s">
        <v>13</v>
      </c>
      <c r="E1211" t="s">
        <v>16</v>
      </c>
      <c r="H1211" t="s">
        <v>20</v>
      </c>
    </row>
    <row r="1212" spans="1:8">
      <c r="A1212" s="1">
        <f>HYPERLINK("https://cms.ls-nyc.org/matter/dynamic-profile/view/1883368","18-1883368")</f>
        <v>0</v>
      </c>
      <c r="B1212" t="s">
        <v>10</v>
      </c>
      <c r="H1212" t="s">
        <v>19</v>
      </c>
    </row>
    <row r="1213" spans="1:8">
      <c r="A1213" s="1">
        <f>HYPERLINK("https://cms.ls-nyc.org/matter/dynamic-profile/view/1887093","19-1887093")</f>
        <v>0</v>
      </c>
      <c r="B1213" t="s">
        <v>10</v>
      </c>
      <c r="H1213" t="s">
        <v>19</v>
      </c>
    </row>
    <row r="1214" spans="1:8">
      <c r="A1214" s="1">
        <f>HYPERLINK("https://cms.ls-nyc.org/matter/dynamic-profile/view/1897509","19-1897509")</f>
        <v>0</v>
      </c>
      <c r="B1214" t="s">
        <v>10</v>
      </c>
      <c r="D1214" t="s">
        <v>14</v>
      </c>
      <c r="E1214" t="s">
        <v>16</v>
      </c>
      <c r="H1214" t="s">
        <v>20</v>
      </c>
    </row>
    <row r="1215" spans="1:8">
      <c r="A1215" s="1">
        <f>HYPERLINK("https://cms.ls-nyc.org/matter/dynamic-profile/view/1896456","19-1896456")</f>
        <v>0</v>
      </c>
      <c r="B1215" t="s">
        <v>9</v>
      </c>
      <c r="H1215" t="s">
        <v>19</v>
      </c>
    </row>
    <row r="1216" spans="1:8">
      <c r="A1216" s="1">
        <f>HYPERLINK("https://cms.ls-nyc.org/matter/dynamic-profile/view/0830073","17-0830073")</f>
        <v>0</v>
      </c>
      <c r="B1216" t="s">
        <v>9</v>
      </c>
      <c r="D1216" t="s">
        <v>15</v>
      </c>
      <c r="E1216" t="s">
        <v>16</v>
      </c>
      <c r="H1216" t="s">
        <v>20</v>
      </c>
    </row>
    <row r="1217" spans="1:8">
      <c r="A1217" s="1">
        <f>HYPERLINK("https://cms.ls-nyc.org/matter/dynamic-profile/view/1861923","18-1861923")</f>
        <v>0</v>
      </c>
      <c r="B1217" t="s">
        <v>10</v>
      </c>
      <c r="D1217" t="s">
        <v>15</v>
      </c>
      <c r="E1217" t="s">
        <v>16</v>
      </c>
      <c r="H1217" t="s">
        <v>20</v>
      </c>
    </row>
    <row r="1218" spans="1:8">
      <c r="A1218" s="1">
        <f>HYPERLINK("https://cms.ls-nyc.org/matter/dynamic-profile/view/1886087","18-1886087")</f>
        <v>0</v>
      </c>
      <c r="B1218" t="s">
        <v>11</v>
      </c>
      <c r="H1218" t="s">
        <v>19</v>
      </c>
    </row>
    <row r="1219" spans="1:8">
      <c r="A1219" s="1">
        <f>HYPERLINK("https://cms.ls-nyc.org/matter/dynamic-profile/view/1856752","18-1856752")</f>
        <v>0</v>
      </c>
      <c r="B1219" t="s">
        <v>9</v>
      </c>
      <c r="C1219" t="s">
        <v>13</v>
      </c>
      <c r="D1219" t="s">
        <v>15</v>
      </c>
      <c r="E1219" t="s">
        <v>16</v>
      </c>
      <c r="H1219" t="s">
        <v>20</v>
      </c>
    </row>
    <row r="1220" spans="1:8">
      <c r="A1220" s="1">
        <f>HYPERLINK("https://cms.ls-nyc.org/matter/dynamic-profile/view/0812223","16-0812223")</f>
        <v>0</v>
      </c>
      <c r="B1220" t="s">
        <v>10</v>
      </c>
      <c r="D1220" t="s">
        <v>15</v>
      </c>
      <c r="E1220" t="s">
        <v>16</v>
      </c>
      <c r="H1220" t="s">
        <v>20</v>
      </c>
    </row>
    <row r="1221" spans="1:8">
      <c r="A1221" s="1">
        <f>HYPERLINK("https://cms.ls-nyc.org/matter/dynamic-profile/view/1865029","18-1865029")</f>
        <v>0</v>
      </c>
      <c r="B1221" t="s">
        <v>11</v>
      </c>
      <c r="D1221" t="s">
        <v>15</v>
      </c>
      <c r="H1221" t="s">
        <v>20</v>
      </c>
    </row>
    <row r="1222" spans="1:8">
      <c r="A1222" s="1">
        <f>HYPERLINK("https://cms.ls-nyc.org/matter/dynamic-profile/view/1898056","19-1898056")</f>
        <v>0</v>
      </c>
      <c r="B1222" t="s">
        <v>8</v>
      </c>
      <c r="H1222" t="s">
        <v>19</v>
      </c>
    </row>
    <row r="1223" spans="1:8">
      <c r="A1223" s="1">
        <f>HYPERLINK("https://cms.ls-nyc.org/matter/dynamic-profile/view/1856982","18-1856982")</f>
        <v>0</v>
      </c>
      <c r="B1223" t="s">
        <v>10</v>
      </c>
      <c r="C1223" t="s">
        <v>13</v>
      </c>
      <c r="D1223" t="s">
        <v>14</v>
      </c>
      <c r="H1223" t="s">
        <v>20</v>
      </c>
    </row>
    <row r="1224" spans="1:8">
      <c r="A1224" s="1">
        <f>HYPERLINK("https://cms.ls-nyc.org/matter/dynamic-profile/view/1857459","18-1857459")</f>
        <v>0</v>
      </c>
      <c r="B1224" t="s">
        <v>10</v>
      </c>
      <c r="C1224" t="s">
        <v>13</v>
      </c>
      <c r="D1224" t="s">
        <v>14</v>
      </c>
      <c r="H1224" t="s">
        <v>20</v>
      </c>
    </row>
    <row r="1225" spans="1:8">
      <c r="A1225" s="1">
        <f>HYPERLINK("https://cms.ls-nyc.org/matter/dynamic-profile/view/1885649","18-1885649")</f>
        <v>0</v>
      </c>
      <c r="B1225" t="s">
        <v>8</v>
      </c>
      <c r="H1225" t="s">
        <v>19</v>
      </c>
    </row>
    <row r="1226" spans="1:8">
      <c r="A1226" s="1">
        <f>HYPERLINK("https://cms.ls-nyc.org/matter/dynamic-profile/view/1857222","18-1857222")</f>
        <v>0</v>
      </c>
      <c r="B1226" t="s">
        <v>9</v>
      </c>
      <c r="D1226" t="s">
        <v>15</v>
      </c>
      <c r="H1226" t="s">
        <v>20</v>
      </c>
    </row>
    <row r="1227" spans="1:8">
      <c r="A1227" s="1">
        <f>HYPERLINK("https://cms.ls-nyc.org/matter/dynamic-profile/view/1871730","18-1871730")</f>
        <v>0</v>
      </c>
      <c r="B1227" t="s">
        <v>9</v>
      </c>
      <c r="D1227" t="s">
        <v>15</v>
      </c>
      <c r="H1227" t="s">
        <v>20</v>
      </c>
    </row>
    <row r="1228" spans="1:8">
      <c r="A1228" s="1">
        <f>HYPERLINK("https://cms.ls-nyc.org/matter/dynamic-profile/view/0832581","17-0832581")</f>
        <v>0</v>
      </c>
      <c r="B1228" t="s">
        <v>12</v>
      </c>
      <c r="D1228" t="s">
        <v>15</v>
      </c>
      <c r="E1228" t="s">
        <v>16</v>
      </c>
      <c r="H1228" t="s">
        <v>20</v>
      </c>
    </row>
    <row r="1229" spans="1:8">
      <c r="A1229" s="1">
        <f>HYPERLINK("https://cms.ls-nyc.org/matter/dynamic-profile/view/0832587","17-0832587")</f>
        <v>0</v>
      </c>
      <c r="B1229" t="s">
        <v>12</v>
      </c>
      <c r="D1229" t="s">
        <v>15</v>
      </c>
      <c r="E1229" t="s">
        <v>16</v>
      </c>
      <c r="H1229" t="s">
        <v>20</v>
      </c>
    </row>
    <row r="1230" spans="1:8">
      <c r="A1230" s="1">
        <f>HYPERLINK("https://cms.ls-nyc.org/matter/dynamic-profile/view/1873655","18-1873655")</f>
        <v>0</v>
      </c>
      <c r="B1230" t="s">
        <v>8</v>
      </c>
      <c r="H1230" t="s">
        <v>19</v>
      </c>
    </row>
    <row r="1231" spans="1:8">
      <c r="A1231" s="1">
        <f>HYPERLINK("https://cms.ls-nyc.org/matter/dynamic-profile/view/1887830","19-1887830")</f>
        <v>0</v>
      </c>
      <c r="B1231" t="s">
        <v>9</v>
      </c>
      <c r="D1231" t="s">
        <v>15</v>
      </c>
      <c r="E1231" t="s">
        <v>16</v>
      </c>
      <c r="H1231" t="s">
        <v>20</v>
      </c>
    </row>
    <row r="1232" spans="1:8">
      <c r="A1232" s="1">
        <f>HYPERLINK("https://cms.ls-nyc.org/matter/dynamic-profile/view/1864009","18-1864009")</f>
        <v>0</v>
      </c>
      <c r="B1232" t="s">
        <v>9</v>
      </c>
      <c r="D1232" t="s">
        <v>15</v>
      </c>
      <c r="E1232" t="s">
        <v>16</v>
      </c>
      <c r="H1232" t="s">
        <v>20</v>
      </c>
    </row>
    <row r="1233" spans="1:8">
      <c r="A1233" s="1">
        <f>HYPERLINK("https://cms.ls-nyc.org/matter/dynamic-profile/view/1868777","18-1868777")</f>
        <v>0</v>
      </c>
      <c r="B1233" t="s">
        <v>10</v>
      </c>
      <c r="D1233" t="s">
        <v>15</v>
      </c>
      <c r="H1233" t="s">
        <v>20</v>
      </c>
    </row>
    <row r="1234" spans="1:8">
      <c r="A1234" s="1">
        <f>HYPERLINK("https://cms.ls-nyc.org/matter/dynamic-profile/view/1890404","19-1890404")</f>
        <v>0</v>
      </c>
      <c r="B1234" t="s">
        <v>10</v>
      </c>
      <c r="H1234" t="s">
        <v>19</v>
      </c>
    </row>
    <row r="1235" spans="1:8">
      <c r="A1235" s="1">
        <f>HYPERLINK("https://cms.ls-nyc.org/matter/dynamic-profile/view/1896367","19-1896367")</f>
        <v>0</v>
      </c>
      <c r="B1235" t="s">
        <v>12</v>
      </c>
      <c r="C1235" t="s">
        <v>13</v>
      </c>
      <c r="D1235" t="s">
        <v>14</v>
      </c>
      <c r="E1235" t="s">
        <v>16</v>
      </c>
      <c r="G1235" t="s">
        <v>18</v>
      </c>
      <c r="H1235" t="s">
        <v>20</v>
      </c>
    </row>
    <row r="1236" spans="1:8">
      <c r="A1236" s="1">
        <f>HYPERLINK("https://cms.ls-nyc.org/matter/dynamic-profile/view/0797447","16-0797447")</f>
        <v>0</v>
      </c>
      <c r="B1236" t="s">
        <v>10</v>
      </c>
      <c r="D1236" t="s">
        <v>15</v>
      </c>
      <c r="E1236" t="s">
        <v>16</v>
      </c>
      <c r="H1236" t="s">
        <v>20</v>
      </c>
    </row>
    <row r="1237" spans="1:8">
      <c r="A1237" s="1">
        <f>HYPERLINK("https://cms.ls-nyc.org/matter/dynamic-profile/view/1893334","19-1893334")</f>
        <v>0</v>
      </c>
      <c r="B1237" t="s">
        <v>9</v>
      </c>
      <c r="F1237" t="s">
        <v>17</v>
      </c>
      <c r="H1237" t="s">
        <v>20</v>
      </c>
    </row>
    <row r="1238" spans="1:8">
      <c r="A1238" s="1">
        <f>HYPERLINK("https://cms.ls-nyc.org/matter/dynamic-profile/view/1893331","19-1893331")</f>
        <v>0</v>
      </c>
      <c r="B1238" t="s">
        <v>9</v>
      </c>
      <c r="D1238" t="s">
        <v>15</v>
      </c>
      <c r="F1238" t="s">
        <v>17</v>
      </c>
      <c r="H1238" t="s">
        <v>20</v>
      </c>
    </row>
    <row r="1239" spans="1:8">
      <c r="A1239" s="1">
        <f>HYPERLINK("https://cms.ls-nyc.org/matter/dynamic-profile/view/1893338","19-1893338")</f>
        <v>0</v>
      </c>
      <c r="B1239" t="s">
        <v>9</v>
      </c>
      <c r="F1239" t="s">
        <v>17</v>
      </c>
      <c r="H1239" t="s">
        <v>20</v>
      </c>
    </row>
    <row r="1240" spans="1:8">
      <c r="A1240" s="1">
        <f>HYPERLINK("https://cms.ls-nyc.org/matter/dynamic-profile/view/1900318","19-1900318")</f>
        <v>0</v>
      </c>
      <c r="B1240" t="s">
        <v>9</v>
      </c>
      <c r="C1240" t="s">
        <v>13</v>
      </c>
      <c r="D1240" t="s">
        <v>14</v>
      </c>
      <c r="E1240" t="s">
        <v>16</v>
      </c>
      <c r="G1240" t="s">
        <v>18</v>
      </c>
      <c r="H1240" t="s">
        <v>20</v>
      </c>
    </row>
    <row r="1241" spans="1:8">
      <c r="A1241" s="1">
        <f>HYPERLINK("https://cms.ls-nyc.org/matter/dynamic-profile/view/1890006","19-1890006")</f>
        <v>0</v>
      </c>
      <c r="B1241" t="s">
        <v>10</v>
      </c>
      <c r="D1241" t="s">
        <v>14</v>
      </c>
      <c r="F1241" t="s">
        <v>17</v>
      </c>
      <c r="H1241" t="s">
        <v>20</v>
      </c>
    </row>
    <row r="1242" spans="1:8">
      <c r="A1242" s="1">
        <f>HYPERLINK("https://cms.ls-nyc.org/matter/dynamic-profile/view/1888851","19-1888851")</f>
        <v>0</v>
      </c>
      <c r="B1242" t="s">
        <v>12</v>
      </c>
      <c r="H1242" t="s">
        <v>19</v>
      </c>
    </row>
    <row r="1243" spans="1:8">
      <c r="A1243" s="1">
        <f>HYPERLINK("https://cms.ls-nyc.org/matter/dynamic-profile/view/1875941","18-1875941")</f>
        <v>0</v>
      </c>
      <c r="B1243" t="s">
        <v>12</v>
      </c>
      <c r="C1243" t="s">
        <v>13</v>
      </c>
      <c r="D1243" t="s">
        <v>14</v>
      </c>
      <c r="E1243" t="s">
        <v>16</v>
      </c>
      <c r="F1243" t="s">
        <v>17</v>
      </c>
      <c r="H1243" t="s">
        <v>20</v>
      </c>
    </row>
    <row r="1244" spans="1:8">
      <c r="A1244" s="1">
        <f>HYPERLINK("https://cms.ls-nyc.org/matter/dynamic-profile/view/0806186","16-0806186")</f>
        <v>0</v>
      </c>
      <c r="B1244" t="s">
        <v>10</v>
      </c>
      <c r="C1244" t="s">
        <v>13</v>
      </c>
      <c r="D1244" t="s">
        <v>14</v>
      </c>
      <c r="H1244" t="s">
        <v>20</v>
      </c>
    </row>
    <row r="1245" spans="1:8">
      <c r="A1245" s="1">
        <f>HYPERLINK("https://cms.ls-nyc.org/matter/dynamic-profile/view/1863416","18-1863416")</f>
        <v>0</v>
      </c>
      <c r="B1245" t="s">
        <v>12</v>
      </c>
      <c r="D1245" t="s">
        <v>15</v>
      </c>
      <c r="E1245" t="s">
        <v>16</v>
      </c>
      <c r="H1245" t="s">
        <v>20</v>
      </c>
    </row>
    <row r="1246" spans="1:8">
      <c r="A1246" s="1">
        <f>HYPERLINK("https://cms.ls-nyc.org/matter/dynamic-profile/view/1896674","19-1896674")</f>
        <v>0</v>
      </c>
      <c r="B1246" t="s">
        <v>10</v>
      </c>
      <c r="H1246" t="s">
        <v>19</v>
      </c>
    </row>
    <row r="1247" spans="1:8">
      <c r="A1247" s="1">
        <f>HYPERLINK("https://cms.ls-nyc.org/matter/dynamic-profile/view/1887126","19-1887126")</f>
        <v>0</v>
      </c>
      <c r="B1247" t="s">
        <v>9</v>
      </c>
      <c r="C1247" t="s">
        <v>13</v>
      </c>
      <c r="H1247" t="s">
        <v>20</v>
      </c>
    </row>
    <row r="1248" spans="1:8">
      <c r="A1248" s="1">
        <f>HYPERLINK("https://cms.ls-nyc.org/matter/dynamic-profile/view/1893172","19-1893172")</f>
        <v>0</v>
      </c>
      <c r="B1248" t="s">
        <v>8</v>
      </c>
      <c r="H1248" t="s">
        <v>19</v>
      </c>
    </row>
    <row r="1249" spans="1:8">
      <c r="A1249" s="1">
        <f>HYPERLINK("https://cms.ls-nyc.org/matter/dynamic-profile/view/1893180","19-1893180")</f>
        <v>0</v>
      </c>
      <c r="B1249" t="s">
        <v>8</v>
      </c>
      <c r="H1249" t="s">
        <v>19</v>
      </c>
    </row>
    <row r="1250" spans="1:8">
      <c r="A1250" s="1">
        <f>HYPERLINK("https://cms.ls-nyc.org/matter/dynamic-profile/view/1879823","18-1879823")</f>
        <v>0</v>
      </c>
      <c r="B1250" t="s">
        <v>9</v>
      </c>
      <c r="F1250" t="s">
        <v>17</v>
      </c>
      <c r="H1250" t="s">
        <v>20</v>
      </c>
    </row>
    <row r="1251" spans="1:8">
      <c r="A1251" s="1">
        <f>HYPERLINK("https://cms.ls-nyc.org/matter/dynamic-profile/view/1888217","19-1888217")</f>
        <v>0</v>
      </c>
      <c r="B1251" t="s">
        <v>9</v>
      </c>
      <c r="C1251" t="s">
        <v>13</v>
      </c>
      <c r="D1251" t="s">
        <v>14</v>
      </c>
      <c r="E1251" t="s">
        <v>16</v>
      </c>
      <c r="F1251" t="s">
        <v>17</v>
      </c>
      <c r="H1251" t="s">
        <v>20</v>
      </c>
    </row>
    <row r="1252" spans="1:8">
      <c r="A1252" s="1">
        <f>HYPERLINK("https://cms.ls-nyc.org/matter/dynamic-profile/view/1883266","18-1883266")</f>
        <v>0</v>
      </c>
      <c r="B1252" t="s">
        <v>12</v>
      </c>
      <c r="H1252" t="s">
        <v>19</v>
      </c>
    </row>
    <row r="1253" spans="1:8">
      <c r="A1253" s="1">
        <f>HYPERLINK("https://cms.ls-nyc.org/matter/dynamic-profile/view/1875269","18-1875269")</f>
        <v>0</v>
      </c>
      <c r="B1253" t="s">
        <v>10</v>
      </c>
      <c r="H1253" t="s">
        <v>19</v>
      </c>
    </row>
    <row r="1254" spans="1:8">
      <c r="A1254" s="1">
        <f>HYPERLINK("https://cms.ls-nyc.org/matter/dynamic-profile/view/1875646","18-1875646")</f>
        <v>0</v>
      </c>
      <c r="B1254" t="s">
        <v>10</v>
      </c>
      <c r="H1254" t="s">
        <v>19</v>
      </c>
    </row>
    <row r="1255" spans="1:8">
      <c r="A1255" s="1">
        <f>HYPERLINK("https://cms.ls-nyc.org/matter/dynamic-profile/view/1875606","18-1875606")</f>
        <v>0</v>
      </c>
      <c r="B1255" t="s">
        <v>10</v>
      </c>
      <c r="H1255" t="s">
        <v>19</v>
      </c>
    </row>
    <row r="1256" spans="1:8">
      <c r="A1256" s="1">
        <f>HYPERLINK("https://cms.ls-nyc.org/matter/dynamic-profile/view/1882375","18-1882375")</f>
        <v>0</v>
      </c>
      <c r="B1256" t="s">
        <v>10</v>
      </c>
      <c r="D1256" t="s">
        <v>14</v>
      </c>
      <c r="H1256" t="s">
        <v>20</v>
      </c>
    </row>
    <row r="1257" spans="1:8">
      <c r="A1257" s="1">
        <f>HYPERLINK("https://cms.ls-nyc.org/matter/dynamic-profile/view/1887133","19-1887133")</f>
        <v>0</v>
      </c>
      <c r="B1257" t="s">
        <v>10</v>
      </c>
      <c r="C1257" t="s">
        <v>13</v>
      </c>
      <c r="D1257" t="s">
        <v>14</v>
      </c>
      <c r="E1257" t="s">
        <v>16</v>
      </c>
      <c r="H1257" t="s">
        <v>20</v>
      </c>
    </row>
    <row r="1258" spans="1:8">
      <c r="A1258" s="1">
        <f>HYPERLINK("https://cms.ls-nyc.org/matter/dynamic-profile/view/1879141","18-1879141")</f>
        <v>0</v>
      </c>
      <c r="B1258" t="s">
        <v>10</v>
      </c>
      <c r="H1258" t="s">
        <v>19</v>
      </c>
    </row>
    <row r="1259" spans="1:8">
      <c r="A1259" s="1">
        <f>HYPERLINK("https://cms.ls-nyc.org/matter/dynamic-profile/view/1887512","19-1887512")</f>
        <v>0</v>
      </c>
      <c r="B1259" t="s">
        <v>9</v>
      </c>
      <c r="H1259" t="s">
        <v>19</v>
      </c>
    </row>
    <row r="1260" spans="1:8">
      <c r="A1260" s="1">
        <f>HYPERLINK("https://cms.ls-nyc.org/matter/dynamic-profile/view/1890698","19-1890698")</f>
        <v>0</v>
      </c>
      <c r="B1260" t="s">
        <v>12</v>
      </c>
      <c r="H1260" t="s">
        <v>19</v>
      </c>
    </row>
    <row r="1261" spans="1:8">
      <c r="A1261" s="1">
        <f>HYPERLINK("https://cms.ls-nyc.org/matter/dynamic-profile/view/1890654","19-1890654")</f>
        <v>0</v>
      </c>
      <c r="B1261" t="s">
        <v>10</v>
      </c>
      <c r="H1261" t="s">
        <v>19</v>
      </c>
    </row>
    <row r="1262" spans="1:8">
      <c r="A1262" s="1">
        <f>HYPERLINK("https://cms.ls-nyc.org/matter/dynamic-profile/view/1879532","18-1879532")</f>
        <v>0</v>
      </c>
      <c r="B1262" t="s">
        <v>10</v>
      </c>
      <c r="H1262" t="s">
        <v>19</v>
      </c>
    </row>
    <row r="1263" spans="1:8">
      <c r="A1263" s="1">
        <f>HYPERLINK("https://cms.ls-nyc.org/matter/dynamic-profile/view/1854880","17-1854880")</f>
        <v>0</v>
      </c>
      <c r="B1263" t="s">
        <v>10</v>
      </c>
      <c r="D1263" t="s">
        <v>15</v>
      </c>
      <c r="E1263" t="s">
        <v>16</v>
      </c>
      <c r="H1263" t="s">
        <v>20</v>
      </c>
    </row>
    <row r="1264" spans="1:8">
      <c r="A1264" s="1">
        <f>HYPERLINK("https://cms.ls-nyc.org/matter/dynamic-profile/view/1854975","18-1854975")</f>
        <v>0</v>
      </c>
      <c r="B1264" t="s">
        <v>10</v>
      </c>
      <c r="D1264" t="s">
        <v>15</v>
      </c>
      <c r="E1264" t="s">
        <v>16</v>
      </c>
      <c r="H1264" t="s">
        <v>20</v>
      </c>
    </row>
    <row r="1265" spans="1:8">
      <c r="A1265" s="1">
        <f>HYPERLINK("https://cms.ls-nyc.org/matter/dynamic-profile/view/1892955","19-1892955")</f>
        <v>0</v>
      </c>
      <c r="B1265" t="s">
        <v>8</v>
      </c>
      <c r="H1265" t="s">
        <v>19</v>
      </c>
    </row>
    <row r="1266" spans="1:8">
      <c r="A1266" s="1">
        <f>HYPERLINK("https://cms.ls-nyc.org/matter/dynamic-profile/view/1901153","19-1901153")</f>
        <v>0</v>
      </c>
      <c r="B1266" t="s">
        <v>8</v>
      </c>
      <c r="H1266" t="s">
        <v>19</v>
      </c>
    </row>
    <row r="1267" spans="1:8">
      <c r="A1267" s="1">
        <f>HYPERLINK("https://cms.ls-nyc.org/matter/dynamic-profile/view/1856806","18-1856806")</f>
        <v>0</v>
      </c>
      <c r="B1267" t="s">
        <v>9</v>
      </c>
      <c r="D1267" t="s">
        <v>15</v>
      </c>
      <c r="E1267" t="s">
        <v>16</v>
      </c>
      <c r="F1267" t="s">
        <v>17</v>
      </c>
      <c r="H1267" t="s">
        <v>20</v>
      </c>
    </row>
    <row r="1268" spans="1:8">
      <c r="A1268" s="1">
        <f>HYPERLINK("https://cms.ls-nyc.org/matter/dynamic-profile/view/1890395","19-1890395")</f>
        <v>0</v>
      </c>
      <c r="B1268" t="s">
        <v>10</v>
      </c>
      <c r="H1268" t="s">
        <v>19</v>
      </c>
    </row>
    <row r="1269" spans="1:8">
      <c r="A1269" s="1">
        <f>HYPERLINK("https://cms.ls-nyc.org/matter/dynamic-profile/view/1890394","18-1890394")</f>
        <v>0</v>
      </c>
      <c r="B1269" t="s">
        <v>10</v>
      </c>
      <c r="H1269" t="s">
        <v>19</v>
      </c>
    </row>
    <row r="1270" spans="1:8">
      <c r="A1270" s="1">
        <f>HYPERLINK("https://cms.ls-nyc.org/matter/dynamic-profile/view/1895718","19-1895718")</f>
        <v>0</v>
      </c>
      <c r="B1270" t="s">
        <v>8</v>
      </c>
      <c r="H1270" t="s">
        <v>19</v>
      </c>
    </row>
    <row r="1271" spans="1:8">
      <c r="A1271" s="1">
        <f>HYPERLINK("https://cms.ls-nyc.org/matter/dynamic-profile/view/1895748","19-1895748")</f>
        <v>0</v>
      </c>
      <c r="B1271" t="s">
        <v>8</v>
      </c>
      <c r="H1271" t="s">
        <v>19</v>
      </c>
    </row>
    <row r="1272" spans="1:8">
      <c r="A1272" s="1">
        <f>HYPERLINK("https://cms.ls-nyc.org/matter/dynamic-profile/view/1858323","18-1858323")</f>
        <v>0</v>
      </c>
      <c r="B1272" t="s">
        <v>9</v>
      </c>
      <c r="D1272" t="s">
        <v>15</v>
      </c>
      <c r="E1272" t="s">
        <v>16</v>
      </c>
      <c r="H1272" t="s">
        <v>20</v>
      </c>
    </row>
    <row r="1273" spans="1:8">
      <c r="A1273" s="1">
        <f>HYPERLINK("https://cms.ls-nyc.org/matter/dynamic-profile/view/1900583","19-1900583")</f>
        <v>0</v>
      </c>
      <c r="B1273" t="s">
        <v>12</v>
      </c>
      <c r="H1273" t="s">
        <v>19</v>
      </c>
    </row>
    <row r="1274" spans="1:8">
      <c r="A1274" s="1">
        <f>HYPERLINK("https://cms.ls-nyc.org/matter/dynamic-profile/view/1863994","18-1863994")</f>
        <v>0</v>
      </c>
      <c r="B1274" t="s">
        <v>12</v>
      </c>
      <c r="D1274" t="s">
        <v>15</v>
      </c>
      <c r="H1274" t="s">
        <v>20</v>
      </c>
    </row>
    <row r="1275" spans="1:8">
      <c r="A1275" s="1">
        <f>HYPERLINK("https://cms.ls-nyc.org/matter/dynamic-profile/view/1895931","19-1895931")</f>
        <v>0</v>
      </c>
      <c r="B1275" t="s">
        <v>10</v>
      </c>
      <c r="D1275" t="s">
        <v>14</v>
      </c>
      <c r="E1275" t="s">
        <v>16</v>
      </c>
      <c r="H1275" t="s">
        <v>20</v>
      </c>
    </row>
    <row r="1276" spans="1:8">
      <c r="A1276" s="1">
        <f>HYPERLINK("https://cms.ls-nyc.org/matter/dynamic-profile/view/1889687","19-1889687")</f>
        <v>0</v>
      </c>
      <c r="B1276" t="s">
        <v>9</v>
      </c>
      <c r="C1276" t="s">
        <v>13</v>
      </c>
      <c r="D1276" t="s">
        <v>14</v>
      </c>
      <c r="E1276" t="s">
        <v>16</v>
      </c>
      <c r="G1276" t="s">
        <v>18</v>
      </c>
      <c r="H1276" t="s">
        <v>20</v>
      </c>
    </row>
    <row r="1277" spans="1:8">
      <c r="A1277" s="1">
        <f>HYPERLINK("https://cms.ls-nyc.org/matter/dynamic-profile/view/0799014","16-0799014")</f>
        <v>0</v>
      </c>
      <c r="B1277" t="s">
        <v>10</v>
      </c>
      <c r="D1277" t="s">
        <v>15</v>
      </c>
      <c r="E1277" t="s">
        <v>16</v>
      </c>
      <c r="H1277" t="s">
        <v>20</v>
      </c>
    </row>
    <row r="1278" spans="1:8">
      <c r="A1278" s="1">
        <f>HYPERLINK("https://cms.ls-nyc.org/matter/dynamic-profile/view/0817058","16-0817058")</f>
        <v>0</v>
      </c>
      <c r="B1278" t="s">
        <v>10</v>
      </c>
      <c r="D1278" t="s">
        <v>15</v>
      </c>
      <c r="E1278" t="s">
        <v>16</v>
      </c>
      <c r="H1278" t="s">
        <v>20</v>
      </c>
    </row>
    <row r="1279" spans="1:8">
      <c r="A1279" s="1">
        <f>HYPERLINK("https://cms.ls-nyc.org/matter/dynamic-profile/view/0822558","16-0822558")</f>
        <v>0</v>
      </c>
      <c r="B1279" t="s">
        <v>10</v>
      </c>
      <c r="D1279" t="s">
        <v>15</v>
      </c>
      <c r="E1279" t="s">
        <v>16</v>
      </c>
      <c r="H1279" t="s">
        <v>20</v>
      </c>
    </row>
    <row r="1280" spans="1:8">
      <c r="A1280" s="1">
        <f>HYPERLINK("https://cms.ls-nyc.org/matter/dynamic-profile/view/1889424","19-1889424")</f>
        <v>0</v>
      </c>
      <c r="B1280" t="s">
        <v>9</v>
      </c>
      <c r="H1280" t="s">
        <v>19</v>
      </c>
    </row>
    <row r="1281" spans="1:8">
      <c r="A1281" s="1">
        <f>HYPERLINK("https://cms.ls-nyc.org/matter/dynamic-profile/view/1855866","18-1855866")</f>
        <v>0</v>
      </c>
      <c r="B1281" t="s">
        <v>9</v>
      </c>
      <c r="D1281" t="s">
        <v>15</v>
      </c>
      <c r="E1281" t="s">
        <v>16</v>
      </c>
      <c r="H1281" t="s">
        <v>20</v>
      </c>
    </row>
    <row r="1282" spans="1:8">
      <c r="A1282" s="1">
        <f>HYPERLINK("https://cms.ls-nyc.org/matter/dynamic-profile/view/1871742","18-1871742")</f>
        <v>0</v>
      </c>
      <c r="B1282" t="s">
        <v>9</v>
      </c>
      <c r="H1282" t="s">
        <v>19</v>
      </c>
    </row>
    <row r="1283" spans="1:8">
      <c r="A1283" s="1">
        <f>HYPERLINK("https://cms.ls-nyc.org/matter/dynamic-profile/view/1839599","17-1839599")</f>
        <v>0</v>
      </c>
      <c r="B1283" t="s">
        <v>12</v>
      </c>
      <c r="D1283" t="s">
        <v>15</v>
      </c>
      <c r="H1283" t="s">
        <v>20</v>
      </c>
    </row>
    <row r="1284" spans="1:8">
      <c r="A1284" s="1">
        <f>HYPERLINK("https://cms.ls-nyc.org/matter/dynamic-profile/view/1848579","17-1848579")</f>
        <v>0</v>
      </c>
      <c r="B1284" t="s">
        <v>9</v>
      </c>
      <c r="D1284" t="s">
        <v>15</v>
      </c>
      <c r="E1284" t="s">
        <v>16</v>
      </c>
      <c r="H1284" t="s">
        <v>20</v>
      </c>
    </row>
    <row r="1285" spans="1:8">
      <c r="A1285" s="1">
        <f>HYPERLINK("https://cms.ls-nyc.org/matter/dynamic-profile/view/1899758","19-1899758")</f>
        <v>0</v>
      </c>
      <c r="B1285" t="s">
        <v>10</v>
      </c>
      <c r="C1285" t="s">
        <v>13</v>
      </c>
      <c r="D1285" t="s">
        <v>14</v>
      </c>
      <c r="E1285" t="s">
        <v>16</v>
      </c>
      <c r="G1285" t="s">
        <v>18</v>
      </c>
      <c r="H1285" t="s">
        <v>20</v>
      </c>
    </row>
    <row r="1286" spans="1:8">
      <c r="A1286" s="1">
        <f>HYPERLINK("https://cms.ls-nyc.org/matter/dynamic-profile/view/0824964","17-0824964")</f>
        <v>0</v>
      </c>
      <c r="B1286" t="s">
        <v>12</v>
      </c>
      <c r="C1286" t="s">
        <v>13</v>
      </c>
      <c r="D1286" t="s">
        <v>15</v>
      </c>
      <c r="E1286" t="s">
        <v>16</v>
      </c>
      <c r="H1286" t="s">
        <v>20</v>
      </c>
    </row>
    <row r="1287" spans="1:8">
      <c r="A1287" s="1">
        <f>HYPERLINK("https://cms.ls-nyc.org/matter/dynamic-profile/view/1875069","18-1875069")</f>
        <v>0</v>
      </c>
      <c r="B1287" t="s">
        <v>9</v>
      </c>
      <c r="H1287" t="s">
        <v>19</v>
      </c>
    </row>
    <row r="1288" spans="1:8">
      <c r="A1288" s="1">
        <f>HYPERLINK("https://cms.ls-nyc.org/matter/dynamic-profile/view/1855943","18-1855943")</f>
        <v>0</v>
      </c>
      <c r="B1288" t="s">
        <v>9</v>
      </c>
      <c r="C1288" t="s">
        <v>13</v>
      </c>
      <c r="D1288" t="s">
        <v>15</v>
      </c>
      <c r="E1288" t="s">
        <v>16</v>
      </c>
      <c r="H1288" t="s">
        <v>20</v>
      </c>
    </row>
    <row r="1289" spans="1:8">
      <c r="A1289" s="1">
        <f>HYPERLINK("https://cms.ls-nyc.org/matter/dynamic-profile/view/1857002","18-1857002")</f>
        <v>0</v>
      </c>
      <c r="B1289" t="s">
        <v>10</v>
      </c>
      <c r="D1289" t="s">
        <v>15</v>
      </c>
      <c r="E1289" t="s">
        <v>16</v>
      </c>
      <c r="H1289" t="s">
        <v>20</v>
      </c>
    </row>
    <row r="1290" spans="1:8">
      <c r="A1290" s="1">
        <f>HYPERLINK("https://cms.ls-nyc.org/matter/dynamic-profile/view/1857470","18-1857470")</f>
        <v>0</v>
      </c>
      <c r="B1290" t="s">
        <v>10</v>
      </c>
      <c r="D1290" t="s">
        <v>15</v>
      </c>
      <c r="E1290" t="s">
        <v>16</v>
      </c>
      <c r="H1290" t="s">
        <v>20</v>
      </c>
    </row>
    <row r="1291" spans="1:8">
      <c r="A1291" s="1">
        <f>HYPERLINK("https://cms.ls-nyc.org/matter/dynamic-profile/view/1899633","19-1899633")</f>
        <v>0</v>
      </c>
      <c r="B1291" t="s">
        <v>10</v>
      </c>
      <c r="D1291" t="s">
        <v>14</v>
      </c>
      <c r="H1291" t="s">
        <v>20</v>
      </c>
    </row>
    <row r="1292" spans="1:8">
      <c r="A1292" s="1">
        <f>HYPERLINK("https://cms.ls-nyc.org/matter/dynamic-profile/view/1861974","18-1861974")</f>
        <v>0</v>
      </c>
      <c r="B1292" t="s">
        <v>10</v>
      </c>
      <c r="D1292" t="s">
        <v>15</v>
      </c>
      <c r="E1292" t="s">
        <v>16</v>
      </c>
      <c r="F1292" t="s">
        <v>17</v>
      </c>
      <c r="H1292" t="s">
        <v>20</v>
      </c>
    </row>
    <row r="1293" spans="1:8">
      <c r="A1293" s="1">
        <f>HYPERLINK("https://cms.ls-nyc.org/matter/dynamic-profile/view/1890831","19-1890831")</f>
        <v>0</v>
      </c>
      <c r="B1293" t="s">
        <v>9</v>
      </c>
      <c r="H1293" t="s">
        <v>19</v>
      </c>
    </row>
    <row r="1294" spans="1:8">
      <c r="A1294" s="1">
        <f>HYPERLINK("https://cms.ls-nyc.org/matter/dynamic-profile/view/1860610","18-1860610")</f>
        <v>0</v>
      </c>
      <c r="B1294" t="s">
        <v>12</v>
      </c>
      <c r="D1294" t="s">
        <v>15</v>
      </c>
      <c r="E1294" t="s">
        <v>16</v>
      </c>
      <c r="H1294" t="s">
        <v>20</v>
      </c>
    </row>
    <row r="1295" spans="1:8">
      <c r="A1295" s="1">
        <f>HYPERLINK("https://cms.ls-nyc.org/matter/dynamic-profile/view/1886801","19-1886801")</f>
        <v>0</v>
      </c>
      <c r="B1295" t="s">
        <v>12</v>
      </c>
      <c r="H1295" t="s">
        <v>19</v>
      </c>
    </row>
    <row r="1296" spans="1:8">
      <c r="A1296" s="1">
        <f>HYPERLINK("https://cms.ls-nyc.org/matter/dynamic-profile/view/1863708","18-1863708")</f>
        <v>0</v>
      </c>
      <c r="B1296" t="s">
        <v>12</v>
      </c>
      <c r="D1296" t="s">
        <v>15</v>
      </c>
      <c r="F1296" t="s">
        <v>17</v>
      </c>
      <c r="H1296" t="s">
        <v>20</v>
      </c>
    </row>
    <row r="1297" spans="1:8">
      <c r="A1297" s="1">
        <f>HYPERLINK("https://cms.ls-nyc.org/matter/dynamic-profile/view/1892710","19-1892710")</f>
        <v>0</v>
      </c>
      <c r="B1297" t="s">
        <v>11</v>
      </c>
      <c r="H1297" t="s">
        <v>19</v>
      </c>
    </row>
    <row r="1298" spans="1:8">
      <c r="A1298" s="1">
        <f>HYPERLINK("https://cms.ls-nyc.org/matter/dynamic-profile/view/1857562","18-1857562")</f>
        <v>0</v>
      </c>
      <c r="B1298" t="s">
        <v>9</v>
      </c>
      <c r="D1298" t="s">
        <v>15</v>
      </c>
      <c r="E1298" t="s">
        <v>16</v>
      </c>
      <c r="H1298" t="s">
        <v>20</v>
      </c>
    </row>
    <row r="1299" spans="1:8">
      <c r="A1299" s="1">
        <f>HYPERLINK("https://cms.ls-nyc.org/matter/dynamic-profile/view/1893532","19-1893532")</f>
        <v>0</v>
      </c>
      <c r="B1299" t="s">
        <v>12</v>
      </c>
      <c r="H1299" t="s">
        <v>19</v>
      </c>
    </row>
    <row r="1300" spans="1:8">
      <c r="A1300" s="1">
        <f>HYPERLINK("https://cms.ls-nyc.org/matter/dynamic-profile/view/1870252","18-1870252")</f>
        <v>0</v>
      </c>
      <c r="B1300" t="s">
        <v>10</v>
      </c>
      <c r="D1300" t="s">
        <v>15</v>
      </c>
      <c r="E1300" t="s">
        <v>16</v>
      </c>
      <c r="H1300" t="s">
        <v>20</v>
      </c>
    </row>
    <row r="1301" spans="1:8">
      <c r="A1301" s="1">
        <f>HYPERLINK("https://cms.ls-nyc.org/matter/dynamic-profile/view/0802051","16-0802051")</f>
        <v>0</v>
      </c>
      <c r="B1301" t="s">
        <v>9</v>
      </c>
      <c r="D1301" t="s">
        <v>14</v>
      </c>
      <c r="E1301" t="s">
        <v>16</v>
      </c>
      <c r="H1301" t="s">
        <v>20</v>
      </c>
    </row>
    <row r="1302" spans="1:8">
      <c r="A1302" s="1">
        <f>HYPERLINK("https://cms.ls-nyc.org/matter/dynamic-profile/view/1843444","17-1843444")</f>
        <v>0</v>
      </c>
      <c r="B1302" t="s">
        <v>12</v>
      </c>
      <c r="D1302" t="s">
        <v>15</v>
      </c>
      <c r="E1302" t="s">
        <v>16</v>
      </c>
      <c r="H1302" t="s">
        <v>20</v>
      </c>
    </row>
    <row r="1303" spans="1:8">
      <c r="A1303" s="1">
        <f>HYPERLINK("https://cms.ls-nyc.org/matter/dynamic-profile/view/1835987","17-1835987")</f>
        <v>0</v>
      </c>
      <c r="B1303" t="s">
        <v>8</v>
      </c>
      <c r="D1303" t="s">
        <v>15</v>
      </c>
      <c r="E1303" t="s">
        <v>16</v>
      </c>
      <c r="H1303" t="s">
        <v>20</v>
      </c>
    </row>
    <row r="1304" spans="1:8">
      <c r="A1304" s="1">
        <f>HYPERLINK("https://cms.ls-nyc.org/matter/dynamic-profile/view/1891662","19-1891662")</f>
        <v>0</v>
      </c>
      <c r="B1304" t="s">
        <v>9</v>
      </c>
      <c r="E1304" t="s">
        <v>16</v>
      </c>
      <c r="F1304" t="s">
        <v>17</v>
      </c>
      <c r="H1304" t="s">
        <v>20</v>
      </c>
    </row>
    <row r="1305" spans="1:8">
      <c r="A1305" s="1">
        <f>HYPERLINK("https://cms.ls-nyc.org/matter/dynamic-profile/view/1891663","19-1891663")</f>
        <v>0</v>
      </c>
      <c r="B1305" t="s">
        <v>9</v>
      </c>
      <c r="E1305" t="s">
        <v>16</v>
      </c>
      <c r="F1305" t="s">
        <v>17</v>
      </c>
      <c r="H1305" t="s">
        <v>20</v>
      </c>
    </row>
    <row r="1306" spans="1:8">
      <c r="A1306" s="1">
        <f>HYPERLINK("https://cms.ls-nyc.org/matter/dynamic-profile/view/1896163","19-1896163")</f>
        <v>0</v>
      </c>
      <c r="B1306" t="s">
        <v>10</v>
      </c>
      <c r="H1306" t="s">
        <v>19</v>
      </c>
    </row>
    <row r="1307" spans="1:8">
      <c r="A1307" s="1">
        <f>HYPERLINK("https://cms.ls-nyc.org/matter/dynamic-profile/view/1887824","19-1887824")</f>
        <v>0</v>
      </c>
      <c r="B1307" t="s">
        <v>9</v>
      </c>
      <c r="D1307" t="s">
        <v>15</v>
      </c>
      <c r="E1307" t="s">
        <v>16</v>
      </c>
      <c r="H1307" t="s">
        <v>20</v>
      </c>
    </row>
    <row r="1308" spans="1:8">
      <c r="A1308" s="1">
        <f>HYPERLINK("https://cms.ls-nyc.org/matter/dynamic-profile/view/1872527","18-1872527")</f>
        <v>0</v>
      </c>
      <c r="B1308" t="s">
        <v>9</v>
      </c>
      <c r="D1308" t="s">
        <v>15</v>
      </c>
      <c r="E1308" t="s">
        <v>16</v>
      </c>
      <c r="H1308" t="s">
        <v>20</v>
      </c>
    </row>
    <row r="1309" spans="1:8">
      <c r="A1309" s="1">
        <f>HYPERLINK("https://cms.ls-nyc.org/matter/dynamic-profile/view/1875045","18-1875045")</f>
        <v>0</v>
      </c>
      <c r="B1309" t="s">
        <v>9</v>
      </c>
      <c r="C1309" t="s">
        <v>13</v>
      </c>
      <c r="D1309" t="s">
        <v>14</v>
      </c>
      <c r="E1309" t="s">
        <v>16</v>
      </c>
      <c r="F1309" t="s">
        <v>17</v>
      </c>
      <c r="G1309" t="s">
        <v>18</v>
      </c>
      <c r="H1309" t="s">
        <v>20</v>
      </c>
    </row>
    <row r="1310" spans="1:8">
      <c r="A1310" s="1">
        <f>HYPERLINK("https://cms.ls-nyc.org/matter/dynamic-profile/view/1849475","17-1849475")</f>
        <v>0</v>
      </c>
      <c r="B1310" t="s">
        <v>11</v>
      </c>
      <c r="D1310" t="s">
        <v>15</v>
      </c>
      <c r="E1310" t="s">
        <v>16</v>
      </c>
      <c r="H1310" t="s">
        <v>20</v>
      </c>
    </row>
    <row r="1311" spans="1:8">
      <c r="A1311" s="1">
        <f>HYPERLINK("https://cms.ls-nyc.org/matter/dynamic-profile/view/0785673","15-0785673")</f>
        <v>0</v>
      </c>
      <c r="B1311" t="s">
        <v>10</v>
      </c>
      <c r="D1311" t="s">
        <v>15</v>
      </c>
      <c r="E1311" t="s">
        <v>16</v>
      </c>
      <c r="H1311" t="s">
        <v>20</v>
      </c>
    </row>
    <row r="1312" spans="1:8">
      <c r="A1312" s="1">
        <f>HYPERLINK("https://cms.ls-nyc.org/matter/dynamic-profile/view/0816578","16-0816578")</f>
        <v>0</v>
      </c>
      <c r="B1312" t="s">
        <v>12</v>
      </c>
      <c r="D1312" t="s">
        <v>15</v>
      </c>
      <c r="E1312" t="s">
        <v>16</v>
      </c>
      <c r="H1312" t="s">
        <v>20</v>
      </c>
    </row>
    <row r="1313" spans="1:8">
      <c r="A1313" s="1">
        <f>HYPERLINK("https://cms.ls-nyc.org/matter/dynamic-profile/view/1895526","19-1895526")</f>
        <v>0</v>
      </c>
      <c r="B1313" t="s">
        <v>10</v>
      </c>
      <c r="D1313" t="s">
        <v>14</v>
      </c>
      <c r="H1313" t="s">
        <v>20</v>
      </c>
    </row>
    <row r="1314" spans="1:8">
      <c r="A1314" s="1">
        <f>HYPERLINK("https://cms.ls-nyc.org/matter/dynamic-profile/view/1901480","19-1901480")</f>
        <v>0</v>
      </c>
      <c r="B1314" t="s">
        <v>10</v>
      </c>
      <c r="D1314" t="s">
        <v>14</v>
      </c>
      <c r="F1314" t="s">
        <v>17</v>
      </c>
      <c r="H1314" t="s">
        <v>20</v>
      </c>
    </row>
    <row r="1315" spans="1:8">
      <c r="A1315" s="1">
        <f>HYPERLINK("https://cms.ls-nyc.org/matter/dynamic-profile/view/1860899","18-1860899")</f>
        <v>0</v>
      </c>
      <c r="B1315" t="s">
        <v>10</v>
      </c>
      <c r="D1315" t="s">
        <v>15</v>
      </c>
      <c r="E1315" t="s">
        <v>16</v>
      </c>
      <c r="H1315" t="s">
        <v>20</v>
      </c>
    </row>
    <row r="1316" spans="1:8">
      <c r="A1316" s="1">
        <f>HYPERLINK("https://cms.ls-nyc.org/matter/dynamic-profile/view/1860927","18-1860927")</f>
        <v>0</v>
      </c>
      <c r="B1316" t="s">
        <v>10</v>
      </c>
      <c r="D1316" t="s">
        <v>15</v>
      </c>
      <c r="E1316" t="s">
        <v>16</v>
      </c>
      <c r="H1316" t="s">
        <v>20</v>
      </c>
    </row>
    <row r="1317" spans="1:8">
      <c r="A1317" s="1">
        <f>HYPERLINK("https://cms.ls-nyc.org/matter/dynamic-profile/view/1886876","19-1886876")</f>
        <v>0</v>
      </c>
      <c r="B1317" t="s">
        <v>10</v>
      </c>
      <c r="D1317" t="s">
        <v>14</v>
      </c>
      <c r="E1317" t="s">
        <v>16</v>
      </c>
      <c r="H1317" t="s">
        <v>20</v>
      </c>
    </row>
    <row r="1318" spans="1:8">
      <c r="A1318" s="1">
        <f>HYPERLINK("https://cms.ls-nyc.org/matter/dynamic-profile/view/0811842","16-0811842")</f>
        <v>0</v>
      </c>
      <c r="B1318" t="s">
        <v>10</v>
      </c>
      <c r="D1318" t="s">
        <v>15</v>
      </c>
      <c r="E1318" t="s">
        <v>16</v>
      </c>
      <c r="H1318" t="s">
        <v>20</v>
      </c>
    </row>
    <row r="1319" spans="1:8">
      <c r="A1319" s="1">
        <f>HYPERLINK("https://cms.ls-nyc.org/matter/dynamic-profile/view/1880652","18-1880652")</f>
        <v>0</v>
      </c>
      <c r="B1319" t="s">
        <v>9</v>
      </c>
      <c r="D1319" t="s">
        <v>14</v>
      </c>
      <c r="H1319" t="s">
        <v>20</v>
      </c>
    </row>
    <row r="1320" spans="1:8">
      <c r="A1320" s="1">
        <f>HYPERLINK("https://cms.ls-nyc.org/matter/dynamic-profile/view/1845259","17-1845259")</f>
        <v>0</v>
      </c>
      <c r="B1320" t="s">
        <v>9</v>
      </c>
      <c r="D1320" t="s">
        <v>15</v>
      </c>
      <c r="E1320" t="s">
        <v>16</v>
      </c>
      <c r="H1320" t="s">
        <v>20</v>
      </c>
    </row>
    <row r="1321" spans="1:8">
      <c r="A1321" s="1">
        <f>HYPERLINK("https://cms.ls-nyc.org/matter/dynamic-profile/view/1882722","18-1882722")</f>
        <v>0</v>
      </c>
      <c r="B1321" t="s">
        <v>10</v>
      </c>
      <c r="F1321" t="s">
        <v>17</v>
      </c>
      <c r="H1321" t="s">
        <v>20</v>
      </c>
    </row>
    <row r="1322" spans="1:8">
      <c r="A1322" s="1">
        <f>HYPERLINK("https://cms.ls-nyc.org/matter/dynamic-profile/view/1882717","18-1882717")</f>
        <v>0</v>
      </c>
      <c r="B1322" t="s">
        <v>10</v>
      </c>
      <c r="F1322" t="s">
        <v>17</v>
      </c>
      <c r="H1322" t="s">
        <v>20</v>
      </c>
    </row>
    <row r="1323" spans="1:8">
      <c r="A1323" s="1">
        <f>HYPERLINK("https://cms.ls-nyc.org/matter/dynamic-profile/view/1888465","19-1888465")</f>
        <v>0</v>
      </c>
      <c r="B1323" t="s">
        <v>10</v>
      </c>
      <c r="H1323" t="s">
        <v>19</v>
      </c>
    </row>
    <row r="1324" spans="1:8">
      <c r="A1324" s="1">
        <f>HYPERLINK("https://cms.ls-nyc.org/matter/dynamic-profile/view/1838455","17-1838455")</f>
        <v>0</v>
      </c>
      <c r="B1324" t="s">
        <v>12</v>
      </c>
      <c r="D1324" t="s">
        <v>15</v>
      </c>
      <c r="E1324" t="s">
        <v>16</v>
      </c>
      <c r="F1324" t="s">
        <v>17</v>
      </c>
      <c r="H1324" t="s">
        <v>20</v>
      </c>
    </row>
    <row r="1325" spans="1:8">
      <c r="A1325" s="1">
        <f>HYPERLINK("https://cms.ls-nyc.org/matter/dynamic-profile/view/1864819","18-1864819")</f>
        <v>0</v>
      </c>
      <c r="B1325" t="s">
        <v>12</v>
      </c>
      <c r="D1325" t="s">
        <v>15</v>
      </c>
      <c r="H1325" t="s">
        <v>20</v>
      </c>
    </row>
    <row r="1326" spans="1:8">
      <c r="A1326" s="1">
        <f>HYPERLINK("https://cms.ls-nyc.org/matter/dynamic-profile/view/1886336","18-1886336")</f>
        <v>0</v>
      </c>
      <c r="B1326" t="s">
        <v>10</v>
      </c>
      <c r="H1326" t="s">
        <v>19</v>
      </c>
    </row>
    <row r="1327" spans="1:8">
      <c r="A1327" s="1">
        <f>HYPERLINK("https://cms.ls-nyc.org/matter/dynamic-profile/view/1887301","19-1887301")</f>
        <v>0</v>
      </c>
      <c r="B1327" t="s">
        <v>10</v>
      </c>
      <c r="D1327" t="s">
        <v>14</v>
      </c>
      <c r="H1327" t="s">
        <v>20</v>
      </c>
    </row>
    <row r="1328" spans="1:8">
      <c r="A1328" s="1">
        <f>HYPERLINK("https://cms.ls-nyc.org/matter/dynamic-profile/view/1886203","18-1886203")</f>
        <v>0</v>
      </c>
      <c r="B1328" t="s">
        <v>10</v>
      </c>
      <c r="H1328" t="s">
        <v>19</v>
      </c>
    </row>
    <row r="1329" spans="1:8">
      <c r="A1329" s="1">
        <f>HYPERLINK("https://cms.ls-nyc.org/matter/dynamic-profile/view/1870205","18-1870205")</f>
        <v>0</v>
      </c>
      <c r="B1329" t="s">
        <v>10</v>
      </c>
      <c r="H1329" t="s">
        <v>19</v>
      </c>
    </row>
    <row r="1330" spans="1:8">
      <c r="A1330" s="1">
        <f>HYPERLINK("https://cms.ls-nyc.org/matter/dynamic-profile/view/1896321","19-1896321")</f>
        <v>0</v>
      </c>
      <c r="B1330" t="s">
        <v>9</v>
      </c>
      <c r="F1330" t="s">
        <v>17</v>
      </c>
      <c r="H1330" t="s">
        <v>20</v>
      </c>
    </row>
    <row r="1331" spans="1:8">
      <c r="A1331" s="1">
        <f>HYPERLINK("https://cms.ls-nyc.org/matter/dynamic-profile/view/0799752","16-0799752")</f>
        <v>0</v>
      </c>
      <c r="B1331" t="s">
        <v>10</v>
      </c>
      <c r="D1331" t="s">
        <v>15</v>
      </c>
      <c r="E1331" t="s">
        <v>16</v>
      </c>
      <c r="F1331" t="s">
        <v>17</v>
      </c>
      <c r="H1331" t="s">
        <v>20</v>
      </c>
    </row>
    <row r="1332" spans="1:8">
      <c r="A1332" s="1">
        <f>HYPERLINK("https://cms.ls-nyc.org/matter/dynamic-profile/view/1844479","17-1844479")</f>
        <v>0</v>
      </c>
      <c r="B1332" t="s">
        <v>9</v>
      </c>
      <c r="D1332" t="s">
        <v>15</v>
      </c>
      <c r="E1332" t="s">
        <v>16</v>
      </c>
      <c r="F1332" t="s">
        <v>17</v>
      </c>
      <c r="H1332" t="s">
        <v>20</v>
      </c>
    </row>
    <row r="1333" spans="1:8">
      <c r="A1333" s="1">
        <f>HYPERLINK("https://cms.ls-nyc.org/matter/dynamic-profile/view/1890137","19-1890137")</f>
        <v>0</v>
      </c>
      <c r="B1333" t="s">
        <v>9</v>
      </c>
      <c r="F1333" t="s">
        <v>17</v>
      </c>
      <c r="H1333" t="s">
        <v>20</v>
      </c>
    </row>
    <row r="1334" spans="1:8">
      <c r="A1334" s="1">
        <f>HYPERLINK("https://cms.ls-nyc.org/matter/dynamic-profile/view/1898188","19-1898188")</f>
        <v>0</v>
      </c>
      <c r="B1334" t="s">
        <v>10</v>
      </c>
      <c r="C1334" t="s">
        <v>13</v>
      </c>
      <c r="D1334" t="s">
        <v>14</v>
      </c>
      <c r="E1334" t="s">
        <v>16</v>
      </c>
      <c r="F1334" t="s">
        <v>17</v>
      </c>
      <c r="G1334" t="s">
        <v>18</v>
      </c>
      <c r="H1334" t="s">
        <v>20</v>
      </c>
    </row>
    <row r="1335" spans="1:8">
      <c r="A1335" s="1">
        <f>HYPERLINK("https://cms.ls-nyc.org/matter/dynamic-profile/view/1895976","19-1895976")</f>
        <v>0</v>
      </c>
      <c r="B1335" t="s">
        <v>10</v>
      </c>
      <c r="C1335" t="s">
        <v>13</v>
      </c>
      <c r="D1335" t="s">
        <v>14</v>
      </c>
      <c r="E1335" t="s">
        <v>16</v>
      </c>
      <c r="G1335" t="s">
        <v>18</v>
      </c>
      <c r="H1335" t="s">
        <v>20</v>
      </c>
    </row>
    <row r="1336" spans="1:8">
      <c r="A1336" s="1">
        <f>HYPERLINK("https://cms.ls-nyc.org/matter/dynamic-profile/view/1898772","19-1898772")</f>
        <v>0</v>
      </c>
      <c r="B1336" t="s">
        <v>9</v>
      </c>
      <c r="H1336" t="s">
        <v>19</v>
      </c>
    </row>
    <row r="1337" spans="1:8">
      <c r="A1337" s="1">
        <f>HYPERLINK("https://cms.ls-nyc.org/matter/dynamic-profile/view/0823235","16-0823235")</f>
        <v>0</v>
      </c>
      <c r="B1337" t="s">
        <v>9</v>
      </c>
      <c r="D1337" t="s">
        <v>15</v>
      </c>
      <c r="E1337" t="s">
        <v>16</v>
      </c>
      <c r="H1337" t="s">
        <v>20</v>
      </c>
    </row>
    <row r="1338" spans="1:8">
      <c r="A1338" s="1">
        <f>HYPERLINK("https://cms.ls-nyc.org/matter/dynamic-profile/view/1896382","19-1896382")</f>
        <v>0</v>
      </c>
      <c r="B1338" t="s">
        <v>9</v>
      </c>
      <c r="H1338" t="s">
        <v>19</v>
      </c>
    </row>
    <row r="1339" spans="1:8">
      <c r="A1339" s="1">
        <f>HYPERLINK("https://cms.ls-nyc.org/matter/dynamic-profile/view/1891782","19-1891782")</f>
        <v>0</v>
      </c>
      <c r="B1339" t="s">
        <v>11</v>
      </c>
      <c r="H1339" t="s">
        <v>19</v>
      </c>
    </row>
    <row r="1340" spans="1:8">
      <c r="A1340" s="1">
        <f>HYPERLINK("https://cms.ls-nyc.org/matter/dynamic-profile/view/1893147","19-1893147")</f>
        <v>0</v>
      </c>
      <c r="B1340" t="s">
        <v>11</v>
      </c>
      <c r="H1340" t="s">
        <v>19</v>
      </c>
    </row>
    <row r="1341" spans="1:8">
      <c r="A1341" s="1">
        <f>HYPERLINK("https://cms.ls-nyc.org/matter/dynamic-profile/view/1884972","18-1884972")</f>
        <v>0</v>
      </c>
      <c r="B1341" t="s">
        <v>10</v>
      </c>
      <c r="H1341" t="s">
        <v>19</v>
      </c>
    </row>
    <row r="1342" spans="1:8">
      <c r="A1342" s="1">
        <f>HYPERLINK("https://cms.ls-nyc.org/matter/dynamic-profile/view/1896081","19-1896081")</f>
        <v>0</v>
      </c>
      <c r="B1342" t="s">
        <v>10</v>
      </c>
      <c r="D1342" t="s">
        <v>14</v>
      </c>
      <c r="H1342" t="s">
        <v>20</v>
      </c>
    </row>
    <row r="1343" spans="1:8">
      <c r="A1343" s="1">
        <f>HYPERLINK("https://cms.ls-nyc.org/matter/dynamic-profile/view/1883887","18-1883887")</f>
        <v>0</v>
      </c>
      <c r="B1343" t="s">
        <v>9</v>
      </c>
      <c r="C1343" t="s">
        <v>13</v>
      </c>
      <c r="D1343" t="s">
        <v>14</v>
      </c>
      <c r="E1343" t="s">
        <v>16</v>
      </c>
      <c r="G1343" t="s">
        <v>18</v>
      </c>
      <c r="H1343" t="s">
        <v>20</v>
      </c>
    </row>
    <row r="1344" spans="1:8">
      <c r="A1344" s="1">
        <f>HYPERLINK("https://cms.ls-nyc.org/matter/dynamic-profile/view/1892877","19-1892877")</f>
        <v>0</v>
      </c>
      <c r="B1344" t="s">
        <v>12</v>
      </c>
      <c r="H1344" t="s">
        <v>19</v>
      </c>
    </row>
    <row r="1345" spans="1:8">
      <c r="A1345" s="1">
        <f>HYPERLINK("https://cms.ls-nyc.org/matter/dynamic-profile/view/1890304","19-1890304")</f>
        <v>0</v>
      </c>
      <c r="B1345" t="s">
        <v>9</v>
      </c>
      <c r="H1345" t="s">
        <v>19</v>
      </c>
    </row>
    <row r="1346" spans="1:8">
      <c r="A1346" s="1">
        <f>HYPERLINK("https://cms.ls-nyc.org/matter/dynamic-profile/view/0813904","16-0813904")</f>
        <v>0</v>
      </c>
      <c r="B1346" t="s">
        <v>9</v>
      </c>
      <c r="D1346" t="s">
        <v>15</v>
      </c>
      <c r="E1346" t="s">
        <v>16</v>
      </c>
      <c r="H1346" t="s">
        <v>20</v>
      </c>
    </row>
    <row r="1347" spans="1:8">
      <c r="A1347" s="1">
        <f>HYPERLINK("https://cms.ls-nyc.org/matter/dynamic-profile/view/1860272","18-1860272")</f>
        <v>0</v>
      </c>
      <c r="B1347" t="s">
        <v>12</v>
      </c>
      <c r="D1347" t="s">
        <v>15</v>
      </c>
      <c r="E1347" t="s">
        <v>16</v>
      </c>
      <c r="H1347" t="s">
        <v>20</v>
      </c>
    </row>
    <row r="1348" spans="1:8">
      <c r="A1348" s="1">
        <f>HYPERLINK("https://cms.ls-nyc.org/matter/dynamic-profile/view/0795762","16-0795762")</f>
        <v>0</v>
      </c>
      <c r="B1348" t="s">
        <v>10</v>
      </c>
      <c r="D1348" t="s">
        <v>15</v>
      </c>
      <c r="E1348" t="s">
        <v>16</v>
      </c>
      <c r="H1348" t="s">
        <v>20</v>
      </c>
    </row>
    <row r="1349" spans="1:8">
      <c r="A1349" s="1">
        <f>HYPERLINK("https://cms.ls-nyc.org/matter/dynamic-profile/view/1897842","19-1897842")</f>
        <v>0</v>
      </c>
      <c r="B1349" t="s">
        <v>12</v>
      </c>
      <c r="H1349" t="s">
        <v>19</v>
      </c>
    </row>
    <row r="1350" spans="1:8">
      <c r="A1350" s="1">
        <f>HYPERLINK("https://cms.ls-nyc.org/matter/dynamic-profile/view/1860598","18-1860598")</f>
        <v>0</v>
      </c>
      <c r="B1350" t="s">
        <v>10</v>
      </c>
      <c r="D1350" t="s">
        <v>15</v>
      </c>
      <c r="E1350" t="s">
        <v>16</v>
      </c>
      <c r="H1350" t="s">
        <v>20</v>
      </c>
    </row>
    <row r="1351" spans="1:8">
      <c r="A1351" s="1">
        <f>HYPERLINK("https://cms.ls-nyc.org/matter/dynamic-profile/view/1861830","18-1861830")</f>
        <v>0</v>
      </c>
      <c r="B1351" t="s">
        <v>9</v>
      </c>
      <c r="D1351" t="s">
        <v>15</v>
      </c>
      <c r="F1351" t="s">
        <v>17</v>
      </c>
      <c r="H1351" t="s">
        <v>20</v>
      </c>
    </row>
    <row r="1352" spans="1:8">
      <c r="A1352" s="1">
        <f>HYPERLINK("https://cms.ls-nyc.org/matter/dynamic-profile/view/1874240","18-1874240")</f>
        <v>0</v>
      </c>
      <c r="B1352" t="s">
        <v>9</v>
      </c>
      <c r="F1352" t="s">
        <v>17</v>
      </c>
      <c r="H1352" t="s">
        <v>20</v>
      </c>
    </row>
    <row r="1353" spans="1:8">
      <c r="A1353" s="1">
        <f>HYPERLINK("https://cms.ls-nyc.org/matter/dynamic-profile/view/1899865","19-1899865")</f>
        <v>0</v>
      </c>
      <c r="B1353" t="s">
        <v>10</v>
      </c>
      <c r="D1353" t="s">
        <v>14</v>
      </c>
      <c r="H1353" t="s">
        <v>20</v>
      </c>
    </row>
    <row r="1354" spans="1:8">
      <c r="A1354" s="1">
        <f>HYPERLINK("https://cms.ls-nyc.org/matter/dynamic-profile/view/1848912","17-1848912")</f>
        <v>0</v>
      </c>
      <c r="B1354" t="s">
        <v>9</v>
      </c>
      <c r="D1354" t="s">
        <v>15</v>
      </c>
      <c r="E1354" t="s">
        <v>16</v>
      </c>
      <c r="F1354" t="s">
        <v>17</v>
      </c>
      <c r="H1354" t="s">
        <v>20</v>
      </c>
    </row>
    <row r="1355" spans="1:8">
      <c r="A1355" s="1">
        <f>HYPERLINK("https://cms.ls-nyc.org/matter/dynamic-profile/view/0799602","16-0799602")</f>
        <v>0</v>
      </c>
      <c r="B1355" t="s">
        <v>10</v>
      </c>
      <c r="D1355" t="s">
        <v>15</v>
      </c>
      <c r="E1355" t="s">
        <v>16</v>
      </c>
      <c r="H1355" t="s">
        <v>20</v>
      </c>
    </row>
    <row r="1356" spans="1:8">
      <c r="A1356" s="1">
        <f>HYPERLINK("https://cms.ls-nyc.org/matter/dynamic-profile/view/1887538","19-1887538")</f>
        <v>0</v>
      </c>
      <c r="B1356" t="s">
        <v>9</v>
      </c>
      <c r="C1356" t="s">
        <v>13</v>
      </c>
      <c r="D1356" t="s">
        <v>14</v>
      </c>
      <c r="E1356" t="s">
        <v>16</v>
      </c>
      <c r="H1356" t="s">
        <v>20</v>
      </c>
    </row>
    <row r="1357" spans="1:8">
      <c r="A1357" s="1">
        <f>HYPERLINK("https://cms.ls-nyc.org/matter/dynamic-profile/view/1896074","19-1896074")</f>
        <v>0</v>
      </c>
      <c r="B1357" t="s">
        <v>10</v>
      </c>
      <c r="D1357" t="s">
        <v>14</v>
      </c>
      <c r="F1357" t="s">
        <v>17</v>
      </c>
      <c r="H1357" t="s">
        <v>20</v>
      </c>
    </row>
    <row r="1358" spans="1:8">
      <c r="A1358" s="1">
        <f>HYPERLINK("https://cms.ls-nyc.org/matter/dynamic-profile/view/1882944","18-1882944")</f>
        <v>0</v>
      </c>
      <c r="B1358" t="s">
        <v>10</v>
      </c>
      <c r="D1358" t="s">
        <v>14</v>
      </c>
      <c r="F1358" t="s">
        <v>17</v>
      </c>
      <c r="H1358" t="s">
        <v>20</v>
      </c>
    </row>
    <row r="1359" spans="1:8">
      <c r="A1359" s="1">
        <f>HYPERLINK("https://cms.ls-nyc.org/matter/dynamic-profile/view/0806925","16-0806925")</f>
        <v>0</v>
      </c>
      <c r="B1359" t="s">
        <v>12</v>
      </c>
      <c r="D1359" t="s">
        <v>15</v>
      </c>
      <c r="E1359" t="s">
        <v>16</v>
      </c>
      <c r="H1359" t="s">
        <v>20</v>
      </c>
    </row>
    <row r="1360" spans="1:8">
      <c r="A1360" s="1">
        <f>HYPERLINK("https://cms.ls-nyc.org/matter/dynamic-profile/view/1854940","18-1854940")</f>
        <v>0</v>
      </c>
      <c r="B1360" t="s">
        <v>10</v>
      </c>
      <c r="D1360" t="s">
        <v>15</v>
      </c>
      <c r="E1360" t="s">
        <v>16</v>
      </c>
      <c r="H1360" t="s">
        <v>20</v>
      </c>
    </row>
    <row r="1361" spans="1:8">
      <c r="A1361" s="1">
        <f>HYPERLINK("https://cms.ls-nyc.org/matter/dynamic-profile/view/1892835","19-1892835")</f>
        <v>0</v>
      </c>
      <c r="B1361" t="s">
        <v>11</v>
      </c>
      <c r="C1361" t="s">
        <v>13</v>
      </c>
      <c r="D1361" t="s">
        <v>14</v>
      </c>
      <c r="E1361" t="s">
        <v>16</v>
      </c>
      <c r="G1361" t="s">
        <v>18</v>
      </c>
      <c r="H1361" t="s">
        <v>20</v>
      </c>
    </row>
    <row r="1362" spans="1:8">
      <c r="A1362" s="1">
        <f>HYPERLINK("https://cms.ls-nyc.org/matter/dynamic-profile/view/0816037","16-0816037")</f>
        <v>0</v>
      </c>
      <c r="B1362" t="s">
        <v>10</v>
      </c>
      <c r="D1362" t="s">
        <v>15</v>
      </c>
      <c r="E1362" t="s">
        <v>16</v>
      </c>
      <c r="H1362" t="s">
        <v>20</v>
      </c>
    </row>
    <row r="1363" spans="1:8">
      <c r="A1363" s="1">
        <f>HYPERLINK("https://cms.ls-nyc.org/matter/dynamic-profile/view/1894948","19-1894948")</f>
        <v>0</v>
      </c>
      <c r="B1363" t="s">
        <v>10</v>
      </c>
      <c r="D1363" t="s">
        <v>14</v>
      </c>
      <c r="F1363" t="s">
        <v>17</v>
      </c>
      <c r="G1363" t="s">
        <v>18</v>
      </c>
      <c r="H1363" t="s">
        <v>20</v>
      </c>
    </row>
    <row r="1364" spans="1:8">
      <c r="A1364" s="1">
        <f>HYPERLINK("https://cms.ls-nyc.org/matter/dynamic-profile/view/1891390","19-1891390")</f>
        <v>0</v>
      </c>
      <c r="B1364" t="s">
        <v>10</v>
      </c>
      <c r="H1364" t="s">
        <v>19</v>
      </c>
    </row>
    <row r="1365" spans="1:8">
      <c r="A1365" s="1">
        <f>HYPERLINK("https://cms.ls-nyc.org/matter/dynamic-profile/view/1891378","19-1891378")</f>
        <v>0</v>
      </c>
      <c r="B1365" t="s">
        <v>10</v>
      </c>
      <c r="H1365" t="s">
        <v>19</v>
      </c>
    </row>
    <row r="1366" spans="1:8">
      <c r="A1366" s="1">
        <f>HYPERLINK("https://cms.ls-nyc.org/matter/dynamic-profile/view/1900563","19-1900563")</f>
        <v>0</v>
      </c>
      <c r="B1366" t="s">
        <v>12</v>
      </c>
      <c r="F1366" t="s">
        <v>17</v>
      </c>
      <c r="H1366" t="s">
        <v>20</v>
      </c>
    </row>
    <row r="1367" spans="1:8">
      <c r="A1367" s="1">
        <f>HYPERLINK("https://cms.ls-nyc.org/matter/dynamic-profile/view/1887364","19-1887364")</f>
        <v>0</v>
      </c>
      <c r="B1367" t="s">
        <v>9</v>
      </c>
      <c r="C1367" t="s">
        <v>13</v>
      </c>
      <c r="D1367" t="s">
        <v>14</v>
      </c>
      <c r="E1367" t="s">
        <v>16</v>
      </c>
      <c r="G1367" t="s">
        <v>18</v>
      </c>
      <c r="H1367" t="s">
        <v>20</v>
      </c>
    </row>
    <row r="1368" spans="1:8">
      <c r="A1368" s="1">
        <f>HYPERLINK("https://cms.ls-nyc.org/matter/dynamic-profile/view/1871940","18-1871940")</f>
        <v>0</v>
      </c>
      <c r="B1368" t="s">
        <v>10</v>
      </c>
      <c r="H1368" t="s">
        <v>19</v>
      </c>
    </row>
    <row r="1369" spans="1:8">
      <c r="A1369" s="1">
        <f>HYPERLINK("https://cms.ls-nyc.org/matter/dynamic-profile/view/1881514","18-1881514")</f>
        <v>0</v>
      </c>
      <c r="B1369" t="s">
        <v>10</v>
      </c>
      <c r="H1369" t="s">
        <v>19</v>
      </c>
    </row>
    <row r="1370" spans="1:8">
      <c r="A1370" s="1">
        <f>HYPERLINK("https://cms.ls-nyc.org/matter/dynamic-profile/view/1859656","18-1859656")</f>
        <v>0</v>
      </c>
      <c r="B1370" t="s">
        <v>10</v>
      </c>
      <c r="D1370" t="s">
        <v>15</v>
      </c>
      <c r="E1370" t="s">
        <v>16</v>
      </c>
      <c r="H1370" t="s">
        <v>20</v>
      </c>
    </row>
    <row r="1371" spans="1:8">
      <c r="A1371" s="1">
        <f>HYPERLINK("https://cms.ls-nyc.org/matter/dynamic-profile/view/1864189","18-1864189")</f>
        <v>0</v>
      </c>
      <c r="B1371" t="s">
        <v>12</v>
      </c>
      <c r="D1371" t="s">
        <v>15</v>
      </c>
      <c r="E1371" t="s">
        <v>16</v>
      </c>
      <c r="H1371" t="s">
        <v>20</v>
      </c>
    </row>
    <row r="1372" spans="1:8">
      <c r="A1372" s="1">
        <f>HYPERLINK("https://cms.ls-nyc.org/matter/dynamic-profile/view/1845306","17-1845306")</f>
        <v>0</v>
      </c>
      <c r="B1372" t="s">
        <v>9</v>
      </c>
      <c r="D1372" t="s">
        <v>15</v>
      </c>
      <c r="E1372" t="s">
        <v>16</v>
      </c>
      <c r="H1372" t="s">
        <v>20</v>
      </c>
    </row>
    <row r="1373" spans="1:8">
      <c r="A1373" s="1">
        <f>HYPERLINK("https://cms.ls-nyc.org/matter/dynamic-profile/view/0825594","17-0825594")</f>
        <v>0</v>
      </c>
      <c r="B1373" t="s">
        <v>9</v>
      </c>
      <c r="C1373" t="s">
        <v>13</v>
      </c>
      <c r="D1373" t="s">
        <v>14</v>
      </c>
      <c r="E1373" t="s">
        <v>16</v>
      </c>
      <c r="H1373" t="s">
        <v>20</v>
      </c>
    </row>
    <row r="1374" spans="1:8">
      <c r="A1374" s="1">
        <f>HYPERLINK("https://cms.ls-nyc.org/matter/dynamic-profile/view/1891533","19-1891533")</f>
        <v>0</v>
      </c>
      <c r="B1374" t="s">
        <v>9</v>
      </c>
      <c r="H1374" t="s">
        <v>19</v>
      </c>
    </row>
    <row r="1375" spans="1:8">
      <c r="A1375" s="1">
        <f>HYPERLINK("https://cms.ls-nyc.org/matter/dynamic-profile/view/1860213","18-1860213")</f>
        <v>0</v>
      </c>
      <c r="B1375" t="s">
        <v>8</v>
      </c>
      <c r="D1375" t="s">
        <v>15</v>
      </c>
      <c r="E1375" t="s">
        <v>16</v>
      </c>
      <c r="H1375" t="s">
        <v>20</v>
      </c>
    </row>
    <row r="1376" spans="1:8">
      <c r="A1376" s="1">
        <f>HYPERLINK("https://cms.ls-nyc.org/matter/dynamic-profile/view/1861239","18-1861239")</f>
        <v>0</v>
      </c>
      <c r="B1376" t="s">
        <v>12</v>
      </c>
      <c r="C1376" t="s">
        <v>13</v>
      </c>
      <c r="D1376" t="s">
        <v>15</v>
      </c>
      <c r="H1376" t="s">
        <v>20</v>
      </c>
    </row>
    <row r="1377" spans="1:8">
      <c r="A1377" s="1">
        <f>HYPERLINK("https://cms.ls-nyc.org/matter/dynamic-profile/view/0822047","16-0822047")</f>
        <v>0</v>
      </c>
      <c r="B1377" t="s">
        <v>10</v>
      </c>
      <c r="D1377" t="s">
        <v>15</v>
      </c>
      <c r="E1377" t="s">
        <v>16</v>
      </c>
      <c r="F1377" t="s">
        <v>17</v>
      </c>
      <c r="H1377" t="s">
        <v>20</v>
      </c>
    </row>
    <row r="1378" spans="1:8">
      <c r="A1378" s="1">
        <f>HYPERLINK("https://cms.ls-nyc.org/matter/dynamic-profile/view/0822050","16-0822050")</f>
        <v>0</v>
      </c>
      <c r="B1378" t="s">
        <v>10</v>
      </c>
      <c r="D1378" t="s">
        <v>15</v>
      </c>
      <c r="E1378" t="s">
        <v>16</v>
      </c>
      <c r="F1378" t="s">
        <v>17</v>
      </c>
      <c r="H1378" t="s">
        <v>20</v>
      </c>
    </row>
    <row r="1379" spans="1:8">
      <c r="A1379" s="1">
        <f>HYPERLINK("https://cms.ls-nyc.org/matter/dynamic-profile/view/1860430","18-1860430")</f>
        <v>0</v>
      </c>
      <c r="B1379" t="s">
        <v>12</v>
      </c>
      <c r="D1379" t="s">
        <v>15</v>
      </c>
      <c r="H1379" t="s">
        <v>20</v>
      </c>
    </row>
    <row r="1380" spans="1:8">
      <c r="A1380" s="1">
        <f>HYPERLINK("https://cms.ls-nyc.org/matter/dynamic-profile/view/1845479","17-1845479")</f>
        <v>0</v>
      </c>
      <c r="B1380" t="s">
        <v>9</v>
      </c>
      <c r="D1380" t="s">
        <v>15</v>
      </c>
      <c r="E1380" t="s">
        <v>16</v>
      </c>
      <c r="F1380" t="s">
        <v>17</v>
      </c>
      <c r="H1380" t="s">
        <v>20</v>
      </c>
    </row>
    <row r="1381" spans="1:8">
      <c r="A1381" s="1">
        <f>HYPERLINK("https://cms.ls-nyc.org/matter/dynamic-profile/view/1859384","18-1859384")</f>
        <v>0</v>
      </c>
      <c r="B1381" t="s">
        <v>10</v>
      </c>
      <c r="D1381" t="s">
        <v>15</v>
      </c>
      <c r="E1381" t="s">
        <v>16</v>
      </c>
      <c r="H1381" t="s">
        <v>20</v>
      </c>
    </row>
    <row r="1382" spans="1:8">
      <c r="A1382" s="1">
        <f>HYPERLINK("https://cms.ls-nyc.org/matter/dynamic-profile/view/1840918","17-1840918")</f>
        <v>0</v>
      </c>
      <c r="B1382" t="s">
        <v>10</v>
      </c>
      <c r="D1382" t="s">
        <v>15</v>
      </c>
      <c r="E1382" t="s">
        <v>16</v>
      </c>
      <c r="H1382" t="s">
        <v>20</v>
      </c>
    </row>
    <row r="1383" spans="1:8">
      <c r="A1383" s="1">
        <f>HYPERLINK("https://cms.ls-nyc.org/matter/dynamic-profile/view/0815801","16-0815801")</f>
        <v>0</v>
      </c>
      <c r="B1383" t="s">
        <v>9</v>
      </c>
      <c r="D1383" t="s">
        <v>15</v>
      </c>
      <c r="E1383" t="s">
        <v>16</v>
      </c>
      <c r="H1383" t="s">
        <v>20</v>
      </c>
    </row>
    <row r="1384" spans="1:8">
      <c r="A1384" s="1">
        <f>HYPERLINK("https://cms.ls-nyc.org/matter/dynamic-profile/view/1834816","17-1834816")</f>
        <v>0</v>
      </c>
      <c r="B1384" t="s">
        <v>12</v>
      </c>
      <c r="D1384" t="s">
        <v>15</v>
      </c>
      <c r="E1384" t="s">
        <v>16</v>
      </c>
      <c r="H1384" t="s">
        <v>20</v>
      </c>
    </row>
    <row r="1385" spans="1:8">
      <c r="A1385" s="1">
        <f>HYPERLINK("https://cms.ls-nyc.org/matter/dynamic-profile/view/0794247","15-0794247")</f>
        <v>0</v>
      </c>
      <c r="B1385" t="s">
        <v>10</v>
      </c>
      <c r="D1385" t="s">
        <v>15</v>
      </c>
      <c r="E1385" t="s">
        <v>16</v>
      </c>
      <c r="H1385" t="s">
        <v>20</v>
      </c>
    </row>
    <row r="1386" spans="1:8">
      <c r="A1386" s="1">
        <f>HYPERLINK("https://cms.ls-nyc.org/matter/dynamic-profile/view/1889163","19-1889163")</f>
        <v>0</v>
      </c>
      <c r="B1386" t="s">
        <v>9</v>
      </c>
      <c r="H1386" t="s">
        <v>19</v>
      </c>
    </row>
    <row r="1387" spans="1:8">
      <c r="A1387" s="1">
        <f>HYPERLINK("https://cms.ls-nyc.org/matter/dynamic-profile/view/1838591","17-1838591")</f>
        <v>0</v>
      </c>
      <c r="B1387" t="s">
        <v>12</v>
      </c>
      <c r="D1387" t="s">
        <v>15</v>
      </c>
      <c r="E1387" t="s">
        <v>16</v>
      </c>
      <c r="H1387" t="s">
        <v>20</v>
      </c>
    </row>
    <row r="1388" spans="1:8">
      <c r="A1388" s="1">
        <f>HYPERLINK("https://cms.ls-nyc.org/matter/dynamic-profile/view/1895160","19-1895160")</f>
        <v>0</v>
      </c>
      <c r="B1388" t="s">
        <v>9</v>
      </c>
      <c r="H1388" t="s">
        <v>19</v>
      </c>
    </row>
    <row r="1389" spans="1:8">
      <c r="A1389" s="1">
        <f>HYPERLINK("https://cms.ls-nyc.org/matter/dynamic-profile/view/1863492","18-1863492")</f>
        <v>0</v>
      </c>
      <c r="B1389" t="s">
        <v>10</v>
      </c>
      <c r="D1389" t="s">
        <v>15</v>
      </c>
      <c r="E1389" t="s">
        <v>16</v>
      </c>
      <c r="H1389" t="s">
        <v>20</v>
      </c>
    </row>
    <row r="1390" spans="1:8">
      <c r="A1390" s="1">
        <f>HYPERLINK("https://cms.ls-nyc.org/matter/dynamic-profile/view/1880605","18-1880605")</f>
        <v>0</v>
      </c>
      <c r="B1390" t="s">
        <v>10</v>
      </c>
      <c r="D1390" t="s">
        <v>14</v>
      </c>
      <c r="H1390" t="s">
        <v>20</v>
      </c>
    </row>
    <row r="1391" spans="1:8">
      <c r="A1391" s="1">
        <f>HYPERLINK("https://cms.ls-nyc.org/matter/dynamic-profile/view/1869615","18-1869615")</f>
        <v>0</v>
      </c>
      <c r="B1391" t="s">
        <v>10</v>
      </c>
      <c r="D1391" t="s">
        <v>15</v>
      </c>
      <c r="E1391" t="s">
        <v>16</v>
      </c>
      <c r="H1391" t="s">
        <v>20</v>
      </c>
    </row>
    <row r="1392" spans="1:8">
      <c r="A1392" s="1">
        <f>HYPERLINK("https://cms.ls-nyc.org/matter/dynamic-profile/view/1878094","18-1878094")</f>
        <v>0</v>
      </c>
      <c r="B1392" t="s">
        <v>10</v>
      </c>
      <c r="H1392" t="s">
        <v>19</v>
      </c>
    </row>
    <row r="1393" spans="1:8">
      <c r="A1393" s="1">
        <f>HYPERLINK("https://cms.ls-nyc.org/matter/dynamic-profile/view/1886672","18-1886672")</f>
        <v>0</v>
      </c>
      <c r="B1393" t="s">
        <v>10</v>
      </c>
      <c r="H1393" t="s">
        <v>19</v>
      </c>
    </row>
    <row r="1394" spans="1:8">
      <c r="A1394" s="1">
        <f>HYPERLINK("https://cms.ls-nyc.org/matter/dynamic-profile/view/1860553","18-1860553")</f>
        <v>0</v>
      </c>
      <c r="B1394" t="s">
        <v>10</v>
      </c>
      <c r="D1394" t="s">
        <v>15</v>
      </c>
      <c r="E1394" t="s">
        <v>16</v>
      </c>
      <c r="H1394" t="s">
        <v>20</v>
      </c>
    </row>
    <row r="1395" spans="1:8">
      <c r="A1395" s="1">
        <f>HYPERLINK("https://cms.ls-nyc.org/matter/dynamic-profile/view/1898111","19-1898111")</f>
        <v>0</v>
      </c>
      <c r="B1395" t="s">
        <v>8</v>
      </c>
      <c r="H1395" t="s">
        <v>19</v>
      </c>
    </row>
    <row r="1396" spans="1:8">
      <c r="A1396" s="1">
        <f>HYPERLINK("https://cms.ls-nyc.org/matter/dynamic-profile/view/1885304","18-1885304")</f>
        <v>0</v>
      </c>
      <c r="B1396" t="s">
        <v>10</v>
      </c>
      <c r="H1396" t="s">
        <v>19</v>
      </c>
    </row>
    <row r="1397" spans="1:8">
      <c r="A1397" s="1">
        <f>HYPERLINK("https://cms.ls-nyc.org/matter/dynamic-profile/view/1889889","19-1889889")</f>
        <v>0</v>
      </c>
      <c r="B1397" t="s">
        <v>10</v>
      </c>
      <c r="H1397" t="s">
        <v>19</v>
      </c>
    </row>
    <row r="1398" spans="1:8">
      <c r="A1398" s="1">
        <f>HYPERLINK("https://cms.ls-nyc.org/matter/dynamic-profile/view/1845691","17-1845691")</f>
        <v>0</v>
      </c>
      <c r="B1398" t="s">
        <v>12</v>
      </c>
      <c r="D1398" t="s">
        <v>15</v>
      </c>
      <c r="H1398" t="s">
        <v>20</v>
      </c>
    </row>
    <row r="1399" spans="1:8">
      <c r="A1399" s="1">
        <f>HYPERLINK("https://cms.ls-nyc.org/matter/dynamic-profile/view/1859930","18-1859930")</f>
        <v>0</v>
      </c>
      <c r="B1399" t="s">
        <v>8</v>
      </c>
      <c r="D1399" t="s">
        <v>15</v>
      </c>
      <c r="E1399" t="s">
        <v>16</v>
      </c>
      <c r="H1399" t="s">
        <v>20</v>
      </c>
    </row>
    <row r="1400" spans="1:8">
      <c r="A1400" s="1">
        <f>HYPERLINK("https://cms.ls-nyc.org/matter/dynamic-profile/view/1859936","18-1859936")</f>
        <v>0</v>
      </c>
      <c r="B1400" t="s">
        <v>8</v>
      </c>
      <c r="D1400" t="s">
        <v>15</v>
      </c>
      <c r="E1400" t="s">
        <v>16</v>
      </c>
      <c r="H1400" t="s">
        <v>20</v>
      </c>
    </row>
    <row r="1401" spans="1:8">
      <c r="A1401" s="1">
        <f>HYPERLINK("https://cms.ls-nyc.org/matter/dynamic-profile/view/1859332","18-1859332")</f>
        <v>0</v>
      </c>
      <c r="B1401" t="s">
        <v>9</v>
      </c>
      <c r="D1401" t="s">
        <v>15</v>
      </c>
      <c r="H1401" t="s">
        <v>20</v>
      </c>
    </row>
    <row r="1402" spans="1:8">
      <c r="A1402" s="1">
        <f>HYPERLINK("https://cms.ls-nyc.org/matter/dynamic-profile/view/1856751","18-1856751")</f>
        <v>0</v>
      </c>
      <c r="B1402" t="s">
        <v>10</v>
      </c>
      <c r="D1402" t="s">
        <v>15</v>
      </c>
      <c r="E1402" t="s">
        <v>16</v>
      </c>
      <c r="H1402" t="s">
        <v>20</v>
      </c>
    </row>
    <row r="1403" spans="1:8">
      <c r="A1403" s="1">
        <f>HYPERLINK("https://cms.ls-nyc.org/matter/dynamic-profile/view/1877190","18-1877190")</f>
        <v>0</v>
      </c>
      <c r="B1403" t="s">
        <v>12</v>
      </c>
      <c r="H1403" t="s">
        <v>19</v>
      </c>
    </row>
    <row r="1404" spans="1:8">
      <c r="A1404" s="1">
        <f>HYPERLINK("https://cms.ls-nyc.org/matter/dynamic-profile/view/1895220","19-1895220")</f>
        <v>0</v>
      </c>
      <c r="B1404" t="s">
        <v>9</v>
      </c>
      <c r="C1404" t="s">
        <v>13</v>
      </c>
      <c r="D1404" t="s">
        <v>14</v>
      </c>
      <c r="E1404" t="s">
        <v>16</v>
      </c>
      <c r="H1404" t="s">
        <v>20</v>
      </c>
    </row>
    <row r="1405" spans="1:8">
      <c r="A1405" s="1">
        <f>HYPERLINK("https://cms.ls-nyc.org/matter/dynamic-profile/view/1891295","19-1891295")</f>
        <v>0</v>
      </c>
      <c r="B1405" t="s">
        <v>9</v>
      </c>
      <c r="H1405" t="s">
        <v>19</v>
      </c>
    </row>
    <row r="1406" spans="1:8">
      <c r="A1406" s="1">
        <f>HYPERLINK("https://cms.ls-nyc.org/matter/dynamic-profile/view/0745411","13-0745411")</f>
        <v>0</v>
      </c>
      <c r="B1406" t="s">
        <v>9</v>
      </c>
      <c r="C1406" t="s">
        <v>13</v>
      </c>
      <c r="D1406" t="s">
        <v>14</v>
      </c>
      <c r="E1406" t="s">
        <v>16</v>
      </c>
      <c r="H1406" t="s">
        <v>20</v>
      </c>
    </row>
    <row r="1407" spans="1:8">
      <c r="A1407" s="1">
        <f>HYPERLINK("https://cms.ls-nyc.org/matter/dynamic-profile/view/1882257","18-1882257")</f>
        <v>0</v>
      </c>
      <c r="B1407" t="s">
        <v>9</v>
      </c>
      <c r="H1407" t="s">
        <v>19</v>
      </c>
    </row>
    <row r="1408" spans="1:8">
      <c r="A1408" s="1">
        <f>HYPERLINK("https://cms.ls-nyc.org/matter/dynamic-profile/view/1863494","18-1863494")</f>
        <v>0</v>
      </c>
      <c r="B1408" t="s">
        <v>9</v>
      </c>
      <c r="H1408" t="s">
        <v>19</v>
      </c>
    </row>
    <row r="1409" spans="1:8">
      <c r="A1409" s="1">
        <f>HYPERLINK("https://cms.ls-nyc.org/matter/dynamic-profile/view/1894837","19-1894837")</f>
        <v>0</v>
      </c>
      <c r="B1409" t="s">
        <v>10</v>
      </c>
      <c r="D1409" t="s">
        <v>14</v>
      </c>
      <c r="H1409" t="s">
        <v>20</v>
      </c>
    </row>
    <row r="1410" spans="1:8">
      <c r="A1410" s="1">
        <f>HYPERLINK("https://cms.ls-nyc.org/matter/dynamic-profile/view/1894468","19-1894468")</f>
        <v>0</v>
      </c>
      <c r="B1410" t="s">
        <v>10</v>
      </c>
      <c r="H1410" t="s">
        <v>19</v>
      </c>
    </row>
    <row r="1411" spans="1:8">
      <c r="A1411" s="1">
        <f>HYPERLINK("https://cms.ls-nyc.org/matter/dynamic-profile/view/1896217","19-1896217")</f>
        <v>0</v>
      </c>
      <c r="B1411" t="s">
        <v>11</v>
      </c>
      <c r="H1411" t="s">
        <v>19</v>
      </c>
    </row>
    <row r="1412" spans="1:8">
      <c r="A1412" s="1">
        <f>HYPERLINK("https://cms.ls-nyc.org/matter/dynamic-profile/view/1881254","18-1881254")</f>
        <v>0</v>
      </c>
      <c r="B1412" t="s">
        <v>12</v>
      </c>
      <c r="H1412" t="s">
        <v>19</v>
      </c>
    </row>
    <row r="1413" spans="1:8">
      <c r="A1413" s="1">
        <f>HYPERLINK("https://cms.ls-nyc.org/matter/dynamic-profile/view/1878038","18-1878038")</f>
        <v>0</v>
      </c>
      <c r="B1413" t="s">
        <v>8</v>
      </c>
      <c r="C1413" t="s">
        <v>13</v>
      </c>
      <c r="D1413" t="s">
        <v>14</v>
      </c>
      <c r="F1413" t="s">
        <v>17</v>
      </c>
      <c r="H1413" t="s">
        <v>20</v>
      </c>
    </row>
    <row r="1414" spans="1:8">
      <c r="A1414" s="1">
        <f>HYPERLINK("https://cms.ls-nyc.org/matter/dynamic-profile/view/0799599","16-0799599")</f>
        <v>0</v>
      </c>
      <c r="B1414" t="s">
        <v>10</v>
      </c>
      <c r="D1414" t="s">
        <v>15</v>
      </c>
      <c r="E1414" t="s">
        <v>16</v>
      </c>
      <c r="F1414" t="s">
        <v>17</v>
      </c>
      <c r="H1414" t="s">
        <v>20</v>
      </c>
    </row>
    <row r="1415" spans="1:8">
      <c r="A1415" s="1">
        <f>HYPERLINK("https://cms.ls-nyc.org/matter/dynamic-profile/view/0785179","15-0785179")</f>
        <v>0</v>
      </c>
      <c r="B1415" t="s">
        <v>12</v>
      </c>
      <c r="C1415" t="s">
        <v>13</v>
      </c>
      <c r="D1415" t="s">
        <v>15</v>
      </c>
      <c r="E1415" t="s">
        <v>16</v>
      </c>
      <c r="H1415" t="s">
        <v>20</v>
      </c>
    </row>
    <row r="1416" spans="1:8">
      <c r="A1416" s="1">
        <f>HYPERLINK("https://cms.ls-nyc.org/matter/dynamic-profile/view/1885367","18-1885367")</f>
        <v>0</v>
      </c>
      <c r="B1416" t="s">
        <v>10</v>
      </c>
      <c r="H1416" t="s">
        <v>19</v>
      </c>
    </row>
    <row r="1417" spans="1:8">
      <c r="A1417" s="1">
        <f>HYPERLINK("https://cms.ls-nyc.org/matter/dynamic-profile/view/1898732","19-1898732")</f>
        <v>0</v>
      </c>
      <c r="B1417" t="s">
        <v>9</v>
      </c>
      <c r="E1417" t="s">
        <v>16</v>
      </c>
      <c r="F1417" t="s">
        <v>17</v>
      </c>
      <c r="H1417" t="s">
        <v>20</v>
      </c>
    </row>
    <row r="1418" spans="1:8">
      <c r="A1418" s="1">
        <f>HYPERLINK("https://cms.ls-nyc.org/matter/dynamic-profile/view/1898821","19-1898821")</f>
        <v>0</v>
      </c>
      <c r="B1418" t="s">
        <v>9</v>
      </c>
      <c r="E1418" t="s">
        <v>16</v>
      </c>
      <c r="F1418" t="s">
        <v>17</v>
      </c>
      <c r="H1418" t="s">
        <v>20</v>
      </c>
    </row>
    <row r="1419" spans="1:8">
      <c r="A1419" s="1">
        <f>HYPERLINK("https://cms.ls-nyc.org/matter/dynamic-profile/view/1897258","19-1897258")</f>
        <v>0</v>
      </c>
      <c r="B1419" t="s">
        <v>11</v>
      </c>
      <c r="D1419" t="s">
        <v>14</v>
      </c>
      <c r="G1419" t="s">
        <v>18</v>
      </c>
      <c r="H1419" t="s">
        <v>20</v>
      </c>
    </row>
    <row r="1420" spans="1:8">
      <c r="A1420" s="1">
        <f>HYPERLINK("https://cms.ls-nyc.org/matter/dynamic-profile/view/1900716","19-1900716")</f>
        <v>0</v>
      </c>
      <c r="B1420" t="s">
        <v>12</v>
      </c>
      <c r="H1420" t="s">
        <v>19</v>
      </c>
    </row>
    <row r="1421" spans="1:8">
      <c r="A1421" s="1">
        <f>HYPERLINK("https://cms.ls-nyc.org/matter/dynamic-profile/view/1891305","19-1891305")</f>
        <v>0</v>
      </c>
      <c r="B1421" t="s">
        <v>10</v>
      </c>
      <c r="H1421" t="s">
        <v>19</v>
      </c>
    </row>
    <row r="1422" spans="1:8">
      <c r="A1422" s="1">
        <f>HYPERLINK("https://cms.ls-nyc.org/matter/dynamic-profile/view/1891302","19-1891302")</f>
        <v>0</v>
      </c>
      <c r="B1422" t="s">
        <v>10</v>
      </c>
      <c r="H1422" t="s">
        <v>19</v>
      </c>
    </row>
    <row r="1423" spans="1:8">
      <c r="A1423" s="1">
        <f>HYPERLINK("https://cms.ls-nyc.org/matter/dynamic-profile/view/1875631","18-1875631")</f>
        <v>0</v>
      </c>
      <c r="B1423" t="s">
        <v>12</v>
      </c>
      <c r="H1423" t="s">
        <v>19</v>
      </c>
    </row>
    <row r="1424" spans="1:8">
      <c r="A1424" s="1">
        <f>HYPERLINK("https://cms.ls-nyc.org/matter/dynamic-profile/view/1860742","18-1860742")</f>
        <v>0</v>
      </c>
      <c r="B1424" t="s">
        <v>10</v>
      </c>
      <c r="D1424" t="s">
        <v>15</v>
      </c>
      <c r="E1424" t="s">
        <v>16</v>
      </c>
      <c r="H1424" t="s">
        <v>20</v>
      </c>
    </row>
    <row r="1425" spans="1:8">
      <c r="A1425" s="1">
        <f>HYPERLINK("https://cms.ls-nyc.org/matter/dynamic-profile/view/1874137","18-1874137")</f>
        <v>0</v>
      </c>
      <c r="B1425" t="s">
        <v>10</v>
      </c>
      <c r="H1425" t="s">
        <v>19</v>
      </c>
    </row>
    <row r="1426" spans="1:8">
      <c r="A1426" s="1">
        <f>HYPERLINK("https://cms.ls-nyc.org/matter/dynamic-profile/view/0819546","16-0819546")</f>
        <v>0</v>
      </c>
      <c r="B1426" t="s">
        <v>11</v>
      </c>
      <c r="C1426" t="s">
        <v>13</v>
      </c>
      <c r="D1426" t="s">
        <v>15</v>
      </c>
      <c r="E1426" t="s">
        <v>16</v>
      </c>
      <c r="H1426" t="s">
        <v>20</v>
      </c>
    </row>
    <row r="1427" spans="1:8">
      <c r="A1427" s="1">
        <f>HYPERLINK("https://cms.ls-nyc.org/matter/dynamic-profile/view/1885571","18-1885571")</f>
        <v>0</v>
      </c>
      <c r="B1427" t="s">
        <v>9</v>
      </c>
      <c r="H1427" t="s">
        <v>19</v>
      </c>
    </row>
    <row r="1428" spans="1:8">
      <c r="A1428" s="1">
        <f>HYPERLINK("https://cms.ls-nyc.org/matter/dynamic-profile/view/1888931","19-1888931")</f>
        <v>0</v>
      </c>
      <c r="B1428" t="s">
        <v>10</v>
      </c>
      <c r="H1428" t="s">
        <v>19</v>
      </c>
    </row>
    <row r="1429" spans="1:8">
      <c r="A1429" s="1">
        <f>HYPERLINK("https://cms.ls-nyc.org/matter/dynamic-profile/view/0805131","16-0805131")</f>
        <v>0</v>
      </c>
      <c r="B1429" t="s">
        <v>12</v>
      </c>
      <c r="C1429" t="s">
        <v>13</v>
      </c>
      <c r="D1429" t="s">
        <v>15</v>
      </c>
      <c r="E1429" t="s">
        <v>16</v>
      </c>
      <c r="H1429" t="s">
        <v>20</v>
      </c>
    </row>
    <row r="1430" spans="1:8">
      <c r="A1430" s="1">
        <f>HYPERLINK("https://cms.ls-nyc.org/matter/dynamic-profile/view/0832845","17-0832845")</f>
        <v>0</v>
      </c>
      <c r="B1430" t="s">
        <v>12</v>
      </c>
      <c r="D1430" t="s">
        <v>15</v>
      </c>
      <c r="E1430" t="s">
        <v>16</v>
      </c>
      <c r="H1430" t="s">
        <v>20</v>
      </c>
    </row>
    <row r="1431" spans="1:8">
      <c r="A1431" s="1">
        <f>HYPERLINK("https://cms.ls-nyc.org/matter/dynamic-profile/view/1842712","17-1842712")</f>
        <v>0</v>
      </c>
      <c r="B1431" t="s">
        <v>12</v>
      </c>
      <c r="D1431" t="s">
        <v>15</v>
      </c>
      <c r="E1431" t="s">
        <v>16</v>
      </c>
      <c r="H1431" t="s">
        <v>20</v>
      </c>
    </row>
    <row r="1432" spans="1:8">
      <c r="A1432" s="1">
        <f>HYPERLINK("https://cms.ls-nyc.org/matter/dynamic-profile/view/1869789","18-1869789")</f>
        <v>0</v>
      </c>
      <c r="B1432" t="s">
        <v>8</v>
      </c>
      <c r="D1432" t="s">
        <v>15</v>
      </c>
      <c r="E1432" t="s">
        <v>16</v>
      </c>
      <c r="H1432" t="s">
        <v>20</v>
      </c>
    </row>
    <row r="1433" spans="1:8">
      <c r="A1433" s="1">
        <f>HYPERLINK("https://cms.ls-nyc.org/matter/dynamic-profile/view/1888450","19-1888450")</f>
        <v>0</v>
      </c>
      <c r="B1433" t="s">
        <v>9</v>
      </c>
      <c r="H1433" t="s">
        <v>19</v>
      </c>
    </row>
    <row r="1434" spans="1:8">
      <c r="A1434" s="1">
        <f>HYPERLINK("https://cms.ls-nyc.org/matter/dynamic-profile/view/1869376","18-1869376")</f>
        <v>0</v>
      </c>
      <c r="B1434" t="s">
        <v>11</v>
      </c>
      <c r="D1434" t="s">
        <v>15</v>
      </c>
      <c r="E1434" t="s">
        <v>16</v>
      </c>
      <c r="H1434" t="s">
        <v>20</v>
      </c>
    </row>
    <row r="1435" spans="1:8">
      <c r="A1435" s="1">
        <f>HYPERLINK("https://cms.ls-nyc.org/matter/dynamic-profile/view/1862236","18-1862236")</f>
        <v>0</v>
      </c>
      <c r="B1435" t="s">
        <v>12</v>
      </c>
      <c r="D1435" t="s">
        <v>15</v>
      </c>
      <c r="E1435" t="s">
        <v>16</v>
      </c>
      <c r="F1435" t="s">
        <v>17</v>
      </c>
      <c r="H1435" t="s">
        <v>20</v>
      </c>
    </row>
    <row r="1436" spans="1:8">
      <c r="A1436" s="1">
        <f>HYPERLINK("https://cms.ls-nyc.org/matter/dynamic-profile/view/1860306","18-1860306")</f>
        <v>0</v>
      </c>
      <c r="B1436" t="s">
        <v>12</v>
      </c>
      <c r="C1436" t="s">
        <v>13</v>
      </c>
      <c r="D1436" t="s">
        <v>14</v>
      </c>
      <c r="E1436" t="s">
        <v>16</v>
      </c>
      <c r="G1436" t="s">
        <v>18</v>
      </c>
      <c r="H1436" t="s">
        <v>20</v>
      </c>
    </row>
    <row r="1437" spans="1:8">
      <c r="A1437" s="1">
        <f>HYPERLINK("https://cms.ls-nyc.org/matter/dynamic-profile/view/1864353","18-1864353")</f>
        <v>0</v>
      </c>
      <c r="B1437" t="s">
        <v>12</v>
      </c>
      <c r="D1437" t="s">
        <v>15</v>
      </c>
      <c r="F1437" t="s">
        <v>17</v>
      </c>
      <c r="H1437" t="s">
        <v>20</v>
      </c>
    </row>
    <row r="1438" spans="1:8">
      <c r="A1438" s="1">
        <f>HYPERLINK("https://cms.ls-nyc.org/matter/dynamic-profile/view/1854341","17-1854341")</f>
        <v>0</v>
      </c>
      <c r="B1438" t="s">
        <v>10</v>
      </c>
      <c r="D1438" t="s">
        <v>15</v>
      </c>
      <c r="E1438" t="s">
        <v>16</v>
      </c>
      <c r="H1438" t="s">
        <v>20</v>
      </c>
    </row>
    <row r="1439" spans="1:8">
      <c r="A1439" s="1">
        <f>HYPERLINK("https://cms.ls-nyc.org/matter/dynamic-profile/view/1855062","18-1855062")</f>
        <v>0</v>
      </c>
      <c r="B1439" t="s">
        <v>10</v>
      </c>
      <c r="D1439" t="s">
        <v>15</v>
      </c>
      <c r="E1439" t="s">
        <v>16</v>
      </c>
      <c r="H1439" t="s">
        <v>20</v>
      </c>
    </row>
    <row r="1440" spans="1:8">
      <c r="A1440" s="1">
        <f>HYPERLINK("https://cms.ls-nyc.org/matter/dynamic-profile/view/1898118","19-1898118")</f>
        <v>0</v>
      </c>
      <c r="B1440" t="s">
        <v>10</v>
      </c>
      <c r="D1440" t="s">
        <v>14</v>
      </c>
      <c r="H1440" t="s">
        <v>20</v>
      </c>
    </row>
    <row r="1441" spans="1:8">
      <c r="A1441" s="1">
        <f>HYPERLINK("https://cms.ls-nyc.org/matter/dynamic-profile/view/1897247","19-1897247")</f>
        <v>0</v>
      </c>
      <c r="B1441" t="s">
        <v>12</v>
      </c>
      <c r="H1441" t="s">
        <v>19</v>
      </c>
    </row>
    <row r="1442" spans="1:8">
      <c r="A1442" s="1">
        <f>HYPERLINK("https://cms.ls-nyc.org/matter/dynamic-profile/view/1885244","18-1885244")</f>
        <v>0</v>
      </c>
      <c r="B1442" t="s">
        <v>9</v>
      </c>
      <c r="H1442" t="s">
        <v>19</v>
      </c>
    </row>
    <row r="1443" spans="1:8">
      <c r="A1443" s="1">
        <f>HYPERLINK("https://cms.ls-nyc.org/matter/dynamic-profile/view/1897546","19-1897546")</f>
        <v>0</v>
      </c>
      <c r="B1443" t="s">
        <v>12</v>
      </c>
      <c r="H1443" t="s">
        <v>19</v>
      </c>
    </row>
    <row r="1444" spans="1:8">
      <c r="A1444" s="1">
        <f>HYPERLINK("https://cms.ls-nyc.org/matter/dynamic-profile/view/1892385","19-1892385")</f>
        <v>0</v>
      </c>
      <c r="B1444" t="s">
        <v>9</v>
      </c>
      <c r="H1444" t="s">
        <v>19</v>
      </c>
    </row>
    <row r="1445" spans="1:8">
      <c r="A1445" s="1">
        <f>HYPERLINK("https://cms.ls-nyc.org/matter/dynamic-profile/view/1855961","18-1855961")</f>
        <v>0</v>
      </c>
      <c r="B1445" t="s">
        <v>11</v>
      </c>
      <c r="D1445" t="s">
        <v>15</v>
      </c>
      <c r="E1445" t="s">
        <v>16</v>
      </c>
      <c r="F1445" t="s">
        <v>17</v>
      </c>
      <c r="H1445" t="s">
        <v>20</v>
      </c>
    </row>
    <row r="1446" spans="1:8">
      <c r="A1446" s="1">
        <f>HYPERLINK("https://cms.ls-nyc.org/matter/dynamic-profile/view/1892884","19-1892884")</f>
        <v>0</v>
      </c>
      <c r="B1446" t="s">
        <v>8</v>
      </c>
      <c r="H1446" t="s">
        <v>19</v>
      </c>
    </row>
    <row r="1447" spans="1:8">
      <c r="A1447" s="1">
        <f>HYPERLINK("https://cms.ls-nyc.org/matter/dynamic-profile/view/1893348","19-1893348")</f>
        <v>0</v>
      </c>
      <c r="B1447" t="s">
        <v>8</v>
      </c>
      <c r="H1447" t="s">
        <v>19</v>
      </c>
    </row>
    <row r="1448" spans="1:8">
      <c r="A1448" s="1">
        <f>HYPERLINK("https://cms.ls-nyc.org/matter/dynamic-profile/view/1896393","19-1896393")</f>
        <v>0</v>
      </c>
      <c r="B1448" t="s">
        <v>9</v>
      </c>
      <c r="F1448" t="s">
        <v>17</v>
      </c>
      <c r="H1448" t="s">
        <v>20</v>
      </c>
    </row>
    <row r="1449" spans="1:8">
      <c r="A1449" s="1">
        <f>HYPERLINK("https://cms.ls-nyc.org/matter/dynamic-profile/view/1897895","19-1897895")</f>
        <v>0</v>
      </c>
      <c r="B1449" t="s">
        <v>9</v>
      </c>
      <c r="C1449" t="s">
        <v>13</v>
      </c>
      <c r="D1449" t="s">
        <v>14</v>
      </c>
      <c r="E1449" t="s">
        <v>16</v>
      </c>
      <c r="H1449" t="s">
        <v>20</v>
      </c>
    </row>
    <row r="1450" spans="1:8">
      <c r="A1450" s="1">
        <f>HYPERLINK("https://cms.ls-nyc.org/matter/dynamic-profile/view/1889505","19-1889505")</f>
        <v>0</v>
      </c>
      <c r="B1450" t="s">
        <v>9</v>
      </c>
      <c r="C1450" t="s">
        <v>13</v>
      </c>
      <c r="E1450" t="s">
        <v>16</v>
      </c>
      <c r="H1450" t="s">
        <v>20</v>
      </c>
    </row>
    <row r="1451" spans="1:8">
      <c r="A1451" s="1">
        <f>HYPERLINK("https://cms.ls-nyc.org/matter/dynamic-profile/view/1900558","19-1900558")</f>
        <v>0</v>
      </c>
      <c r="B1451" t="s">
        <v>10</v>
      </c>
      <c r="D1451" t="s">
        <v>14</v>
      </c>
      <c r="H1451" t="s">
        <v>20</v>
      </c>
    </row>
    <row r="1452" spans="1:8">
      <c r="A1452" s="1">
        <f>HYPERLINK("https://cms.ls-nyc.org/matter/dynamic-profile/view/1898303","19-1898303")</f>
        <v>0</v>
      </c>
      <c r="B1452" t="s">
        <v>10</v>
      </c>
      <c r="D1452" t="s">
        <v>14</v>
      </c>
      <c r="F1452" t="s">
        <v>17</v>
      </c>
      <c r="H1452" t="s">
        <v>20</v>
      </c>
    </row>
    <row r="1453" spans="1:8">
      <c r="A1453" s="1">
        <f>HYPERLINK("https://cms.ls-nyc.org/matter/dynamic-profile/view/1900009","19-1900009")</f>
        <v>0</v>
      </c>
      <c r="B1453" t="s">
        <v>10</v>
      </c>
      <c r="D1453" t="s">
        <v>14</v>
      </c>
      <c r="E1453" t="s">
        <v>16</v>
      </c>
      <c r="H1453" t="s">
        <v>20</v>
      </c>
    </row>
    <row r="1454" spans="1:8">
      <c r="A1454" s="1">
        <f>HYPERLINK("https://cms.ls-nyc.org/matter/dynamic-profile/view/1899848","19-1899848")</f>
        <v>0</v>
      </c>
      <c r="B1454" t="s">
        <v>10</v>
      </c>
      <c r="D1454" t="s">
        <v>14</v>
      </c>
      <c r="H1454" t="s">
        <v>20</v>
      </c>
    </row>
    <row r="1455" spans="1:8">
      <c r="A1455" s="1">
        <f>HYPERLINK("https://cms.ls-nyc.org/matter/dynamic-profile/view/1897876","19-1897876")</f>
        <v>0</v>
      </c>
      <c r="B1455" t="s">
        <v>10</v>
      </c>
      <c r="H1455" t="s">
        <v>19</v>
      </c>
    </row>
    <row r="1456" spans="1:8">
      <c r="A1456" s="1">
        <f>HYPERLINK("https://cms.ls-nyc.org/matter/dynamic-profile/view/1897715","19-1897715")</f>
        <v>0</v>
      </c>
      <c r="B1456" t="s">
        <v>11</v>
      </c>
      <c r="C1456" t="s">
        <v>13</v>
      </c>
      <c r="D1456" t="s">
        <v>14</v>
      </c>
      <c r="E1456" t="s">
        <v>16</v>
      </c>
      <c r="H1456" t="s">
        <v>20</v>
      </c>
    </row>
    <row r="1457" spans="1:8">
      <c r="A1457" s="1">
        <f>HYPERLINK("https://cms.ls-nyc.org/matter/dynamic-profile/view/1893534","19-1893534")</f>
        <v>0</v>
      </c>
      <c r="B1457" t="s">
        <v>12</v>
      </c>
      <c r="H1457" t="s">
        <v>19</v>
      </c>
    </row>
    <row r="1458" spans="1:8">
      <c r="A1458" s="1">
        <f>HYPERLINK("https://cms.ls-nyc.org/matter/dynamic-profile/view/1892328","19-1892328")</f>
        <v>0</v>
      </c>
      <c r="B1458" t="s">
        <v>10</v>
      </c>
      <c r="H1458" t="s">
        <v>19</v>
      </c>
    </row>
    <row r="1459" spans="1:8">
      <c r="A1459" s="1">
        <f>HYPERLINK("https://cms.ls-nyc.org/matter/dynamic-profile/view/1895261","19-1895261")</f>
        <v>0</v>
      </c>
      <c r="B1459" t="s">
        <v>8</v>
      </c>
      <c r="H1459" t="s">
        <v>19</v>
      </c>
    </row>
    <row r="1460" spans="1:8">
      <c r="A1460" s="1">
        <f>HYPERLINK("https://cms.ls-nyc.org/matter/dynamic-profile/view/1893019","19-1893019")</f>
        <v>0</v>
      </c>
      <c r="B1460" t="s">
        <v>10</v>
      </c>
      <c r="D1460" t="s">
        <v>14</v>
      </c>
      <c r="H1460" t="s">
        <v>20</v>
      </c>
    </row>
    <row r="1461" spans="1:8">
      <c r="A1461" s="1">
        <f>HYPERLINK("https://cms.ls-nyc.org/matter/dynamic-profile/view/1881793","18-1881793")</f>
        <v>0</v>
      </c>
      <c r="B1461" t="s">
        <v>12</v>
      </c>
      <c r="H1461" t="s">
        <v>19</v>
      </c>
    </row>
    <row r="1462" spans="1:8">
      <c r="A1462" s="1">
        <f>HYPERLINK("https://cms.ls-nyc.org/matter/dynamic-profile/view/1856807","18-1856807")</f>
        <v>0</v>
      </c>
      <c r="B1462" t="s">
        <v>10</v>
      </c>
      <c r="D1462" t="s">
        <v>15</v>
      </c>
      <c r="E1462" t="s">
        <v>16</v>
      </c>
      <c r="H1462" t="s">
        <v>20</v>
      </c>
    </row>
    <row r="1463" spans="1:8">
      <c r="A1463" s="1">
        <f>HYPERLINK("https://cms.ls-nyc.org/matter/dynamic-profile/view/1897237","19-1897237")</f>
        <v>0</v>
      </c>
      <c r="B1463" t="s">
        <v>8</v>
      </c>
      <c r="H1463" t="s">
        <v>19</v>
      </c>
    </row>
    <row r="1464" spans="1:8">
      <c r="A1464" s="1">
        <f>HYPERLINK("https://cms.ls-nyc.org/matter/dynamic-profile/view/1895799","19-1895799")</f>
        <v>0</v>
      </c>
      <c r="B1464" t="s">
        <v>10</v>
      </c>
      <c r="C1464" t="s">
        <v>13</v>
      </c>
      <c r="D1464" t="s">
        <v>14</v>
      </c>
      <c r="E1464" t="s">
        <v>16</v>
      </c>
      <c r="H1464" t="s">
        <v>20</v>
      </c>
    </row>
    <row r="1465" spans="1:8">
      <c r="A1465" s="1">
        <f>HYPERLINK("https://cms.ls-nyc.org/matter/dynamic-profile/view/1893768","19-1893768")</f>
        <v>0</v>
      </c>
      <c r="B1465" t="s">
        <v>9</v>
      </c>
      <c r="H1465" t="s">
        <v>19</v>
      </c>
    </row>
    <row r="1466" spans="1:8">
      <c r="A1466" s="1">
        <f>HYPERLINK("https://cms.ls-nyc.org/matter/dynamic-profile/view/1900016","19-1900016")</f>
        <v>0</v>
      </c>
      <c r="B1466" t="s">
        <v>8</v>
      </c>
      <c r="E1466" t="s">
        <v>16</v>
      </c>
      <c r="H1466" t="s">
        <v>20</v>
      </c>
    </row>
    <row r="1467" spans="1:8">
      <c r="A1467" s="1">
        <f>HYPERLINK("https://cms.ls-nyc.org/matter/dynamic-profile/view/1892741","19-1892741")</f>
        <v>0</v>
      </c>
      <c r="B1467" t="s">
        <v>9</v>
      </c>
      <c r="F1467" t="s">
        <v>17</v>
      </c>
      <c r="H1467" t="s">
        <v>20</v>
      </c>
    </row>
    <row r="1468" spans="1:8">
      <c r="A1468" s="1">
        <f>HYPERLINK("https://cms.ls-nyc.org/matter/dynamic-profile/view/1892743","19-1892743")</f>
        <v>0</v>
      </c>
      <c r="B1468" t="s">
        <v>9</v>
      </c>
      <c r="F1468" t="s">
        <v>17</v>
      </c>
      <c r="H1468" t="s">
        <v>20</v>
      </c>
    </row>
    <row r="1469" spans="1:8">
      <c r="A1469" s="1">
        <f>HYPERLINK("https://cms.ls-nyc.org/matter/dynamic-profile/view/1880344","18-1880344")</f>
        <v>0</v>
      </c>
      <c r="B1469" t="s">
        <v>11</v>
      </c>
      <c r="E1469" t="s">
        <v>16</v>
      </c>
      <c r="H1469" t="s">
        <v>20</v>
      </c>
    </row>
    <row r="1470" spans="1:8">
      <c r="A1470" s="1">
        <f>HYPERLINK("https://cms.ls-nyc.org/matter/dynamic-profile/view/1880926","18-1880926")</f>
        <v>0</v>
      </c>
      <c r="B1470" t="s">
        <v>11</v>
      </c>
      <c r="E1470" t="s">
        <v>16</v>
      </c>
      <c r="H1470" t="s">
        <v>20</v>
      </c>
    </row>
    <row r="1471" spans="1:8">
      <c r="A1471" s="1">
        <f>HYPERLINK("https://cms.ls-nyc.org/matter/dynamic-profile/view/1881752","18-1881752")</f>
        <v>0</v>
      </c>
      <c r="B1471" t="s">
        <v>10</v>
      </c>
      <c r="H1471" t="s">
        <v>19</v>
      </c>
    </row>
    <row r="1472" spans="1:8">
      <c r="A1472" s="1">
        <f>HYPERLINK("https://cms.ls-nyc.org/matter/dynamic-profile/view/1841822","17-1841822")</f>
        <v>0</v>
      </c>
      <c r="B1472" t="s">
        <v>12</v>
      </c>
      <c r="D1472" t="s">
        <v>15</v>
      </c>
      <c r="E1472" t="s">
        <v>16</v>
      </c>
      <c r="H1472" t="s">
        <v>20</v>
      </c>
    </row>
    <row r="1473" spans="1:8">
      <c r="A1473" s="1">
        <f>HYPERLINK("https://cms.ls-nyc.org/matter/dynamic-profile/view/1878104","18-1878104")</f>
        <v>0</v>
      </c>
      <c r="B1473" t="s">
        <v>9</v>
      </c>
      <c r="C1473" t="s">
        <v>13</v>
      </c>
      <c r="D1473" t="s">
        <v>14</v>
      </c>
      <c r="E1473" t="s">
        <v>16</v>
      </c>
      <c r="H1473" t="s">
        <v>20</v>
      </c>
    </row>
    <row r="1474" spans="1:8">
      <c r="A1474" s="1">
        <f>HYPERLINK("https://cms.ls-nyc.org/matter/dynamic-profile/view/1883253","18-1883253")</f>
        <v>0</v>
      </c>
      <c r="B1474" t="s">
        <v>9</v>
      </c>
      <c r="H1474" t="s">
        <v>19</v>
      </c>
    </row>
    <row r="1475" spans="1:8">
      <c r="A1475" s="1">
        <f>HYPERLINK("https://cms.ls-nyc.org/matter/dynamic-profile/view/1877272","18-1877272")</f>
        <v>0</v>
      </c>
      <c r="B1475" t="s">
        <v>9</v>
      </c>
      <c r="F1475" t="s">
        <v>17</v>
      </c>
      <c r="H1475" t="s">
        <v>20</v>
      </c>
    </row>
    <row r="1476" spans="1:8">
      <c r="A1476" s="1">
        <f>HYPERLINK("https://cms.ls-nyc.org/matter/dynamic-profile/view/1880117","18-1880117")</f>
        <v>0</v>
      </c>
      <c r="B1476" t="s">
        <v>12</v>
      </c>
      <c r="H1476" t="s">
        <v>19</v>
      </c>
    </row>
    <row r="1477" spans="1:8">
      <c r="A1477" s="1">
        <f>HYPERLINK("https://cms.ls-nyc.org/matter/dynamic-profile/view/1857890","18-1857890")</f>
        <v>0</v>
      </c>
      <c r="B1477" t="s">
        <v>12</v>
      </c>
      <c r="D1477" t="s">
        <v>15</v>
      </c>
      <c r="E1477" t="s">
        <v>16</v>
      </c>
      <c r="H1477" t="s">
        <v>20</v>
      </c>
    </row>
    <row r="1478" spans="1:8">
      <c r="A1478" s="1">
        <f>HYPERLINK("https://cms.ls-nyc.org/matter/dynamic-profile/view/1864125","18-1864125")</f>
        <v>0</v>
      </c>
      <c r="B1478" t="s">
        <v>12</v>
      </c>
      <c r="D1478" t="s">
        <v>15</v>
      </c>
      <c r="F1478" t="s">
        <v>17</v>
      </c>
      <c r="H1478" t="s">
        <v>20</v>
      </c>
    </row>
    <row r="1479" spans="1:8">
      <c r="A1479" s="1">
        <f>HYPERLINK("https://cms.ls-nyc.org/matter/dynamic-profile/view/1882702","18-1882702")</f>
        <v>0</v>
      </c>
      <c r="B1479" t="s">
        <v>10</v>
      </c>
      <c r="H1479" t="s">
        <v>19</v>
      </c>
    </row>
    <row r="1480" spans="1:8">
      <c r="A1480" s="1">
        <f>HYPERLINK("https://cms.ls-nyc.org/matter/dynamic-profile/view/1882698","18-1882698")</f>
        <v>0</v>
      </c>
      <c r="B1480" t="s">
        <v>10</v>
      </c>
      <c r="H1480" t="s">
        <v>19</v>
      </c>
    </row>
    <row r="1481" spans="1:8">
      <c r="A1481" s="1">
        <f>HYPERLINK("https://cms.ls-nyc.org/matter/dynamic-profile/view/1841424","17-1841424")</f>
        <v>0</v>
      </c>
      <c r="B1481" t="s">
        <v>12</v>
      </c>
      <c r="D1481" t="s">
        <v>15</v>
      </c>
      <c r="E1481" t="s">
        <v>16</v>
      </c>
      <c r="H1481" t="s">
        <v>20</v>
      </c>
    </row>
    <row r="1482" spans="1:8">
      <c r="A1482" s="1">
        <f>HYPERLINK("https://cms.ls-nyc.org/matter/dynamic-profile/view/1856867","18-1856867")</f>
        <v>0</v>
      </c>
      <c r="B1482" t="s">
        <v>12</v>
      </c>
      <c r="D1482" t="s">
        <v>15</v>
      </c>
      <c r="E1482" t="s">
        <v>16</v>
      </c>
      <c r="H1482" t="s">
        <v>20</v>
      </c>
    </row>
    <row r="1483" spans="1:8">
      <c r="A1483" s="1">
        <f>HYPERLINK("https://cms.ls-nyc.org/matter/dynamic-profile/view/0826973","17-0826973")</f>
        <v>0</v>
      </c>
      <c r="B1483" t="s">
        <v>12</v>
      </c>
      <c r="D1483" t="s">
        <v>15</v>
      </c>
      <c r="E1483" t="s">
        <v>16</v>
      </c>
      <c r="H1483" t="s">
        <v>20</v>
      </c>
    </row>
    <row r="1484" spans="1:8">
      <c r="A1484" s="1">
        <f>HYPERLINK("https://cms.ls-nyc.org/matter/dynamic-profile/view/1853934","17-1853934")</f>
        <v>0</v>
      </c>
      <c r="B1484" t="s">
        <v>10</v>
      </c>
      <c r="D1484" t="s">
        <v>15</v>
      </c>
      <c r="H1484" t="s">
        <v>20</v>
      </c>
    </row>
    <row r="1485" spans="1:8">
      <c r="A1485" s="1">
        <f>HYPERLINK("https://cms.ls-nyc.org/matter/dynamic-profile/view/0799020","16-0799020")</f>
        <v>0</v>
      </c>
      <c r="B1485" t="s">
        <v>10</v>
      </c>
      <c r="D1485" t="s">
        <v>15</v>
      </c>
      <c r="E1485" t="s">
        <v>16</v>
      </c>
      <c r="H1485" t="s">
        <v>20</v>
      </c>
    </row>
    <row r="1486" spans="1:8">
      <c r="A1486" s="1">
        <f>HYPERLINK("https://cms.ls-nyc.org/matter/dynamic-profile/view/0817076","16-0817076")</f>
        <v>0</v>
      </c>
      <c r="B1486" t="s">
        <v>10</v>
      </c>
      <c r="D1486" t="s">
        <v>15</v>
      </c>
      <c r="E1486" t="s">
        <v>16</v>
      </c>
      <c r="H1486" t="s">
        <v>20</v>
      </c>
    </row>
    <row r="1487" spans="1:8">
      <c r="A1487" s="1">
        <f>HYPERLINK("https://cms.ls-nyc.org/matter/dynamic-profile/view/0822627","16-0822627")</f>
        <v>0</v>
      </c>
      <c r="B1487" t="s">
        <v>10</v>
      </c>
      <c r="D1487" t="s">
        <v>15</v>
      </c>
      <c r="E1487" t="s">
        <v>16</v>
      </c>
      <c r="H1487" t="s">
        <v>20</v>
      </c>
    </row>
    <row r="1488" spans="1:8">
      <c r="A1488" s="1">
        <f>HYPERLINK("https://cms.ls-nyc.org/matter/dynamic-profile/view/1861995","18-1861995")</f>
        <v>0</v>
      </c>
      <c r="B1488" t="s">
        <v>8</v>
      </c>
      <c r="D1488" t="s">
        <v>15</v>
      </c>
      <c r="E1488" t="s">
        <v>16</v>
      </c>
      <c r="H1488" t="s">
        <v>20</v>
      </c>
    </row>
    <row r="1489" spans="1:8">
      <c r="A1489" s="1">
        <f>HYPERLINK("https://cms.ls-nyc.org/matter/dynamic-profile/view/1862007","18-1862007")</f>
        <v>0</v>
      </c>
      <c r="B1489" t="s">
        <v>8</v>
      </c>
      <c r="D1489" t="s">
        <v>15</v>
      </c>
      <c r="E1489" t="s">
        <v>16</v>
      </c>
      <c r="H1489" t="s">
        <v>20</v>
      </c>
    </row>
    <row r="1490" spans="1:8">
      <c r="A1490" s="1">
        <f>HYPERLINK("https://cms.ls-nyc.org/matter/dynamic-profile/view/1895335","19-1895335")</f>
        <v>0</v>
      </c>
      <c r="B1490" t="s">
        <v>9</v>
      </c>
      <c r="C1490" t="s">
        <v>13</v>
      </c>
      <c r="E1490" t="s">
        <v>16</v>
      </c>
      <c r="H1490" t="s">
        <v>20</v>
      </c>
    </row>
    <row r="1491" spans="1:8">
      <c r="A1491" s="1">
        <f>HYPERLINK("https://cms.ls-nyc.org/matter/dynamic-profile/view/1895376","19-1895376")</f>
        <v>0</v>
      </c>
      <c r="B1491" t="s">
        <v>9</v>
      </c>
      <c r="H1491" t="s">
        <v>19</v>
      </c>
    </row>
    <row r="1492" spans="1:8">
      <c r="A1492" s="1">
        <f>HYPERLINK("https://cms.ls-nyc.org/matter/dynamic-profile/view/1884809","18-1884809")</f>
        <v>0</v>
      </c>
      <c r="B1492" t="s">
        <v>10</v>
      </c>
      <c r="H1492" t="s">
        <v>19</v>
      </c>
    </row>
    <row r="1493" spans="1:8">
      <c r="A1493" s="1">
        <f>HYPERLINK("https://cms.ls-nyc.org/matter/dynamic-profile/view/1888233","19-1888233")</f>
        <v>0</v>
      </c>
      <c r="B1493" t="s">
        <v>11</v>
      </c>
      <c r="D1493" t="s">
        <v>14</v>
      </c>
      <c r="H1493" t="s">
        <v>20</v>
      </c>
    </row>
    <row r="1494" spans="1:8">
      <c r="A1494" s="1">
        <f>HYPERLINK("https://cms.ls-nyc.org/matter/dynamic-profile/view/1864522","18-1864522")</f>
        <v>0</v>
      </c>
      <c r="B1494" t="s">
        <v>12</v>
      </c>
      <c r="D1494" t="s">
        <v>15</v>
      </c>
      <c r="F1494" t="s">
        <v>17</v>
      </c>
      <c r="H1494" t="s">
        <v>20</v>
      </c>
    </row>
    <row r="1495" spans="1:8">
      <c r="A1495" s="1">
        <f>HYPERLINK("https://cms.ls-nyc.org/matter/dynamic-profile/view/1847824","17-1847824")</f>
        <v>0</v>
      </c>
      <c r="B1495" t="s">
        <v>9</v>
      </c>
      <c r="C1495" t="s">
        <v>13</v>
      </c>
      <c r="D1495" t="s">
        <v>15</v>
      </c>
      <c r="E1495" t="s">
        <v>16</v>
      </c>
      <c r="H1495" t="s">
        <v>20</v>
      </c>
    </row>
    <row r="1496" spans="1:8">
      <c r="A1496" s="1">
        <f>HYPERLINK("https://cms.ls-nyc.org/matter/dynamic-profile/view/1854878","17-1854878")</f>
        <v>0</v>
      </c>
      <c r="B1496" t="s">
        <v>10</v>
      </c>
      <c r="D1496" t="s">
        <v>15</v>
      </c>
      <c r="E1496" t="s">
        <v>16</v>
      </c>
      <c r="H1496" t="s">
        <v>20</v>
      </c>
    </row>
    <row r="1497" spans="1:8">
      <c r="A1497" s="1">
        <f>HYPERLINK("https://cms.ls-nyc.org/matter/dynamic-profile/view/1855227","18-1855227")</f>
        <v>0</v>
      </c>
      <c r="B1497" t="s">
        <v>10</v>
      </c>
      <c r="D1497" t="s">
        <v>15</v>
      </c>
      <c r="H1497" t="s">
        <v>20</v>
      </c>
    </row>
    <row r="1498" spans="1:8">
      <c r="A1498" s="1">
        <f>HYPERLINK("https://cms.ls-nyc.org/matter/dynamic-profile/view/0792795","15-0792795")</f>
        <v>0</v>
      </c>
      <c r="B1498" t="s">
        <v>8</v>
      </c>
      <c r="D1498" t="s">
        <v>15</v>
      </c>
      <c r="E1498" t="s">
        <v>16</v>
      </c>
      <c r="H1498" t="s">
        <v>20</v>
      </c>
    </row>
    <row r="1499" spans="1:8">
      <c r="A1499" s="1">
        <f>HYPERLINK("https://cms.ls-nyc.org/matter/dynamic-profile/view/1891206","19-1891206")</f>
        <v>0</v>
      </c>
      <c r="B1499" t="s">
        <v>9</v>
      </c>
      <c r="H1499" t="s">
        <v>19</v>
      </c>
    </row>
    <row r="1500" spans="1:8">
      <c r="A1500" s="1">
        <f>HYPERLINK("https://cms.ls-nyc.org/matter/dynamic-profile/view/1898867","19-1898867")</f>
        <v>0</v>
      </c>
      <c r="B1500" t="s">
        <v>9</v>
      </c>
      <c r="H1500" t="s">
        <v>19</v>
      </c>
    </row>
    <row r="1501" spans="1:8">
      <c r="A1501" s="1">
        <f>HYPERLINK("https://cms.ls-nyc.org/matter/dynamic-profile/view/1840271","17-1840271")</f>
        <v>0</v>
      </c>
      <c r="B1501" t="s">
        <v>12</v>
      </c>
      <c r="D1501" t="s">
        <v>15</v>
      </c>
      <c r="E1501" t="s">
        <v>16</v>
      </c>
      <c r="H1501" t="s">
        <v>20</v>
      </c>
    </row>
    <row r="1502" spans="1:8">
      <c r="A1502" s="1">
        <f>HYPERLINK("https://cms.ls-nyc.org/matter/dynamic-profile/view/1881281","18-1881281")</f>
        <v>0</v>
      </c>
      <c r="B1502" t="s">
        <v>12</v>
      </c>
      <c r="H1502" t="s">
        <v>19</v>
      </c>
    </row>
    <row r="1503" spans="1:8">
      <c r="A1503" s="1">
        <f>HYPERLINK("https://cms.ls-nyc.org/matter/dynamic-profile/view/1892507","19-1892507")</f>
        <v>0</v>
      </c>
      <c r="B1503" t="s">
        <v>9</v>
      </c>
      <c r="H1503" t="s">
        <v>19</v>
      </c>
    </row>
    <row r="1504" spans="1:8">
      <c r="A1504" s="1">
        <f>HYPERLINK("https://cms.ls-nyc.org/matter/dynamic-profile/view/1856558","18-1856558")</f>
        <v>0</v>
      </c>
      <c r="B1504" t="s">
        <v>9</v>
      </c>
      <c r="D1504" t="s">
        <v>15</v>
      </c>
      <c r="E1504" t="s">
        <v>16</v>
      </c>
      <c r="H1504" t="s">
        <v>20</v>
      </c>
    </row>
    <row r="1505" spans="1:8">
      <c r="A1505" s="1">
        <f>HYPERLINK("https://cms.ls-nyc.org/matter/dynamic-profile/view/1858315","18-1858315")</f>
        <v>0</v>
      </c>
      <c r="B1505" t="s">
        <v>9</v>
      </c>
      <c r="D1505" t="s">
        <v>15</v>
      </c>
      <c r="E1505" t="s">
        <v>16</v>
      </c>
      <c r="H1505" t="s">
        <v>20</v>
      </c>
    </row>
    <row r="1506" spans="1:8">
      <c r="A1506" s="1">
        <f>HYPERLINK("https://cms.ls-nyc.org/matter/dynamic-profile/view/1843237","17-1843237")</f>
        <v>0</v>
      </c>
      <c r="B1506" t="s">
        <v>9</v>
      </c>
      <c r="D1506" t="s">
        <v>15</v>
      </c>
      <c r="E1506" t="s">
        <v>16</v>
      </c>
      <c r="H1506" t="s">
        <v>20</v>
      </c>
    </row>
    <row r="1507" spans="1:8">
      <c r="A1507" s="1">
        <f>HYPERLINK("https://cms.ls-nyc.org/matter/dynamic-profile/view/1835394","17-1835394")</f>
        <v>0</v>
      </c>
      <c r="B1507" t="s">
        <v>9</v>
      </c>
      <c r="D1507" t="s">
        <v>15</v>
      </c>
      <c r="E1507" t="s">
        <v>16</v>
      </c>
      <c r="H1507" t="s">
        <v>20</v>
      </c>
    </row>
    <row r="1508" spans="1:8">
      <c r="A1508" s="1">
        <f>HYPERLINK("https://cms.ls-nyc.org/matter/dynamic-profile/view/0826864","17-0826864")</f>
        <v>0</v>
      </c>
      <c r="B1508" t="s">
        <v>10</v>
      </c>
      <c r="D1508" t="s">
        <v>15</v>
      </c>
      <c r="E1508" t="s">
        <v>16</v>
      </c>
      <c r="H1508" t="s">
        <v>20</v>
      </c>
    </row>
    <row r="1509" spans="1:8">
      <c r="A1509" s="1">
        <f>HYPERLINK("https://cms.ls-nyc.org/matter/dynamic-profile/view/1845197","17-1845197")</f>
        <v>0</v>
      </c>
      <c r="B1509" t="s">
        <v>10</v>
      </c>
      <c r="D1509" t="s">
        <v>15</v>
      </c>
      <c r="E1509" t="s">
        <v>16</v>
      </c>
      <c r="H1509" t="s">
        <v>20</v>
      </c>
    </row>
    <row r="1510" spans="1:8">
      <c r="A1510" s="1">
        <f>HYPERLINK("https://cms.ls-nyc.org/matter/dynamic-profile/view/1852538","17-1852538")</f>
        <v>0</v>
      </c>
      <c r="B1510" t="s">
        <v>10</v>
      </c>
      <c r="D1510" t="s">
        <v>15</v>
      </c>
      <c r="E1510" t="s">
        <v>16</v>
      </c>
      <c r="H1510" t="s">
        <v>20</v>
      </c>
    </row>
    <row r="1511" spans="1:8">
      <c r="A1511" s="1">
        <f>HYPERLINK("https://cms.ls-nyc.org/matter/dynamic-profile/view/0831514","17-0831514")</f>
        <v>0</v>
      </c>
      <c r="B1511" t="s">
        <v>12</v>
      </c>
      <c r="D1511" t="s">
        <v>15</v>
      </c>
      <c r="E1511" t="s">
        <v>16</v>
      </c>
      <c r="H1511" t="s">
        <v>20</v>
      </c>
    </row>
    <row r="1512" spans="1:8">
      <c r="A1512" s="1">
        <f>HYPERLINK("https://cms.ls-nyc.org/matter/dynamic-profile/view/1849320","17-1849320")</f>
        <v>0</v>
      </c>
      <c r="B1512" t="s">
        <v>12</v>
      </c>
      <c r="D1512" t="s">
        <v>15</v>
      </c>
      <c r="H1512" t="s">
        <v>20</v>
      </c>
    </row>
    <row r="1513" spans="1:8">
      <c r="A1513" s="1">
        <f>HYPERLINK("https://cms.ls-nyc.org/matter/dynamic-profile/view/1880546","18-1880546")</f>
        <v>0</v>
      </c>
      <c r="B1513" t="s">
        <v>12</v>
      </c>
      <c r="H1513" t="s">
        <v>19</v>
      </c>
    </row>
    <row r="1514" spans="1:8">
      <c r="A1514" s="1">
        <f>HYPERLINK("https://cms.ls-nyc.org/matter/dynamic-profile/view/1844116","17-1844116")</f>
        <v>0</v>
      </c>
      <c r="B1514" t="s">
        <v>12</v>
      </c>
      <c r="D1514" t="s">
        <v>15</v>
      </c>
      <c r="E1514" t="s">
        <v>16</v>
      </c>
      <c r="H1514" t="s">
        <v>20</v>
      </c>
    </row>
    <row r="1515" spans="1:8">
      <c r="A1515" s="1">
        <f>HYPERLINK("https://cms.ls-nyc.org/matter/dynamic-profile/view/1901037","19-1901037")</f>
        <v>0</v>
      </c>
      <c r="B1515" t="s">
        <v>10</v>
      </c>
      <c r="D1515" t="s">
        <v>14</v>
      </c>
      <c r="E1515" t="s">
        <v>16</v>
      </c>
      <c r="F1515" t="s">
        <v>17</v>
      </c>
      <c r="H1515" t="s">
        <v>20</v>
      </c>
    </row>
    <row r="1516" spans="1:8">
      <c r="A1516" s="1">
        <f>HYPERLINK("https://cms.ls-nyc.org/matter/dynamic-profile/view/0822235","16-0822235")</f>
        <v>0</v>
      </c>
      <c r="B1516" t="s">
        <v>10</v>
      </c>
      <c r="D1516" t="s">
        <v>15</v>
      </c>
      <c r="E1516" t="s">
        <v>16</v>
      </c>
      <c r="H1516" t="s">
        <v>20</v>
      </c>
    </row>
    <row r="1517" spans="1:8">
      <c r="A1517" s="1">
        <f>HYPERLINK("https://cms.ls-nyc.org/matter/dynamic-profile/view/1893916","19-1893916")</f>
        <v>0</v>
      </c>
      <c r="B1517" t="s">
        <v>11</v>
      </c>
      <c r="H1517" t="s">
        <v>19</v>
      </c>
    </row>
    <row r="1518" spans="1:8">
      <c r="A1518" s="1">
        <f>HYPERLINK("https://cms.ls-nyc.org/matter/dynamic-profile/view/1884444","18-1884444")</f>
        <v>0</v>
      </c>
      <c r="B1518" t="s">
        <v>9</v>
      </c>
      <c r="C1518" t="s">
        <v>13</v>
      </c>
      <c r="E1518" t="s">
        <v>16</v>
      </c>
      <c r="H1518" t="s">
        <v>20</v>
      </c>
    </row>
    <row r="1519" spans="1:8">
      <c r="A1519" s="1">
        <f>HYPERLINK("https://cms.ls-nyc.org/matter/dynamic-profile/view/1900130","19-1900130")</f>
        <v>0</v>
      </c>
      <c r="B1519" t="s">
        <v>10</v>
      </c>
      <c r="D1519" t="s">
        <v>14</v>
      </c>
      <c r="H1519" t="s">
        <v>20</v>
      </c>
    </row>
    <row r="1520" spans="1:8">
      <c r="A1520" s="1">
        <f>HYPERLINK("https://cms.ls-nyc.org/matter/dynamic-profile/view/1893493","19-1893493")</f>
        <v>0</v>
      </c>
      <c r="B1520" t="s">
        <v>12</v>
      </c>
      <c r="H1520" t="s">
        <v>19</v>
      </c>
    </row>
    <row r="1521" spans="1:8">
      <c r="A1521" s="1">
        <f>HYPERLINK("https://cms.ls-nyc.org/matter/dynamic-profile/view/1853494","17-1853494")</f>
        <v>0</v>
      </c>
      <c r="B1521" t="s">
        <v>12</v>
      </c>
      <c r="D1521" t="s">
        <v>15</v>
      </c>
      <c r="E1521" t="s">
        <v>16</v>
      </c>
      <c r="F1521" t="s">
        <v>17</v>
      </c>
      <c r="H1521" t="s">
        <v>20</v>
      </c>
    </row>
    <row r="1522" spans="1:8">
      <c r="A1522" s="1">
        <f>HYPERLINK("https://cms.ls-nyc.org/matter/dynamic-profile/view/1882291","18-1882291")</f>
        <v>0</v>
      </c>
      <c r="B1522" t="s">
        <v>10</v>
      </c>
      <c r="H1522" t="s">
        <v>19</v>
      </c>
    </row>
    <row r="1523" spans="1:8">
      <c r="A1523" s="1">
        <f>HYPERLINK("https://cms.ls-nyc.org/matter/dynamic-profile/view/0802602","16-0802602")</f>
        <v>0</v>
      </c>
      <c r="B1523" t="s">
        <v>10</v>
      </c>
      <c r="D1523" t="s">
        <v>15</v>
      </c>
      <c r="E1523" t="s">
        <v>16</v>
      </c>
      <c r="H1523" t="s">
        <v>20</v>
      </c>
    </row>
    <row r="1524" spans="1:8">
      <c r="A1524" s="1">
        <f>HYPERLINK("https://cms.ls-nyc.org/matter/dynamic-profile/view/1888339","19-1888339")</f>
        <v>0</v>
      </c>
      <c r="B1524" t="s">
        <v>12</v>
      </c>
      <c r="H1524" t="s">
        <v>19</v>
      </c>
    </row>
    <row r="1525" spans="1:8">
      <c r="A1525" s="1">
        <f>HYPERLINK("https://cms.ls-nyc.org/matter/dynamic-profile/view/1865257","18-1865257")</f>
        <v>0</v>
      </c>
      <c r="B1525" t="s">
        <v>10</v>
      </c>
      <c r="D1525" t="s">
        <v>15</v>
      </c>
      <c r="E1525" t="s">
        <v>16</v>
      </c>
      <c r="H1525" t="s">
        <v>20</v>
      </c>
    </row>
    <row r="1526" spans="1:8">
      <c r="A1526" s="1">
        <f>HYPERLINK("https://cms.ls-nyc.org/matter/dynamic-profile/view/1860683","18-1860683")</f>
        <v>0</v>
      </c>
      <c r="B1526" t="s">
        <v>10</v>
      </c>
      <c r="D1526" t="s">
        <v>15</v>
      </c>
      <c r="H1526" t="s">
        <v>20</v>
      </c>
    </row>
    <row r="1527" spans="1:8">
      <c r="A1527" s="1">
        <f>HYPERLINK("https://cms.ls-nyc.org/matter/dynamic-profile/view/1868700","18-1868700")</f>
        <v>0</v>
      </c>
      <c r="B1527" t="s">
        <v>10</v>
      </c>
      <c r="D1527" t="s">
        <v>15</v>
      </c>
      <c r="E1527" t="s">
        <v>16</v>
      </c>
      <c r="H1527" t="s">
        <v>20</v>
      </c>
    </row>
    <row r="1528" spans="1:8">
      <c r="A1528" s="1">
        <f>HYPERLINK("https://cms.ls-nyc.org/matter/dynamic-profile/view/1900259","19-1900259")</f>
        <v>0</v>
      </c>
      <c r="B1528" t="s">
        <v>9</v>
      </c>
      <c r="C1528" t="s">
        <v>13</v>
      </c>
      <c r="D1528" t="s">
        <v>14</v>
      </c>
      <c r="E1528" t="s">
        <v>16</v>
      </c>
      <c r="F1528" t="s">
        <v>17</v>
      </c>
      <c r="H1528" t="s">
        <v>20</v>
      </c>
    </row>
    <row r="1529" spans="1:8">
      <c r="A1529" s="1">
        <f>HYPERLINK("https://cms.ls-nyc.org/matter/dynamic-profile/view/1896453","19-1896453")</f>
        <v>0</v>
      </c>
      <c r="B1529" t="s">
        <v>9</v>
      </c>
      <c r="C1529" t="s">
        <v>13</v>
      </c>
      <c r="E1529" t="s">
        <v>16</v>
      </c>
      <c r="H1529" t="s">
        <v>20</v>
      </c>
    </row>
    <row r="1530" spans="1:8">
      <c r="A1530" s="1">
        <f>HYPERLINK("https://cms.ls-nyc.org/matter/dynamic-profile/view/1897658","19-1897658")</f>
        <v>0</v>
      </c>
      <c r="B1530" t="s">
        <v>11</v>
      </c>
      <c r="H1530" t="s">
        <v>19</v>
      </c>
    </row>
    <row r="1531" spans="1:8">
      <c r="A1531" s="1">
        <f>HYPERLINK("https://cms.ls-nyc.org/matter/dynamic-profile/view/1868852","18-1868852")</f>
        <v>0</v>
      </c>
      <c r="B1531" t="s">
        <v>9</v>
      </c>
      <c r="C1531" t="s">
        <v>13</v>
      </c>
      <c r="D1531" t="s">
        <v>15</v>
      </c>
      <c r="E1531" t="s">
        <v>16</v>
      </c>
      <c r="H1531" t="s">
        <v>20</v>
      </c>
    </row>
    <row r="1532" spans="1:8">
      <c r="A1532" s="1">
        <f>HYPERLINK("https://cms.ls-nyc.org/matter/dynamic-profile/view/1881344","18-1881344")</f>
        <v>0</v>
      </c>
      <c r="B1532" t="s">
        <v>9</v>
      </c>
      <c r="H1532" t="s">
        <v>19</v>
      </c>
    </row>
    <row r="1533" spans="1:8">
      <c r="A1533" s="1">
        <f>HYPERLINK("https://cms.ls-nyc.org/matter/dynamic-profile/view/1888887","19-1888887")</f>
        <v>0</v>
      </c>
      <c r="B1533" t="s">
        <v>12</v>
      </c>
      <c r="H1533" t="s">
        <v>19</v>
      </c>
    </row>
    <row r="1534" spans="1:8">
      <c r="A1534" s="1">
        <f>HYPERLINK("https://cms.ls-nyc.org/matter/dynamic-profile/view/0821540","16-0821540")</f>
        <v>0</v>
      </c>
      <c r="B1534" t="s">
        <v>10</v>
      </c>
      <c r="D1534" t="s">
        <v>15</v>
      </c>
      <c r="E1534" t="s">
        <v>16</v>
      </c>
      <c r="H1534" t="s">
        <v>20</v>
      </c>
    </row>
    <row r="1535" spans="1:8">
      <c r="A1535" s="1">
        <f>HYPERLINK("https://cms.ls-nyc.org/matter/dynamic-profile/view/0814461","16-0814461")</f>
        <v>0</v>
      </c>
      <c r="B1535" t="s">
        <v>9</v>
      </c>
      <c r="D1535" t="s">
        <v>15</v>
      </c>
      <c r="E1535" t="s">
        <v>16</v>
      </c>
      <c r="H1535" t="s">
        <v>20</v>
      </c>
    </row>
    <row r="1536" spans="1:8">
      <c r="A1536" s="1">
        <f>HYPERLINK("https://cms.ls-nyc.org/matter/dynamic-profile/view/1888260","19-1888260")</f>
        <v>0</v>
      </c>
      <c r="B1536" t="s">
        <v>9</v>
      </c>
      <c r="C1536" t="s">
        <v>13</v>
      </c>
      <c r="D1536" t="s">
        <v>14</v>
      </c>
      <c r="E1536" t="s">
        <v>16</v>
      </c>
      <c r="G1536" t="s">
        <v>18</v>
      </c>
      <c r="H1536" t="s">
        <v>20</v>
      </c>
    </row>
    <row r="1537" spans="1:8">
      <c r="A1537" s="1">
        <f>HYPERLINK("https://cms.ls-nyc.org/matter/dynamic-profile/view/0823681","17-0823681")</f>
        <v>0</v>
      </c>
      <c r="B1537" t="s">
        <v>10</v>
      </c>
      <c r="D1537" t="s">
        <v>15</v>
      </c>
      <c r="E1537" t="s">
        <v>16</v>
      </c>
      <c r="H1537" t="s">
        <v>20</v>
      </c>
    </row>
    <row r="1538" spans="1:8">
      <c r="A1538" s="1">
        <f>HYPERLINK("https://cms.ls-nyc.org/matter/dynamic-profile/view/0823682","17-0823682")</f>
        <v>0</v>
      </c>
      <c r="B1538" t="s">
        <v>10</v>
      </c>
      <c r="D1538" t="s">
        <v>15</v>
      </c>
      <c r="E1538" t="s">
        <v>16</v>
      </c>
      <c r="H1538" t="s">
        <v>20</v>
      </c>
    </row>
    <row r="1539" spans="1:8">
      <c r="A1539" s="1">
        <f>HYPERLINK("https://cms.ls-nyc.org/matter/dynamic-profile/view/0799264","16-0799264")</f>
        <v>0</v>
      </c>
      <c r="B1539" t="s">
        <v>10</v>
      </c>
      <c r="D1539" t="s">
        <v>15</v>
      </c>
      <c r="E1539" t="s">
        <v>16</v>
      </c>
      <c r="H1539" t="s">
        <v>20</v>
      </c>
    </row>
    <row r="1540" spans="1:8">
      <c r="A1540" s="1">
        <f>HYPERLINK("https://cms.ls-nyc.org/matter/dynamic-profile/view/0817052","16-0817052")</f>
        <v>0</v>
      </c>
      <c r="B1540" t="s">
        <v>10</v>
      </c>
      <c r="D1540" t="s">
        <v>15</v>
      </c>
      <c r="E1540" t="s">
        <v>16</v>
      </c>
      <c r="H1540" t="s">
        <v>20</v>
      </c>
    </row>
    <row r="1541" spans="1:8">
      <c r="A1541" s="1">
        <f>HYPERLINK("https://cms.ls-nyc.org/matter/dynamic-profile/view/0822567","16-0822567")</f>
        <v>0</v>
      </c>
      <c r="B1541" t="s">
        <v>10</v>
      </c>
      <c r="D1541" t="s">
        <v>15</v>
      </c>
      <c r="E1541" t="s">
        <v>16</v>
      </c>
      <c r="H1541" t="s">
        <v>20</v>
      </c>
    </row>
    <row r="1542" spans="1:8">
      <c r="A1542" s="1">
        <f>HYPERLINK("https://cms.ls-nyc.org/matter/dynamic-profile/view/1900070","19-1900070")</f>
        <v>0</v>
      </c>
      <c r="B1542" t="s">
        <v>8</v>
      </c>
      <c r="H1542" t="s">
        <v>19</v>
      </c>
    </row>
    <row r="1543" spans="1:8">
      <c r="A1543" s="1">
        <f>HYPERLINK("https://cms.ls-nyc.org/matter/dynamic-profile/view/1898747","19-1898747")</f>
        <v>0</v>
      </c>
      <c r="B1543" t="s">
        <v>9</v>
      </c>
      <c r="H1543" t="s">
        <v>19</v>
      </c>
    </row>
    <row r="1544" spans="1:8">
      <c r="A1544" s="1">
        <f>HYPERLINK("https://cms.ls-nyc.org/matter/dynamic-profile/view/1893062","19-1893062")</f>
        <v>0</v>
      </c>
      <c r="B1544" t="s">
        <v>9</v>
      </c>
      <c r="C1544" t="s">
        <v>13</v>
      </c>
      <c r="D1544" t="s">
        <v>14</v>
      </c>
      <c r="E1544" t="s">
        <v>16</v>
      </c>
      <c r="G1544" t="s">
        <v>18</v>
      </c>
      <c r="H1544" t="s">
        <v>20</v>
      </c>
    </row>
    <row r="1545" spans="1:8">
      <c r="A1545" s="1">
        <f>HYPERLINK("https://cms.ls-nyc.org/matter/dynamic-profile/view/1891917","19-1891917")</f>
        <v>0</v>
      </c>
      <c r="B1545" t="s">
        <v>8</v>
      </c>
      <c r="D1545" t="s">
        <v>14</v>
      </c>
      <c r="H1545" t="s">
        <v>20</v>
      </c>
    </row>
    <row r="1546" spans="1:8">
      <c r="A1546" s="1">
        <f>HYPERLINK("https://cms.ls-nyc.org/matter/dynamic-profile/view/1899795","19-1899795")</f>
        <v>0</v>
      </c>
      <c r="B1546" t="s">
        <v>10</v>
      </c>
      <c r="D1546" t="s">
        <v>14</v>
      </c>
      <c r="H1546" t="s">
        <v>20</v>
      </c>
    </row>
    <row r="1547" spans="1:8">
      <c r="A1547" s="1">
        <f>HYPERLINK("https://cms.ls-nyc.org/matter/dynamic-profile/view/1900987","19-1900987")</f>
        <v>0</v>
      </c>
      <c r="B1547" t="s">
        <v>12</v>
      </c>
      <c r="H1547" t="s">
        <v>19</v>
      </c>
    </row>
    <row r="1548" spans="1:8">
      <c r="A1548" s="1">
        <f>HYPERLINK("https://cms.ls-nyc.org/matter/dynamic-profile/view/1896915","19-1896915")</f>
        <v>0</v>
      </c>
      <c r="B1548" t="s">
        <v>12</v>
      </c>
      <c r="H1548" t="s">
        <v>19</v>
      </c>
    </row>
    <row r="1549" spans="1:8">
      <c r="A1549" s="1">
        <f>HYPERLINK("https://cms.ls-nyc.org/matter/dynamic-profile/view/1892880","19-1892880")</f>
        <v>0</v>
      </c>
      <c r="B1549" t="s">
        <v>12</v>
      </c>
      <c r="H1549" t="s">
        <v>19</v>
      </c>
    </row>
    <row r="1550" spans="1:8">
      <c r="A1550" s="1">
        <f>HYPERLINK("https://cms.ls-nyc.org/matter/dynamic-profile/view/1868231","18-1868231")</f>
        <v>0</v>
      </c>
      <c r="B1550" t="s">
        <v>9</v>
      </c>
      <c r="D1550" t="s">
        <v>15</v>
      </c>
      <c r="E1550" t="s">
        <v>16</v>
      </c>
      <c r="H1550" t="s">
        <v>20</v>
      </c>
    </row>
    <row r="1551" spans="1:8">
      <c r="A1551" s="1">
        <f>HYPERLINK("https://cms.ls-nyc.org/matter/dynamic-profile/view/1879335","18-1879335")</f>
        <v>0</v>
      </c>
      <c r="B1551" t="s">
        <v>8</v>
      </c>
      <c r="H1551" t="s">
        <v>19</v>
      </c>
    </row>
    <row r="1552" spans="1:8">
      <c r="A1552" s="1">
        <f>HYPERLINK("https://cms.ls-nyc.org/matter/dynamic-profile/view/1883057","18-1883057")</f>
        <v>0</v>
      </c>
      <c r="B1552" t="s">
        <v>8</v>
      </c>
      <c r="H1552" t="s">
        <v>19</v>
      </c>
    </row>
    <row r="1553" spans="1:8">
      <c r="A1553" s="1">
        <f>HYPERLINK("https://cms.ls-nyc.org/matter/dynamic-profile/view/1872601","18-1872601")</f>
        <v>0</v>
      </c>
      <c r="B1553" t="s">
        <v>8</v>
      </c>
      <c r="H1553" t="s">
        <v>19</v>
      </c>
    </row>
    <row r="1554" spans="1:8">
      <c r="A1554" s="1">
        <f>HYPERLINK("https://cms.ls-nyc.org/matter/dynamic-profile/view/1873217","18-1873217")</f>
        <v>0</v>
      </c>
      <c r="B1554" t="s">
        <v>8</v>
      </c>
      <c r="H1554" t="s">
        <v>19</v>
      </c>
    </row>
    <row r="1555" spans="1:8">
      <c r="A1555" s="1">
        <f>HYPERLINK("https://cms.ls-nyc.org/matter/dynamic-profile/view/1882569","18-1882569")</f>
        <v>0</v>
      </c>
      <c r="B1555" t="s">
        <v>9</v>
      </c>
      <c r="H1555" t="s">
        <v>19</v>
      </c>
    </row>
    <row r="1556" spans="1:8">
      <c r="A1556" s="1">
        <f>HYPERLINK("https://cms.ls-nyc.org/matter/dynamic-profile/view/1871854","18-1871854")</f>
        <v>0</v>
      </c>
      <c r="B1556" t="s">
        <v>9</v>
      </c>
      <c r="H1556" t="s">
        <v>19</v>
      </c>
    </row>
    <row r="1557" spans="1:8">
      <c r="A1557" s="1">
        <f>HYPERLINK("https://cms.ls-nyc.org/matter/dynamic-profile/view/1885509","18-1885509")</f>
        <v>0</v>
      </c>
      <c r="B1557" t="s">
        <v>10</v>
      </c>
      <c r="H1557" t="s">
        <v>19</v>
      </c>
    </row>
    <row r="1558" spans="1:8">
      <c r="A1558" s="1">
        <f>HYPERLINK("https://cms.ls-nyc.org/matter/dynamic-profile/view/1886771","18-1886771")</f>
        <v>0</v>
      </c>
      <c r="B1558" t="s">
        <v>10</v>
      </c>
      <c r="D1558" t="s">
        <v>14</v>
      </c>
      <c r="F1558" t="s">
        <v>17</v>
      </c>
      <c r="H1558" t="s">
        <v>20</v>
      </c>
    </row>
    <row r="1559" spans="1:8">
      <c r="A1559" s="1">
        <f>HYPERLINK("https://cms.ls-nyc.org/matter/dynamic-profile/view/1886022","18-1886022")</f>
        <v>0</v>
      </c>
      <c r="B1559" t="s">
        <v>10</v>
      </c>
      <c r="H1559" t="s">
        <v>19</v>
      </c>
    </row>
    <row r="1560" spans="1:8">
      <c r="A1560" s="1">
        <f>HYPERLINK("https://cms.ls-nyc.org/matter/dynamic-profile/view/1886507","18-1886507")</f>
        <v>0</v>
      </c>
      <c r="B1560" t="s">
        <v>10</v>
      </c>
      <c r="H1560" t="s">
        <v>19</v>
      </c>
    </row>
    <row r="1561" spans="1:8">
      <c r="A1561" s="1">
        <f>HYPERLINK("https://cms.ls-nyc.org/matter/dynamic-profile/view/1886510","18-1886510")</f>
        <v>0</v>
      </c>
      <c r="B1561" t="s">
        <v>10</v>
      </c>
      <c r="H1561" t="s">
        <v>19</v>
      </c>
    </row>
    <row r="1562" spans="1:8">
      <c r="A1562" s="1">
        <f>HYPERLINK("https://cms.ls-nyc.org/matter/dynamic-profile/view/1887686","18-1887686")</f>
        <v>0</v>
      </c>
      <c r="B1562" t="s">
        <v>10</v>
      </c>
      <c r="H1562" t="s">
        <v>19</v>
      </c>
    </row>
    <row r="1563" spans="1:8">
      <c r="A1563" s="1">
        <f>HYPERLINK("https://cms.ls-nyc.org/matter/dynamic-profile/view/1881498","18-1881498")</f>
        <v>0</v>
      </c>
      <c r="B1563" t="s">
        <v>10</v>
      </c>
      <c r="H1563" t="s">
        <v>19</v>
      </c>
    </row>
    <row r="1564" spans="1:8">
      <c r="A1564" s="1">
        <f>HYPERLINK("https://cms.ls-nyc.org/matter/dynamic-profile/view/1886675","18-1886675")</f>
        <v>0</v>
      </c>
      <c r="B1564" t="s">
        <v>10</v>
      </c>
      <c r="H1564" t="s">
        <v>19</v>
      </c>
    </row>
    <row r="1565" spans="1:8">
      <c r="A1565" s="1">
        <f>HYPERLINK("https://cms.ls-nyc.org/matter/dynamic-profile/view/1888496","19-1888496")</f>
        <v>0</v>
      </c>
      <c r="B1565" t="s">
        <v>10</v>
      </c>
      <c r="H1565" t="s">
        <v>19</v>
      </c>
    </row>
    <row r="1566" spans="1:8">
      <c r="A1566" s="1">
        <f>HYPERLINK("https://cms.ls-nyc.org/matter/dynamic-profile/view/1862270","18-1862270")</f>
        <v>0</v>
      </c>
      <c r="B1566" t="s">
        <v>10</v>
      </c>
      <c r="D1566" t="s">
        <v>15</v>
      </c>
      <c r="E1566" t="s">
        <v>16</v>
      </c>
      <c r="H1566" t="s">
        <v>20</v>
      </c>
    </row>
    <row r="1567" spans="1:8">
      <c r="A1567" s="1">
        <f>HYPERLINK("https://cms.ls-nyc.org/matter/dynamic-profile/view/1865325","18-1865325")</f>
        <v>0</v>
      </c>
      <c r="B1567" t="s">
        <v>10</v>
      </c>
      <c r="C1567" t="s">
        <v>13</v>
      </c>
      <c r="D1567" t="s">
        <v>15</v>
      </c>
      <c r="H1567" t="s">
        <v>20</v>
      </c>
    </row>
    <row r="1568" spans="1:8">
      <c r="A1568" s="1">
        <f>HYPERLINK("https://cms.ls-nyc.org/matter/dynamic-profile/view/1872180","18-1872180")</f>
        <v>0</v>
      </c>
      <c r="B1568" t="s">
        <v>10</v>
      </c>
      <c r="H1568" t="s">
        <v>19</v>
      </c>
    </row>
    <row r="1569" spans="1:8">
      <c r="A1569" s="1">
        <f>HYPERLINK("https://cms.ls-nyc.org/matter/dynamic-profile/view/1869436","18-1869436")</f>
        <v>0</v>
      </c>
      <c r="B1569" t="s">
        <v>10</v>
      </c>
      <c r="C1569" t="s">
        <v>13</v>
      </c>
      <c r="D1569" t="s">
        <v>14</v>
      </c>
      <c r="H1569" t="s">
        <v>20</v>
      </c>
    </row>
    <row r="1570" spans="1:8">
      <c r="A1570" s="1">
        <f>HYPERLINK("https://cms.ls-nyc.org/matter/dynamic-profile/view/1882293","18-1882293")</f>
        <v>0</v>
      </c>
      <c r="B1570" t="s">
        <v>10</v>
      </c>
      <c r="H1570" t="s">
        <v>19</v>
      </c>
    </row>
    <row r="1571" spans="1:8">
      <c r="A1571" s="1">
        <f>HYPERLINK("https://cms.ls-nyc.org/matter/dynamic-profile/view/1863062","18-1863062")</f>
        <v>0</v>
      </c>
      <c r="B1571" t="s">
        <v>12</v>
      </c>
      <c r="D1571" t="s">
        <v>15</v>
      </c>
      <c r="E1571" t="s">
        <v>16</v>
      </c>
      <c r="H1571" t="s">
        <v>20</v>
      </c>
    </row>
    <row r="1572" spans="1:8">
      <c r="A1572" s="1">
        <f>HYPERLINK("https://cms.ls-nyc.org/matter/dynamic-profile/view/1853595","17-1853595")</f>
        <v>0</v>
      </c>
      <c r="B1572" t="s">
        <v>9</v>
      </c>
      <c r="C1572" t="s">
        <v>13</v>
      </c>
      <c r="D1572" t="s">
        <v>15</v>
      </c>
      <c r="E1572" t="s">
        <v>16</v>
      </c>
      <c r="H1572" t="s">
        <v>20</v>
      </c>
    </row>
    <row r="1573" spans="1:8">
      <c r="A1573" s="1">
        <f>HYPERLINK("https://cms.ls-nyc.org/matter/dynamic-profile/view/1864233","18-1864233")</f>
        <v>0</v>
      </c>
      <c r="B1573" t="s">
        <v>10</v>
      </c>
      <c r="D1573" t="s">
        <v>15</v>
      </c>
      <c r="E1573" t="s">
        <v>16</v>
      </c>
      <c r="H1573" t="s">
        <v>20</v>
      </c>
    </row>
    <row r="1574" spans="1:8">
      <c r="A1574" s="1">
        <f>HYPERLINK("https://cms.ls-nyc.org/matter/dynamic-profile/view/1878682","18-1878682")</f>
        <v>0</v>
      </c>
      <c r="B1574" t="s">
        <v>9</v>
      </c>
      <c r="H1574" t="s">
        <v>19</v>
      </c>
    </row>
    <row r="1575" spans="1:8">
      <c r="A1575" s="1">
        <f>HYPERLINK("https://cms.ls-nyc.org/matter/dynamic-profile/view/0826241","17-0826241")</f>
        <v>0</v>
      </c>
      <c r="B1575" t="s">
        <v>12</v>
      </c>
      <c r="D1575" t="s">
        <v>15</v>
      </c>
      <c r="E1575" t="s">
        <v>16</v>
      </c>
      <c r="H1575" t="s">
        <v>20</v>
      </c>
    </row>
    <row r="1576" spans="1:8">
      <c r="A1576" s="1">
        <f>HYPERLINK("https://cms.ls-nyc.org/matter/dynamic-profile/view/0821909","16-0821909")</f>
        <v>0</v>
      </c>
      <c r="B1576" t="s">
        <v>12</v>
      </c>
      <c r="C1576" t="s">
        <v>13</v>
      </c>
      <c r="D1576" t="s">
        <v>15</v>
      </c>
      <c r="E1576" t="s">
        <v>16</v>
      </c>
      <c r="H1576" t="s">
        <v>20</v>
      </c>
    </row>
    <row r="1577" spans="1:8">
      <c r="A1577" s="1">
        <f>HYPERLINK("https://cms.ls-nyc.org/matter/dynamic-profile/view/1893305","19-1893305")</f>
        <v>0</v>
      </c>
      <c r="B1577" t="s">
        <v>10</v>
      </c>
      <c r="H1577" t="s">
        <v>19</v>
      </c>
    </row>
    <row r="1578" spans="1:8">
      <c r="A1578" s="1">
        <f>HYPERLINK("https://cms.ls-nyc.org/matter/dynamic-profile/view/1899982","19-1899982")</f>
        <v>0</v>
      </c>
      <c r="B1578" t="s">
        <v>10</v>
      </c>
      <c r="D1578" t="s">
        <v>14</v>
      </c>
      <c r="H1578" t="s">
        <v>20</v>
      </c>
    </row>
    <row r="1579" spans="1:8">
      <c r="A1579" s="1">
        <f>HYPERLINK("https://cms.ls-nyc.org/matter/dynamic-profile/view/1850115","17-1850115")</f>
        <v>0</v>
      </c>
      <c r="B1579" t="s">
        <v>9</v>
      </c>
      <c r="D1579" t="s">
        <v>15</v>
      </c>
      <c r="E1579" t="s">
        <v>16</v>
      </c>
      <c r="H1579" t="s">
        <v>20</v>
      </c>
    </row>
    <row r="1580" spans="1:8">
      <c r="A1580" s="1">
        <f>HYPERLINK("https://cms.ls-nyc.org/matter/dynamic-profile/view/1896502","19-1896502")</f>
        <v>0</v>
      </c>
      <c r="B1580" t="s">
        <v>9</v>
      </c>
      <c r="H1580" t="s">
        <v>19</v>
      </c>
    </row>
    <row r="1581" spans="1:8">
      <c r="A1581" s="1">
        <f>HYPERLINK("https://cms.ls-nyc.org/matter/dynamic-profile/view/1893846","19-1893846")</f>
        <v>0</v>
      </c>
      <c r="B1581" t="s">
        <v>9</v>
      </c>
      <c r="H1581" t="s">
        <v>19</v>
      </c>
    </row>
    <row r="1582" spans="1:8">
      <c r="A1582" s="1">
        <f>HYPERLINK("https://cms.ls-nyc.org/matter/dynamic-profile/view/1865145","18-1865145")</f>
        <v>0</v>
      </c>
      <c r="B1582" t="s">
        <v>10</v>
      </c>
      <c r="D1582" t="s">
        <v>15</v>
      </c>
      <c r="H1582" t="s">
        <v>20</v>
      </c>
    </row>
    <row r="1583" spans="1:8">
      <c r="A1583" s="1">
        <f>HYPERLINK("https://cms.ls-nyc.org/matter/dynamic-profile/view/1899990","19-1899990")</f>
        <v>0</v>
      </c>
      <c r="B1583" t="s">
        <v>10</v>
      </c>
      <c r="D1583" t="s">
        <v>14</v>
      </c>
      <c r="E1583" t="s">
        <v>16</v>
      </c>
      <c r="H1583" t="s">
        <v>20</v>
      </c>
    </row>
    <row r="1584" spans="1:8">
      <c r="A1584" s="1">
        <f>HYPERLINK("https://cms.ls-nyc.org/matter/dynamic-profile/view/1861579","18-1861579")</f>
        <v>0</v>
      </c>
      <c r="B1584" t="s">
        <v>12</v>
      </c>
      <c r="D1584" t="s">
        <v>15</v>
      </c>
      <c r="E1584" t="s">
        <v>16</v>
      </c>
      <c r="H1584" t="s">
        <v>20</v>
      </c>
    </row>
    <row r="1585" spans="1:8">
      <c r="A1585" s="1">
        <f>HYPERLINK("https://cms.ls-nyc.org/matter/dynamic-profile/view/1837027","17-1837027")</f>
        <v>0</v>
      </c>
      <c r="B1585" t="s">
        <v>9</v>
      </c>
      <c r="D1585" t="s">
        <v>15</v>
      </c>
      <c r="H1585" t="s">
        <v>20</v>
      </c>
    </row>
    <row r="1586" spans="1:8">
      <c r="A1586" s="1">
        <f>HYPERLINK("https://cms.ls-nyc.org/matter/dynamic-profile/view/1882292","18-1882292")</f>
        <v>0</v>
      </c>
      <c r="B1586" t="s">
        <v>10</v>
      </c>
      <c r="H1586" t="s">
        <v>19</v>
      </c>
    </row>
    <row r="1587" spans="1:8">
      <c r="A1587" s="1">
        <f>HYPERLINK("https://cms.ls-nyc.org/matter/dynamic-profile/view/1897052","19-1897052")</f>
        <v>0</v>
      </c>
      <c r="B1587" t="s">
        <v>12</v>
      </c>
      <c r="F1587" t="s">
        <v>17</v>
      </c>
      <c r="H1587" t="s">
        <v>20</v>
      </c>
    </row>
    <row r="1588" spans="1:8">
      <c r="A1588" s="1">
        <f>HYPERLINK("https://cms.ls-nyc.org/matter/dynamic-profile/view/1844285","17-1844285")</f>
        <v>0</v>
      </c>
      <c r="B1588" t="s">
        <v>10</v>
      </c>
      <c r="D1588" t="s">
        <v>15</v>
      </c>
      <c r="E1588" t="s">
        <v>16</v>
      </c>
      <c r="H1588" t="s">
        <v>20</v>
      </c>
    </row>
    <row r="1589" spans="1:8">
      <c r="A1589" s="1">
        <f>HYPERLINK("https://cms.ls-nyc.org/matter/dynamic-profile/view/0781949","15-0781949")</f>
        <v>0</v>
      </c>
      <c r="B1589" t="s">
        <v>10</v>
      </c>
      <c r="D1589" t="s">
        <v>15</v>
      </c>
      <c r="E1589" t="s">
        <v>16</v>
      </c>
      <c r="H1589" t="s">
        <v>20</v>
      </c>
    </row>
    <row r="1590" spans="1:8">
      <c r="A1590" s="1">
        <f>HYPERLINK("https://cms.ls-nyc.org/matter/dynamic-profile/view/0812626","16-0812626")</f>
        <v>0</v>
      </c>
      <c r="B1590" t="s">
        <v>10</v>
      </c>
      <c r="D1590" t="s">
        <v>15</v>
      </c>
      <c r="E1590" t="s">
        <v>16</v>
      </c>
      <c r="H1590" t="s">
        <v>20</v>
      </c>
    </row>
    <row r="1591" spans="1:8">
      <c r="A1591" s="1">
        <f>HYPERLINK("https://cms.ls-nyc.org/matter/dynamic-profile/view/1861365","18-1861365")</f>
        <v>0</v>
      </c>
      <c r="B1591" t="s">
        <v>12</v>
      </c>
      <c r="D1591" t="s">
        <v>15</v>
      </c>
      <c r="E1591" t="s">
        <v>16</v>
      </c>
      <c r="H1591" t="s">
        <v>20</v>
      </c>
    </row>
    <row r="1592" spans="1:8">
      <c r="A1592" s="1">
        <f>HYPERLINK("https://cms.ls-nyc.org/matter/dynamic-profile/view/1892304","19-1892304")</f>
        <v>0</v>
      </c>
      <c r="B1592" t="s">
        <v>10</v>
      </c>
      <c r="H1592" t="s">
        <v>19</v>
      </c>
    </row>
    <row r="1593" spans="1:8">
      <c r="A1593" s="1">
        <f>HYPERLINK("https://cms.ls-nyc.org/matter/dynamic-profile/view/0812500","16-0812500")</f>
        <v>0</v>
      </c>
      <c r="B1593" t="s">
        <v>10</v>
      </c>
      <c r="D1593" t="s">
        <v>15</v>
      </c>
      <c r="E1593" t="s">
        <v>16</v>
      </c>
      <c r="H1593" t="s">
        <v>20</v>
      </c>
    </row>
    <row r="1594" spans="1:8">
      <c r="A1594" s="1">
        <f>HYPERLINK("https://cms.ls-nyc.org/matter/dynamic-profile/view/0808625","16-0808625")</f>
        <v>0</v>
      </c>
      <c r="B1594" t="s">
        <v>12</v>
      </c>
      <c r="D1594" t="s">
        <v>15</v>
      </c>
      <c r="E1594" t="s">
        <v>16</v>
      </c>
      <c r="H1594" t="s">
        <v>20</v>
      </c>
    </row>
    <row r="1595" spans="1:8">
      <c r="A1595" s="1">
        <f>HYPERLINK("https://cms.ls-nyc.org/matter/dynamic-profile/view/1841709","17-1841709")</f>
        <v>0</v>
      </c>
      <c r="B1595" t="s">
        <v>10</v>
      </c>
      <c r="D1595" t="s">
        <v>15</v>
      </c>
      <c r="H1595" t="s">
        <v>20</v>
      </c>
    </row>
    <row r="1596" spans="1:8">
      <c r="A1596" s="1">
        <f>HYPERLINK("https://cms.ls-nyc.org/matter/dynamic-profile/view/1878656","18-1878656")</f>
        <v>0</v>
      </c>
      <c r="B1596" t="s">
        <v>9</v>
      </c>
      <c r="H1596" t="s">
        <v>19</v>
      </c>
    </row>
    <row r="1597" spans="1:8">
      <c r="A1597" s="1">
        <f>HYPERLINK("https://cms.ls-nyc.org/matter/dynamic-profile/view/1878659","18-1878659")</f>
        <v>0</v>
      </c>
      <c r="B1597" t="s">
        <v>9</v>
      </c>
      <c r="H1597" t="s">
        <v>19</v>
      </c>
    </row>
    <row r="1598" spans="1:8">
      <c r="A1598" s="1">
        <f>HYPERLINK("https://cms.ls-nyc.org/matter/dynamic-profile/view/1876642","18-1876642")</f>
        <v>0</v>
      </c>
      <c r="B1598" t="s">
        <v>9</v>
      </c>
      <c r="H1598" t="s">
        <v>19</v>
      </c>
    </row>
    <row r="1599" spans="1:8">
      <c r="A1599" s="1">
        <f>HYPERLINK("https://cms.ls-nyc.org/matter/dynamic-profile/view/1892373","19-1892373")</f>
        <v>0</v>
      </c>
      <c r="B1599" t="s">
        <v>10</v>
      </c>
      <c r="F1599" t="s">
        <v>17</v>
      </c>
      <c r="H1599" t="s">
        <v>20</v>
      </c>
    </row>
    <row r="1600" spans="1:8">
      <c r="A1600" s="1">
        <f>HYPERLINK("https://cms.ls-nyc.org/matter/dynamic-profile/view/1891937","19-1891937")</f>
        <v>0</v>
      </c>
      <c r="B1600" t="s">
        <v>10</v>
      </c>
      <c r="F1600" t="s">
        <v>17</v>
      </c>
      <c r="H1600" t="s">
        <v>20</v>
      </c>
    </row>
    <row r="1601" spans="1:8">
      <c r="A1601" s="1">
        <f>HYPERLINK("https://cms.ls-nyc.org/matter/dynamic-profile/view/0776282","15-0776282")</f>
        <v>0</v>
      </c>
      <c r="B1601" t="s">
        <v>9</v>
      </c>
      <c r="C1601" t="s">
        <v>13</v>
      </c>
      <c r="D1601" t="s">
        <v>15</v>
      </c>
      <c r="E1601" t="s">
        <v>16</v>
      </c>
      <c r="G1601" t="s">
        <v>18</v>
      </c>
      <c r="H1601" t="s">
        <v>20</v>
      </c>
    </row>
    <row r="1602" spans="1:8">
      <c r="A1602" s="1">
        <f>HYPERLINK("https://cms.ls-nyc.org/matter/dynamic-profile/view/1864205","18-1864205")</f>
        <v>0</v>
      </c>
      <c r="B1602" t="s">
        <v>9</v>
      </c>
      <c r="F1602" t="s">
        <v>17</v>
      </c>
      <c r="H1602" t="s">
        <v>20</v>
      </c>
    </row>
    <row r="1603" spans="1:8">
      <c r="A1603" s="1">
        <f>HYPERLINK("https://cms.ls-nyc.org/matter/dynamic-profile/view/1864890","18-1864890")</f>
        <v>0</v>
      </c>
      <c r="B1603" t="s">
        <v>9</v>
      </c>
      <c r="F1603" t="s">
        <v>17</v>
      </c>
      <c r="H1603" t="s">
        <v>20</v>
      </c>
    </row>
    <row r="1604" spans="1:8">
      <c r="A1604" s="1">
        <f>HYPERLINK("https://cms.ls-nyc.org/matter/dynamic-profile/view/1882177","18-1882177")</f>
        <v>0</v>
      </c>
      <c r="B1604" t="s">
        <v>9</v>
      </c>
      <c r="H1604" t="s">
        <v>19</v>
      </c>
    </row>
    <row r="1605" spans="1:8">
      <c r="A1605" s="1">
        <f>HYPERLINK("https://cms.ls-nyc.org/matter/dynamic-profile/view/1887046","19-1887046")</f>
        <v>0</v>
      </c>
      <c r="B1605" t="s">
        <v>10</v>
      </c>
      <c r="H1605" t="s">
        <v>19</v>
      </c>
    </row>
    <row r="1606" spans="1:8">
      <c r="A1606" s="1">
        <f>HYPERLINK("https://cms.ls-nyc.org/matter/dynamic-profile/view/1887089","19-1887089")</f>
        <v>0</v>
      </c>
      <c r="B1606" t="s">
        <v>10</v>
      </c>
      <c r="H1606" t="s">
        <v>19</v>
      </c>
    </row>
    <row r="1607" spans="1:8">
      <c r="A1607" s="1">
        <f>HYPERLINK("https://cms.ls-nyc.org/matter/dynamic-profile/view/0827585","17-0827585")</f>
        <v>0</v>
      </c>
      <c r="B1607" t="s">
        <v>10</v>
      </c>
      <c r="D1607" t="s">
        <v>15</v>
      </c>
      <c r="E1607" t="s">
        <v>16</v>
      </c>
      <c r="H1607" t="s">
        <v>20</v>
      </c>
    </row>
    <row r="1608" spans="1:8">
      <c r="A1608" s="1">
        <f>HYPERLINK("https://cms.ls-nyc.org/matter/dynamic-profile/view/1879311","18-1879311")</f>
        <v>0</v>
      </c>
      <c r="B1608" t="s">
        <v>8</v>
      </c>
      <c r="H1608" t="s">
        <v>19</v>
      </c>
    </row>
    <row r="1609" spans="1:8">
      <c r="A1609" s="1">
        <f>HYPERLINK("https://cms.ls-nyc.org/matter/dynamic-profile/view/1875900","18-1875900")</f>
        <v>0</v>
      </c>
      <c r="B1609" t="s">
        <v>9</v>
      </c>
      <c r="F1609" t="s">
        <v>17</v>
      </c>
      <c r="G1609" t="s">
        <v>18</v>
      </c>
      <c r="H1609" t="s">
        <v>20</v>
      </c>
    </row>
    <row r="1610" spans="1:8">
      <c r="A1610" s="1">
        <f>HYPERLINK("https://cms.ls-nyc.org/matter/dynamic-profile/view/1833850","17-1833850")</f>
        <v>0</v>
      </c>
      <c r="B1610" t="s">
        <v>12</v>
      </c>
      <c r="D1610" t="s">
        <v>15</v>
      </c>
      <c r="E1610" t="s">
        <v>16</v>
      </c>
      <c r="H1610" t="s">
        <v>20</v>
      </c>
    </row>
    <row r="1611" spans="1:8">
      <c r="A1611" s="1">
        <f>HYPERLINK("https://cms.ls-nyc.org/matter/dynamic-profile/view/1881953","18-1881953")</f>
        <v>0</v>
      </c>
      <c r="B1611" t="s">
        <v>12</v>
      </c>
      <c r="H1611" t="s">
        <v>19</v>
      </c>
    </row>
    <row r="1612" spans="1:8">
      <c r="A1612" s="1">
        <f>HYPERLINK("https://cms.ls-nyc.org/matter/dynamic-profile/view/0820581","16-0820581")</f>
        <v>0</v>
      </c>
      <c r="B1612" t="s">
        <v>10</v>
      </c>
      <c r="D1612" t="s">
        <v>15</v>
      </c>
      <c r="E1612" t="s">
        <v>16</v>
      </c>
      <c r="F1612" t="s">
        <v>17</v>
      </c>
      <c r="H1612" t="s">
        <v>20</v>
      </c>
    </row>
    <row r="1613" spans="1:8">
      <c r="A1613" s="1">
        <f>HYPERLINK("https://cms.ls-nyc.org/matter/dynamic-profile/view/1890310","19-1890310")</f>
        <v>0</v>
      </c>
      <c r="B1613" t="s">
        <v>11</v>
      </c>
      <c r="C1613" t="s">
        <v>13</v>
      </c>
      <c r="D1613" t="s">
        <v>14</v>
      </c>
      <c r="E1613" t="s">
        <v>16</v>
      </c>
      <c r="H1613" t="s">
        <v>20</v>
      </c>
    </row>
    <row r="1614" spans="1:8">
      <c r="A1614" s="1">
        <f>HYPERLINK("https://cms.ls-nyc.org/matter/dynamic-profile/view/1849456","17-1849456")</f>
        <v>0</v>
      </c>
      <c r="B1614" t="s">
        <v>9</v>
      </c>
      <c r="D1614" t="s">
        <v>15</v>
      </c>
      <c r="H1614" t="s">
        <v>20</v>
      </c>
    </row>
    <row r="1615" spans="1:8">
      <c r="A1615" s="1">
        <f>HYPERLINK("https://cms.ls-nyc.org/matter/dynamic-profile/view/1877470","18-1877470")</f>
        <v>0</v>
      </c>
      <c r="B1615" t="s">
        <v>10</v>
      </c>
      <c r="C1615" t="s">
        <v>13</v>
      </c>
      <c r="D1615" t="s">
        <v>14</v>
      </c>
      <c r="E1615" t="s">
        <v>16</v>
      </c>
      <c r="H1615" t="s">
        <v>20</v>
      </c>
    </row>
    <row r="1616" spans="1:8">
      <c r="A1616" s="1">
        <f>HYPERLINK("https://cms.ls-nyc.org/matter/dynamic-profile/view/0828022","17-0828022")</f>
        <v>0</v>
      </c>
      <c r="B1616" t="s">
        <v>12</v>
      </c>
      <c r="C1616" t="s">
        <v>13</v>
      </c>
      <c r="D1616" t="s">
        <v>15</v>
      </c>
      <c r="E1616" t="s">
        <v>16</v>
      </c>
      <c r="H1616" t="s">
        <v>20</v>
      </c>
    </row>
    <row r="1617" spans="1:8">
      <c r="A1617" s="1">
        <f>HYPERLINK("https://cms.ls-nyc.org/matter/dynamic-profile/view/1898121","19-1898121")</f>
        <v>0</v>
      </c>
      <c r="B1617" t="s">
        <v>10</v>
      </c>
      <c r="F1617" t="s">
        <v>17</v>
      </c>
      <c r="H1617" t="s">
        <v>20</v>
      </c>
    </row>
    <row r="1618" spans="1:8">
      <c r="A1618" s="1">
        <f>HYPERLINK("https://cms.ls-nyc.org/matter/dynamic-profile/view/1897501","19-1897501")</f>
        <v>0</v>
      </c>
      <c r="B1618" t="s">
        <v>8</v>
      </c>
      <c r="H1618" t="s">
        <v>19</v>
      </c>
    </row>
    <row r="1619" spans="1:8">
      <c r="A1619" s="1">
        <f>HYPERLINK("https://cms.ls-nyc.org/matter/dynamic-profile/view/1888246","19-1888246")</f>
        <v>0</v>
      </c>
      <c r="B1619" t="s">
        <v>10</v>
      </c>
      <c r="H1619" t="s">
        <v>19</v>
      </c>
    </row>
    <row r="1620" spans="1:8">
      <c r="A1620" s="1">
        <f>HYPERLINK("https://cms.ls-nyc.org/matter/dynamic-profile/view/0820034","16-0820034")</f>
        <v>0</v>
      </c>
      <c r="B1620" t="s">
        <v>9</v>
      </c>
      <c r="D1620" t="s">
        <v>15</v>
      </c>
      <c r="E1620" t="s">
        <v>16</v>
      </c>
      <c r="H1620" t="s">
        <v>20</v>
      </c>
    </row>
    <row r="1621" spans="1:8">
      <c r="A1621" s="1">
        <f>HYPERLINK("https://cms.ls-nyc.org/matter/dynamic-profile/view/1898171","19-1898171")</f>
        <v>0</v>
      </c>
      <c r="B1621" t="s">
        <v>9</v>
      </c>
      <c r="D1621" t="s">
        <v>14</v>
      </c>
      <c r="F1621" t="s">
        <v>17</v>
      </c>
      <c r="H1621" t="s">
        <v>20</v>
      </c>
    </row>
    <row r="1622" spans="1:8">
      <c r="A1622" s="1">
        <f>HYPERLINK("https://cms.ls-nyc.org/matter/dynamic-profile/view/1895203","19-1895203")</f>
        <v>0</v>
      </c>
      <c r="B1622" t="s">
        <v>11</v>
      </c>
      <c r="H1622" t="s">
        <v>19</v>
      </c>
    </row>
    <row r="1623" spans="1:8">
      <c r="A1623" s="1">
        <f>HYPERLINK("https://cms.ls-nyc.org/matter/dynamic-profile/view/1870468","18-1870468")</f>
        <v>0</v>
      </c>
      <c r="B1623" t="s">
        <v>12</v>
      </c>
      <c r="H1623" t="s">
        <v>19</v>
      </c>
    </row>
    <row r="1624" spans="1:8">
      <c r="A1624" s="1">
        <f>HYPERLINK("https://cms.ls-nyc.org/matter/dynamic-profile/view/1871867","18-1871867")</f>
        <v>0</v>
      </c>
      <c r="B1624" t="s">
        <v>8</v>
      </c>
      <c r="H1624" t="s">
        <v>19</v>
      </c>
    </row>
    <row r="1625" spans="1:8">
      <c r="A1625" s="1">
        <f>HYPERLINK("https://cms.ls-nyc.org/matter/dynamic-profile/view/1846658","17-1846658")</f>
        <v>0</v>
      </c>
      <c r="B1625" t="s">
        <v>12</v>
      </c>
      <c r="C1625" t="s">
        <v>13</v>
      </c>
      <c r="D1625" t="s">
        <v>14</v>
      </c>
      <c r="E1625" t="s">
        <v>16</v>
      </c>
      <c r="G1625" t="s">
        <v>18</v>
      </c>
      <c r="H1625" t="s">
        <v>20</v>
      </c>
    </row>
    <row r="1626" spans="1:8">
      <c r="A1626" s="1">
        <f>HYPERLINK("https://cms.ls-nyc.org/matter/dynamic-profile/view/1884730","18-1884730")</f>
        <v>0</v>
      </c>
      <c r="B1626" t="s">
        <v>10</v>
      </c>
      <c r="H1626" t="s">
        <v>19</v>
      </c>
    </row>
    <row r="1627" spans="1:8">
      <c r="A1627" s="1">
        <f>HYPERLINK("https://cms.ls-nyc.org/matter/dynamic-profile/view/1884739","18-1884739")</f>
        <v>0</v>
      </c>
      <c r="B1627" t="s">
        <v>10</v>
      </c>
      <c r="H1627" t="s">
        <v>19</v>
      </c>
    </row>
    <row r="1628" spans="1:8">
      <c r="A1628" s="1">
        <f>HYPERLINK("https://cms.ls-nyc.org/matter/dynamic-profile/view/1855734","18-1855734")</f>
        <v>0</v>
      </c>
      <c r="B1628" t="s">
        <v>9</v>
      </c>
      <c r="D1628" t="s">
        <v>15</v>
      </c>
      <c r="H1628" t="s">
        <v>20</v>
      </c>
    </row>
    <row r="1629" spans="1:8">
      <c r="A1629" s="1">
        <f>HYPERLINK("https://cms.ls-nyc.org/matter/dynamic-profile/view/1889389","19-1889389")</f>
        <v>0</v>
      </c>
      <c r="B1629" t="s">
        <v>10</v>
      </c>
      <c r="H1629" t="s">
        <v>19</v>
      </c>
    </row>
    <row r="1630" spans="1:8">
      <c r="A1630" s="1">
        <f>HYPERLINK("https://cms.ls-nyc.org/matter/dynamic-profile/view/0821390","16-0821390")</f>
        <v>0</v>
      </c>
      <c r="B1630" t="s">
        <v>10</v>
      </c>
      <c r="D1630" t="s">
        <v>15</v>
      </c>
      <c r="E1630" t="s">
        <v>16</v>
      </c>
      <c r="H1630" t="s">
        <v>20</v>
      </c>
    </row>
    <row r="1631" spans="1:8">
      <c r="A1631" s="1">
        <f>HYPERLINK("https://cms.ls-nyc.org/matter/dynamic-profile/view/1898713","19-1898713")</f>
        <v>0</v>
      </c>
      <c r="B1631" t="s">
        <v>12</v>
      </c>
      <c r="D1631" t="s">
        <v>14</v>
      </c>
      <c r="F1631" t="s">
        <v>17</v>
      </c>
      <c r="H1631" t="s">
        <v>20</v>
      </c>
    </row>
    <row r="1632" spans="1:8">
      <c r="A1632" s="1">
        <f>HYPERLINK("https://cms.ls-nyc.org/matter/dynamic-profile/view/1898229","19-1898229")</f>
        <v>0</v>
      </c>
      <c r="B1632" t="s">
        <v>8</v>
      </c>
      <c r="H1632" t="s">
        <v>19</v>
      </c>
    </row>
    <row r="1633" spans="1:8">
      <c r="A1633" s="1">
        <f>HYPERLINK("https://cms.ls-nyc.org/matter/dynamic-profile/view/1891776","19-1891776")</f>
        <v>0</v>
      </c>
      <c r="B1633" t="s">
        <v>10</v>
      </c>
      <c r="H1633" t="s">
        <v>19</v>
      </c>
    </row>
    <row r="1634" spans="1:8">
      <c r="A1634" s="1">
        <f>HYPERLINK("https://cms.ls-nyc.org/matter/dynamic-profile/view/1891759","19-1891759")</f>
        <v>0</v>
      </c>
      <c r="B1634" t="s">
        <v>10</v>
      </c>
      <c r="H1634" t="s">
        <v>19</v>
      </c>
    </row>
    <row r="1635" spans="1:8">
      <c r="A1635" s="1">
        <f>HYPERLINK("https://cms.ls-nyc.org/matter/dynamic-profile/view/1857608","18-1857608")</f>
        <v>0</v>
      </c>
      <c r="B1635" t="s">
        <v>11</v>
      </c>
      <c r="D1635" t="s">
        <v>15</v>
      </c>
      <c r="E1635" t="s">
        <v>16</v>
      </c>
      <c r="H1635" t="s">
        <v>20</v>
      </c>
    </row>
    <row r="1636" spans="1:8">
      <c r="A1636" s="1">
        <f>HYPERLINK("https://cms.ls-nyc.org/matter/dynamic-profile/view/1880487","18-1880487")</f>
        <v>0</v>
      </c>
      <c r="B1636" t="s">
        <v>10</v>
      </c>
      <c r="D1636" t="s">
        <v>14</v>
      </c>
      <c r="H1636" t="s">
        <v>20</v>
      </c>
    </row>
    <row r="1637" spans="1:8">
      <c r="A1637" s="1">
        <f>HYPERLINK("https://cms.ls-nyc.org/matter/dynamic-profile/view/1880103","18-1880103")</f>
        <v>0</v>
      </c>
      <c r="B1637" t="s">
        <v>12</v>
      </c>
      <c r="H1637" t="s">
        <v>19</v>
      </c>
    </row>
    <row r="1638" spans="1:8">
      <c r="A1638" s="1">
        <f>HYPERLINK("https://cms.ls-nyc.org/matter/dynamic-profile/view/1864902","18-1864902")</f>
        <v>0</v>
      </c>
      <c r="B1638" t="s">
        <v>9</v>
      </c>
      <c r="H1638" t="s">
        <v>19</v>
      </c>
    </row>
    <row r="1639" spans="1:8">
      <c r="A1639" s="1">
        <f>HYPERLINK("https://cms.ls-nyc.org/matter/dynamic-profile/view/1900643","19-1900643")</f>
        <v>0</v>
      </c>
      <c r="B1639" t="s">
        <v>10</v>
      </c>
      <c r="D1639" t="s">
        <v>14</v>
      </c>
      <c r="F1639" t="s">
        <v>17</v>
      </c>
      <c r="H1639" t="s">
        <v>20</v>
      </c>
    </row>
    <row r="1640" spans="1:8">
      <c r="A1640" s="1">
        <f>HYPERLINK("https://cms.ls-nyc.org/matter/dynamic-profile/view/1897378","19-1897378")</f>
        <v>0</v>
      </c>
      <c r="B1640" t="s">
        <v>10</v>
      </c>
      <c r="F1640" t="s">
        <v>17</v>
      </c>
      <c r="H1640" t="s">
        <v>20</v>
      </c>
    </row>
    <row r="1641" spans="1:8">
      <c r="A1641" s="1">
        <f>HYPERLINK("https://cms.ls-nyc.org/matter/dynamic-profile/view/1892846","19-1892846")</f>
        <v>0</v>
      </c>
      <c r="B1641" t="s">
        <v>12</v>
      </c>
      <c r="H1641" t="s">
        <v>19</v>
      </c>
    </row>
    <row r="1642" spans="1:8">
      <c r="A1642" s="1">
        <f>HYPERLINK("https://cms.ls-nyc.org/matter/dynamic-profile/view/0821825","16-0821825")</f>
        <v>0</v>
      </c>
      <c r="B1642" t="s">
        <v>10</v>
      </c>
      <c r="D1642" t="s">
        <v>15</v>
      </c>
      <c r="H1642" t="s">
        <v>20</v>
      </c>
    </row>
    <row r="1643" spans="1:8">
      <c r="A1643" s="1">
        <f>HYPERLINK("https://cms.ls-nyc.org/matter/dynamic-profile/view/1861154","18-1861154")</f>
        <v>0</v>
      </c>
      <c r="B1643" t="s">
        <v>9</v>
      </c>
      <c r="C1643" t="s">
        <v>13</v>
      </c>
      <c r="D1643" t="s">
        <v>14</v>
      </c>
      <c r="E1643" t="s">
        <v>16</v>
      </c>
      <c r="G1643" t="s">
        <v>18</v>
      </c>
      <c r="H1643" t="s">
        <v>20</v>
      </c>
    </row>
    <row r="1644" spans="1:8">
      <c r="A1644" s="1">
        <f>HYPERLINK("https://cms.ls-nyc.org/matter/dynamic-profile/view/1866945","18-1866945")</f>
        <v>0</v>
      </c>
      <c r="B1644" t="s">
        <v>9</v>
      </c>
      <c r="D1644" t="s">
        <v>15</v>
      </c>
      <c r="H1644" t="s">
        <v>20</v>
      </c>
    </row>
    <row r="1645" spans="1:8">
      <c r="A1645" s="1">
        <f>HYPERLINK("https://cms.ls-nyc.org/matter/dynamic-profile/view/1877946","18-1877946")</f>
        <v>0</v>
      </c>
      <c r="B1645" t="s">
        <v>9</v>
      </c>
      <c r="H1645" t="s">
        <v>19</v>
      </c>
    </row>
    <row r="1646" spans="1:8">
      <c r="A1646" s="1">
        <f>HYPERLINK("https://cms.ls-nyc.org/matter/dynamic-profile/view/1878035","18-1878035")</f>
        <v>0</v>
      </c>
      <c r="B1646" t="s">
        <v>9</v>
      </c>
      <c r="D1646" t="s">
        <v>14</v>
      </c>
      <c r="H1646" t="s">
        <v>20</v>
      </c>
    </row>
    <row r="1647" spans="1:8">
      <c r="A1647" s="1">
        <f>HYPERLINK("https://cms.ls-nyc.org/matter/dynamic-profile/view/1866415","18-1866415")</f>
        <v>0</v>
      </c>
      <c r="B1647" t="s">
        <v>11</v>
      </c>
      <c r="D1647" t="s">
        <v>15</v>
      </c>
      <c r="H1647" t="s">
        <v>20</v>
      </c>
    </row>
    <row r="1648" spans="1:8">
      <c r="A1648" s="1">
        <f>HYPERLINK("https://cms.ls-nyc.org/matter/dynamic-profile/view/1871646","18-1871646")</f>
        <v>0</v>
      </c>
      <c r="B1648" t="s">
        <v>12</v>
      </c>
      <c r="H1648" t="s">
        <v>19</v>
      </c>
    </row>
    <row r="1649" spans="1:8">
      <c r="A1649" s="1">
        <f>HYPERLINK("https://cms.ls-nyc.org/matter/dynamic-profile/view/1867832","18-1867832")</f>
        <v>0</v>
      </c>
      <c r="B1649" t="s">
        <v>12</v>
      </c>
      <c r="D1649" t="s">
        <v>15</v>
      </c>
      <c r="H1649" t="s">
        <v>20</v>
      </c>
    </row>
    <row r="1650" spans="1:8">
      <c r="A1650" s="1">
        <f>HYPERLINK("https://cms.ls-nyc.org/matter/dynamic-profile/view/1887993","19-1887993")</f>
        <v>0</v>
      </c>
      <c r="B1650" t="s">
        <v>10</v>
      </c>
      <c r="H1650" t="s">
        <v>19</v>
      </c>
    </row>
    <row r="1651" spans="1:8">
      <c r="A1651" s="1">
        <f>HYPERLINK("https://cms.ls-nyc.org/matter/dynamic-profile/view/1899921","19-1899921")</f>
        <v>0</v>
      </c>
      <c r="B1651" t="s">
        <v>9</v>
      </c>
      <c r="C1651" t="s">
        <v>13</v>
      </c>
      <c r="D1651" t="s">
        <v>14</v>
      </c>
      <c r="E1651" t="s">
        <v>16</v>
      </c>
      <c r="G1651" t="s">
        <v>18</v>
      </c>
      <c r="H1651" t="s">
        <v>20</v>
      </c>
    </row>
    <row r="1652" spans="1:8">
      <c r="A1652" s="1">
        <f>HYPERLINK("https://cms.ls-nyc.org/matter/dynamic-profile/view/1857252","18-1857252")</f>
        <v>0</v>
      </c>
      <c r="B1652" t="s">
        <v>10</v>
      </c>
      <c r="D1652" t="s">
        <v>15</v>
      </c>
      <c r="E1652" t="s">
        <v>16</v>
      </c>
      <c r="H1652" t="s">
        <v>20</v>
      </c>
    </row>
    <row r="1653" spans="1:8">
      <c r="A1653" s="1">
        <f>HYPERLINK("https://cms.ls-nyc.org/matter/dynamic-profile/view/0821992","16-0821992")</f>
        <v>0</v>
      </c>
      <c r="B1653" t="s">
        <v>10</v>
      </c>
      <c r="D1653" t="s">
        <v>15</v>
      </c>
      <c r="E1653" t="s">
        <v>16</v>
      </c>
      <c r="H1653" t="s">
        <v>20</v>
      </c>
    </row>
    <row r="1654" spans="1:8">
      <c r="A1654" s="1">
        <f>HYPERLINK("https://cms.ls-nyc.org/matter/dynamic-profile/view/0821995","16-0821995")</f>
        <v>0</v>
      </c>
      <c r="B1654" t="s">
        <v>10</v>
      </c>
      <c r="D1654" t="s">
        <v>15</v>
      </c>
      <c r="E1654" t="s">
        <v>16</v>
      </c>
      <c r="H1654" t="s">
        <v>20</v>
      </c>
    </row>
    <row r="1655" spans="1:8">
      <c r="A1655" s="1">
        <f>HYPERLINK("https://cms.ls-nyc.org/matter/dynamic-profile/view/1856437","18-1856437")</f>
        <v>0</v>
      </c>
      <c r="B1655" t="s">
        <v>10</v>
      </c>
      <c r="D1655" t="s">
        <v>15</v>
      </c>
      <c r="E1655" t="s">
        <v>16</v>
      </c>
      <c r="H1655" t="s">
        <v>20</v>
      </c>
    </row>
    <row r="1656" spans="1:8">
      <c r="A1656" s="1">
        <f>HYPERLINK("https://cms.ls-nyc.org/matter/dynamic-profile/view/1888382","19-1888382")</f>
        <v>0</v>
      </c>
      <c r="B1656" t="s">
        <v>10</v>
      </c>
      <c r="H1656" t="s">
        <v>19</v>
      </c>
    </row>
    <row r="1657" spans="1:8">
      <c r="A1657" s="1">
        <f>HYPERLINK("https://cms.ls-nyc.org/matter/dynamic-profile/view/1882296","18-1882296")</f>
        <v>0</v>
      </c>
      <c r="B1657" t="s">
        <v>10</v>
      </c>
      <c r="H1657" t="s">
        <v>19</v>
      </c>
    </row>
    <row r="1658" spans="1:8">
      <c r="A1658" s="1">
        <f>HYPERLINK("https://cms.ls-nyc.org/matter/dynamic-profile/view/1894785","19-1894785")</f>
        <v>0</v>
      </c>
      <c r="B1658" t="s">
        <v>10</v>
      </c>
      <c r="D1658" t="s">
        <v>14</v>
      </c>
      <c r="E1658" t="s">
        <v>16</v>
      </c>
      <c r="H1658" t="s">
        <v>20</v>
      </c>
    </row>
    <row r="1659" spans="1:8">
      <c r="A1659" s="1">
        <f>HYPERLINK("https://cms.ls-nyc.org/matter/dynamic-profile/view/0795235","15-0795235")</f>
        <v>0</v>
      </c>
      <c r="B1659" t="s">
        <v>8</v>
      </c>
      <c r="D1659" t="s">
        <v>15</v>
      </c>
      <c r="E1659" t="s">
        <v>16</v>
      </c>
      <c r="H1659" t="s">
        <v>20</v>
      </c>
    </row>
    <row r="1660" spans="1:8">
      <c r="A1660" s="1">
        <f>HYPERLINK("https://cms.ls-nyc.org/matter/dynamic-profile/view/1883829","18-1883829")</f>
        <v>0</v>
      </c>
      <c r="B1660" t="s">
        <v>9</v>
      </c>
      <c r="E1660" t="s">
        <v>16</v>
      </c>
      <c r="H1660" t="s">
        <v>20</v>
      </c>
    </row>
    <row r="1661" spans="1:8">
      <c r="A1661" s="1">
        <f>HYPERLINK("https://cms.ls-nyc.org/matter/dynamic-profile/view/1870491","18-1870491")</f>
        <v>0</v>
      </c>
      <c r="B1661" t="s">
        <v>9</v>
      </c>
      <c r="C1661" t="s">
        <v>13</v>
      </c>
      <c r="D1661" t="s">
        <v>14</v>
      </c>
      <c r="E1661" t="s">
        <v>16</v>
      </c>
      <c r="G1661" t="s">
        <v>18</v>
      </c>
      <c r="H1661" t="s">
        <v>20</v>
      </c>
    </row>
    <row r="1662" spans="1:8">
      <c r="A1662" s="1">
        <f>HYPERLINK("https://cms.ls-nyc.org/matter/dynamic-profile/view/1871449","18-1871449")</f>
        <v>0</v>
      </c>
      <c r="B1662" t="s">
        <v>10</v>
      </c>
      <c r="H1662" t="s">
        <v>19</v>
      </c>
    </row>
    <row r="1663" spans="1:8">
      <c r="A1663" s="1">
        <f>HYPERLINK("https://cms.ls-nyc.org/matter/dynamic-profile/view/1871444","18-1871444")</f>
        <v>0</v>
      </c>
      <c r="B1663" t="s">
        <v>10</v>
      </c>
      <c r="H1663" t="s">
        <v>19</v>
      </c>
    </row>
    <row r="1664" spans="1:8">
      <c r="A1664" s="1">
        <f>HYPERLINK("https://cms.ls-nyc.org/matter/dynamic-profile/view/1879106","18-1879106")</f>
        <v>0</v>
      </c>
      <c r="B1664" t="s">
        <v>9</v>
      </c>
      <c r="F1664" t="s">
        <v>17</v>
      </c>
      <c r="H1664" t="s">
        <v>20</v>
      </c>
    </row>
    <row r="1665" spans="1:8">
      <c r="A1665" s="1">
        <f>HYPERLINK("https://cms.ls-nyc.org/matter/dynamic-profile/view/1878794","18-1878794")</f>
        <v>0</v>
      </c>
      <c r="B1665" t="s">
        <v>8</v>
      </c>
      <c r="H1665" t="s">
        <v>19</v>
      </c>
    </row>
    <row r="1666" spans="1:8">
      <c r="A1666" s="1">
        <f>HYPERLINK("https://cms.ls-nyc.org/matter/dynamic-profile/view/0820733","16-0820733")</f>
        <v>0</v>
      </c>
      <c r="B1666" t="s">
        <v>12</v>
      </c>
      <c r="D1666" t="s">
        <v>15</v>
      </c>
      <c r="E1666" t="s">
        <v>16</v>
      </c>
      <c r="H1666" t="s">
        <v>20</v>
      </c>
    </row>
    <row r="1667" spans="1:8">
      <c r="A1667" s="1">
        <f>HYPERLINK("https://cms.ls-nyc.org/matter/dynamic-profile/view/1896079","19-1896079")</f>
        <v>0</v>
      </c>
      <c r="B1667" t="s">
        <v>11</v>
      </c>
      <c r="H1667" t="s">
        <v>19</v>
      </c>
    </row>
    <row r="1668" spans="1:8">
      <c r="A1668" s="1">
        <f>HYPERLINK("https://cms.ls-nyc.org/matter/dynamic-profile/view/1881046","18-1881046")</f>
        <v>0</v>
      </c>
      <c r="B1668" t="s">
        <v>9</v>
      </c>
      <c r="D1668" t="s">
        <v>14</v>
      </c>
      <c r="E1668" t="s">
        <v>16</v>
      </c>
      <c r="F1668" t="s">
        <v>17</v>
      </c>
      <c r="H1668" t="s">
        <v>20</v>
      </c>
    </row>
    <row r="1669" spans="1:8">
      <c r="A1669" s="1">
        <f>HYPERLINK("https://cms.ls-nyc.org/matter/dynamic-profile/view/1887865","19-1887865")</f>
        <v>0</v>
      </c>
      <c r="B1669" t="s">
        <v>10</v>
      </c>
      <c r="D1669" t="s">
        <v>14</v>
      </c>
      <c r="G1669" t="s">
        <v>18</v>
      </c>
      <c r="H1669" t="s">
        <v>20</v>
      </c>
    </row>
    <row r="1670" spans="1:8">
      <c r="A1670" s="1">
        <f>HYPERLINK("https://cms.ls-nyc.org/matter/dynamic-profile/view/1885983","18-1885983")</f>
        <v>0</v>
      </c>
      <c r="B1670" t="s">
        <v>10</v>
      </c>
      <c r="H1670" t="s">
        <v>19</v>
      </c>
    </row>
    <row r="1671" spans="1:8">
      <c r="A1671" s="1">
        <f>HYPERLINK("https://cms.ls-nyc.org/matter/dynamic-profile/view/1835868","17-1835868")</f>
        <v>0</v>
      </c>
      <c r="B1671" t="s">
        <v>9</v>
      </c>
      <c r="D1671" t="s">
        <v>15</v>
      </c>
      <c r="H1671" t="s">
        <v>20</v>
      </c>
    </row>
    <row r="1672" spans="1:8">
      <c r="A1672" s="1">
        <f>HYPERLINK("https://cms.ls-nyc.org/matter/dynamic-profile/view/0826220","17-0826220")</f>
        <v>0</v>
      </c>
      <c r="B1672" t="s">
        <v>9</v>
      </c>
      <c r="D1672" t="s">
        <v>15</v>
      </c>
      <c r="E1672" t="s">
        <v>16</v>
      </c>
      <c r="H1672" t="s">
        <v>20</v>
      </c>
    </row>
    <row r="1673" spans="1:8">
      <c r="A1673" s="1">
        <f>HYPERLINK("https://cms.ls-nyc.org/matter/dynamic-profile/view/1857194","18-1857194")</f>
        <v>0</v>
      </c>
      <c r="B1673" t="s">
        <v>9</v>
      </c>
      <c r="D1673" t="s">
        <v>15</v>
      </c>
      <c r="E1673" t="s">
        <v>16</v>
      </c>
      <c r="H1673" t="s">
        <v>20</v>
      </c>
    </row>
    <row r="1674" spans="1:8">
      <c r="A1674" s="1">
        <f>HYPERLINK("https://cms.ls-nyc.org/matter/dynamic-profile/view/1855990","18-1855990")</f>
        <v>0</v>
      </c>
      <c r="B1674" t="s">
        <v>9</v>
      </c>
      <c r="D1674" t="s">
        <v>15</v>
      </c>
      <c r="E1674" t="s">
        <v>16</v>
      </c>
      <c r="H1674" t="s">
        <v>20</v>
      </c>
    </row>
    <row r="1675" spans="1:8">
      <c r="A1675" s="1">
        <f>HYPERLINK("https://cms.ls-nyc.org/matter/dynamic-profile/view/1894682","19-1894682")</f>
        <v>0</v>
      </c>
      <c r="B1675" t="s">
        <v>9</v>
      </c>
      <c r="H1675" t="s">
        <v>19</v>
      </c>
    </row>
    <row r="1676" spans="1:8">
      <c r="A1676" s="1">
        <f>HYPERLINK("https://cms.ls-nyc.org/matter/dynamic-profile/view/1899594","19-1899594")</f>
        <v>0</v>
      </c>
      <c r="B1676" t="s">
        <v>10</v>
      </c>
      <c r="H1676" t="s">
        <v>19</v>
      </c>
    </row>
    <row r="1677" spans="1:8">
      <c r="A1677" s="1">
        <f>HYPERLINK("https://cms.ls-nyc.org/matter/dynamic-profile/view/1901141","19-1901141")</f>
        <v>0</v>
      </c>
      <c r="B1677" t="s">
        <v>9</v>
      </c>
      <c r="C1677" t="s">
        <v>13</v>
      </c>
      <c r="D1677" t="s">
        <v>14</v>
      </c>
      <c r="E1677" t="s">
        <v>16</v>
      </c>
      <c r="F1677" t="s">
        <v>17</v>
      </c>
      <c r="H1677" t="s">
        <v>20</v>
      </c>
    </row>
    <row r="1678" spans="1:8">
      <c r="A1678" s="1">
        <f>HYPERLINK("https://cms.ls-nyc.org/matter/dynamic-profile/view/1900646","19-1900646")</f>
        <v>0</v>
      </c>
      <c r="B1678" t="s">
        <v>8</v>
      </c>
      <c r="H1678" t="s">
        <v>19</v>
      </c>
    </row>
    <row r="1679" spans="1:8">
      <c r="A1679" s="1">
        <f>HYPERLINK("https://cms.ls-nyc.org/matter/dynamic-profile/view/1895291","19-1895291")</f>
        <v>0</v>
      </c>
      <c r="B1679" t="s">
        <v>11</v>
      </c>
      <c r="D1679" t="s">
        <v>14</v>
      </c>
      <c r="H1679" t="s">
        <v>20</v>
      </c>
    </row>
    <row r="1680" spans="1:8">
      <c r="A1680" s="1">
        <f>HYPERLINK("https://cms.ls-nyc.org/matter/dynamic-profile/view/1892004","19-1892004")</f>
        <v>0</v>
      </c>
      <c r="B1680" t="s">
        <v>9</v>
      </c>
      <c r="E1680" t="s">
        <v>16</v>
      </c>
      <c r="F1680" t="s">
        <v>17</v>
      </c>
      <c r="H1680" t="s">
        <v>20</v>
      </c>
    </row>
    <row r="1681" spans="1:8">
      <c r="A1681" s="1">
        <f>HYPERLINK("https://cms.ls-nyc.org/matter/dynamic-profile/view/1892008","19-1892008")</f>
        <v>0</v>
      </c>
      <c r="B1681" t="s">
        <v>9</v>
      </c>
      <c r="E1681" t="s">
        <v>16</v>
      </c>
      <c r="F1681" t="s">
        <v>17</v>
      </c>
      <c r="H1681" t="s">
        <v>20</v>
      </c>
    </row>
    <row r="1682" spans="1:8">
      <c r="A1682" s="1">
        <f>HYPERLINK("https://cms.ls-nyc.org/matter/dynamic-profile/view/1891139","19-1891139")</f>
        <v>0</v>
      </c>
      <c r="B1682" t="s">
        <v>9</v>
      </c>
      <c r="F1682" t="s">
        <v>17</v>
      </c>
      <c r="G1682" t="s">
        <v>18</v>
      </c>
      <c r="H1682" t="s">
        <v>20</v>
      </c>
    </row>
    <row r="1683" spans="1:8">
      <c r="A1683" s="1">
        <f>HYPERLINK("https://cms.ls-nyc.org/matter/dynamic-profile/view/1900161","19-1900161")</f>
        <v>0</v>
      </c>
      <c r="B1683" t="s">
        <v>10</v>
      </c>
      <c r="D1683" t="s">
        <v>14</v>
      </c>
      <c r="F1683" t="s">
        <v>17</v>
      </c>
      <c r="H1683" t="s">
        <v>20</v>
      </c>
    </row>
    <row r="1684" spans="1:8">
      <c r="A1684" s="1">
        <f>HYPERLINK("https://cms.ls-nyc.org/matter/dynamic-profile/view/1899473","19-1899473")</f>
        <v>0</v>
      </c>
      <c r="B1684" t="s">
        <v>10</v>
      </c>
      <c r="D1684" t="s">
        <v>14</v>
      </c>
      <c r="H1684" t="s">
        <v>20</v>
      </c>
    </row>
    <row r="1685" spans="1:8">
      <c r="A1685" s="1">
        <f>HYPERLINK("https://cms.ls-nyc.org/matter/dynamic-profile/view/1864049","18-1864049")</f>
        <v>0</v>
      </c>
      <c r="B1685" t="s">
        <v>12</v>
      </c>
      <c r="D1685" t="s">
        <v>15</v>
      </c>
      <c r="E1685" t="s">
        <v>16</v>
      </c>
      <c r="H1685" t="s">
        <v>20</v>
      </c>
    </row>
    <row r="1686" spans="1:8">
      <c r="A1686" s="1">
        <f>HYPERLINK("https://cms.ls-nyc.org/matter/dynamic-profile/view/1861081","18-1861081")</f>
        <v>0</v>
      </c>
      <c r="B1686" t="s">
        <v>8</v>
      </c>
      <c r="D1686" t="s">
        <v>15</v>
      </c>
      <c r="E1686" t="s">
        <v>16</v>
      </c>
      <c r="H1686" t="s">
        <v>20</v>
      </c>
    </row>
    <row r="1687" spans="1:8">
      <c r="A1687" s="1">
        <f>HYPERLINK("https://cms.ls-nyc.org/matter/dynamic-profile/view/1874174","18-1874174")</f>
        <v>0</v>
      </c>
      <c r="B1687" t="s">
        <v>9</v>
      </c>
      <c r="F1687" t="s">
        <v>17</v>
      </c>
      <c r="H1687" t="s">
        <v>20</v>
      </c>
    </row>
    <row r="1688" spans="1:8">
      <c r="A1688" s="1">
        <f>HYPERLINK("https://cms.ls-nyc.org/matter/dynamic-profile/view/1874188","18-1874188")</f>
        <v>0</v>
      </c>
      <c r="B1688" t="s">
        <v>9</v>
      </c>
      <c r="F1688" t="s">
        <v>17</v>
      </c>
      <c r="H1688" t="s">
        <v>20</v>
      </c>
    </row>
    <row r="1689" spans="1:8">
      <c r="A1689" s="1">
        <f>HYPERLINK("https://cms.ls-nyc.org/matter/dynamic-profile/view/1876131","18-1876131")</f>
        <v>0</v>
      </c>
      <c r="B1689" t="s">
        <v>12</v>
      </c>
      <c r="F1689" t="s">
        <v>17</v>
      </c>
      <c r="H1689" t="s">
        <v>20</v>
      </c>
    </row>
    <row r="1690" spans="1:8">
      <c r="A1690" s="1">
        <f>HYPERLINK("https://cms.ls-nyc.org/matter/dynamic-profile/view/1887291","19-1887291")</f>
        <v>0</v>
      </c>
      <c r="B1690" t="s">
        <v>9</v>
      </c>
      <c r="C1690" t="s">
        <v>13</v>
      </c>
      <c r="E1690" t="s">
        <v>16</v>
      </c>
      <c r="H1690" t="s">
        <v>20</v>
      </c>
    </row>
    <row r="1691" spans="1:8">
      <c r="A1691" s="1">
        <f>HYPERLINK("https://cms.ls-nyc.org/matter/dynamic-profile/view/1875101","18-1875101")</f>
        <v>0</v>
      </c>
      <c r="B1691" t="s">
        <v>12</v>
      </c>
      <c r="F1691" t="s">
        <v>17</v>
      </c>
      <c r="H1691" t="s">
        <v>20</v>
      </c>
    </row>
    <row r="1692" spans="1:8">
      <c r="A1692" s="1">
        <f>HYPERLINK("https://cms.ls-nyc.org/matter/dynamic-profile/view/1866694","18-1866694")</f>
        <v>0</v>
      </c>
      <c r="B1692" t="s">
        <v>12</v>
      </c>
      <c r="C1692" t="s">
        <v>13</v>
      </c>
      <c r="D1692" t="s">
        <v>15</v>
      </c>
      <c r="E1692" t="s">
        <v>16</v>
      </c>
      <c r="H1692" t="s">
        <v>20</v>
      </c>
    </row>
    <row r="1693" spans="1:8">
      <c r="A1693" s="1">
        <f>HYPERLINK("https://cms.ls-nyc.org/matter/dynamic-profile/view/1891991","19-1891991")</f>
        <v>0</v>
      </c>
      <c r="B1693" t="s">
        <v>9</v>
      </c>
      <c r="E1693" t="s">
        <v>16</v>
      </c>
      <c r="F1693" t="s">
        <v>17</v>
      </c>
      <c r="H1693" t="s">
        <v>20</v>
      </c>
    </row>
    <row r="1694" spans="1:8">
      <c r="A1694" s="1">
        <f>HYPERLINK("https://cms.ls-nyc.org/matter/dynamic-profile/view/1891999","19-1891999")</f>
        <v>0</v>
      </c>
      <c r="B1694" t="s">
        <v>9</v>
      </c>
      <c r="E1694" t="s">
        <v>16</v>
      </c>
      <c r="F1694" t="s">
        <v>17</v>
      </c>
      <c r="H1694" t="s">
        <v>20</v>
      </c>
    </row>
    <row r="1695" spans="1:8">
      <c r="A1695" s="1">
        <f>HYPERLINK("https://cms.ls-nyc.org/matter/dynamic-profile/view/1899942","19-1899942")</f>
        <v>0</v>
      </c>
      <c r="B1695" t="s">
        <v>10</v>
      </c>
      <c r="D1695" t="s">
        <v>14</v>
      </c>
      <c r="E1695" t="s">
        <v>16</v>
      </c>
      <c r="H1695" t="s">
        <v>20</v>
      </c>
    </row>
    <row r="1696" spans="1:8">
      <c r="A1696" s="1">
        <f>HYPERLINK("https://cms.ls-nyc.org/matter/dynamic-profile/view/0793216","15-0793216")</f>
        <v>0</v>
      </c>
      <c r="B1696" t="s">
        <v>8</v>
      </c>
      <c r="D1696" t="s">
        <v>15</v>
      </c>
      <c r="E1696" t="s">
        <v>16</v>
      </c>
      <c r="H1696" t="s">
        <v>20</v>
      </c>
    </row>
    <row r="1697" spans="1:8">
      <c r="A1697" s="1">
        <f>HYPERLINK("https://cms.ls-nyc.org/matter/dynamic-profile/view/0805358","16-0805358")</f>
        <v>0</v>
      </c>
      <c r="B1697" t="s">
        <v>10</v>
      </c>
      <c r="D1697" t="s">
        <v>15</v>
      </c>
      <c r="E1697" t="s">
        <v>16</v>
      </c>
      <c r="F1697" t="s">
        <v>17</v>
      </c>
      <c r="H1697" t="s">
        <v>20</v>
      </c>
    </row>
    <row r="1698" spans="1:8">
      <c r="A1698" s="1">
        <f>HYPERLINK("https://cms.ls-nyc.org/matter/dynamic-profile/view/1859013","18-1859013")</f>
        <v>0</v>
      </c>
      <c r="B1698" t="s">
        <v>9</v>
      </c>
      <c r="D1698" t="s">
        <v>15</v>
      </c>
      <c r="H1698" t="s">
        <v>20</v>
      </c>
    </row>
    <row r="1699" spans="1:8">
      <c r="A1699" s="1">
        <f>HYPERLINK("https://cms.ls-nyc.org/matter/dynamic-profile/view/0793236","15-0793236")</f>
        <v>0</v>
      </c>
      <c r="B1699" t="s">
        <v>8</v>
      </c>
      <c r="D1699" t="s">
        <v>15</v>
      </c>
      <c r="E1699" t="s">
        <v>16</v>
      </c>
      <c r="H1699" t="s">
        <v>20</v>
      </c>
    </row>
    <row r="1700" spans="1:8">
      <c r="A1700" s="1">
        <f>HYPERLINK("https://cms.ls-nyc.org/matter/dynamic-profile/view/1889657","19-1889657")</f>
        <v>0</v>
      </c>
      <c r="B1700" t="s">
        <v>8</v>
      </c>
      <c r="F1700" t="s">
        <v>17</v>
      </c>
      <c r="H1700" t="s">
        <v>20</v>
      </c>
    </row>
    <row r="1701" spans="1:8">
      <c r="A1701" s="1">
        <f>HYPERLINK("https://cms.ls-nyc.org/matter/dynamic-profile/view/1900799","19-1900799")</f>
        <v>0</v>
      </c>
      <c r="B1701" t="s">
        <v>9</v>
      </c>
      <c r="H1701" t="s">
        <v>19</v>
      </c>
    </row>
    <row r="1702" spans="1:8">
      <c r="A1702" s="1">
        <f>HYPERLINK("https://cms.ls-nyc.org/matter/dynamic-profile/view/1899117","19-1899117")</f>
        <v>0</v>
      </c>
      <c r="B1702" t="s">
        <v>10</v>
      </c>
      <c r="H1702" t="s">
        <v>19</v>
      </c>
    </row>
    <row r="1703" spans="1:8">
      <c r="A1703" s="1">
        <f>HYPERLINK("https://cms.ls-nyc.org/matter/dynamic-profile/view/1880639","18-1880639")</f>
        <v>0</v>
      </c>
      <c r="B1703" t="s">
        <v>10</v>
      </c>
      <c r="H1703" t="s">
        <v>19</v>
      </c>
    </row>
    <row r="1704" spans="1:8">
      <c r="A1704" s="1">
        <f>HYPERLINK("https://cms.ls-nyc.org/matter/dynamic-profile/view/1843143","17-1843143")</f>
        <v>0</v>
      </c>
      <c r="B1704" t="s">
        <v>12</v>
      </c>
      <c r="C1704" t="s">
        <v>13</v>
      </c>
      <c r="D1704" t="s">
        <v>14</v>
      </c>
      <c r="E1704" t="s">
        <v>16</v>
      </c>
      <c r="H1704" t="s">
        <v>20</v>
      </c>
    </row>
    <row r="1705" spans="1:8">
      <c r="A1705" s="1">
        <f>HYPERLINK("https://cms.ls-nyc.org/matter/dynamic-profile/view/1881753","18-1881753")</f>
        <v>0</v>
      </c>
      <c r="B1705" t="s">
        <v>9</v>
      </c>
      <c r="H1705" t="s">
        <v>19</v>
      </c>
    </row>
    <row r="1706" spans="1:8">
      <c r="A1706" s="1">
        <f>HYPERLINK("https://cms.ls-nyc.org/matter/dynamic-profile/view/1876399","18-1876399")</f>
        <v>0</v>
      </c>
      <c r="B1706" t="s">
        <v>12</v>
      </c>
      <c r="H1706" t="s">
        <v>19</v>
      </c>
    </row>
    <row r="1707" spans="1:8">
      <c r="A1707" s="1">
        <f>HYPERLINK("https://cms.ls-nyc.org/matter/dynamic-profile/view/1895191","19-1895191")</f>
        <v>0</v>
      </c>
      <c r="B1707" t="s">
        <v>9</v>
      </c>
      <c r="H1707" t="s">
        <v>19</v>
      </c>
    </row>
    <row r="1708" spans="1:8">
      <c r="A1708" s="1">
        <f>HYPERLINK("https://cms.ls-nyc.org/matter/dynamic-profile/view/1865616","18-1865616")</f>
        <v>0</v>
      </c>
      <c r="B1708" t="s">
        <v>9</v>
      </c>
      <c r="D1708" t="s">
        <v>15</v>
      </c>
      <c r="E1708" t="s">
        <v>16</v>
      </c>
      <c r="H1708" t="s">
        <v>20</v>
      </c>
    </row>
    <row r="1709" spans="1:8">
      <c r="A1709" s="1">
        <f>HYPERLINK("https://cms.ls-nyc.org/matter/dynamic-profile/view/1843585","17-1843585")</f>
        <v>0</v>
      </c>
      <c r="B1709" t="s">
        <v>12</v>
      </c>
      <c r="D1709" t="s">
        <v>15</v>
      </c>
      <c r="E1709" t="s">
        <v>16</v>
      </c>
      <c r="H1709" t="s">
        <v>20</v>
      </c>
    </row>
    <row r="1710" spans="1:8">
      <c r="A1710" s="1">
        <f>HYPERLINK("https://cms.ls-nyc.org/matter/dynamic-profile/view/1888071","19-1888071")</f>
        <v>0</v>
      </c>
      <c r="B1710" t="s">
        <v>12</v>
      </c>
      <c r="F1710" t="s">
        <v>17</v>
      </c>
      <c r="H1710" t="s">
        <v>20</v>
      </c>
    </row>
    <row r="1711" spans="1:8">
      <c r="A1711" s="1">
        <f>HYPERLINK("https://cms.ls-nyc.org/matter/dynamic-profile/view/1882847","18-1882847")</f>
        <v>0</v>
      </c>
      <c r="B1711" t="s">
        <v>10</v>
      </c>
      <c r="D1711" t="s">
        <v>14</v>
      </c>
      <c r="H1711" t="s">
        <v>20</v>
      </c>
    </row>
    <row r="1712" spans="1:8">
      <c r="A1712" s="1">
        <f>HYPERLINK("https://cms.ls-nyc.org/matter/dynamic-profile/view/1833810","17-1833810")</f>
        <v>0</v>
      </c>
      <c r="B1712" t="s">
        <v>12</v>
      </c>
      <c r="D1712" t="s">
        <v>15</v>
      </c>
      <c r="H1712" t="s">
        <v>20</v>
      </c>
    </row>
    <row r="1713" spans="1:8">
      <c r="A1713" s="1">
        <f>HYPERLINK("https://cms.ls-nyc.org/matter/dynamic-profile/view/1871525","18-1871525")</f>
        <v>0</v>
      </c>
      <c r="B1713" t="s">
        <v>10</v>
      </c>
      <c r="H1713" t="s">
        <v>19</v>
      </c>
    </row>
    <row r="1714" spans="1:8">
      <c r="A1714" s="1">
        <f>HYPERLINK("https://cms.ls-nyc.org/matter/dynamic-profile/view/1887014","19-1887014")</f>
        <v>0</v>
      </c>
      <c r="B1714" t="s">
        <v>10</v>
      </c>
      <c r="H1714" t="s">
        <v>19</v>
      </c>
    </row>
    <row r="1715" spans="1:8">
      <c r="A1715" s="1">
        <f>HYPERLINK("https://cms.ls-nyc.org/matter/dynamic-profile/view/1833090","17-1833090")</f>
        <v>0</v>
      </c>
      <c r="B1715" t="s">
        <v>12</v>
      </c>
      <c r="D1715" t="s">
        <v>15</v>
      </c>
      <c r="E1715" t="s">
        <v>16</v>
      </c>
      <c r="H1715" t="s">
        <v>20</v>
      </c>
    </row>
    <row r="1716" spans="1:8">
      <c r="A1716" s="1">
        <f>HYPERLINK("https://cms.ls-nyc.org/matter/dynamic-profile/view/1899726","19-1899726")</f>
        <v>0</v>
      </c>
      <c r="B1716" t="s">
        <v>10</v>
      </c>
      <c r="D1716" t="s">
        <v>14</v>
      </c>
      <c r="H1716" t="s">
        <v>20</v>
      </c>
    </row>
    <row r="1717" spans="1:8">
      <c r="A1717" s="1">
        <f>HYPERLINK("https://cms.ls-nyc.org/matter/dynamic-profile/view/1881098","18-1881098")</f>
        <v>0</v>
      </c>
      <c r="B1717" t="s">
        <v>9</v>
      </c>
      <c r="H1717" t="s">
        <v>19</v>
      </c>
    </row>
    <row r="1718" spans="1:8">
      <c r="A1718" s="1">
        <f>HYPERLINK("https://cms.ls-nyc.org/matter/dynamic-profile/view/1876713","18-1876713")</f>
        <v>0</v>
      </c>
      <c r="B1718" t="s">
        <v>10</v>
      </c>
      <c r="H1718" t="s">
        <v>19</v>
      </c>
    </row>
    <row r="1719" spans="1:8">
      <c r="A1719" s="1">
        <f>HYPERLINK("https://cms.ls-nyc.org/matter/dynamic-profile/view/1886347","18-1886347")</f>
        <v>0</v>
      </c>
      <c r="B1719" t="s">
        <v>10</v>
      </c>
      <c r="H1719" t="s">
        <v>19</v>
      </c>
    </row>
    <row r="1720" spans="1:8">
      <c r="A1720" s="1">
        <f>HYPERLINK("https://cms.ls-nyc.org/matter/dynamic-profile/view/1876708","18-1876708")</f>
        <v>0</v>
      </c>
      <c r="B1720" t="s">
        <v>10</v>
      </c>
      <c r="H1720" t="s">
        <v>19</v>
      </c>
    </row>
    <row r="1721" spans="1:8">
      <c r="A1721" s="1">
        <f>HYPERLINK("https://cms.ls-nyc.org/matter/dynamic-profile/view/1845335","17-1845335")</f>
        <v>0</v>
      </c>
      <c r="B1721" t="s">
        <v>9</v>
      </c>
      <c r="D1721" t="s">
        <v>15</v>
      </c>
      <c r="E1721" t="s">
        <v>16</v>
      </c>
      <c r="F1721" t="s">
        <v>17</v>
      </c>
      <c r="H1721" t="s">
        <v>20</v>
      </c>
    </row>
    <row r="1722" spans="1:8">
      <c r="A1722" s="1">
        <f>HYPERLINK("https://cms.ls-nyc.org/matter/dynamic-profile/view/1854196","17-1854196")</f>
        <v>0</v>
      </c>
      <c r="B1722" t="s">
        <v>10</v>
      </c>
      <c r="D1722" t="s">
        <v>15</v>
      </c>
      <c r="E1722" t="s">
        <v>16</v>
      </c>
      <c r="H1722" t="s">
        <v>20</v>
      </c>
    </row>
    <row r="1723" spans="1:8">
      <c r="A1723" s="1">
        <f>HYPERLINK("https://cms.ls-nyc.org/matter/dynamic-profile/view/1883701","18-1883701")</f>
        <v>0</v>
      </c>
      <c r="B1723" t="s">
        <v>9</v>
      </c>
      <c r="H1723" t="s">
        <v>19</v>
      </c>
    </row>
    <row r="1724" spans="1:8">
      <c r="A1724" s="1">
        <f>HYPERLINK("https://cms.ls-nyc.org/matter/dynamic-profile/view/1870868","18-1870868")</f>
        <v>0</v>
      </c>
      <c r="B1724" t="s">
        <v>9</v>
      </c>
      <c r="E1724" t="s">
        <v>16</v>
      </c>
      <c r="F1724" t="s">
        <v>17</v>
      </c>
      <c r="H1724" t="s">
        <v>20</v>
      </c>
    </row>
    <row r="1725" spans="1:8">
      <c r="A1725" s="1">
        <f>HYPERLINK("https://cms.ls-nyc.org/matter/dynamic-profile/view/1875568","18-1875568")</f>
        <v>0</v>
      </c>
      <c r="B1725" t="s">
        <v>9</v>
      </c>
      <c r="H1725" t="s">
        <v>19</v>
      </c>
    </row>
    <row r="1726" spans="1:8">
      <c r="A1726" s="1">
        <f>HYPERLINK("https://cms.ls-nyc.org/matter/dynamic-profile/view/1875609","18-1875609")</f>
        <v>0</v>
      </c>
      <c r="B1726" t="s">
        <v>9</v>
      </c>
      <c r="H1726" t="s">
        <v>19</v>
      </c>
    </row>
    <row r="1727" spans="1:8">
      <c r="A1727" s="1">
        <f>HYPERLINK("https://cms.ls-nyc.org/matter/dynamic-profile/view/1875612","18-1875612")</f>
        <v>0</v>
      </c>
      <c r="B1727" t="s">
        <v>9</v>
      </c>
      <c r="H1727" t="s">
        <v>19</v>
      </c>
    </row>
    <row r="1728" spans="1:8">
      <c r="A1728" s="1">
        <f>HYPERLINK("https://cms.ls-nyc.org/matter/dynamic-profile/view/1888445","19-1888445")</f>
        <v>0</v>
      </c>
      <c r="B1728" t="s">
        <v>9</v>
      </c>
      <c r="C1728" t="s">
        <v>13</v>
      </c>
      <c r="D1728" t="s">
        <v>14</v>
      </c>
      <c r="E1728" t="s">
        <v>16</v>
      </c>
      <c r="G1728" t="s">
        <v>18</v>
      </c>
      <c r="H1728" t="s">
        <v>20</v>
      </c>
    </row>
    <row r="1729" spans="1:8">
      <c r="A1729" s="1">
        <f>HYPERLINK("https://cms.ls-nyc.org/matter/dynamic-profile/view/1884048","18-1884048")</f>
        <v>0</v>
      </c>
      <c r="B1729" t="s">
        <v>9</v>
      </c>
      <c r="C1729" t="s">
        <v>13</v>
      </c>
      <c r="D1729" t="s">
        <v>14</v>
      </c>
      <c r="E1729" t="s">
        <v>16</v>
      </c>
      <c r="G1729" t="s">
        <v>18</v>
      </c>
      <c r="H1729" t="s">
        <v>20</v>
      </c>
    </row>
    <row r="1730" spans="1:8">
      <c r="A1730" s="1">
        <f>HYPERLINK("https://cms.ls-nyc.org/matter/dynamic-profile/view/1887646","19-1887646")</f>
        <v>0</v>
      </c>
      <c r="B1730" t="s">
        <v>10</v>
      </c>
      <c r="H1730" t="s">
        <v>19</v>
      </c>
    </row>
    <row r="1731" spans="1:8">
      <c r="A1731" s="1">
        <f>HYPERLINK("https://cms.ls-nyc.org/matter/dynamic-profile/view/1862986","18-1862986")</f>
        <v>0</v>
      </c>
      <c r="B1731" t="s">
        <v>10</v>
      </c>
      <c r="D1731" t="s">
        <v>15</v>
      </c>
      <c r="E1731" t="s">
        <v>16</v>
      </c>
      <c r="H1731" t="s">
        <v>20</v>
      </c>
    </row>
    <row r="1732" spans="1:8">
      <c r="A1732" s="1">
        <f>HYPERLINK("https://cms.ls-nyc.org/matter/dynamic-profile/view/1868343","18-1868343")</f>
        <v>0</v>
      </c>
      <c r="B1732" t="s">
        <v>10</v>
      </c>
      <c r="D1732" t="s">
        <v>15</v>
      </c>
      <c r="E1732" t="s">
        <v>16</v>
      </c>
      <c r="H1732" t="s">
        <v>20</v>
      </c>
    </row>
    <row r="1733" spans="1:8">
      <c r="A1733" s="1">
        <f>HYPERLINK("https://cms.ls-nyc.org/matter/dynamic-profile/view/1867638","18-1867638")</f>
        <v>0</v>
      </c>
      <c r="B1733" t="s">
        <v>11</v>
      </c>
      <c r="D1733" t="s">
        <v>15</v>
      </c>
      <c r="E1733" t="s">
        <v>16</v>
      </c>
      <c r="H1733" t="s">
        <v>20</v>
      </c>
    </row>
    <row r="1734" spans="1:8">
      <c r="A1734" s="1">
        <f>HYPERLINK("https://cms.ls-nyc.org/matter/dynamic-profile/view/1866214","18-1866214")</f>
        <v>0</v>
      </c>
      <c r="B1734" t="s">
        <v>12</v>
      </c>
      <c r="H1734" t="s">
        <v>19</v>
      </c>
    </row>
    <row r="1735" spans="1:8">
      <c r="A1735" s="1">
        <f>HYPERLINK("https://cms.ls-nyc.org/matter/dynamic-profile/view/1863799","18-1863799")</f>
        <v>0</v>
      </c>
      <c r="B1735" t="s">
        <v>12</v>
      </c>
      <c r="D1735" t="s">
        <v>15</v>
      </c>
      <c r="E1735" t="s">
        <v>16</v>
      </c>
      <c r="F1735" t="s">
        <v>17</v>
      </c>
      <c r="H1735" t="s">
        <v>20</v>
      </c>
    </row>
    <row r="1736" spans="1:8">
      <c r="A1736" s="1">
        <f>HYPERLINK("https://cms.ls-nyc.org/matter/dynamic-profile/view/1878828","18-1878828")</f>
        <v>0</v>
      </c>
      <c r="B1736" t="s">
        <v>12</v>
      </c>
      <c r="F1736" t="s">
        <v>17</v>
      </c>
      <c r="H1736" t="s">
        <v>20</v>
      </c>
    </row>
    <row r="1737" spans="1:8">
      <c r="A1737" s="1">
        <f>HYPERLINK("https://cms.ls-nyc.org/matter/dynamic-profile/view/0807023","16-0807023")</f>
        <v>0</v>
      </c>
      <c r="B1737" t="s">
        <v>9</v>
      </c>
      <c r="D1737" t="s">
        <v>15</v>
      </c>
      <c r="E1737" t="s">
        <v>16</v>
      </c>
      <c r="H1737" t="s">
        <v>20</v>
      </c>
    </row>
    <row r="1738" spans="1:8">
      <c r="A1738" s="1">
        <f>HYPERLINK("https://cms.ls-nyc.org/matter/dynamic-profile/view/1887963","19-1887963")</f>
        <v>0</v>
      </c>
      <c r="B1738" t="s">
        <v>12</v>
      </c>
      <c r="F1738" t="s">
        <v>17</v>
      </c>
      <c r="H1738" t="s">
        <v>20</v>
      </c>
    </row>
    <row r="1739" spans="1:8">
      <c r="A1739" s="1">
        <f>HYPERLINK("https://cms.ls-nyc.org/matter/dynamic-profile/view/1850261","17-1850261")</f>
        <v>0</v>
      </c>
      <c r="B1739" t="s">
        <v>11</v>
      </c>
      <c r="D1739" t="s">
        <v>15</v>
      </c>
      <c r="E1739" t="s">
        <v>16</v>
      </c>
      <c r="H1739" t="s">
        <v>20</v>
      </c>
    </row>
    <row r="1740" spans="1:8">
      <c r="A1740" s="1">
        <f>HYPERLINK("https://cms.ls-nyc.org/matter/dynamic-profile/view/1896009","19-1896009")</f>
        <v>0</v>
      </c>
      <c r="B1740" t="s">
        <v>10</v>
      </c>
      <c r="D1740" t="s">
        <v>14</v>
      </c>
      <c r="F1740" t="s">
        <v>17</v>
      </c>
      <c r="H1740" t="s">
        <v>20</v>
      </c>
    </row>
    <row r="1741" spans="1:8">
      <c r="A1741" s="1">
        <f>HYPERLINK("https://cms.ls-nyc.org/matter/dynamic-profile/view/1895895","19-1895895")</f>
        <v>0</v>
      </c>
      <c r="B1741" t="s">
        <v>10</v>
      </c>
      <c r="H1741" t="s">
        <v>19</v>
      </c>
    </row>
    <row r="1742" spans="1:8">
      <c r="A1742" s="1">
        <f>HYPERLINK("https://cms.ls-nyc.org/matter/dynamic-profile/view/1899522","19-1899522")</f>
        <v>0</v>
      </c>
      <c r="B1742" t="s">
        <v>10</v>
      </c>
      <c r="D1742" t="s">
        <v>14</v>
      </c>
      <c r="H1742" t="s">
        <v>20</v>
      </c>
    </row>
    <row r="1743" spans="1:8">
      <c r="A1743" s="1">
        <f>HYPERLINK("https://cms.ls-nyc.org/matter/dynamic-profile/view/1898247","19-1898247")</f>
        <v>0</v>
      </c>
      <c r="B1743" t="s">
        <v>11</v>
      </c>
      <c r="C1743" t="s">
        <v>13</v>
      </c>
      <c r="D1743" t="s">
        <v>14</v>
      </c>
      <c r="E1743" t="s">
        <v>16</v>
      </c>
      <c r="G1743" t="s">
        <v>18</v>
      </c>
      <c r="H1743" t="s">
        <v>20</v>
      </c>
    </row>
    <row r="1744" spans="1:8">
      <c r="A1744" s="1">
        <f>HYPERLINK("https://cms.ls-nyc.org/matter/dynamic-profile/view/0832451","17-0832451")</f>
        <v>0</v>
      </c>
      <c r="B1744" t="s">
        <v>9</v>
      </c>
      <c r="D1744" t="s">
        <v>15</v>
      </c>
      <c r="E1744" t="s">
        <v>16</v>
      </c>
      <c r="H1744" t="s">
        <v>20</v>
      </c>
    </row>
    <row r="1745" spans="1:8">
      <c r="A1745" s="1">
        <f>HYPERLINK("https://cms.ls-nyc.org/matter/dynamic-profile/view/1838569","17-1838569")</f>
        <v>0</v>
      </c>
      <c r="B1745" t="s">
        <v>9</v>
      </c>
      <c r="D1745" t="s">
        <v>15</v>
      </c>
      <c r="E1745" t="s">
        <v>16</v>
      </c>
      <c r="H1745" t="s">
        <v>20</v>
      </c>
    </row>
    <row r="1746" spans="1:8">
      <c r="A1746" s="1">
        <f>HYPERLINK("https://cms.ls-nyc.org/matter/dynamic-profile/view/0821427","16-0821427")</f>
        <v>0</v>
      </c>
      <c r="B1746" t="s">
        <v>10</v>
      </c>
      <c r="D1746" t="s">
        <v>15</v>
      </c>
      <c r="E1746" t="s">
        <v>16</v>
      </c>
      <c r="H1746" t="s">
        <v>20</v>
      </c>
    </row>
    <row r="1747" spans="1:8">
      <c r="A1747" s="1">
        <f>HYPERLINK("https://cms.ls-nyc.org/matter/dynamic-profile/view/1899937","19-1899937")</f>
        <v>0</v>
      </c>
      <c r="B1747" t="s">
        <v>10</v>
      </c>
      <c r="D1747" t="s">
        <v>14</v>
      </c>
      <c r="E1747" t="s">
        <v>16</v>
      </c>
      <c r="H1747" t="s">
        <v>20</v>
      </c>
    </row>
    <row r="1748" spans="1:8">
      <c r="A1748" s="1">
        <f>HYPERLINK("https://cms.ls-nyc.org/matter/dynamic-profile/view/1880164","18-1880164")</f>
        <v>0</v>
      </c>
      <c r="B1748" t="s">
        <v>9</v>
      </c>
      <c r="F1748" t="s">
        <v>17</v>
      </c>
      <c r="H1748" t="s">
        <v>20</v>
      </c>
    </row>
    <row r="1749" spans="1:8">
      <c r="A1749" s="1">
        <f>HYPERLINK("https://cms.ls-nyc.org/matter/dynamic-profile/view/1885579","18-1885579")</f>
        <v>0</v>
      </c>
      <c r="B1749" t="s">
        <v>10</v>
      </c>
      <c r="H1749" t="s">
        <v>19</v>
      </c>
    </row>
    <row r="1750" spans="1:8">
      <c r="A1750" s="1">
        <f>HYPERLINK("https://cms.ls-nyc.org/matter/dynamic-profile/view/1900683","19-1900683")</f>
        <v>0</v>
      </c>
      <c r="B1750" t="s">
        <v>9</v>
      </c>
      <c r="F1750" t="s">
        <v>17</v>
      </c>
      <c r="H1750" t="s">
        <v>20</v>
      </c>
    </row>
    <row r="1751" spans="1:8">
      <c r="A1751" s="1">
        <f>HYPERLINK("https://cms.ls-nyc.org/matter/dynamic-profile/view/1891154","19-1891154")</f>
        <v>0</v>
      </c>
      <c r="B1751" t="s">
        <v>10</v>
      </c>
      <c r="H1751" t="s">
        <v>19</v>
      </c>
    </row>
    <row r="1752" spans="1:8">
      <c r="A1752" s="1">
        <f>HYPERLINK("https://cms.ls-nyc.org/matter/dynamic-profile/view/1899829","19-1899829")</f>
        <v>0</v>
      </c>
      <c r="B1752" t="s">
        <v>10</v>
      </c>
      <c r="D1752" t="s">
        <v>14</v>
      </c>
      <c r="H1752" t="s">
        <v>20</v>
      </c>
    </row>
    <row r="1753" spans="1:8">
      <c r="A1753" s="1">
        <f>HYPERLINK("https://cms.ls-nyc.org/matter/dynamic-profile/view/1900993","19-1900993")</f>
        <v>0</v>
      </c>
      <c r="B1753" t="s">
        <v>12</v>
      </c>
      <c r="H1753" t="s">
        <v>19</v>
      </c>
    </row>
    <row r="1754" spans="1:8">
      <c r="A1754" s="1">
        <f>HYPERLINK("https://cms.ls-nyc.org/matter/dynamic-profile/view/1885944","18-1885944")</f>
        <v>0</v>
      </c>
      <c r="B1754" t="s">
        <v>10</v>
      </c>
      <c r="H1754" t="s">
        <v>19</v>
      </c>
    </row>
    <row r="1755" spans="1:8">
      <c r="A1755" s="1">
        <f>HYPERLINK("https://cms.ls-nyc.org/matter/dynamic-profile/view/1845391","17-1845391")</f>
        <v>0</v>
      </c>
      <c r="B1755" t="s">
        <v>9</v>
      </c>
      <c r="D1755" t="s">
        <v>15</v>
      </c>
      <c r="E1755" t="s">
        <v>16</v>
      </c>
      <c r="F1755" t="s">
        <v>17</v>
      </c>
      <c r="H1755" t="s">
        <v>20</v>
      </c>
    </row>
    <row r="1756" spans="1:8">
      <c r="A1756" s="1">
        <f>HYPERLINK("https://cms.ls-nyc.org/matter/dynamic-profile/view/1845272","17-1845272")</f>
        <v>0</v>
      </c>
      <c r="B1756" t="s">
        <v>9</v>
      </c>
      <c r="D1756" t="s">
        <v>15</v>
      </c>
      <c r="E1756" t="s">
        <v>16</v>
      </c>
      <c r="F1756" t="s">
        <v>17</v>
      </c>
      <c r="H1756" t="s">
        <v>20</v>
      </c>
    </row>
    <row r="1757" spans="1:8">
      <c r="A1757" s="1">
        <f>HYPERLINK("https://cms.ls-nyc.org/matter/dynamic-profile/view/0831848","17-0831848")</f>
        <v>0</v>
      </c>
      <c r="B1757" t="s">
        <v>10</v>
      </c>
      <c r="D1757" t="s">
        <v>15</v>
      </c>
      <c r="E1757" t="s">
        <v>16</v>
      </c>
      <c r="H1757" t="s">
        <v>20</v>
      </c>
    </row>
    <row r="1758" spans="1:8">
      <c r="A1758" s="1">
        <f>HYPERLINK("https://cms.ls-nyc.org/matter/dynamic-profile/view/1852140","17-1852140")</f>
        <v>0</v>
      </c>
      <c r="B1758" t="s">
        <v>10</v>
      </c>
      <c r="D1758" t="s">
        <v>15</v>
      </c>
      <c r="E1758" t="s">
        <v>16</v>
      </c>
      <c r="H1758" t="s">
        <v>20</v>
      </c>
    </row>
    <row r="1759" spans="1:8">
      <c r="A1759" s="1">
        <f>HYPERLINK("https://cms.ls-nyc.org/matter/dynamic-profile/view/1855154","18-1855154")</f>
        <v>0</v>
      </c>
      <c r="B1759" t="s">
        <v>12</v>
      </c>
      <c r="D1759" t="s">
        <v>15</v>
      </c>
      <c r="E1759" t="s">
        <v>16</v>
      </c>
      <c r="H1759" t="s">
        <v>20</v>
      </c>
    </row>
    <row r="1760" spans="1:8">
      <c r="A1760" s="1">
        <f>HYPERLINK("https://cms.ls-nyc.org/matter/dynamic-profile/view/1850274","17-1850274")</f>
        <v>0</v>
      </c>
      <c r="B1760" t="s">
        <v>12</v>
      </c>
      <c r="D1760" t="s">
        <v>15</v>
      </c>
      <c r="E1760" t="s">
        <v>16</v>
      </c>
      <c r="H1760" t="s">
        <v>20</v>
      </c>
    </row>
    <row r="1761" spans="1:8">
      <c r="A1761" s="1">
        <f>HYPERLINK("https://cms.ls-nyc.org/matter/dynamic-profile/view/1834572","17-1834572")</f>
        <v>0</v>
      </c>
      <c r="B1761" t="s">
        <v>12</v>
      </c>
      <c r="D1761" t="s">
        <v>15</v>
      </c>
      <c r="E1761" t="s">
        <v>16</v>
      </c>
      <c r="F1761" t="s">
        <v>17</v>
      </c>
      <c r="H1761" t="s">
        <v>20</v>
      </c>
    </row>
    <row r="1762" spans="1:8">
      <c r="A1762" s="1">
        <f>HYPERLINK("https://cms.ls-nyc.org/matter/dynamic-profile/view/1834576","17-1834576")</f>
        <v>0</v>
      </c>
      <c r="B1762" t="s">
        <v>12</v>
      </c>
      <c r="D1762" t="s">
        <v>15</v>
      </c>
      <c r="F1762" t="s">
        <v>17</v>
      </c>
      <c r="H1762" t="s">
        <v>20</v>
      </c>
    </row>
    <row r="1763" spans="1:8">
      <c r="A1763" s="1">
        <f>HYPERLINK("https://cms.ls-nyc.org/matter/dynamic-profile/view/0832586","17-0832586")</f>
        <v>0</v>
      </c>
      <c r="B1763" t="s">
        <v>12</v>
      </c>
      <c r="D1763" t="s">
        <v>15</v>
      </c>
      <c r="E1763" t="s">
        <v>16</v>
      </c>
      <c r="H1763" t="s">
        <v>20</v>
      </c>
    </row>
    <row r="1764" spans="1:8">
      <c r="A1764" s="1">
        <f>HYPERLINK("https://cms.ls-nyc.org/matter/dynamic-profile/view/1879255","18-1879255")</f>
        <v>0</v>
      </c>
      <c r="B1764" t="s">
        <v>9</v>
      </c>
      <c r="H1764" t="s">
        <v>19</v>
      </c>
    </row>
    <row r="1765" spans="1:8">
      <c r="A1765" s="1">
        <f>HYPERLINK("https://cms.ls-nyc.org/matter/dynamic-profile/view/1883419","18-1883419")</f>
        <v>0</v>
      </c>
      <c r="B1765" t="s">
        <v>10</v>
      </c>
      <c r="H1765" t="s">
        <v>19</v>
      </c>
    </row>
    <row r="1766" spans="1:8">
      <c r="A1766" s="1">
        <f>HYPERLINK("https://cms.ls-nyc.org/matter/dynamic-profile/view/1888942","19-1888942")</f>
        <v>0</v>
      </c>
      <c r="B1766" t="s">
        <v>10</v>
      </c>
      <c r="D1766" t="s">
        <v>14</v>
      </c>
      <c r="H1766" t="s">
        <v>20</v>
      </c>
    </row>
    <row r="1767" spans="1:8">
      <c r="A1767" s="1">
        <f>HYPERLINK("https://cms.ls-nyc.org/matter/dynamic-profile/view/1888148","19-1888148")</f>
        <v>0</v>
      </c>
      <c r="B1767" t="s">
        <v>12</v>
      </c>
      <c r="H1767" t="s">
        <v>19</v>
      </c>
    </row>
    <row r="1768" spans="1:8">
      <c r="A1768" s="1">
        <f>HYPERLINK("https://cms.ls-nyc.org/matter/dynamic-profile/view/1894814","19-1894814")</f>
        <v>0</v>
      </c>
      <c r="B1768" t="s">
        <v>11</v>
      </c>
      <c r="D1768" t="s">
        <v>14</v>
      </c>
      <c r="H1768" t="s">
        <v>20</v>
      </c>
    </row>
    <row r="1769" spans="1:8">
      <c r="A1769" s="1">
        <f>HYPERLINK("https://cms.ls-nyc.org/matter/dynamic-profile/view/0827352","17-0827352")</f>
        <v>0</v>
      </c>
      <c r="B1769" t="s">
        <v>12</v>
      </c>
      <c r="D1769" t="s">
        <v>15</v>
      </c>
      <c r="E1769" t="s">
        <v>16</v>
      </c>
      <c r="F1769" t="s">
        <v>17</v>
      </c>
      <c r="H1769" t="s">
        <v>20</v>
      </c>
    </row>
    <row r="1770" spans="1:8">
      <c r="A1770" s="1">
        <f>HYPERLINK("https://cms.ls-nyc.org/matter/dynamic-profile/view/1897637","19-1897637")</f>
        <v>0</v>
      </c>
      <c r="B1770" t="s">
        <v>9</v>
      </c>
      <c r="H1770" t="s">
        <v>19</v>
      </c>
    </row>
    <row r="1771" spans="1:8">
      <c r="A1771" s="1">
        <f>HYPERLINK("https://cms.ls-nyc.org/matter/dynamic-profile/view/1897435","19-1897435")</f>
        <v>0</v>
      </c>
      <c r="B1771" t="s">
        <v>9</v>
      </c>
      <c r="H1771" t="s">
        <v>19</v>
      </c>
    </row>
    <row r="1772" spans="1:8">
      <c r="A1772" s="1">
        <f>HYPERLINK("https://cms.ls-nyc.org/matter/dynamic-profile/view/1897431","19-1897431")</f>
        <v>0</v>
      </c>
      <c r="B1772" t="s">
        <v>9</v>
      </c>
      <c r="H1772" t="s">
        <v>19</v>
      </c>
    </row>
    <row r="1773" spans="1:8">
      <c r="A1773" s="1">
        <f>HYPERLINK("https://cms.ls-nyc.org/matter/dynamic-profile/view/1897447","19-1897447")</f>
        <v>0</v>
      </c>
      <c r="B1773" t="s">
        <v>9</v>
      </c>
      <c r="H1773" t="s">
        <v>19</v>
      </c>
    </row>
    <row r="1774" spans="1:8">
      <c r="A1774" s="1">
        <f>HYPERLINK("https://cms.ls-nyc.org/matter/dynamic-profile/view/1889254","19-1889254")</f>
        <v>0</v>
      </c>
      <c r="B1774" t="s">
        <v>9</v>
      </c>
      <c r="C1774" t="s">
        <v>13</v>
      </c>
      <c r="F1774" t="s">
        <v>17</v>
      </c>
      <c r="H1774" t="s">
        <v>20</v>
      </c>
    </row>
    <row r="1775" spans="1:8">
      <c r="A1775" s="1">
        <f>HYPERLINK("https://cms.ls-nyc.org/matter/dynamic-profile/view/1889208","19-1889208")</f>
        <v>0</v>
      </c>
      <c r="B1775" t="s">
        <v>9</v>
      </c>
      <c r="C1775" t="s">
        <v>13</v>
      </c>
      <c r="F1775" t="s">
        <v>17</v>
      </c>
      <c r="H1775" t="s">
        <v>20</v>
      </c>
    </row>
    <row r="1776" spans="1:8">
      <c r="A1776" s="1">
        <f>HYPERLINK("https://cms.ls-nyc.org/matter/dynamic-profile/view/1895755","19-1895755")</f>
        <v>0</v>
      </c>
      <c r="B1776" t="s">
        <v>12</v>
      </c>
      <c r="H1776" t="s">
        <v>19</v>
      </c>
    </row>
    <row r="1777" spans="1:8">
      <c r="A1777" s="1">
        <f>HYPERLINK("https://cms.ls-nyc.org/matter/dynamic-profile/view/1899749","19-1899749")</f>
        <v>0</v>
      </c>
      <c r="B1777" t="s">
        <v>12</v>
      </c>
      <c r="H1777" t="s">
        <v>19</v>
      </c>
    </row>
    <row r="1778" spans="1:8">
      <c r="A1778" s="1">
        <f>HYPERLINK("https://cms.ls-nyc.org/matter/dynamic-profile/view/1841631","17-1841631")</f>
        <v>0</v>
      </c>
      <c r="B1778" t="s">
        <v>9</v>
      </c>
      <c r="D1778" t="s">
        <v>15</v>
      </c>
      <c r="E1778" t="s">
        <v>16</v>
      </c>
      <c r="H1778" t="s">
        <v>20</v>
      </c>
    </row>
    <row r="1779" spans="1:8">
      <c r="A1779" s="1">
        <f>HYPERLINK("https://cms.ls-nyc.org/matter/dynamic-profile/view/0764880","14-0764880")</f>
        <v>0</v>
      </c>
      <c r="B1779" t="s">
        <v>12</v>
      </c>
      <c r="C1779" t="s">
        <v>13</v>
      </c>
      <c r="D1779" t="s">
        <v>14</v>
      </c>
      <c r="E1779" t="s">
        <v>16</v>
      </c>
      <c r="H1779" t="s">
        <v>20</v>
      </c>
    </row>
    <row r="1780" spans="1:8">
      <c r="A1780" s="1">
        <f>HYPERLINK("https://cms.ls-nyc.org/matter/dynamic-profile/view/1900474","19-1900474")</f>
        <v>0</v>
      </c>
      <c r="B1780" t="s">
        <v>12</v>
      </c>
      <c r="H1780" t="s">
        <v>19</v>
      </c>
    </row>
    <row r="1781" spans="1:8">
      <c r="A1781" s="1">
        <f>HYPERLINK("https://cms.ls-nyc.org/matter/dynamic-profile/view/0781883","15-0781883")</f>
        <v>0</v>
      </c>
      <c r="B1781" t="s">
        <v>8</v>
      </c>
      <c r="D1781" t="s">
        <v>15</v>
      </c>
      <c r="E1781" t="s">
        <v>16</v>
      </c>
      <c r="H1781" t="s">
        <v>20</v>
      </c>
    </row>
    <row r="1782" spans="1:8">
      <c r="A1782" s="1">
        <f>HYPERLINK("https://cms.ls-nyc.org/matter/dynamic-profile/view/1872507","18-1872507")</f>
        <v>0</v>
      </c>
      <c r="B1782" t="s">
        <v>11</v>
      </c>
      <c r="H1782" t="s">
        <v>19</v>
      </c>
    </row>
    <row r="1783" spans="1:8">
      <c r="A1783" s="1">
        <f>HYPERLINK("https://cms.ls-nyc.org/matter/dynamic-profile/view/1885059","18-1885059")</f>
        <v>0</v>
      </c>
      <c r="B1783" t="s">
        <v>9</v>
      </c>
      <c r="H1783" t="s">
        <v>19</v>
      </c>
    </row>
    <row r="1784" spans="1:8">
      <c r="A1784" s="1">
        <f>HYPERLINK("https://cms.ls-nyc.org/matter/dynamic-profile/view/1878390","18-1878390")</f>
        <v>0</v>
      </c>
      <c r="B1784" t="s">
        <v>12</v>
      </c>
      <c r="H1784" t="s">
        <v>19</v>
      </c>
    </row>
    <row r="1785" spans="1:8">
      <c r="A1785" s="1">
        <f>HYPERLINK("https://cms.ls-nyc.org/matter/dynamic-profile/view/1836411","17-1836411")</f>
        <v>0</v>
      </c>
      <c r="B1785" t="s">
        <v>12</v>
      </c>
      <c r="D1785" t="s">
        <v>15</v>
      </c>
      <c r="E1785" t="s">
        <v>16</v>
      </c>
      <c r="H1785" t="s">
        <v>20</v>
      </c>
    </row>
    <row r="1786" spans="1:8">
      <c r="A1786" s="1">
        <f>HYPERLINK("https://cms.ls-nyc.org/matter/dynamic-profile/view/1884756","18-1884756")</f>
        <v>0</v>
      </c>
      <c r="B1786" t="s">
        <v>9</v>
      </c>
      <c r="H1786" t="s">
        <v>19</v>
      </c>
    </row>
    <row r="1787" spans="1:8">
      <c r="A1787" s="1">
        <f>HYPERLINK("https://cms.ls-nyc.org/matter/dynamic-profile/view/1880540","18-1880540")</f>
        <v>0</v>
      </c>
      <c r="B1787" t="s">
        <v>10</v>
      </c>
      <c r="H1787" t="s">
        <v>19</v>
      </c>
    </row>
    <row r="1788" spans="1:8">
      <c r="A1788" s="1">
        <f>HYPERLINK("https://cms.ls-nyc.org/matter/dynamic-profile/view/1901270","19-1901270")</f>
        <v>0</v>
      </c>
      <c r="B1788" t="s">
        <v>12</v>
      </c>
      <c r="C1788" t="s">
        <v>13</v>
      </c>
      <c r="D1788" t="s">
        <v>15</v>
      </c>
      <c r="E1788" t="s">
        <v>16</v>
      </c>
      <c r="H1788" t="s">
        <v>20</v>
      </c>
    </row>
    <row r="1789" spans="1:8">
      <c r="A1789" s="1">
        <f>HYPERLINK("https://cms.ls-nyc.org/matter/dynamic-profile/view/1888678","19-1888678")</f>
        <v>0</v>
      </c>
      <c r="B1789" t="s">
        <v>12</v>
      </c>
      <c r="H1789" t="s">
        <v>19</v>
      </c>
    </row>
    <row r="1790" spans="1:8">
      <c r="A1790" s="1">
        <f>HYPERLINK("https://cms.ls-nyc.org/matter/dynamic-profile/view/1897751","19-1897751")</f>
        <v>0</v>
      </c>
      <c r="B1790" t="s">
        <v>12</v>
      </c>
      <c r="H1790" t="s">
        <v>19</v>
      </c>
    </row>
    <row r="1791" spans="1:8">
      <c r="A1791" s="1">
        <f>HYPERLINK("https://cms.ls-nyc.org/matter/dynamic-profile/view/0822169","16-0822169")</f>
        <v>0</v>
      </c>
      <c r="B1791" t="s">
        <v>10</v>
      </c>
      <c r="D1791" t="s">
        <v>15</v>
      </c>
      <c r="E1791" t="s">
        <v>16</v>
      </c>
      <c r="H1791" t="s">
        <v>20</v>
      </c>
    </row>
    <row r="1792" spans="1:8">
      <c r="A1792" s="1">
        <f>HYPERLINK("https://cms.ls-nyc.org/matter/dynamic-profile/view/0815687","16-0815687")</f>
        <v>0</v>
      </c>
      <c r="B1792" t="s">
        <v>10</v>
      </c>
      <c r="D1792" t="s">
        <v>15</v>
      </c>
      <c r="E1792" t="s">
        <v>16</v>
      </c>
      <c r="H1792" t="s">
        <v>20</v>
      </c>
    </row>
    <row r="1793" spans="1:8">
      <c r="A1793" s="1">
        <f>HYPERLINK("https://cms.ls-nyc.org/matter/dynamic-profile/view/0803493","16-0803493")</f>
        <v>0</v>
      </c>
      <c r="B1793" t="s">
        <v>10</v>
      </c>
      <c r="D1793" t="s">
        <v>15</v>
      </c>
      <c r="E1793" t="s">
        <v>16</v>
      </c>
      <c r="H1793" t="s">
        <v>20</v>
      </c>
    </row>
    <row r="1794" spans="1:8">
      <c r="A1794" s="1">
        <f>HYPERLINK("https://cms.ls-nyc.org/matter/dynamic-profile/view/0820935","16-0820935")</f>
        <v>0</v>
      </c>
      <c r="B1794" t="s">
        <v>9</v>
      </c>
      <c r="D1794" t="s">
        <v>15</v>
      </c>
      <c r="E1794" t="s">
        <v>16</v>
      </c>
      <c r="H1794" t="s">
        <v>20</v>
      </c>
    </row>
    <row r="1795" spans="1:8">
      <c r="A1795" s="1">
        <f>HYPERLINK("https://cms.ls-nyc.org/matter/dynamic-profile/view/1859934","18-1859934")</f>
        <v>0</v>
      </c>
      <c r="B1795" t="s">
        <v>9</v>
      </c>
      <c r="D1795" t="s">
        <v>15</v>
      </c>
      <c r="E1795" t="s">
        <v>16</v>
      </c>
      <c r="H1795" t="s">
        <v>20</v>
      </c>
    </row>
    <row r="1796" spans="1:8">
      <c r="A1796" s="1">
        <f>HYPERLINK("https://cms.ls-nyc.org/matter/dynamic-profile/view/1860641","18-1860641")</f>
        <v>0</v>
      </c>
      <c r="B1796" t="s">
        <v>10</v>
      </c>
      <c r="D1796" t="s">
        <v>15</v>
      </c>
      <c r="E1796" t="s">
        <v>16</v>
      </c>
      <c r="H1796" t="s">
        <v>20</v>
      </c>
    </row>
    <row r="1797" spans="1:8">
      <c r="A1797" s="1">
        <f>HYPERLINK("https://cms.ls-nyc.org/matter/dynamic-profile/view/1891647","19-1891647")</f>
        <v>0</v>
      </c>
      <c r="B1797" t="s">
        <v>8</v>
      </c>
      <c r="H1797" t="s">
        <v>19</v>
      </c>
    </row>
    <row r="1798" spans="1:8">
      <c r="A1798" s="1">
        <f>HYPERLINK("https://cms.ls-nyc.org/matter/dynamic-profile/view/1863498","18-1863498")</f>
        <v>0</v>
      </c>
      <c r="B1798" t="s">
        <v>9</v>
      </c>
      <c r="H1798" t="s">
        <v>19</v>
      </c>
    </row>
    <row r="1799" spans="1:8">
      <c r="A1799" s="1">
        <f>HYPERLINK("https://cms.ls-nyc.org/matter/dynamic-profile/view/1869703","18-1869703")</f>
        <v>0</v>
      </c>
      <c r="B1799" t="s">
        <v>9</v>
      </c>
      <c r="C1799" t="s">
        <v>13</v>
      </c>
      <c r="D1799" t="s">
        <v>14</v>
      </c>
      <c r="E1799" t="s">
        <v>16</v>
      </c>
      <c r="G1799" t="s">
        <v>18</v>
      </c>
      <c r="H1799" t="s">
        <v>20</v>
      </c>
    </row>
    <row r="1800" spans="1:8">
      <c r="A1800" s="1">
        <f>HYPERLINK("https://cms.ls-nyc.org/matter/dynamic-profile/view/1882018","18-1882018")</f>
        <v>0</v>
      </c>
      <c r="B1800" t="s">
        <v>9</v>
      </c>
      <c r="C1800" t="s">
        <v>13</v>
      </c>
      <c r="D1800" t="s">
        <v>14</v>
      </c>
      <c r="E1800" t="s">
        <v>16</v>
      </c>
      <c r="G1800" t="s">
        <v>18</v>
      </c>
      <c r="H1800" t="s">
        <v>20</v>
      </c>
    </row>
    <row r="1801" spans="1:8">
      <c r="A1801" s="1">
        <f>HYPERLINK("https://cms.ls-nyc.org/matter/dynamic-profile/view/1885507","18-1885507")</f>
        <v>0</v>
      </c>
      <c r="B1801" t="s">
        <v>10</v>
      </c>
      <c r="H1801" t="s">
        <v>19</v>
      </c>
    </row>
    <row r="1802" spans="1:8">
      <c r="A1802" s="1">
        <f>HYPERLINK("https://cms.ls-nyc.org/matter/dynamic-profile/view/1879909","18-1879909")</f>
        <v>0</v>
      </c>
      <c r="B1802" t="s">
        <v>12</v>
      </c>
      <c r="E1802" t="s">
        <v>16</v>
      </c>
      <c r="H1802" t="s">
        <v>20</v>
      </c>
    </row>
    <row r="1803" spans="1:8">
      <c r="A1803" s="1">
        <f>HYPERLINK("https://cms.ls-nyc.org/matter/dynamic-profile/view/1863774","18-1863774")</f>
        <v>0</v>
      </c>
      <c r="B1803" t="s">
        <v>12</v>
      </c>
      <c r="D1803" t="s">
        <v>15</v>
      </c>
      <c r="E1803" t="s">
        <v>16</v>
      </c>
      <c r="H1803" t="s">
        <v>20</v>
      </c>
    </row>
    <row r="1804" spans="1:8">
      <c r="A1804" s="1">
        <f>HYPERLINK("https://cms.ls-nyc.org/matter/dynamic-profile/view/1863789","18-1863789")</f>
        <v>0</v>
      </c>
      <c r="B1804" t="s">
        <v>12</v>
      </c>
      <c r="D1804" t="s">
        <v>15</v>
      </c>
      <c r="E1804" t="s">
        <v>16</v>
      </c>
      <c r="H1804" t="s">
        <v>20</v>
      </c>
    </row>
    <row r="1805" spans="1:8">
      <c r="A1805" s="1">
        <f>HYPERLINK("https://cms.ls-nyc.org/matter/dynamic-profile/view/1863764","18-1863764")</f>
        <v>0</v>
      </c>
      <c r="B1805" t="s">
        <v>12</v>
      </c>
      <c r="D1805" t="s">
        <v>15</v>
      </c>
      <c r="F1805" t="s">
        <v>17</v>
      </c>
      <c r="H1805" t="s">
        <v>20</v>
      </c>
    </row>
    <row r="1806" spans="1:8">
      <c r="A1806" s="1">
        <f>HYPERLINK("https://cms.ls-nyc.org/matter/dynamic-profile/view/1890347","19-1890347")</f>
        <v>0</v>
      </c>
      <c r="B1806" t="s">
        <v>10</v>
      </c>
      <c r="F1806" t="s">
        <v>17</v>
      </c>
      <c r="H1806" t="s">
        <v>20</v>
      </c>
    </row>
    <row r="1807" spans="1:8">
      <c r="A1807" s="1">
        <f>HYPERLINK("https://cms.ls-nyc.org/matter/dynamic-profile/view/1855977","18-1855977")</f>
        <v>0</v>
      </c>
      <c r="B1807" t="s">
        <v>10</v>
      </c>
      <c r="D1807" t="s">
        <v>15</v>
      </c>
      <c r="E1807" t="s">
        <v>16</v>
      </c>
      <c r="H1807" t="s">
        <v>20</v>
      </c>
    </row>
    <row r="1808" spans="1:8">
      <c r="A1808" s="1">
        <f>HYPERLINK("https://cms.ls-nyc.org/matter/dynamic-profile/view/0799511","16-0799511")</f>
        <v>0</v>
      </c>
      <c r="B1808" t="s">
        <v>9</v>
      </c>
      <c r="C1808" t="s">
        <v>13</v>
      </c>
      <c r="D1808" t="s">
        <v>15</v>
      </c>
      <c r="E1808" t="s">
        <v>16</v>
      </c>
      <c r="H1808" t="s">
        <v>20</v>
      </c>
    </row>
    <row r="1809" spans="1:8">
      <c r="A1809" s="1">
        <f>HYPERLINK("https://cms.ls-nyc.org/matter/dynamic-profile/view/1891702","19-1891702")</f>
        <v>0</v>
      </c>
      <c r="B1809" t="s">
        <v>9</v>
      </c>
      <c r="H1809" t="s">
        <v>19</v>
      </c>
    </row>
    <row r="1810" spans="1:8">
      <c r="A1810" s="1">
        <f>HYPERLINK("https://cms.ls-nyc.org/matter/dynamic-profile/view/0825897","17-0825897")</f>
        <v>0</v>
      </c>
      <c r="B1810" t="s">
        <v>12</v>
      </c>
      <c r="D1810" t="s">
        <v>15</v>
      </c>
      <c r="E1810" t="s">
        <v>16</v>
      </c>
      <c r="H1810" t="s">
        <v>20</v>
      </c>
    </row>
    <row r="1811" spans="1:8">
      <c r="A1811" s="1">
        <f>HYPERLINK("https://cms.ls-nyc.org/matter/dynamic-profile/view/1876453","18-1876453")</f>
        <v>0</v>
      </c>
      <c r="B1811" t="s">
        <v>10</v>
      </c>
      <c r="H1811" t="s">
        <v>19</v>
      </c>
    </row>
    <row r="1812" spans="1:8">
      <c r="A1812" s="1">
        <f>HYPERLINK("https://cms.ls-nyc.org/matter/dynamic-profile/view/1880585","18-1880585")</f>
        <v>0</v>
      </c>
      <c r="B1812" t="s">
        <v>10</v>
      </c>
      <c r="H1812" t="s">
        <v>19</v>
      </c>
    </row>
    <row r="1813" spans="1:8">
      <c r="A1813" s="1">
        <f>HYPERLINK("https://cms.ls-nyc.org/matter/dynamic-profile/view/1860321","18-1860321")</f>
        <v>0</v>
      </c>
      <c r="B1813" t="s">
        <v>12</v>
      </c>
      <c r="D1813" t="s">
        <v>15</v>
      </c>
      <c r="E1813" t="s">
        <v>16</v>
      </c>
      <c r="H1813" t="s">
        <v>20</v>
      </c>
    </row>
    <row r="1814" spans="1:8">
      <c r="A1814" s="1">
        <f>HYPERLINK("https://cms.ls-nyc.org/matter/dynamic-profile/view/1881019","18-1881019")</f>
        <v>0</v>
      </c>
      <c r="B1814" t="s">
        <v>10</v>
      </c>
      <c r="C1814" t="s">
        <v>13</v>
      </c>
      <c r="D1814" t="s">
        <v>14</v>
      </c>
      <c r="H1814" t="s">
        <v>20</v>
      </c>
    </row>
    <row r="1815" spans="1:8">
      <c r="A1815" s="1">
        <f>HYPERLINK("https://cms.ls-nyc.org/matter/dynamic-profile/view/1836398","17-1836398")</f>
        <v>0</v>
      </c>
      <c r="B1815" t="s">
        <v>12</v>
      </c>
      <c r="C1815" t="s">
        <v>13</v>
      </c>
      <c r="D1815" t="s">
        <v>15</v>
      </c>
      <c r="E1815" t="s">
        <v>16</v>
      </c>
      <c r="H1815" t="s">
        <v>20</v>
      </c>
    </row>
    <row r="1816" spans="1:8">
      <c r="A1816" s="1">
        <f>HYPERLINK("https://cms.ls-nyc.org/matter/dynamic-profile/view/1882312","18-1882312")</f>
        <v>0</v>
      </c>
      <c r="B1816" t="s">
        <v>9</v>
      </c>
      <c r="H1816" t="s">
        <v>19</v>
      </c>
    </row>
    <row r="1817" spans="1:8">
      <c r="A1817" s="1">
        <f>HYPERLINK("https://cms.ls-nyc.org/matter/dynamic-profile/view/1888883","19-1888883")</f>
        <v>0</v>
      </c>
      <c r="B1817" t="s">
        <v>11</v>
      </c>
      <c r="H1817" t="s">
        <v>19</v>
      </c>
    </row>
    <row r="1818" spans="1:8">
      <c r="A1818" s="1">
        <f>HYPERLINK("https://cms.ls-nyc.org/matter/dynamic-profile/view/1885402","18-1885402")</f>
        <v>0</v>
      </c>
      <c r="B1818" t="s">
        <v>10</v>
      </c>
      <c r="H1818" t="s">
        <v>19</v>
      </c>
    </row>
    <row r="1819" spans="1:8">
      <c r="A1819" s="1">
        <f>HYPERLINK("https://cms.ls-nyc.org/matter/dynamic-profile/view/1887528","19-1887528")</f>
        <v>0</v>
      </c>
      <c r="B1819" t="s">
        <v>10</v>
      </c>
      <c r="H1819" t="s">
        <v>19</v>
      </c>
    </row>
    <row r="1820" spans="1:8">
      <c r="A1820" s="1">
        <f>HYPERLINK("https://cms.ls-nyc.org/matter/dynamic-profile/view/0793777","15-0793777")</f>
        <v>0</v>
      </c>
      <c r="B1820" t="s">
        <v>12</v>
      </c>
      <c r="C1820" t="s">
        <v>13</v>
      </c>
      <c r="D1820" t="s">
        <v>14</v>
      </c>
      <c r="E1820" t="s">
        <v>16</v>
      </c>
      <c r="H1820" t="s">
        <v>20</v>
      </c>
    </row>
    <row r="1821" spans="1:8">
      <c r="A1821" s="1">
        <f>HYPERLINK("https://cms.ls-nyc.org/matter/dynamic-profile/view/1882154","18-1882154")</f>
        <v>0</v>
      </c>
      <c r="B1821" t="s">
        <v>9</v>
      </c>
      <c r="F1821" t="s">
        <v>17</v>
      </c>
      <c r="H1821" t="s">
        <v>20</v>
      </c>
    </row>
    <row r="1822" spans="1:8">
      <c r="A1822" s="1">
        <f>HYPERLINK("https://cms.ls-nyc.org/matter/dynamic-profile/view/1873452","18-1873452")</f>
        <v>0</v>
      </c>
      <c r="B1822" t="s">
        <v>9</v>
      </c>
      <c r="H1822" t="s">
        <v>19</v>
      </c>
    </row>
    <row r="1823" spans="1:8">
      <c r="A1823" s="1">
        <f>HYPERLINK("https://cms.ls-nyc.org/matter/dynamic-profile/view/1860866","18-1860866")</f>
        <v>0</v>
      </c>
      <c r="B1823" t="s">
        <v>10</v>
      </c>
      <c r="D1823" t="s">
        <v>15</v>
      </c>
      <c r="E1823" t="s">
        <v>16</v>
      </c>
      <c r="H1823" t="s">
        <v>20</v>
      </c>
    </row>
    <row r="1824" spans="1:8">
      <c r="A1824" s="1">
        <f>HYPERLINK("https://cms.ls-nyc.org/matter/dynamic-profile/view/1835851","17-1835851")</f>
        <v>0</v>
      </c>
      <c r="B1824" t="s">
        <v>10</v>
      </c>
      <c r="D1824" t="s">
        <v>15</v>
      </c>
      <c r="E1824" t="s">
        <v>16</v>
      </c>
      <c r="H1824" t="s">
        <v>20</v>
      </c>
    </row>
    <row r="1825" spans="1:8">
      <c r="A1825" s="1">
        <f>HYPERLINK("https://cms.ls-nyc.org/matter/dynamic-profile/view/1835019","17-1835019")</f>
        <v>0</v>
      </c>
      <c r="B1825" t="s">
        <v>12</v>
      </c>
      <c r="D1825" t="s">
        <v>15</v>
      </c>
      <c r="E1825" t="s">
        <v>16</v>
      </c>
      <c r="H1825" t="s">
        <v>20</v>
      </c>
    </row>
    <row r="1826" spans="1:8">
      <c r="A1826" s="1">
        <f>HYPERLINK("https://cms.ls-nyc.org/matter/dynamic-profile/view/1834655","17-1834655")</f>
        <v>0</v>
      </c>
      <c r="B1826" t="s">
        <v>12</v>
      </c>
      <c r="D1826" t="s">
        <v>15</v>
      </c>
      <c r="E1826" t="s">
        <v>16</v>
      </c>
      <c r="H1826" t="s">
        <v>20</v>
      </c>
    </row>
    <row r="1827" spans="1:8">
      <c r="A1827" s="1">
        <f>HYPERLINK("https://cms.ls-nyc.org/matter/dynamic-profile/view/1885922","18-1885922")</f>
        <v>0</v>
      </c>
      <c r="B1827" t="s">
        <v>10</v>
      </c>
      <c r="H1827" t="s">
        <v>19</v>
      </c>
    </row>
    <row r="1828" spans="1:8">
      <c r="A1828" s="1">
        <f>HYPERLINK("https://cms.ls-nyc.org/matter/dynamic-profile/view/1867624","18-1867624")</f>
        <v>0</v>
      </c>
      <c r="B1828" t="s">
        <v>12</v>
      </c>
      <c r="D1828" t="s">
        <v>15</v>
      </c>
      <c r="H1828" t="s">
        <v>20</v>
      </c>
    </row>
    <row r="1829" spans="1:8">
      <c r="A1829" s="1">
        <f>HYPERLINK("https://cms.ls-nyc.org/matter/dynamic-profile/view/1891056","19-1891056")</f>
        <v>0</v>
      </c>
      <c r="B1829" t="s">
        <v>9</v>
      </c>
      <c r="H1829" t="s">
        <v>19</v>
      </c>
    </row>
    <row r="1830" spans="1:8">
      <c r="A1830" s="1">
        <f>HYPERLINK("https://cms.ls-nyc.org/matter/dynamic-profile/view/1893447","19-1893447")</f>
        <v>0</v>
      </c>
      <c r="B1830" t="s">
        <v>9</v>
      </c>
      <c r="H1830" t="s">
        <v>19</v>
      </c>
    </row>
    <row r="1831" spans="1:8">
      <c r="A1831" s="1">
        <f>HYPERLINK("https://cms.ls-nyc.org/matter/dynamic-profile/view/1893451","19-1893451")</f>
        <v>0</v>
      </c>
      <c r="B1831" t="s">
        <v>9</v>
      </c>
      <c r="F1831" t="s">
        <v>17</v>
      </c>
      <c r="H1831" t="s">
        <v>20</v>
      </c>
    </row>
    <row r="1832" spans="1:8">
      <c r="A1832" s="1">
        <f>HYPERLINK("https://cms.ls-nyc.org/matter/dynamic-profile/view/1891194","19-1891194")</f>
        <v>0</v>
      </c>
      <c r="B1832" t="s">
        <v>9</v>
      </c>
      <c r="C1832" t="s">
        <v>13</v>
      </c>
      <c r="D1832" t="s">
        <v>14</v>
      </c>
      <c r="E1832" t="s">
        <v>16</v>
      </c>
      <c r="G1832" t="s">
        <v>18</v>
      </c>
      <c r="H1832" t="s">
        <v>20</v>
      </c>
    </row>
    <row r="1833" spans="1:8">
      <c r="A1833" s="1">
        <f>HYPERLINK("https://cms.ls-nyc.org/matter/dynamic-profile/view/1900129","19-1900129")</f>
        <v>0</v>
      </c>
      <c r="B1833" t="s">
        <v>10</v>
      </c>
      <c r="D1833" t="s">
        <v>14</v>
      </c>
      <c r="H1833" t="s">
        <v>20</v>
      </c>
    </row>
    <row r="1834" spans="1:8">
      <c r="A1834" s="1">
        <f>HYPERLINK("https://cms.ls-nyc.org/matter/dynamic-profile/view/1896223","19-1896223")</f>
        <v>0</v>
      </c>
      <c r="B1834" t="s">
        <v>10</v>
      </c>
      <c r="C1834" t="s">
        <v>13</v>
      </c>
      <c r="D1834" t="s">
        <v>14</v>
      </c>
      <c r="E1834" t="s">
        <v>16</v>
      </c>
      <c r="G1834" t="s">
        <v>18</v>
      </c>
      <c r="H1834" t="s">
        <v>20</v>
      </c>
    </row>
    <row r="1835" spans="1:8">
      <c r="A1835" s="1">
        <f>HYPERLINK("https://cms.ls-nyc.org/matter/dynamic-profile/view/1891410","19-1891410")</f>
        <v>0</v>
      </c>
      <c r="B1835" t="s">
        <v>10</v>
      </c>
      <c r="D1835" t="s">
        <v>14</v>
      </c>
      <c r="H1835" t="s">
        <v>20</v>
      </c>
    </row>
    <row r="1836" spans="1:8">
      <c r="A1836" s="1">
        <f>HYPERLINK("https://cms.ls-nyc.org/matter/dynamic-profile/view/1891409","19-1891409")</f>
        <v>0</v>
      </c>
      <c r="B1836" t="s">
        <v>10</v>
      </c>
      <c r="H1836" t="s">
        <v>19</v>
      </c>
    </row>
    <row r="1837" spans="1:8">
      <c r="A1837" s="1">
        <f>HYPERLINK("https://cms.ls-nyc.org/matter/dynamic-profile/view/0797954","16-0797954")</f>
        <v>0</v>
      </c>
      <c r="B1837" t="s">
        <v>9</v>
      </c>
      <c r="D1837" t="s">
        <v>15</v>
      </c>
      <c r="E1837" t="s">
        <v>16</v>
      </c>
      <c r="H1837" t="s">
        <v>20</v>
      </c>
    </row>
    <row r="1838" spans="1:8">
      <c r="A1838" s="1">
        <f>HYPERLINK("https://cms.ls-nyc.org/matter/dynamic-profile/view/1899868","19-1899868")</f>
        <v>0</v>
      </c>
      <c r="B1838" t="s">
        <v>10</v>
      </c>
      <c r="D1838" t="s">
        <v>14</v>
      </c>
      <c r="H1838" t="s">
        <v>20</v>
      </c>
    </row>
    <row r="1839" spans="1:8">
      <c r="A1839" s="1">
        <f>HYPERLINK("https://cms.ls-nyc.org/matter/dynamic-profile/view/1898061","19-1898061")</f>
        <v>0</v>
      </c>
      <c r="B1839" t="s">
        <v>8</v>
      </c>
      <c r="H1839" t="s">
        <v>19</v>
      </c>
    </row>
    <row r="1840" spans="1:8">
      <c r="A1840" s="1">
        <f>HYPERLINK("https://cms.ls-nyc.org/matter/dynamic-profile/view/1893170","19-1893170")</f>
        <v>0</v>
      </c>
      <c r="B1840" t="s">
        <v>12</v>
      </c>
      <c r="H1840" t="s">
        <v>19</v>
      </c>
    </row>
    <row r="1841" spans="1:8">
      <c r="A1841" s="1">
        <f>HYPERLINK("https://cms.ls-nyc.org/matter/dynamic-profile/view/0832329","17-0832329")</f>
        <v>0</v>
      </c>
      <c r="B1841" t="s">
        <v>9</v>
      </c>
      <c r="D1841" t="s">
        <v>15</v>
      </c>
      <c r="E1841" t="s">
        <v>16</v>
      </c>
      <c r="H1841" t="s">
        <v>20</v>
      </c>
    </row>
    <row r="1842" spans="1:8">
      <c r="A1842" s="1">
        <f>HYPERLINK("https://cms.ls-nyc.org/matter/dynamic-profile/view/1836256","17-1836256")</f>
        <v>0</v>
      </c>
      <c r="B1842" t="s">
        <v>9</v>
      </c>
      <c r="D1842" t="s">
        <v>15</v>
      </c>
      <c r="E1842" t="s">
        <v>16</v>
      </c>
      <c r="H1842" t="s">
        <v>20</v>
      </c>
    </row>
    <row r="1843" spans="1:8">
      <c r="A1843" s="1">
        <f>HYPERLINK("https://cms.ls-nyc.org/matter/dynamic-profile/view/1838878","17-1838878")</f>
        <v>0</v>
      </c>
      <c r="B1843" t="s">
        <v>10</v>
      </c>
      <c r="D1843" t="s">
        <v>15</v>
      </c>
      <c r="E1843" t="s">
        <v>16</v>
      </c>
      <c r="H1843" t="s">
        <v>20</v>
      </c>
    </row>
    <row r="1844" spans="1:8">
      <c r="A1844" s="1">
        <f>HYPERLINK("https://cms.ls-nyc.org/matter/dynamic-profile/view/1852358","17-1852358")</f>
        <v>0</v>
      </c>
      <c r="B1844" t="s">
        <v>10</v>
      </c>
      <c r="D1844" t="s">
        <v>15</v>
      </c>
      <c r="E1844" t="s">
        <v>16</v>
      </c>
      <c r="H1844" t="s">
        <v>20</v>
      </c>
    </row>
    <row r="1845" spans="1:8">
      <c r="A1845" s="1">
        <f>HYPERLINK("https://cms.ls-nyc.org/matter/dynamic-profile/view/1844283","17-1844283")</f>
        <v>0</v>
      </c>
      <c r="B1845" t="s">
        <v>12</v>
      </c>
      <c r="D1845" t="s">
        <v>15</v>
      </c>
      <c r="E1845" t="s">
        <v>16</v>
      </c>
      <c r="H1845" t="s">
        <v>20</v>
      </c>
    </row>
    <row r="1846" spans="1:8">
      <c r="A1846" s="1">
        <f>HYPERLINK("https://cms.ls-nyc.org/matter/dynamic-profile/view/1839731","17-1839731")</f>
        <v>0</v>
      </c>
      <c r="B1846" t="s">
        <v>12</v>
      </c>
      <c r="D1846" t="s">
        <v>15</v>
      </c>
      <c r="E1846" t="s">
        <v>16</v>
      </c>
      <c r="H1846" t="s">
        <v>20</v>
      </c>
    </row>
    <row r="1847" spans="1:8">
      <c r="A1847" s="1">
        <f>HYPERLINK("https://cms.ls-nyc.org/matter/dynamic-profile/view/1879584","18-1879584")</f>
        <v>0</v>
      </c>
      <c r="B1847" t="s">
        <v>9</v>
      </c>
      <c r="F1847" t="s">
        <v>17</v>
      </c>
      <c r="H1847" t="s">
        <v>20</v>
      </c>
    </row>
    <row r="1848" spans="1:8">
      <c r="A1848" s="1">
        <f>HYPERLINK("https://cms.ls-nyc.org/matter/dynamic-profile/view/1864503","18-1864503")</f>
        <v>0</v>
      </c>
      <c r="B1848" t="s">
        <v>12</v>
      </c>
      <c r="D1848" t="s">
        <v>15</v>
      </c>
      <c r="H1848" t="s">
        <v>20</v>
      </c>
    </row>
    <row r="1849" spans="1:8">
      <c r="A1849" s="1">
        <f>HYPERLINK("https://cms.ls-nyc.org/matter/dynamic-profile/view/0826379","17-0826379")</f>
        <v>0</v>
      </c>
      <c r="B1849" t="s">
        <v>9</v>
      </c>
      <c r="D1849" t="s">
        <v>14</v>
      </c>
      <c r="E1849" t="s">
        <v>16</v>
      </c>
      <c r="H1849" t="s">
        <v>20</v>
      </c>
    </row>
    <row r="1850" spans="1:8">
      <c r="A1850" s="1">
        <f>HYPERLINK("https://cms.ls-nyc.org/matter/dynamic-profile/view/1885575","18-1885575")</f>
        <v>0</v>
      </c>
      <c r="B1850" t="s">
        <v>10</v>
      </c>
      <c r="H1850" t="s">
        <v>19</v>
      </c>
    </row>
    <row r="1851" spans="1:8">
      <c r="A1851" s="1">
        <f>HYPERLINK("https://cms.ls-nyc.org/matter/dynamic-profile/view/1880671","18-1880671")</f>
        <v>0</v>
      </c>
      <c r="B1851" t="s">
        <v>10</v>
      </c>
      <c r="H1851" t="s">
        <v>19</v>
      </c>
    </row>
    <row r="1852" spans="1:8">
      <c r="A1852" s="1">
        <f>HYPERLINK("https://cms.ls-nyc.org/matter/dynamic-profile/view/1880819","18-1880819")</f>
        <v>0</v>
      </c>
      <c r="B1852" t="s">
        <v>10</v>
      </c>
      <c r="H1852" t="s">
        <v>19</v>
      </c>
    </row>
    <row r="1853" spans="1:8">
      <c r="A1853" s="1">
        <f>HYPERLINK("https://cms.ls-nyc.org/matter/dynamic-profile/view/1888441","19-1888441")</f>
        <v>0</v>
      </c>
      <c r="B1853" t="s">
        <v>10</v>
      </c>
      <c r="D1853" t="s">
        <v>14</v>
      </c>
      <c r="H1853" t="s">
        <v>20</v>
      </c>
    </row>
    <row r="1854" spans="1:8">
      <c r="A1854" s="1">
        <f>HYPERLINK("https://cms.ls-nyc.org/matter/dynamic-profile/view/1859912","18-1859912")</f>
        <v>0</v>
      </c>
      <c r="B1854" t="s">
        <v>9</v>
      </c>
      <c r="C1854" t="s">
        <v>13</v>
      </c>
      <c r="D1854" t="s">
        <v>15</v>
      </c>
      <c r="E1854" t="s">
        <v>16</v>
      </c>
      <c r="F1854" t="s">
        <v>17</v>
      </c>
      <c r="H1854" t="s">
        <v>20</v>
      </c>
    </row>
    <row r="1855" spans="1:8">
      <c r="A1855" s="1">
        <f>HYPERLINK("https://cms.ls-nyc.org/matter/dynamic-profile/view/0812555","16-0812555")</f>
        <v>0</v>
      </c>
      <c r="B1855" t="s">
        <v>10</v>
      </c>
      <c r="D1855" t="s">
        <v>15</v>
      </c>
      <c r="E1855" t="s">
        <v>16</v>
      </c>
      <c r="H1855" t="s">
        <v>20</v>
      </c>
    </row>
    <row r="1856" spans="1:8">
      <c r="A1856" s="1">
        <f>HYPERLINK("https://cms.ls-nyc.org/matter/dynamic-profile/view/1882204","18-1882204")</f>
        <v>0</v>
      </c>
      <c r="B1856" t="s">
        <v>9</v>
      </c>
      <c r="H1856" t="s">
        <v>19</v>
      </c>
    </row>
    <row r="1857" spans="1:8">
      <c r="A1857" s="1">
        <f>HYPERLINK("https://cms.ls-nyc.org/matter/dynamic-profile/view/1882518","18-1882518")</f>
        <v>0</v>
      </c>
      <c r="B1857" t="s">
        <v>9</v>
      </c>
      <c r="H1857" t="s">
        <v>19</v>
      </c>
    </row>
    <row r="1858" spans="1:8">
      <c r="A1858" s="1">
        <f>HYPERLINK("https://cms.ls-nyc.org/matter/dynamic-profile/view/1885719","18-1885719")</f>
        <v>0</v>
      </c>
      <c r="B1858" t="s">
        <v>9</v>
      </c>
      <c r="H1858" t="s">
        <v>19</v>
      </c>
    </row>
    <row r="1859" spans="1:8">
      <c r="A1859" s="1">
        <f>HYPERLINK("https://cms.ls-nyc.org/matter/dynamic-profile/view/1877738","18-1877738")</f>
        <v>0</v>
      </c>
      <c r="B1859" t="s">
        <v>10</v>
      </c>
      <c r="H1859" t="s">
        <v>19</v>
      </c>
    </row>
    <row r="1860" spans="1:8">
      <c r="A1860" s="1">
        <f>HYPERLINK("https://cms.ls-nyc.org/matter/dynamic-profile/view/1888489","19-1888489")</f>
        <v>0</v>
      </c>
      <c r="B1860" t="s">
        <v>10</v>
      </c>
      <c r="D1860" t="s">
        <v>14</v>
      </c>
      <c r="H1860" t="s">
        <v>20</v>
      </c>
    </row>
    <row r="1861" spans="1:8">
      <c r="A1861" s="1">
        <f>HYPERLINK("https://cms.ls-nyc.org/matter/dynamic-profile/view/1865312","18-1865312")</f>
        <v>0</v>
      </c>
      <c r="B1861" t="s">
        <v>10</v>
      </c>
      <c r="D1861" t="s">
        <v>15</v>
      </c>
      <c r="E1861" t="s">
        <v>16</v>
      </c>
      <c r="H1861" t="s">
        <v>20</v>
      </c>
    </row>
    <row r="1862" spans="1:8">
      <c r="A1862" s="1">
        <f>HYPERLINK("https://cms.ls-nyc.org/matter/dynamic-profile/view/1879814","18-1879814")</f>
        <v>0</v>
      </c>
      <c r="B1862" t="s">
        <v>9</v>
      </c>
      <c r="H1862" t="s">
        <v>19</v>
      </c>
    </row>
    <row r="1863" spans="1:8">
      <c r="A1863" s="1">
        <f>HYPERLINK("https://cms.ls-nyc.org/matter/dynamic-profile/view/1877971","18-1877971")</f>
        <v>0</v>
      </c>
      <c r="B1863" t="s">
        <v>10</v>
      </c>
      <c r="D1863" t="s">
        <v>14</v>
      </c>
      <c r="H1863" t="s">
        <v>20</v>
      </c>
    </row>
    <row r="1864" spans="1:8">
      <c r="A1864" s="1">
        <f>HYPERLINK("https://cms.ls-nyc.org/matter/dynamic-profile/view/1887098","19-1887098")</f>
        <v>0</v>
      </c>
      <c r="B1864" t="s">
        <v>10</v>
      </c>
      <c r="C1864" t="s">
        <v>13</v>
      </c>
      <c r="D1864" t="s">
        <v>14</v>
      </c>
      <c r="E1864" t="s">
        <v>16</v>
      </c>
      <c r="H1864" t="s">
        <v>20</v>
      </c>
    </row>
    <row r="1865" spans="1:8">
      <c r="A1865" s="1">
        <f>HYPERLINK("https://cms.ls-nyc.org/matter/dynamic-profile/view/1899550","19-1899550")</f>
        <v>0</v>
      </c>
      <c r="B1865" t="s">
        <v>9</v>
      </c>
      <c r="C1865" t="s">
        <v>13</v>
      </c>
      <c r="D1865" t="s">
        <v>14</v>
      </c>
      <c r="E1865" t="s">
        <v>16</v>
      </c>
      <c r="G1865" t="s">
        <v>18</v>
      </c>
      <c r="H1865" t="s">
        <v>20</v>
      </c>
    </row>
    <row r="1866" spans="1:8">
      <c r="A1866" s="1">
        <f>HYPERLINK("https://cms.ls-nyc.org/matter/dynamic-profile/view/1863008","18-1863008")</f>
        <v>0</v>
      </c>
      <c r="B1866" t="s">
        <v>10</v>
      </c>
      <c r="D1866" t="s">
        <v>15</v>
      </c>
      <c r="E1866" t="s">
        <v>16</v>
      </c>
      <c r="H1866" t="s">
        <v>20</v>
      </c>
    </row>
    <row r="1867" spans="1:8">
      <c r="A1867" s="1">
        <f>HYPERLINK("https://cms.ls-nyc.org/matter/dynamic-profile/view/1899751","19-1899751")</f>
        <v>0</v>
      </c>
      <c r="B1867" t="s">
        <v>12</v>
      </c>
      <c r="H1867" t="s">
        <v>19</v>
      </c>
    </row>
    <row r="1868" spans="1:8">
      <c r="A1868" s="1">
        <f>HYPERLINK("https://cms.ls-nyc.org/matter/dynamic-profile/view/1863012","18-1863012")</f>
        <v>0</v>
      </c>
      <c r="B1868" t="s">
        <v>12</v>
      </c>
      <c r="D1868" t="s">
        <v>15</v>
      </c>
      <c r="H1868" t="s">
        <v>20</v>
      </c>
    </row>
    <row r="1869" spans="1:8">
      <c r="A1869" s="1">
        <f>HYPERLINK("https://cms.ls-nyc.org/matter/dynamic-profile/view/1836386","17-1836386")</f>
        <v>0</v>
      </c>
      <c r="B1869" t="s">
        <v>9</v>
      </c>
      <c r="D1869" t="s">
        <v>15</v>
      </c>
      <c r="E1869" t="s">
        <v>16</v>
      </c>
      <c r="H1869" t="s">
        <v>20</v>
      </c>
    </row>
    <row r="1870" spans="1:8">
      <c r="A1870" s="1">
        <f>HYPERLINK("https://cms.ls-nyc.org/matter/dynamic-profile/view/0821680","16-0821680")</f>
        <v>0</v>
      </c>
      <c r="B1870" t="s">
        <v>12</v>
      </c>
      <c r="D1870" t="s">
        <v>15</v>
      </c>
      <c r="E1870" t="s">
        <v>16</v>
      </c>
      <c r="H1870" t="s">
        <v>20</v>
      </c>
    </row>
    <row r="1871" spans="1:8">
      <c r="A1871" s="1">
        <f>HYPERLINK("https://cms.ls-nyc.org/matter/dynamic-profile/view/1837492","17-1837492")</f>
        <v>0</v>
      </c>
      <c r="B1871" t="s">
        <v>10</v>
      </c>
      <c r="D1871" t="s">
        <v>15</v>
      </c>
      <c r="E1871" t="s">
        <v>16</v>
      </c>
      <c r="H1871" t="s">
        <v>20</v>
      </c>
    </row>
    <row r="1872" spans="1:8">
      <c r="A1872" s="1">
        <f>HYPERLINK("https://cms.ls-nyc.org/matter/dynamic-profile/view/1882024","18-1882024")</f>
        <v>0</v>
      </c>
      <c r="B1872" t="s">
        <v>12</v>
      </c>
      <c r="H1872" t="s">
        <v>19</v>
      </c>
    </row>
    <row r="1873" spans="1:8">
      <c r="A1873" s="1">
        <f>HYPERLINK("https://cms.ls-nyc.org/matter/dynamic-profile/view/1882020","18-1882020")</f>
        <v>0</v>
      </c>
      <c r="B1873" t="s">
        <v>12</v>
      </c>
      <c r="H1873" t="s">
        <v>19</v>
      </c>
    </row>
    <row r="1874" spans="1:8">
      <c r="A1874" s="1">
        <f>HYPERLINK("https://cms.ls-nyc.org/matter/dynamic-profile/view/1891381","19-1891381")</f>
        <v>0</v>
      </c>
      <c r="B1874" t="s">
        <v>12</v>
      </c>
      <c r="H1874" t="s">
        <v>19</v>
      </c>
    </row>
    <row r="1875" spans="1:8">
      <c r="A1875" s="1">
        <f>HYPERLINK("https://cms.ls-nyc.org/matter/dynamic-profile/view/1887657","19-1887657")</f>
        <v>0</v>
      </c>
      <c r="B1875" t="s">
        <v>9</v>
      </c>
      <c r="C1875" t="s">
        <v>13</v>
      </c>
      <c r="E1875" t="s">
        <v>16</v>
      </c>
      <c r="H1875" t="s">
        <v>20</v>
      </c>
    </row>
    <row r="1876" spans="1:8">
      <c r="A1876" s="1">
        <f>HYPERLINK("https://cms.ls-nyc.org/matter/dynamic-profile/view/1867072","18-1867072")</f>
        <v>0</v>
      </c>
      <c r="B1876" t="s">
        <v>9</v>
      </c>
      <c r="D1876" t="s">
        <v>15</v>
      </c>
      <c r="E1876" t="s">
        <v>16</v>
      </c>
      <c r="H1876" t="s">
        <v>20</v>
      </c>
    </row>
    <row r="1877" spans="1:8">
      <c r="A1877" s="1">
        <f>HYPERLINK("https://cms.ls-nyc.org/matter/dynamic-profile/view/0809828","16-0809828")</f>
        <v>0</v>
      </c>
      <c r="B1877" t="s">
        <v>12</v>
      </c>
      <c r="D1877" t="s">
        <v>15</v>
      </c>
      <c r="H1877" t="s">
        <v>20</v>
      </c>
    </row>
    <row r="1878" spans="1:8">
      <c r="A1878" s="1">
        <f>HYPERLINK("https://cms.ls-nyc.org/matter/dynamic-profile/view/1876389","18-1876389")</f>
        <v>0</v>
      </c>
      <c r="B1878" t="s">
        <v>9</v>
      </c>
      <c r="H1878" t="s">
        <v>19</v>
      </c>
    </row>
    <row r="1879" spans="1:8">
      <c r="A1879" s="1">
        <f>HYPERLINK("https://cms.ls-nyc.org/matter/dynamic-profile/view/1881489","18-1881489")</f>
        <v>0</v>
      </c>
      <c r="B1879" t="s">
        <v>9</v>
      </c>
      <c r="H1879" t="s">
        <v>19</v>
      </c>
    </row>
    <row r="1880" spans="1:8">
      <c r="A1880" s="1">
        <f>HYPERLINK("https://cms.ls-nyc.org/matter/dynamic-profile/view/1883130","18-1883130")</f>
        <v>0</v>
      </c>
      <c r="B1880" t="s">
        <v>9</v>
      </c>
      <c r="H1880" t="s">
        <v>19</v>
      </c>
    </row>
    <row r="1881" spans="1:8">
      <c r="A1881" s="1">
        <f>HYPERLINK("https://cms.ls-nyc.org/matter/dynamic-profile/view/1881486","18-1881486")</f>
        <v>0</v>
      </c>
      <c r="B1881" t="s">
        <v>9</v>
      </c>
      <c r="H1881" t="s">
        <v>19</v>
      </c>
    </row>
    <row r="1882" spans="1:8">
      <c r="A1882" s="1">
        <f>HYPERLINK("https://cms.ls-nyc.org/matter/dynamic-profile/view/1883103","18-1883103")</f>
        <v>0</v>
      </c>
      <c r="B1882" t="s">
        <v>9</v>
      </c>
      <c r="H1882" t="s">
        <v>19</v>
      </c>
    </row>
    <row r="1883" spans="1:8">
      <c r="A1883" s="1">
        <f>HYPERLINK("https://cms.ls-nyc.org/matter/dynamic-profile/view/1876802","18-1876802")</f>
        <v>0</v>
      </c>
      <c r="B1883" t="s">
        <v>10</v>
      </c>
      <c r="F1883" t="s">
        <v>17</v>
      </c>
      <c r="H1883" t="s">
        <v>20</v>
      </c>
    </row>
    <row r="1884" spans="1:8">
      <c r="A1884" s="1">
        <f>HYPERLINK("https://cms.ls-nyc.org/matter/dynamic-profile/view/1882289","18-1882289")</f>
        <v>0</v>
      </c>
      <c r="B1884" t="s">
        <v>10</v>
      </c>
      <c r="H1884" t="s">
        <v>19</v>
      </c>
    </row>
    <row r="1885" spans="1:8">
      <c r="A1885" s="1">
        <f>HYPERLINK("https://cms.ls-nyc.org/matter/dynamic-profile/view/1877861","18-1877861")</f>
        <v>0</v>
      </c>
      <c r="B1885" t="s">
        <v>12</v>
      </c>
      <c r="H1885" t="s">
        <v>19</v>
      </c>
    </row>
    <row r="1886" spans="1:8">
      <c r="A1886" s="1">
        <f>HYPERLINK("https://cms.ls-nyc.org/matter/dynamic-profile/view/1872059","18-1872059")</f>
        <v>0</v>
      </c>
      <c r="B1886" t="s">
        <v>12</v>
      </c>
      <c r="H1886" t="s">
        <v>19</v>
      </c>
    </row>
    <row r="1887" spans="1:8">
      <c r="A1887" s="1">
        <f>HYPERLINK("https://cms.ls-nyc.org/matter/dynamic-profile/view/1872583","18-1872583")</f>
        <v>0</v>
      </c>
      <c r="B1887" t="s">
        <v>12</v>
      </c>
      <c r="H1887" t="s">
        <v>19</v>
      </c>
    </row>
    <row r="1888" spans="1:8">
      <c r="A1888" s="1">
        <f>HYPERLINK("https://cms.ls-nyc.org/matter/dynamic-profile/view/1835605","17-1835605")</f>
        <v>0</v>
      </c>
      <c r="B1888" t="s">
        <v>12</v>
      </c>
      <c r="D1888" t="s">
        <v>15</v>
      </c>
      <c r="E1888" t="s">
        <v>16</v>
      </c>
      <c r="H1888" t="s">
        <v>20</v>
      </c>
    </row>
    <row r="1889" spans="1:8">
      <c r="A1889" s="1">
        <f>HYPERLINK("https://cms.ls-nyc.org/matter/dynamic-profile/view/0823988","17-0823988")</f>
        <v>0</v>
      </c>
      <c r="B1889" t="s">
        <v>10</v>
      </c>
      <c r="D1889" t="s">
        <v>15</v>
      </c>
      <c r="E1889" t="s">
        <v>16</v>
      </c>
      <c r="H1889" t="s">
        <v>20</v>
      </c>
    </row>
    <row r="1890" spans="1:8">
      <c r="A1890" s="1">
        <f>HYPERLINK("https://cms.ls-nyc.org/matter/dynamic-profile/view/1888910","19-1888910")</f>
        <v>0</v>
      </c>
      <c r="B1890" t="s">
        <v>9</v>
      </c>
      <c r="H1890" t="s">
        <v>19</v>
      </c>
    </row>
    <row r="1891" spans="1:8">
      <c r="A1891" s="1">
        <f>HYPERLINK("https://cms.ls-nyc.org/matter/dynamic-profile/view/1891375","19-1891375")</f>
        <v>0</v>
      </c>
      <c r="B1891" t="s">
        <v>9</v>
      </c>
      <c r="C1891" t="s">
        <v>13</v>
      </c>
      <c r="E1891" t="s">
        <v>16</v>
      </c>
      <c r="H1891" t="s">
        <v>20</v>
      </c>
    </row>
    <row r="1892" spans="1:8">
      <c r="A1892" s="1">
        <f>HYPERLINK("https://cms.ls-nyc.org/matter/dynamic-profile/view/1891385","19-1891385")</f>
        <v>0</v>
      </c>
      <c r="B1892" t="s">
        <v>9</v>
      </c>
      <c r="C1892" t="s">
        <v>13</v>
      </c>
      <c r="E1892" t="s">
        <v>16</v>
      </c>
      <c r="H1892" t="s">
        <v>20</v>
      </c>
    </row>
    <row r="1893" spans="1:8">
      <c r="A1893" s="1">
        <f>HYPERLINK("https://cms.ls-nyc.org/matter/dynamic-profile/view/1899066","19-1899066")</f>
        <v>0</v>
      </c>
      <c r="B1893" t="s">
        <v>10</v>
      </c>
      <c r="D1893" t="s">
        <v>14</v>
      </c>
      <c r="E1893" t="s">
        <v>16</v>
      </c>
      <c r="H1893" t="s">
        <v>20</v>
      </c>
    </row>
    <row r="1894" spans="1:8">
      <c r="A1894" s="1">
        <f>HYPERLINK("https://cms.ls-nyc.org/matter/dynamic-profile/view/1899537","19-1899537")</f>
        <v>0</v>
      </c>
      <c r="B1894" t="s">
        <v>10</v>
      </c>
      <c r="D1894" t="s">
        <v>14</v>
      </c>
      <c r="H1894" t="s">
        <v>20</v>
      </c>
    </row>
    <row r="1895" spans="1:8">
      <c r="A1895" s="1">
        <f>HYPERLINK("https://cms.ls-nyc.org/matter/dynamic-profile/view/1893538","19-1893538")</f>
        <v>0</v>
      </c>
      <c r="B1895" t="s">
        <v>12</v>
      </c>
      <c r="H1895" t="s">
        <v>19</v>
      </c>
    </row>
    <row r="1896" spans="1:8">
      <c r="A1896" s="1">
        <f>HYPERLINK("https://cms.ls-nyc.org/matter/dynamic-profile/view/1892375","19-1892375")</f>
        <v>0</v>
      </c>
      <c r="B1896" t="s">
        <v>12</v>
      </c>
      <c r="H1896" t="s">
        <v>19</v>
      </c>
    </row>
    <row r="1897" spans="1:8">
      <c r="A1897" s="1">
        <f>HYPERLINK("https://cms.ls-nyc.org/matter/dynamic-profile/view/1884434","18-1884434")</f>
        <v>0</v>
      </c>
      <c r="B1897" t="s">
        <v>10</v>
      </c>
      <c r="H1897" t="s">
        <v>19</v>
      </c>
    </row>
    <row r="1898" spans="1:8">
      <c r="A1898" s="1">
        <f>HYPERLINK("https://cms.ls-nyc.org/matter/dynamic-profile/view/1884635","18-1884635")</f>
        <v>0</v>
      </c>
      <c r="B1898" t="s">
        <v>9</v>
      </c>
      <c r="H1898" t="s">
        <v>19</v>
      </c>
    </row>
    <row r="1899" spans="1:8">
      <c r="A1899" s="1">
        <f>HYPERLINK("https://cms.ls-nyc.org/matter/dynamic-profile/view/1874673","18-1874673")</f>
        <v>0</v>
      </c>
      <c r="B1899" t="s">
        <v>12</v>
      </c>
      <c r="H1899" t="s">
        <v>19</v>
      </c>
    </row>
    <row r="1900" spans="1:8">
      <c r="A1900" s="1">
        <f>HYPERLINK("https://cms.ls-nyc.org/matter/dynamic-profile/view/1874606","18-1874606")</f>
        <v>0</v>
      </c>
      <c r="B1900" t="s">
        <v>8</v>
      </c>
      <c r="H1900" t="s">
        <v>19</v>
      </c>
    </row>
    <row r="1901" spans="1:8">
      <c r="A1901" s="1">
        <f>HYPERLINK("https://cms.ls-nyc.org/matter/dynamic-profile/view/1892284","19-1892284")</f>
        <v>0</v>
      </c>
      <c r="B1901" t="s">
        <v>10</v>
      </c>
      <c r="H1901" t="s">
        <v>19</v>
      </c>
    </row>
    <row r="1902" spans="1:8">
      <c r="A1902" s="1">
        <f>HYPERLINK("https://cms.ls-nyc.org/matter/dynamic-profile/view/1901229","19-1901229")</f>
        <v>0</v>
      </c>
      <c r="B1902" t="s">
        <v>12</v>
      </c>
      <c r="H1902" t="s">
        <v>19</v>
      </c>
    </row>
    <row r="1903" spans="1:8">
      <c r="A1903" s="1">
        <f>HYPERLINK("https://cms.ls-nyc.org/matter/dynamic-profile/view/1886583","18-1886583")</f>
        <v>0</v>
      </c>
      <c r="B1903" t="s">
        <v>9</v>
      </c>
      <c r="H1903" t="s">
        <v>19</v>
      </c>
    </row>
    <row r="1904" spans="1:8">
      <c r="A1904" s="1">
        <f>HYPERLINK("https://cms.ls-nyc.org/matter/dynamic-profile/view/1881097","18-1881097")</f>
        <v>0</v>
      </c>
      <c r="B1904" t="s">
        <v>9</v>
      </c>
      <c r="H1904" t="s">
        <v>19</v>
      </c>
    </row>
    <row r="1905" spans="1:8">
      <c r="A1905" s="1">
        <f>HYPERLINK("https://cms.ls-nyc.org/matter/dynamic-profile/view/1867619","18-1867619")</f>
        <v>0</v>
      </c>
      <c r="B1905" t="s">
        <v>10</v>
      </c>
      <c r="D1905" t="s">
        <v>15</v>
      </c>
      <c r="E1905" t="s">
        <v>16</v>
      </c>
      <c r="H1905" t="s">
        <v>20</v>
      </c>
    </row>
    <row r="1906" spans="1:8">
      <c r="A1906" s="1">
        <f>HYPERLINK("https://cms.ls-nyc.org/matter/dynamic-profile/view/1875656","18-1875656")</f>
        <v>0</v>
      </c>
      <c r="B1906" t="s">
        <v>9</v>
      </c>
      <c r="H1906" t="s">
        <v>19</v>
      </c>
    </row>
    <row r="1907" spans="1:8">
      <c r="A1907" s="1">
        <f>HYPERLINK("https://cms.ls-nyc.org/matter/dynamic-profile/view/1870583","18-1870583")</f>
        <v>0</v>
      </c>
      <c r="B1907" t="s">
        <v>9</v>
      </c>
      <c r="C1907" t="s">
        <v>13</v>
      </c>
      <c r="D1907" t="s">
        <v>14</v>
      </c>
      <c r="E1907" t="s">
        <v>16</v>
      </c>
      <c r="G1907" t="s">
        <v>18</v>
      </c>
      <c r="H1907" t="s">
        <v>20</v>
      </c>
    </row>
    <row r="1908" spans="1:8">
      <c r="A1908" s="1">
        <f>HYPERLINK("https://cms.ls-nyc.org/matter/dynamic-profile/view/1884815","18-1884815")</f>
        <v>0</v>
      </c>
      <c r="B1908" t="s">
        <v>9</v>
      </c>
      <c r="C1908" t="s">
        <v>13</v>
      </c>
      <c r="D1908" t="s">
        <v>14</v>
      </c>
      <c r="E1908" t="s">
        <v>16</v>
      </c>
      <c r="G1908" t="s">
        <v>18</v>
      </c>
      <c r="H1908" t="s">
        <v>20</v>
      </c>
    </row>
    <row r="1909" spans="1:8">
      <c r="A1909" s="1">
        <f>HYPERLINK("https://cms.ls-nyc.org/matter/dynamic-profile/view/1878521","18-1878521")</f>
        <v>0</v>
      </c>
      <c r="B1909" t="s">
        <v>10</v>
      </c>
      <c r="C1909" t="s">
        <v>13</v>
      </c>
      <c r="D1909" t="s">
        <v>14</v>
      </c>
      <c r="E1909" t="s">
        <v>16</v>
      </c>
      <c r="G1909" t="s">
        <v>18</v>
      </c>
      <c r="H1909" t="s">
        <v>20</v>
      </c>
    </row>
    <row r="1910" spans="1:8">
      <c r="A1910" s="1">
        <f>HYPERLINK("https://cms.ls-nyc.org/matter/dynamic-profile/view/1876704","18-1876704")</f>
        <v>0</v>
      </c>
      <c r="B1910" t="s">
        <v>10</v>
      </c>
      <c r="H1910" t="s">
        <v>19</v>
      </c>
    </row>
    <row r="1911" spans="1:8">
      <c r="A1911" s="1">
        <f>HYPERLINK("https://cms.ls-nyc.org/matter/dynamic-profile/view/1886350","18-1886350")</f>
        <v>0</v>
      </c>
      <c r="B1911" t="s">
        <v>10</v>
      </c>
      <c r="H1911" t="s">
        <v>19</v>
      </c>
    </row>
    <row r="1912" spans="1:8">
      <c r="A1912" s="1">
        <f>HYPERLINK("https://cms.ls-nyc.org/matter/dynamic-profile/view/1876697","18-1876697")</f>
        <v>0</v>
      </c>
      <c r="B1912" t="s">
        <v>10</v>
      </c>
      <c r="H1912" t="s">
        <v>19</v>
      </c>
    </row>
    <row r="1913" spans="1:8">
      <c r="A1913" s="1">
        <f>HYPERLINK("https://cms.ls-nyc.org/matter/dynamic-profile/view/1870264","18-1870264")</f>
        <v>0</v>
      </c>
      <c r="B1913" t="s">
        <v>12</v>
      </c>
      <c r="H1913" t="s">
        <v>19</v>
      </c>
    </row>
    <row r="1914" spans="1:8">
      <c r="A1914" s="1">
        <f>HYPERLINK("https://cms.ls-nyc.org/matter/dynamic-profile/view/1873294","18-1873294")</f>
        <v>0</v>
      </c>
      <c r="B1914" t="s">
        <v>12</v>
      </c>
      <c r="H1914" t="s">
        <v>19</v>
      </c>
    </row>
    <row r="1915" spans="1:8">
      <c r="A1915" s="1">
        <f>HYPERLINK("https://cms.ls-nyc.org/matter/dynamic-profile/view/1895763","19-1895763")</f>
        <v>0</v>
      </c>
      <c r="B1915" t="s">
        <v>12</v>
      </c>
      <c r="H1915" t="s">
        <v>19</v>
      </c>
    </row>
    <row r="1916" spans="1:8">
      <c r="A1916" s="1">
        <f>HYPERLINK("https://cms.ls-nyc.org/matter/dynamic-profile/view/1864490","18-1864490")</f>
        <v>0</v>
      </c>
      <c r="B1916" t="s">
        <v>12</v>
      </c>
      <c r="D1916" t="s">
        <v>15</v>
      </c>
      <c r="H1916" t="s">
        <v>20</v>
      </c>
    </row>
    <row r="1917" spans="1:8">
      <c r="A1917" s="1">
        <f>HYPERLINK("https://cms.ls-nyc.org/matter/dynamic-profile/view/1895348","19-1895348")</f>
        <v>0</v>
      </c>
      <c r="B1917" t="s">
        <v>9</v>
      </c>
      <c r="C1917" t="s">
        <v>13</v>
      </c>
      <c r="E1917" t="s">
        <v>16</v>
      </c>
      <c r="H1917" t="s">
        <v>20</v>
      </c>
    </row>
    <row r="1918" spans="1:8">
      <c r="A1918" s="1">
        <f>HYPERLINK("https://cms.ls-nyc.org/matter/dynamic-profile/view/1863942","18-1863942")</f>
        <v>0</v>
      </c>
      <c r="B1918" t="s">
        <v>12</v>
      </c>
      <c r="D1918" t="s">
        <v>15</v>
      </c>
      <c r="H1918" t="s">
        <v>20</v>
      </c>
    </row>
    <row r="1919" spans="1:8">
      <c r="A1919" s="1">
        <f>HYPERLINK("https://cms.ls-nyc.org/matter/dynamic-profile/view/0806287","16-0806287")</f>
        <v>0</v>
      </c>
      <c r="B1919" t="s">
        <v>9</v>
      </c>
      <c r="C1919" t="s">
        <v>13</v>
      </c>
      <c r="D1919" t="s">
        <v>15</v>
      </c>
      <c r="E1919" t="s">
        <v>16</v>
      </c>
      <c r="H1919" t="s">
        <v>20</v>
      </c>
    </row>
    <row r="1920" spans="1:8">
      <c r="A1920" s="1">
        <f>HYPERLINK("https://cms.ls-nyc.org/matter/dynamic-profile/view/0823610","17-0823610")</f>
        <v>0</v>
      </c>
      <c r="B1920" t="s">
        <v>9</v>
      </c>
      <c r="C1920" t="s">
        <v>13</v>
      </c>
      <c r="D1920" t="s">
        <v>15</v>
      </c>
      <c r="E1920" t="s">
        <v>16</v>
      </c>
      <c r="H1920" t="s">
        <v>20</v>
      </c>
    </row>
    <row r="1921" spans="1:8">
      <c r="A1921" s="1">
        <f>HYPERLINK("https://cms.ls-nyc.org/matter/dynamic-profile/view/0799941","16-0799941")</f>
        <v>0</v>
      </c>
      <c r="B1921" t="s">
        <v>9</v>
      </c>
      <c r="D1921" t="s">
        <v>15</v>
      </c>
      <c r="E1921" t="s">
        <v>16</v>
      </c>
      <c r="H1921" t="s">
        <v>20</v>
      </c>
    </row>
    <row r="1922" spans="1:8">
      <c r="A1922" s="1">
        <f>HYPERLINK("https://cms.ls-nyc.org/matter/dynamic-profile/view/0820933","16-0820933")</f>
        <v>0</v>
      </c>
      <c r="B1922" t="s">
        <v>9</v>
      </c>
      <c r="D1922" t="s">
        <v>15</v>
      </c>
      <c r="E1922" t="s">
        <v>16</v>
      </c>
      <c r="H1922" t="s">
        <v>20</v>
      </c>
    </row>
    <row r="1923" spans="1:8">
      <c r="A1923" s="1">
        <f>HYPERLINK("https://cms.ls-nyc.org/matter/dynamic-profile/view/0798503","16-0798503")</f>
        <v>0</v>
      </c>
      <c r="B1923" t="s">
        <v>9</v>
      </c>
      <c r="C1923" t="s">
        <v>13</v>
      </c>
      <c r="D1923" t="s">
        <v>14</v>
      </c>
      <c r="E1923" t="s">
        <v>16</v>
      </c>
      <c r="H1923" t="s">
        <v>20</v>
      </c>
    </row>
    <row r="1924" spans="1:8">
      <c r="A1924" s="1">
        <f>HYPERLINK("https://cms.ls-nyc.org/matter/dynamic-profile/view/0824327","17-0824327")</f>
        <v>0</v>
      </c>
      <c r="B1924" t="s">
        <v>12</v>
      </c>
      <c r="D1924" t="s">
        <v>15</v>
      </c>
      <c r="E1924" t="s">
        <v>16</v>
      </c>
      <c r="H1924" t="s">
        <v>20</v>
      </c>
    </row>
    <row r="1925" spans="1:8">
      <c r="A1925" s="1">
        <f>HYPERLINK("https://cms.ls-nyc.org/matter/dynamic-profile/view/1851038","17-1851038")</f>
        <v>0</v>
      </c>
      <c r="B1925" t="s">
        <v>12</v>
      </c>
      <c r="D1925" t="s">
        <v>15</v>
      </c>
      <c r="H1925" t="s">
        <v>20</v>
      </c>
    </row>
    <row r="1926" spans="1:8">
      <c r="A1926" s="1">
        <f>HYPERLINK("https://cms.ls-nyc.org/matter/dynamic-profile/view/1886920","19-1886920")</f>
        <v>0</v>
      </c>
      <c r="B1926" t="s">
        <v>8</v>
      </c>
      <c r="H1926" t="s">
        <v>19</v>
      </c>
    </row>
    <row r="1927" spans="1:8">
      <c r="A1927" s="1">
        <f>HYPERLINK("https://cms.ls-nyc.org/matter/dynamic-profile/view/1879625","18-1879625")</f>
        <v>0</v>
      </c>
      <c r="B1927" t="s">
        <v>9</v>
      </c>
      <c r="C1927" t="s">
        <v>13</v>
      </c>
      <c r="E1927" t="s">
        <v>16</v>
      </c>
      <c r="H1927" t="s">
        <v>20</v>
      </c>
    </row>
    <row r="1928" spans="1:8">
      <c r="A1928" s="1">
        <f>HYPERLINK("https://cms.ls-nyc.org/matter/dynamic-profile/view/1879627","18-1879627")</f>
        <v>0</v>
      </c>
      <c r="B1928" t="s">
        <v>9</v>
      </c>
      <c r="C1928" t="s">
        <v>13</v>
      </c>
      <c r="E1928" t="s">
        <v>16</v>
      </c>
      <c r="H1928" t="s">
        <v>20</v>
      </c>
    </row>
    <row r="1929" spans="1:8">
      <c r="A1929" s="1">
        <f>HYPERLINK("https://cms.ls-nyc.org/matter/dynamic-profile/view/1879623","18-1879623")</f>
        <v>0</v>
      </c>
      <c r="B1929" t="s">
        <v>9</v>
      </c>
      <c r="C1929" t="s">
        <v>13</v>
      </c>
      <c r="E1929" t="s">
        <v>16</v>
      </c>
      <c r="H1929" t="s">
        <v>20</v>
      </c>
    </row>
    <row r="1930" spans="1:8">
      <c r="A1930" s="1">
        <f>HYPERLINK("https://cms.ls-nyc.org/matter/dynamic-profile/view/1879613","18-1879613")</f>
        <v>0</v>
      </c>
      <c r="B1930" t="s">
        <v>9</v>
      </c>
      <c r="C1930" t="s">
        <v>13</v>
      </c>
      <c r="E1930" t="s">
        <v>16</v>
      </c>
      <c r="H1930" t="s">
        <v>20</v>
      </c>
    </row>
    <row r="1931" spans="1:8">
      <c r="A1931" s="1">
        <f>HYPERLINK("https://cms.ls-nyc.org/matter/dynamic-profile/view/1879615","18-1879615")</f>
        <v>0</v>
      </c>
      <c r="B1931" t="s">
        <v>9</v>
      </c>
      <c r="C1931" t="s">
        <v>13</v>
      </c>
      <c r="D1931" t="s">
        <v>15</v>
      </c>
      <c r="E1931" t="s">
        <v>16</v>
      </c>
      <c r="H1931" t="s">
        <v>20</v>
      </c>
    </row>
    <row r="1932" spans="1:8">
      <c r="A1932" s="1">
        <f>HYPERLINK("https://cms.ls-nyc.org/matter/dynamic-profile/view/1857092","18-1857092")</f>
        <v>0</v>
      </c>
      <c r="B1932" t="s">
        <v>10</v>
      </c>
      <c r="D1932" t="s">
        <v>15</v>
      </c>
      <c r="E1932" t="s">
        <v>16</v>
      </c>
      <c r="H1932" t="s">
        <v>20</v>
      </c>
    </row>
    <row r="1933" spans="1:8">
      <c r="A1933" s="1">
        <f>HYPERLINK("https://cms.ls-nyc.org/matter/dynamic-profile/view/1833547","17-1833547")</f>
        <v>0</v>
      </c>
      <c r="B1933" t="s">
        <v>9</v>
      </c>
      <c r="D1933" t="s">
        <v>15</v>
      </c>
      <c r="E1933" t="s">
        <v>16</v>
      </c>
      <c r="H1933" t="s">
        <v>20</v>
      </c>
    </row>
    <row r="1934" spans="1:8">
      <c r="A1934" s="1">
        <f>HYPERLINK("https://cms.ls-nyc.org/matter/dynamic-profile/view/1883527","18-1883527")</f>
        <v>0</v>
      </c>
      <c r="B1934" t="s">
        <v>12</v>
      </c>
      <c r="H1934" t="s">
        <v>19</v>
      </c>
    </row>
    <row r="1935" spans="1:8">
      <c r="A1935" s="1">
        <f>HYPERLINK("https://cms.ls-nyc.org/matter/dynamic-profile/view/1900560","19-1900560")</f>
        <v>0</v>
      </c>
      <c r="B1935" t="s">
        <v>10</v>
      </c>
      <c r="D1935" t="s">
        <v>14</v>
      </c>
      <c r="F1935" t="s">
        <v>17</v>
      </c>
      <c r="H1935" t="s">
        <v>20</v>
      </c>
    </row>
    <row r="1936" spans="1:8">
      <c r="A1936" s="1">
        <f>HYPERLINK("https://cms.ls-nyc.org/matter/dynamic-profile/view/1870539","18-1870539")</f>
        <v>0</v>
      </c>
      <c r="B1936" t="s">
        <v>10</v>
      </c>
      <c r="D1936" t="s">
        <v>15</v>
      </c>
      <c r="E1936" t="s">
        <v>16</v>
      </c>
      <c r="H1936" t="s">
        <v>20</v>
      </c>
    </row>
    <row r="1937" spans="1:8">
      <c r="A1937" s="1">
        <f>HYPERLINK("https://cms.ls-nyc.org/matter/dynamic-profile/view/1877140","18-1877140")</f>
        <v>0</v>
      </c>
      <c r="B1937" t="s">
        <v>10</v>
      </c>
      <c r="H1937" t="s">
        <v>19</v>
      </c>
    </row>
    <row r="1938" spans="1:8">
      <c r="A1938" s="1">
        <f>HYPERLINK("https://cms.ls-nyc.org/matter/dynamic-profile/view/1860668","18-1860668")</f>
        <v>0</v>
      </c>
      <c r="B1938" t="s">
        <v>10</v>
      </c>
      <c r="D1938" t="s">
        <v>15</v>
      </c>
      <c r="H1938" t="s">
        <v>20</v>
      </c>
    </row>
    <row r="1939" spans="1:8">
      <c r="A1939" s="1">
        <f>HYPERLINK("https://cms.ls-nyc.org/matter/dynamic-profile/view/1868690","18-1868690")</f>
        <v>0</v>
      </c>
      <c r="B1939" t="s">
        <v>10</v>
      </c>
      <c r="D1939" t="s">
        <v>15</v>
      </c>
      <c r="H1939" t="s">
        <v>20</v>
      </c>
    </row>
    <row r="1940" spans="1:8">
      <c r="A1940" s="1">
        <f>HYPERLINK("https://cms.ls-nyc.org/matter/dynamic-profile/view/1878954","18-1878954")</f>
        <v>0</v>
      </c>
      <c r="B1940" t="s">
        <v>12</v>
      </c>
      <c r="H1940" t="s">
        <v>19</v>
      </c>
    </row>
    <row r="1941" spans="1:8">
      <c r="A1941" s="1">
        <f>HYPERLINK("https://cms.ls-nyc.org/matter/dynamic-profile/view/0826279","17-0826279")</f>
        <v>0</v>
      </c>
      <c r="B1941" t="s">
        <v>12</v>
      </c>
      <c r="D1941" t="s">
        <v>15</v>
      </c>
      <c r="E1941" t="s">
        <v>16</v>
      </c>
      <c r="H1941" t="s">
        <v>20</v>
      </c>
    </row>
    <row r="1942" spans="1:8">
      <c r="A1942" s="1">
        <f>HYPERLINK("https://cms.ls-nyc.org/matter/dynamic-profile/view/1888054","19-1888054")</f>
        <v>0</v>
      </c>
      <c r="B1942" t="s">
        <v>12</v>
      </c>
      <c r="F1942" t="s">
        <v>17</v>
      </c>
      <c r="H1942" t="s">
        <v>20</v>
      </c>
    </row>
    <row r="1943" spans="1:8">
      <c r="A1943" s="1">
        <f>HYPERLINK("https://cms.ls-nyc.org/matter/dynamic-profile/view/1895077","19-1895077")</f>
        <v>0</v>
      </c>
      <c r="B1943" t="s">
        <v>9</v>
      </c>
      <c r="H1943" t="s">
        <v>19</v>
      </c>
    </row>
    <row r="1944" spans="1:8">
      <c r="A1944" s="1">
        <f>HYPERLINK("https://cms.ls-nyc.org/matter/dynamic-profile/view/1900553","19-1900553")</f>
        <v>0</v>
      </c>
      <c r="B1944" t="s">
        <v>10</v>
      </c>
      <c r="D1944" t="s">
        <v>14</v>
      </c>
      <c r="F1944" t="s">
        <v>17</v>
      </c>
      <c r="H1944" t="s">
        <v>20</v>
      </c>
    </row>
    <row r="1945" spans="1:8">
      <c r="A1945" s="1">
        <f>HYPERLINK("https://cms.ls-nyc.org/matter/dynamic-profile/view/1882276","18-1882276")</f>
        <v>0</v>
      </c>
      <c r="B1945" t="s">
        <v>9</v>
      </c>
      <c r="H1945" t="s">
        <v>19</v>
      </c>
    </row>
    <row r="1946" spans="1:8">
      <c r="A1946" s="1">
        <f>HYPERLINK("https://cms.ls-nyc.org/matter/dynamic-profile/view/1882883","18-1882883")</f>
        <v>0</v>
      </c>
      <c r="B1946" t="s">
        <v>9</v>
      </c>
      <c r="H1946" t="s">
        <v>19</v>
      </c>
    </row>
    <row r="1947" spans="1:8">
      <c r="A1947" s="1">
        <f>HYPERLINK("https://cms.ls-nyc.org/matter/dynamic-profile/view/1887387","19-1887387")</f>
        <v>0</v>
      </c>
      <c r="B1947" t="s">
        <v>10</v>
      </c>
      <c r="H1947" t="s">
        <v>19</v>
      </c>
    </row>
    <row r="1948" spans="1:8">
      <c r="A1948" s="1">
        <f>HYPERLINK("https://cms.ls-nyc.org/matter/dynamic-profile/view/1863014","18-1863014")</f>
        <v>0</v>
      </c>
      <c r="B1948" t="s">
        <v>12</v>
      </c>
      <c r="D1948" t="s">
        <v>15</v>
      </c>
      <c r="E1948" t="s">
        <v>16</v>
      </c>
      <c r="H1948" t="s">
        <v>20</v>
      </c>
    </row>
    <row r="1949" spans="1:8">
      <c r="A1949" s="1">
        <f>HYPERLINK("https://cms.ls-nyc.org/matter/dynamic-profile/view/1892457","19-1892457")</f>
        <v>0</v>
      </c>
      <c r="B1949" t="s">
        <v>9</v>
      </c>
      <c r="H1949" t="s">
        <v>19</v>
      </c>
    </row>
    <row r="1950" spans="1:8">
      <c r="A1950" s="1">
        <f>HYPERLINK("https://cms.ls-nyc.org/matter/dynamic-profile/view/1892480","19-1892480")</f>
        <v>0</v>
      </c>
      <c r="B1950" t="s">
        <v>9</v>
      </c>
      <c r="H1950" t="s">
        <v>19</v>
      </c>
    </row>
    <row r="1951" spans="1:8">
      <c r="A1951" s="1">
        <f>HYPERLINK("https://cms.ls-nyc.org/matter/dynamic-profile/view/1892729","19-1892729")</f>
        <v>0</v>
      </c>
      <c r="B1951" t="s">
        <v>9</v>
      </c>
      <c r="H1951" t="s">
        <v>19</v>
      </c>
    </row>
    <row r="1952" spans="1:8">
      <c r="A1952" s="1">
        <f>HYPERLINK("https://cms.ls-nyc.org/matter/dynamic-profile/view/0826209","17-0826209")</f>
        <v>0</v>
      </c>
      <c r="B1952" t="s">
        <v>10</v>
      </c>
      <c r="D1952" t="s">
        <v>15</v>
      </c>
      <c r="E1952" t="s">
        <v>16</v>
      </c>
      <c r="H1952" t="s">
        <v>20</v>
      </c>
    </row>
    <row r="1953" spans="1:8">
      <c r="A1953" s="1">
        <f>HYPERLINK("https://cms.ls-nyc.org/matter/dynamic-profile/view/1854124","17-1854124")</f>
        <v>0</v>
      </c>
      <c r="B1953" t="s">
        <v>12</v>
      </c>
      <c r="D1953" t="s">
        <v>15</v>
      </c>
      <c r="H1953" t="s">
        <v>20</v>
      </c>
    </row>
    <row r="1954" spans="1:8">
      <c r="A1954" s="1">
        <f>HYPERLINK("https://cms.ls-nyc.org/matter/dynamic-profile/view/1886089","18-1886089")</f>
        <v>0</v>
      </c>
      <c r="B1954" t="s">
        <v>9</v>
      </c>
      <c r="H1954" t="s">
        <v>19</v>
      </c>
    </row>
    <row r="1955" spans="1:8">
      <c r="A1955" s="1">
        <f>HYPERLINK("https://cms.ls-nyc.org/matter/dynamic-profile/view/1863313","18-1863313")</f>
        <v>0</v>
      </c>
      <c r="B1955" t="s">
        <v>9</v>
      </c>
      <c r="F1955" t="s">
        <v>17</v>
      </c>
      <c r="H1955" t="s">
        <v>20</v>
      </c>
    </row>
    <row r="1956" spans="1:8">
      <c r="A1956" s="1">
        <f>HYPERLINK("https://cms.ls-nyc.org/matter/dynamic-profile/view/0828133","17-0828133")</f>
        <v>0</v>
      </c>
      <c r="B1956" t="s">
        <v>12</v>
      </c>
      <c r="D1956" t="s">
        <v>15</v>
      </c>
      <c r="E1956" t="s">
        <v>16</v>
      </c>
      <c r="H1956" t="s">
        <v>20</v>
      </c>
    </row>
    <row r="1957" spans="1:8">
      <c r="A1957" s="1">
        <f>HYPERLINK("https://cms.ls-nyc.org/matter/dynamic-profile/view/1850542","17-1850542")</f>
        <v>0</v>
      </c>
      <c r="B1957" t="s">
        <v>12</v>
      </c>
      <c r="D1957" t="s">
        <v>15</v>
      </c>
      <c r="E1957" t="s">
        <v>16</v>
      </c>
      <c r="H1957" t="s">
        <v>20</v>
      </c>
    </row>
    <row r="1958" spans="1:8">
      <c r="A1958" s="1">
        <f>HYPERLINK("https://cms.ls-nyc.org/matter/dynamic-profile/view/1873573","18-1873573")</f>
        <v>0</v>
      </c>
      <c r="B1958" t="s">
        <v>10</v>
      </c>
      <c r="F1958" t="s">
        <v>17</v>
      </c>
      <c r="H1958" t="s">
        <v>20</v>
      </c>
    </row>
    <row r="1959" spans="1:8">
      <c r="A1959" s="1">
        <f>HYPERLINK("https://cms.ls-nyc.org/matter/dynamic-profile/view/1876787","18-1876787")</f>
        <v>0</v>
      </c>
      <c r="B1959" t="s">
        <v>10</v>
      </c>
      <c r="E1959" t="s">
        <v>16</v>
      </c>
      <c r="F1959" t="s">
        <v>17</v>
      </c>
      <c r="H1959" t="s">
        <v>20</v>
      </c>
    </row>
    <row r="1960" spans="1:8">
      <c r="A1960" s="1">
        <f>HYPERLINK("https://cms.ls-nyc.org/matter/dynamic-profile/view/0830250","17-0830250")</f>
        <v>0</v>
      </c>
      <c r="B1960" t="s">
        <v>12</v>
      </c>
      <c r="D1960" t="s">
        <v>15</v>
      </c>
      <c r="H1960" t="s">
        <v>20</v>
      </c>
    </row>
    <row r="1961" spans="1:8">
      <c r="A1961" s="1">
        <f>HYPERLINK("https://cms.ls-nyc.org/matter/dynamic-profile/view/0832472","17-0832472")</f>
        <v>0</v>
      </c>
      <c r="B1961" t="s">
        <v>12</v>
      </c>
      <c r="D1961" t="s">
        <v>15</v>
      </c>
      <c r="E1961" t="s">
        <v>16</v>
      </c>
      <c r="H1961" t="s">
        <v>20</v>
      </c>
    </row>
    <row r="1962" spans="1:8">
      <c r="A1962" s="1">
        <f>HYPERLINK("https://cms.ls-nyc.org/matter/dynamic-profile/view/1893393","19-1893393")</f>
        <v>0</v>
      </c>
      <c r="B1962" t="s">
        <v>9</v>
      </c>
      <c r="D1962" t="s">
        <v>14</v>
      </c>
      <c r="H1962" t="s">
        <v>20</v>
      </c>
    </row>
    <row r="1963" spans="1:8">
      <c r="A1963" s="1">
        <f>HYPERLINK("https://cms.ls-nyc.org/matter/dynamic-profile/view/1893389","19-1893389")</f>
        <v>0</v>
      </c>
      <c r="B1963" t="s">
        <v>9</v>
      </c>
      <c r="D1963" t="s">
        <v>14</v>
      </c>
      <c r="H1963" t="s">
        <v>20</v>
      </c>
    </row>
    <row r="1964" spans="1:8">
      <c r="A1964" s="1">
        <f>HYPERLINK("https://cms.ls-nyc.org/matter/dynamic-profile/view/1893399","19-1893399")</f>
        <v>0</v>
      </c>
      <c r="B1964" t="s">
        <v>9</v>
      </c>
      <c r="D1964" t="s">
        <v>14</v>
      </c>
      <c r="H1964" t="s">
        <v>20</v>
      </c>
    </row>
    <row r="1965" spans="1:8">
      <c r="A1965" s="1">
        <f>HYPERLINK("https://cms.ls-nyc.org/matter/dynamic-profile/view/1899819","19-1899819")</f>
        <v>0</v>
      </c>
      <c r="B1965" t="s">
        <v>10</v>
      </c>
      <c r="D1965" t="s">
        <v>14</v>
      </c>
      <c r="E1965" t="s">
        <v>16</v>
      </c>
      <c r="H1965" t="s">
        <v>20</v>
      </c>
    </row>
    <row r="1966" spans="1:8">
      <c r="A1966" s="1">
        <f>HYPERLINK("https://cms.ls-nyc.org/matter/dynamic-profile/view/1889049","19-1889049")</f>
        <v>0</v>
      </c>
      <c r="B1966" t="s">
        <v>12</v>
      </c>
      <c r="H1966" t="s">
        <v>19</v>
      </c>
    </row>
    <row r="1967" spans="1:8">
      <c r="A1967" s="1">
        <f>HYPERLINK("https://cms.ls-nyc.org/matter/dynamic-profile/view/1861088","18-1861088")</f>
        <v>0</v>
      </c>
      <c r="B1967" t="s">
        <v>10</v>
      </c>
      <c r="D1967" t="s">
        <v>15</v>
      </c>
      <c r="E1967" t="s">
        <v>16</v>
      </c>
      <c r="F1967" t="s">
        <v>17</v>
      </c>
      <c r="H1967" t="s">
        <v>20</v>
      </c>
    </row>
    <row r="1968" spans="1:8">
      <c r="A1968" s="1">
        <f>HYPERLINK("https://cms.ls-nyc.org/matter/dynamic-profile/view/1881478","18-1881478")</f>
        <v>0</v>
      </c>
      <c r="B1968" t="s">
        <v>10</v>
      </c>
      <c r="H1968" t="s">
        <v>19</v>
      </c>
    </row>
    <row r="1969" spans="1:8">
      <c r="A1969" s="1">
        <f>HYPERLINK("https://cms.ls-nyc.org/matter/dynamic-profile/view/1901238","19-1901238")</f>
        <v>0</v>
      </c>
      <c r="B1969" t="s">
        <v>12</v>
      </c>
      <c r="H1969" t="s">
        <v>19</v>
      </c>
    </row>
    <row r="1970" spans="1:8">
      <c r="A1970" s="1">
        <f>HYPERLINK("https://cms.ls-nyc.org/matter/dynamic-profile/view/1841799","17-1841799")</f>
        <v>0</v>
      </c>
      <c r="B1970" t="s">
        <v>8</v>
      </c>
      <c r="C1970" t="s">
        <v>13</v>
      </c>
      <c r="D1970" t="s">
        <v>14</v>
      </c>
      <c r="E1970" t="s">
        <v>16</v>
      </c>
      <c r="G1970" t="s">
        <v>18</v>
      </c>
      <c r="H1970" t="s">
        <v>20</v>
      </c>
    </row>
    <row r="1971" spans="1:8">
      <c r="A1971" s="1">
        <f>HYPERLINK("https://cms.ls-nyc.org/matter/dynamic-profile/view/1890309","19-1890309")</f>
        <v>0</v>
      </c>
      <c r="B1971" t="s">
        <v>9</v>
      </c>
      <c r="H1971" t="s">
        <v>19</v>
      </c>
    </row>
    <row r="1972" spans="1:8">
      <c r="A1972" s="1">
        <f>HYPERLINK("https://cms.ls-nyc.org/matter/dynamic-profile/view/E-68000282","S12E-68000282")</f>
        <v>0</v>
      </c>
      <c r="B1972" t="s">
        <v>9</v>
      </c>
      <c r="C1972" t="s">
        <v>13</v>
      </c>
      <c r="D1972" t="s">
        <v>14</v>
      </c>
      <c r="E1972" t="s">
        <v>16</v>
      </c>
      <c r="F1972" t="s">
        <v>17</v>
      </c>
      <c r="H1972" t="s">
        <v>20</v>
      </c>
    </row>
    <row r="1973" spans="1:8">
      <c r="A1973" s="1">
        <f>HYPERLINK("https://cms.ls-nyc.org/matter/dynamic-profile/view/0733605","13-0733605")</f>
        <v>0</v>
      </c>
      <c r="B1973" t="s">
        <v>9</v>
      </c>
      <c r="C1973" t="s">
        <v>13</v>
      </c>
      <c r="D1973" t="s">
        <v>15</v>
      </c>
      <c r="E1973" t="s">
        <v>16</v>
      </c>
      <c r="H1973" t="s">
        <v>20</v>
      </c>
    </row>
    <row r="1974" spans="1:8">
      <c r="A1974" s="1">
        <f>HYPERLINK("https://cms.ls-nyc.org/matter/dynamic-profile/view/1885676","18-1885676")</f>
        <v>0</v>
      </c>
      <c r="B1974" t="s">
        <v>10</v>
      </c>
      <c r="H1974" t="s">
        <v>19</v>
      </c>
    </row>
    <row r="1975" spans="1:8">
      <c r="A1975" s="1">
        <f>HYPERLINK("https://cms.ls-nyc.org/matter/dynamic-profile/view/1874229","18-1874229")</f>
        <v>0</v>
      </c>
      <c r="B1975" t="s">
        <v>9</v>
      </c>
      <c r="D1975" t="s">
        <v>14</v>
      </c>
      <c r="E1975" t="s">
        <v>16</v>
      </c>
      <c r="F1975" t="s">
        <v>17</v>
      </c>
      <c r="H1975" t="s">
        <v>20</v>
      </c>
    </row>
    <row r="1976" spans="1:8">
      <c r="A1976" s="1">
        <f>HYPERLINK("https://cms.ls-nyc.org/matter/dynamic-profile/view/1888208","19-1888208")</f>
        <v>0</v>
      </c>
      <c r="B1976" t="s">
        <v>10</v>
      </c>
      <c r="H1976" t="s">
        <v>19</v>
      </c>
    </row>
    <row r="1977" spans="1:8">
      <c r="A1977" s="1">
        <f>HYPERLINK("https://cms.ls-nyc.org/matter/dynamic-profile/view/1863700","18-1863700")</f>
        <v>0</v>
      </c>
      <c r="B1977" t="s">
        <v>12</v>
      </c>
      <c r="D1977" t="s">
        <v>15</v>
      </c>
      <c r="H1977" t="s">
        <v>20</v>
      </c>
    </row>
    <row r="1978" spans="1:8">
      <c r="A1978" s="1">
        <f>HYPERLINK("https://cms.ls-nyc.org/matter/dynamic-profile/view/1892320","19-1892320")</f>
        <v>0</v>
      </c>
      <c r="B1978" t="s">
        <v>10</v>
      </c>
      <c r="H1978" t="s">
        <v>19</v>
      </c>
    </row>
    <row r="1979" spans="1:8">
      <c r="A1979" s="1">
        <f>HYPERLINK("https://cms.ls-nyc.org/matter/dynamic-profile/view/1891900","19-1891900")</f>
        <v>0</v>
      </c>
      <c r="B1979" t="s">
        <v>10</v>
      </c>
      <c r="H1979" t="s">
        <v>19</v>
      </c>
    </row>
    <row r="1980" spans="1:8">
      <c r="A1980" s="1">
        <f>HYPERLINK("https://cms.ls-nyc.org/matter/dynamic-profile/view/1873011","18-1873011")</f>
        <v>0</v>
      </c>
      <c r="B1980" t="s">
        <v>10</v>
      </c>
      <c r="H1980" t="s">
        <v>19</v>
      </c>
    </row>
    <row r="1981" spans="1:8">
      <c r="A1981" s="1">
        <f>HYPERLINK("https://cms.ls-nyc.org/matter/dynamic-profile/view/1874524","18-1874524")</f>
        <v>0</v>
      </c>
      <c r="B1981" t="s">
        <v>10</v>
      </c>
      <c r="H1981" t="s">
        <v>19</v>
      </c>
    </row>
    <row r="1982" spans="1:8">
      <c r="A1982" s="1">
        <f>HYPERLINK("https://cms.ls-nyc.org/matter/dynamic-profile/view/1881819","18-1881819")</f>
        <v>0</v>
      </c>
      <c r="B1982" t="s">
        <v>10</v>
      </c>
      <c r="H1982" t="s">
        <v>19</v>
      </c>
    </row>
    <row r="1983" spans="1:8">
      <c r="A1983" s="1">
        <f>HYPERLINK("https://cms.ls-nyc.org/matter/dynamic-profile/view/0794965","15-0794965")</f>
        <v>0</v>
      </c>
      <c r="B1983" t="s">
        <v>8</v>
      </c>
      <c r="C1983" t="s">
        <v>13</v>
      </c>
      <c r="D1983" t="s">
        <v>15</v>
      </c>
      <c r="E1983" t="s">
        <v>16</v>
      </c>
      <c r="H1983" t="s">
        <v>20</v>
      </c>
    </row>
    <row r="1984" spans="1:8">
      <c r="A1984" s="1">
        <f>HYPERLINK("https://cms.ls-nyc.org/matter/dynamic-profile/view/1867775","18-1867775")</f>
        <v>0</v>
      </c>
      <c r="B1984" t="s">
        <v>12</v>
      </c>
      <c r="D1984" t="s">
        <v>15</v>
      </c>
      <c r="H1984" t="s">
        <v>20</v>
      </c>
    </row>
    <row r="1985" spans="1:8">
      <c r="A1985" s="1">
        <f>HYPERLINK("https://cms.ls-nyc.org/matter/dynamic-profile/view/0822955","16-0822955")</f>
        <v>0</v>
      </c>
      <c r="B1985" t="s">
        <v>12</v>
      </c>
      <c r="C1985" t="s">
        <v>13</v>
      </c>
      <c r="D1985" t="s">
        <v>15</v>
      </c>
      <c r="E1985" t="s">
        <v>16</v>
      </c>
      <c r="H1985" t="s">
        <v>20</v>
      </c>
    </row>
    <row r="1986" spans="1:8">
      <c r="A1986" s="1">
        <f>HYPERLINK("https://cms.ls-nyc.org/matter/dynamic-profile/view/1891346","19-1891346")</f>
        <v>0</v>
      </c>
      <c r="B1986" t="s">
        <v>10</v>
      </c>
      <c r="F1986" t="s">
        <v>17</v>
      </c>
      <c r="H1986" t="s">
        <v>20</v>
      </c>
    </row>
    <row r="1987" spans="1:8">
      <c r="A1987" s="1">
        <f>HYPERLINK("https://cms.ls-nyc.org/matter/dynamic-profile/view/1891344","19-1891344")</f>
        <v>0</v>
      </c>
      <c r="B1987" t="s">
        <v>10</v>
      </c>
      <c r="F1987" t="s">
        <v>17</v>
      </c>
      <c r="H1987" t="s">
        <v>20</v>
      </c>
    </row>
    <row r="1988" spans="1:8">
      <c r="A1988" s="1">
        <f>HYPERLINK("https://cms.ls-nyc.org/matter/dynamic-profile/view/1847272","17-1847272")</f>
        <v>0</v>
      </c>
      <c r="B1988" t="s">
        <v>12</v>
      </c>
      <c r="D1988" t="s">
        <v>15</v>
      </c>
      <c r="E1988" t="s">
        <v>16</v>
      </c>
      <c r="H1988" t="s">
        <v>20</v>
      </c>
    </row>
    <row r="1989" spans="1:8">
      <c r="A1989" s="1">
        <f>HYPERLINK("https://cms.ls-nyc.org/matter/dynamic-profile/view/1892617","19-1892617")</f>
        <v>0</v>
      </c>
      <c r="B1989" t="s">
        <v>9</v>
      </c>
      <c r="H1989" t="s">
        <v>19</v>
      </c>
    </row>
    <row r="1990" spans="1:8">
      <c r="A1990" s="1">
        <f>HYPERLINK("https://cms.ls-nyc.org/matter/dynamic-profile/view/0802632","16-0802632")</f>
        <v>0</v>
      </c>
      <c r="B1990" t="s">
        <v>10</v>
      </c>
      <c r="D1990" t="s">
        <v>15</v>
      </c>
      <c r="E1990" t="s">
        <v>16</v>
      </c>
      <c r="H1990" t="s">
        <v>20</v>
      </c>
    </row>
    <row r="1991" spans="1:8">
      <c r="A1991" s="1">
        <f>HYPERLINK("https://cms.ls-nyc.org/matter/dynamic-profile/view/1854565","17-1854565")</f>
        <v>0</v>
      </c>
      <c r="B1991" t="s">
        <v>9</v>
      </c>
      <c r="D1991" t="s">
        <v>15</v>
      </c>
      <c r="E1991" t="s">
        <v>16</v>
      </c>
      <c r="H1991" t="s">
        <v>20</v>
      </c>
    </row>
    <row r="1992" spans="1:8">
      <c r="A1992" s="1">
        <f>HYPERLINK("https://cms.ls-nyc.org/matter/dynamic-profile/view/1896446","19-1896446")</f>
        <v>0</v>
      </c>
      <c r="B1992" t="s">
        <v>12</v>
      </c>
      <c r="C1992" t="s">
        <v>13</v>
      </c>
      <c r="D1992" t="s">
        <v>14</v>
      </c>
      <c r="E1992" t="s">
        <v>16</v>
      </c>
      <c r="H1992" t="s">
        <v>20</v>
      </c>
    </row>
    <row r="1993" spans="1:8">
      <c r="A1993" s="1">
        <f>HYPERLINK("https://cms.ls-nyc.org/matter/dynamic-profile/view/1891306","19-1891306")</f>
        <v>0</v>
      </c>
      <c r="B1993" t="s">
        <v>12</v>
      </c>
      <c r="H1993" t="s">
        <v>19</v>
      </c>
    </row>
    <row r="1994" spans="1:8">
      <c r="A1994" s="1">
        <f>HYPERLINK("https://cms.ls-nyc.org/matter/dynamic-profile/view/0792407","15-0792407")</f>
        <v>0</v>
      </c>
      <c r="B1994" t="s">
        <v>11</v>
      </c>
      <c r="C1994" t="s">
        <v>13</v>
      </c>
      <c r="D1994" t="s">
        <v>15</v>
      </c>
      <c r="E1994" t="s">
        <v>16</v>
      </c>
      <c r="H1994" t="s">
        <v>20</v>
      </c>
    </row>
    <row r="1995" spans="1:8">
      <c r="A1995" s="1">
        <f>HYPERLINK("https://cms.ls-nyc.org/matter/dynamic-profile/view/1901257","19-1901257")</f>
        <v>0</v>
      </c>
      <c r="B1995" t="s">
        <v>12</v>
      </c>
      <c r="H1995" t="s">
        <v>19</v>
      </c>
    </row>
    <row r="1996" spans="1:8">
      <c r="A1996" s="1">
        <f>HYPERLINK("https://cms.ls-nyc.org/matter/dynamic-profile/view/1871668","18-1871668")</f>
        <v>0</v>
      </c>
      <c r="B1996" t="s">
        <v>9</v>
      </c>
      <c r="H1996" t="s">
        <v>19</v>
      </c>
    </row>
    <row r="1997" spans="1:8">
      <c r="A1997" s="1">
        <f>HYPERLINK("https://cms.ls-nyc.org/matter/dynamic-profile/view/1877831","18-1877831")</f>
        <v>0</v>
      </c>
      <c r="B1997" t="s">
        <v>9</v>
      </c>
      <c r="H1997" t="s">
        <v>19</v>
      </c>
    </row>
    <row r="1998" spans="1:8">
      <c r="A1998" s="1">
        <f>HYPERLINK("https://cms.ls-nyc.org/matter/dynamic-profile/view/1880321","18-1880321")</f>
        <v>0</v>
      </c>
      <c r="B1998" t="s">
        <v>9</v>
      </c>
      <c r="C1998" t="s">
        <v>13</v>
      </c>
      <c r="D1998" t="s">
        <v>14</v>
      </c>
      <c r="E1998" t="s">
        <v>16</v>
      </c>
      <c r="H1998" t="s">
        <v>20</v>
      </c>
    </row>
    <row r="1999" spans="1:8">
      <c r="A1999" s="1">
        <f>HYPERLINK("https://cms.ls-nyc.org/matter/dynamic-profile/view/1883471","18-1883471")</f>
        <v>0</v>
      </c>
      <c r="B1999" t="s">
        <v>9</v>
      </c>
      <c r="H1999" t="s">
        <v>19</v>
      </c>
    </row>
    <row r="2000" spans="1:8">
      <c r="A2000" s="1">
        <f>HYPERLINK("https://cms.ls-nyc.org/matter/dynamic-profile/view/1887013","19-1887013")</f>
        <v>0</v>
      </c>
      <c r="B2000" t="s">
        <v>10</v>
      </c>
      <c r="H2000" t="s">
        <v>19</v>
      </c>
    </row>
    <row r="2001" spans="1:8">
      <c r="A2001" s="1">
        <f>HYPERLINK("https://cms.ls-nyc.org/matter/dynamic-profile/view/1887970","19-1887970")</f>
        <v>0</v>
      </c>
      <c r="B2001" t="s">
        <v>10</v>
      </c>
      <c r="D2001" t="s">
        <v>14</v>
      </c>
      <c r="H2001" t="s">
        <v>20</v>
      </c>
    </row>
    <row r="2002" spans="1:8">
      <c r="A2002" s="1">
        <f>HYPERLINK("https://cms.ls-nyc.org/matter/dynamic-profile/view/1882290","18-1882290")</f>
        <v>0</v>
      </c>
      <c r="B2002" t="s">
        <v>10</v>
      </c>
      <c r="H2002" t="s">
        <v>19</v>
      </c>
    </row>
    <row r="2003" spans="1:8">
      <c r="A2003" s="1">
        <f>HYPERLINK("https://cms.ls-nyc.org/matter/dynamic-profile/view/1862125","18-1862125")</f>
        <v>0</v>
      </c>
      <c r="B2003" t="s">
        <v>11</v>
      </c>
      <c r="D2003" t="s">
        <v>15</v>
      </c>
      <c r="E2003" t="s">
        <v>16</v>
      </c>
      <c r="H2003" t="s">
        <v>20</v>
      </c>
    </row>
    <row r="2004" spans="1:8">
      <c r="A2004" s="1">
        <f>HYPERLINK("https://cms.ls-nyc.org/matter/dynamic-profile/view/1863069","18-1863069")</f>
        <v>0</v>
      </c>
      <c r="B2004" t="s">
        <v>12</v>
      </c>
      <c r="D2004" t="s">
        <v>15</v>
      </c>
      <c r="E2004" t="s">
        <v>16</v>
      </c>
      <c r="H2004" t="s">
        <v>20</v>
      </c>
    </row>
    <row r="2005" spans="1:8">
      <c r="A2005" s="1">
        <f>HYPERLINK("https://cms.ls-nyc.org/matter/dynamic-profile/view/1869991","18-1869991")</f>
        <v>0</v>
      </c>
      <c r="B2005" t="s">
        <v>9</v>
      </c>
      <c r="D2005" t="s">
        <v>15</v>
      </c>
      <c r="E2005" t="s">
        <v>16</v>
      </c>
      <c r="H2005" t="s">
        <v>20</v>
      </c>
    </row>
    <row r="2006" spans="1:8">
      <c r="A2006" s="1">
        <f>HYPERLINK("https://cms.ls-nyc.org/matter/dynamic-profile/view/1900152","19-1900152")</f>
        <v>0</v>
      </c>
      <c r="B2006" t="s">
        <v>11</v>
      </c>
      <c r="H2006" t="s">
        <v>19</v>
      </c>
    </row>
    <row r="2007" spans="1:8">
      <c r="A2007" s="1">
        <f>HYPERLINK("https://cms.ls-nyc.org/matter/dynamic-profile/view/0821975","16-0821975")</f>
        <v>0</v>
      </c>
      <c r="B2007" t="s">
        <v>10</v>
      </c>
      <c r="D2007" t="s">
        <v>15</v>
      </c>
      <c r="E2007" t="s">
        <v>16</v>
      </c>
      <c r="H2007" t="s">
        <v>20</v>
      </c>
    </row>
    <row r="2008" spans="1:8">
      <c r="A2008" s="1">
        <f>HYPERLINK("https://cms.ls-nyc.org/matter/dynamic-profile/view/0821979","16-0821979")</f>
        <v>0</v>
      </c>
      <c r="B2008" t="s">
        <v>10</v>
      </c>
      <c r="D2008" t="s">
        <v>15</v>
      </c>
      <c r="E2008" t="s">
        <v>16</v>
      </c>
      <c r="H2008" t="s">
        <v>20</v>
      </c>
    </row>
    <row r="2009" spans="1:8">
      <c r="A2009" s="1">
        <f>HYPERLINK("https://cms.ls-nyc.org/matter/dynamic-profile/view/1880606","18-1880606")</f>
        <v>0</v>
      </c>
      <c r="B2009" t="s">
        <v>10</v>
      </c>
      <c r="H2009" t="s">
        <v>19</v>
      </c>
    </row>
    <row r="2010" spans="1:8">
      <c r="A2010" s="1">
        <f>HYPERLINK("https://cms.ls-nyc.org/matter/dynamic-profile/view/0789082","15-0789082")</f>
        <v>0</v>
      </c>
      <c r="B2010" t="s">
        <v>10</v>
      </c>
      <c r="D2010" t="s">
        <v>15</v>
      </c>
      <c r="E2010" t="s">
        <v>16</v>
      </c>
      <c r="H2010" t="s">
        <v>20</v>
      </c>
    </row>
    <row r="2011" spans="1:8">
      <c r="A2011" s="1">
        <f>HYPERLINK("https://cms.ls-nyc.org/matter/dynamic-profile/view/1899801","19-1899801")</f>
        <v>0</v>
      </c>
      <c r="B2011" t="s">
        <v>11</v>
      </c>
      <c r="C2011" t="s">
        <v>13</v>
      </c>
      <c r="D2011" t="s">
        <v>14</v>
      </c>
      <c r="E2011" t="s">
        <v>16</v>
      </c>
      <c r="F2011" t="s">
        <v>17</v>
      </c>
      <c r="G2011" t="s">
        <v>18</v>
      </c>
      <c r="H2011" t="s">
        <v>20</v>
      </c>
    </row>
    <row r="2012" spans="1:8">
      <c r="A2012" s="1">
        <f>HYPERLINK("https://cms.ls-nyc.org/matter/dynamic-profile/view/1874415","18-1874415")</f>
        <v>0</v>
      </c>
      <c r="B2012" t="s">
        <v>10</v>
      </c>
      <c r="H2012" t="s">
        <v>19</v>
      </c>
    </row>
    <row r="2013" spans="1:8">
      <c r="A2013" s="1">
        <f>HYPERLINK("https://cms.ls-nyc.org/matter/dynamic-profile/view/1878919","18-1878919")</f>
        <v>0</v>
      </c>
      <c r="B2013" t="s">
        <v>9</v>
      </c>
      <c r="H2013" t="s">
        <v>19</v>
      </c>
    </row>
    <row r="2014" spans="1:8">
      <c r="A2014" s="1">
        <f>HYPERLINK("https://cms.ls-nyc.org/matter/dynamic-profile/view/1878923","18-1878923")</f>
        <v>0</v>
      </c>
      <c r="B2014" t="s">
        <v>9</v>
      </c>
      <c r="H2014" t="s">
        <v>19</v>
      </c>
    </row>
    <row r="2015" spans="1:8">
      <c r="A2015" s="1">
        <f>HYPERLINK("https://cms.ls-nyc.org/matter/dynamic-profile/view/1860548","18-1860548")</f>
        <v>0</v>
      </c>
      <c r="B2015" t="s">
        <v>10</v>
      </c>
      <c r="D2015" t="s">
        <v>15</v>
      </c>
      <c r="E2015" t="s">
        <v>16</v>
      </c>
      <c r="H2015" t="s">
        <v>20</v>
      </c>
    </row>
    <row r="2016" spans="1:8">
      <c r="A2016" s="1">
        <f>HYPERLINK("https://cms.ls-nyc.org/matter/dynamic-profile/view/1868628","18-1868628")</f>
        <v>0</v>
      </c>
      <c r="B2016" t="s">
        <v>10</v>
      </c>
      <c r="D2016" t="s">
        <v>15</v>
      </c>
      <c r="E2016" t="s">
        <v>16</v>
      </c>
      <c r="H2016" t="s">
        <v>20</v>
      </c>
    </row>
    <row r="2017" spans="1:8">
      <c r="A2017" s="1">
        <f>HYPERLINK("https://cms.ls-nyc.org/matter/dynamic-profile/view/1870815","18-1870815")</f>
        <v>0</v>
      </c>
      <c r="B2017" t="s">
        <v>10</v>
      </c>
      <c r="D2017" t="s">
        <v>15</v>
      </c>
      <c r="H2017" t="s">
        <v>20</v>
      </c>
    </row>
    <row r="2018" spans="1:8">
      <c r="A2018" s="1">
        <f>HYPERLINK("https://cms.ls-nyc.org/matter/dynamic-profile/view/1871354","18-1871354")</f>
        <v>0</v>
      </c>
      <c r="B2018" t="s">
        <v>11</v>
      </c>
      <c r="H2018" t="s">
        <v>19</v>
      </c>
    </row>
    <row r="2019" spans="1:8">
      <c r="A2019" s="1">
        <f>HYPERLINK("https://cms.ls-nyc.org/matter/dynamic-profile/view/1847689","17-1847689")</f>
        <v>0</v>
      </c>
      <c r="B2019" t="s">
        <v>8</v>
      </c>
      <c r="D2019" t="s">
        <v>15</v>
      </c>
      <c r="H2019" t="s">
        <v>20</v>
      </c>
    </row>
    <row r="2020" spans="1:8">
      <c r="A2020" s="1">
        <f>HYPERLINK("https://cms.ls-nyc.org/matter/dynamic-profile/view/1856072","18-1856072")</f>
        <v>0</v>
      </c>
      <c r="B2020" t="s">
        <v>12</v>
      </c>
      <c r="D2020" t="s">
        <v>15</v>
      </c>
      <c r="E2020" t="s">
        <v>16</v>
      </c>
      <c r="H2020" t="s">
        <v>20</v>
      </c>
    </row>
    <row r="2021" spans="1:8">
      <c r="A2021" s="1">
        <f>HYPERLINK("https://cms.ls-nyc.org/matter/dynamic-profile/view/0822732","16-0822732")</f>
        <v>0</v>
      </c>
      <c r="B2021" t="s">
        <v>10</v>
      </c>
      <c r="D2021" t="s">
        <v>15</v>
      </c>
      <c r="E2021" t="s">
        <v>16</v>
      </c>
      <c r="F2021" t="s">
        <v>17</v>
      </c>
      <c r="H2021" t="s">
        <v>20</v>
      </c>
    </row>
    <row r="2022" spans="1:8">
      <c r="A2022" s="1">
        <f>HYPERLINK("https://cms.ls-nyc.org/matter/dynamic-profile/view/1894832","19-1894832")</f>
        <v>0</v>
      </c>
      <c r="B2022" t="s">
        <v>9</v>
      </c>
      <c r="C2022" t="s">
        <v>13</v>
      </c>
      <c r="D2022" t="s">
        <v>14</v>
      </c>
      <c r="E2022" t="s">
        <v>16</v>
      </c>
      <c r="H2022" t="s">
        <v>20</v>
      </c>
    </row>
    <row r="2023" spans="1:8">
      <c r="A2023" s="1">
        <f>HYPERLINK("https://cms.ls-nyc.org/matter/dynamic-profile/view/1900433","19-1900433")</f>
        <v>0</v>
      </c>
      <c r="B2023" t="s">
        <v>9</v>
      </c>
      <c r="E2023" t="s">
        <v>16</v>
      </c>
      <c r="G2023" t="s">
        <v>18</v>
      </c>
      <c r="H2023" t="s">
        <v>20</v>
      </c>
    </row>
    <row r="2024" spans="1:8">
      <c r="A2024" s="1">
        <f>HYPERLINK("https://cms.ls-nyc.org/matter/dynamic-profile/view/1900700","19-1900700")</f>
        <v>0</v>
      </c>
      <c r="B2024" t="s">
        <v>9</v>
      </c>
      <c r="H2024" t="s">
        <v>19</v>
      </c>
    </row>
    <row r="2025" spans="1:8">
      <c r="A2025" s="1">
        <f>HYPERLINK("https://cms.ls-nyc.org/matter/dynamic-profile/view/1898803","19-1898803")</f>
        <v>0</v>
      </c>
      <c r="B2025" t="s">
        <v>10</v>
      </c>
      <c r="C2025" t="s">
        <v>13</v>
      </c>
      <c r="D2025" t="s">
        <v>14</v>
      </c>
      <c r="E2025" t="s">
        <v>16</v>
      </c>
      <c r="F2025" t="s">
        <v>17</v>
      </c>
      <c r="H2025" t="s">
        <v>20</v>
      </c>
    </row>
    <row r="2026" spans="1:8">
      <c r="A2026" s="1">
        <f>HYPERLINK("https://cms.ls-nyc.org/matter/dynamic-profile/view/1896324","19-1896324")</f>
        <v>0</v>
      </c>
      <c r="B2026" t="s">
        <v>10</v>
      </c>
      <c r="H2026" t="s">
        <v>19</v>
      </c>
    </row>
    <row r="2027" spans="1:8">
      <c r="A2027" s="1">
        <f>HYPERLINK("https://cms.ls-nyc.org/matter/dynamic-profile/view/1857295","18-1857295")</f>
        <v>0</v>
      </c>
      <c r="B2027" t="s">
        <v>10</v>
      </c>
      <c r="D2027" t="s">
        <v>15</v>
      </c>
      <c r="E2027" t="s">
        <v>16</v>
      </c>
      <c r="H2027" t="s">
        <v>20</v>
      </c>
    </row>
    <row r="2028" spans="1:8">
      <c r="A2028" s="1">
        <f>HYPERLINK("https://cms.ls-nyc.org/matter/dynamic-profile/view/1885738","18-1885738")</f>
        <v>0</v>
      </c>
      <c r="B2028" t="s">
        <v>10</v>
      </c>
      <c r="D2028" t="s">
        <v>14</v>
      </c>
      <c r="F2028" t="s">
        <v>17</v>
      </c>
      <c r="H2028" t="s">
        <v>20</v>
      </c>
    </row>
    <row r="2029" spans="1:8">
      <c r="A2029" s="1">
        <f>HYPERLINK("https://cms.ls-nyc.org/matter/dynamic-profile/view/1834046","17-1834046")</f>
        <v>0</v>
      </c>
      <c r="B2029" t="s">
        <v>10</v>
      </c>
      <c r="D2029" t="s">
        <v>15</v>
      </c>
      <c r="E2029" t="s">
        <v>16</v>
      </c>
      <c r="H2029" t="s">
        <v>20</v>
      </c>
    </row>
    <row r="2030" spans="1:8">
      <c r="A2030" s="1">
        <f>HYPERLINK("https://cms.ls-nyc.org/matter/dynamic-profile/view/0827345","17-0827345")</f>
        <v>0</v>
      </c>
      <c r="B2030" t="s">
        <v>12</v>
      </c>
      <c r="D2030" t="s">
        <v>15</v>
      </c>
      <c r="E2030" t="s">
        <v>16</v>
      </c>
      <c r="H2030" t="s">
        <v>20</v>
      </c>
    </row>
    <row r="2031" spans="1:8">
      <c r="A2031" s="1">
        <f>HYPERLINK("https://cms.ls-nyc.org/matter/dynamic-profile/view/0822902","16-0822902")</f>
        <v>0</v>
      </c>
      <c r="B2031" t="s">
        <v>9</v>
      </c>
      <c r="D2031" t="s">
        <v>15</v>
      </c>
      <c r="E2031" t="s">
        <v>16</v>
      </c>
      <c r="H2031" t="s">
        <v>20</v>
      </c>
    </row>
    <row r="2032" spans="1:8">
      <c r="A2032" s="1">
        <f>HYPERLINK("https://cms.ls-nyc.org/matter/dynamic-profile/view/1885736","18-1885736")</f>
        <v>0</v>
      </c>
      <c r="B2032" t="s">
        <v>10</v>
      </c>
      <c r="F2032" t="s">
        <v>17</v>
      </c>
      <c r="H2032" t="s">
        <v>20</v>
      </c>
    </row>
    <row r="2033" spans="1:8">
      <c r="A2033" s="1">
        <f>HYPERLINK("https://cms.ls-nyc.org/matter/dynamic-profile/view/1875668","18-1875668")</f>
        <v>0</v>
      </c>
      <c r="B2033" t="s">
        <v>9</v>
      </c>
      <c r="H2033" t="s">
        <v>19</v>
      </c>
    </row>
    <row r="2034" spans="1:8">
      <c r="A2034" s="1">
        <f>HYPERLINK("https://cms.ls-nyc.org/matter/dynamic-profile/view/1869960","18-1869960")</f>
        <v>0</v>
      </c>
      <c r="B2034" t="s">
        <v>9</v>
      </c>
      <c r="C2034" t="s">
        <v>13</v>
      </c>
      <c r="D2034" t="s">
        <v>14</v>
      </c>
      <c r="E2034" t="s">
        <v>16</v>
      </c>
      <c r="G2034" t="s">
        <v>18</v>
      </c>
      <c r="H2034" t="s">
        <v>20</v>
      </c>
    </row>
    <row r="2035" spans="1:8">
      <c r="A2035" s="1">
        <f>HYPERLINK("https://cms.ls-nyc.org/matter/dynamic-profile/view/1862752","18-1862752")</f>
        <v>0</v>
      </c>
      <c r="B2035" t="s">
        <v>9</v>
      </c>
      <c r="C2035" t="s">
        <v>13</v>
      </c>
      <c r="D2035" t="s">
        <v>14</v>
      </c>
      <c r="E2035" t="s">
        <v>16</v>
      </c>
      <c r="G2035" t="s">
        <v>18</v>
      </c>
      <c r="H2035" t="s">
        <v>20</v>
      </c>
    </row>
    <row r="2036" spans="1:8">
      <c r="A2036" s="1">
        <f>HYPERLINK("https://cms.ls-nyc.org/matter/dynamic-profile/view/1865107","18-1865107")</f>
        <v>0</v>
      </c>
      <c r="B2036" t="s">
        <v>8</v>
      </c>
      <c r="D2036" t="s">
        <v>15</v>
      </c>
      <c r="H2036" t="s">
        <v>20</v>
      </c>
    </row>
    <row r="2037" spans="1:8">
      <c r="A2037" s="1">
        <f>HYPERLINK("https://cms.ls-nyc.org/matter/dynamic-profile/view/0827360","17-0827360")</f>
        <v>0</v>
      </c>
      <c r="B2037" t="s">
        <v>11</v>
      </c>
      <c r="D2037" t="s">
        <v>15</v>
      </c>
      <c r="H2037" t="s">
        <v>20</v>
      </c>
    </row>
    <row r="2038" spans="1:8">
      <c r="A2038" s="1">
        <f>HYPERLINK("https://cms.ls-nyc.org/matter/dynamic-profile/view/1858470","18-1858470")</f>
        <v>0</v>
      </c>
      <c r="B2038" t="s">
        <v>12</v>
      </c>
      <c r="D2038" t="s">
        <v>15</v>
      </c>
      <c r="E2038" t="s">
        <v>16</v>
      </c>
      <c r="H2038" t="s">
        <v>20</v>
      </c>
    </row>
    <row r="2039" spans="1:8">
      <c r="A2039" s="1">
        <f>HYPERLINK("https://cms.ls-nyc.org/matter/dynamic-profile/view/1873798","18-1873798")</f>
        <v>0</v>
      </c>
      <c r="B2039" t="s">
        <v>12</v>
      </c>
      <c r="H2039" t="s">
        <v>19</v>
      </c>
    </row>
    <row r="2040" spans="1:8">
      <c r="A2040" s="1">
        <f>HYPERLINK("https://cms.ls-nyc.org/matter/dynamic-profile/view/1877309","18-1877309")</f>
        <v>0</v>
      </c>
      <c r="B2040" t="s">
        <v>12</v>
      </c>
      <c r="H2040" t="s">
        <v>19</v>
      </c>
    </row>
    <row r="2041" spans="1:8">
      <c r="A2041" s="1">
        <f>HYPERLINK("https://cms.ls-nyc.org/matter/dynamic-profile/view/1885320","18-1885320")</f>
        <v>0</v>
      </c>
      <c r="B2041" t="s">
        <v>9</v>
      </c>
      <c r="H2041" t="s">
        <v>19</v>
      </c>
    </row>
    <row r="2042" spans="1:8">
      <c r="A2042" s="1">
        <f>HYPERLINK("https://cms.ls-nyc.org/matter/dynamic-profile/view/1858402","18-1858402")</f>
        <v>0</v>
      </c>
      <c r="B2042" t="s">
        <v>12</v>
      </c>
      <c r="D2042" t="s">
        <v>15</v>
      </c>
      <c r="H2042" t="s">
        <v>20</v>
      </c>
    </row>
    <row r="2043" spans="1:8">
      <c r="A2043" s="1">
        <f>HYPERLINK("https://cms.ls-nyc.org/matter/dynamic-profile/view/1881339","18-1881339")</f>
        <v>0</v>
      </c>
      <c r="B2043" t="s">
        <v>9</v>
      </c>
      <c r="H2043" t="s">
        <v>19</v>
      </c>
    </row>
    <row r="2044" spans="1:8">
      <c r="A2044" s="1">
        <f>HYPERLINK("https://cms.ls-nyc.org/matter/dynamic-profile/view/1892678","19-1892678")</f>
        <v>0</v>
      </c>
      <c r="B2044" t="s">
        <v>9</v>
      </c>
      <c r="E2044" t="s">
        <v>16</v>
      </c>
      <c r="F2044" t="s">
        <v>17</v>
      </c>
      <c r="H2044" t="s">
        <v>20</v>
      </c>
    </row>
    <row r="2045" spans="1:8">
      <c r="A2045" s="1">
        <f>HYPERLINK("https://cms.ls-nyc.org/matter/dynamic-profile/view/1892681","19-1892681")</f>
        <v>0</v>
      </c>
      <c r="B2045" t="s">
        <v>9</v>
      </c>
      <c r="E2045" t="s">
        <v>16</v>
      </c>
      <c r="F2045" t="s">
        <v>17</v>
      </c>
      <c r="H2045" t="s">
        <v>20</v>
      </c>
    </row>
    <row r="2046" spans="1:8">
      <c r="A2046" s="1">
        <f>HYPERLINK("https://cms.ls-nyc.org/matter/dynamic-profile/view/1861395","18-1861395")</f>
        <v>0</v>
      </c>
      <c r="B2046" t="s">
        <v>8</v>
      </c>
      <c r="D2046" t="s">
        <v>15</v>
      </c>
      <c r="E2046" t="s">
        <v>16</v>
      </c>
      <c r="H2046" t="s">
        <v>20</v>
      </c>
    </row>
    <row r="2047" spans="1:8">
      <c r="A2047" s="1">
        <f>HYPERLINK("https://cms.ls-nyc.org/matter/dynamic-profile/view/1839788","17-1839788")</f>
        <v>0</v>
      </c>
      <c r="B2047" t="s">
        <v>12</v>
      </c>
      <c r="D2047" t="s">
        <v>15</v>
      </c>
      <c r="H2047" t="s">
        <v>20</v>
      </c>
    </row>
    <row r="2048" spans="1:8">
      <c r="A2048" s="1">
        <f>HYPERLINK("https://cms.ls-nyc.org/matter/dynamic-profile/view/1897303","19-1897303")</f>
        <v>0</v>
      </c>
      <c r="B2048" t="s">
        <v>9</v>
      </c>
      <c r="C2048" t="s">
        <v>13</v>
      </c>
      <c r="D2048" t="s">
        <v>14</v>
      </c>
      <c r="E2048" t="s">
        <v>16</v>
      </c>
      <c r="H2048" t="s">
        <v>20</v>
      </c>
    </row>
    <row r="2049" spans="1:8">
      <c r="A2049" s="1">
        <f>HYPERLINK("https://cms.ls-nyc.org/matter/dynamic-profile/view/1893754","19-1893754")</f>
        <v>0</v>
      </c>
      <c r="B2049" t="s">
        <v>10</v>
      </c>
      <c r="F2049" t="s">
        <v>17</v>
      </c>
      <c r="H2049" t="s">
        <v>20</v>
      </c>
    </row>
    <row r="2050" spans="1:8">
      <c r="A2050" s="1">
        <f>HYPERLINK("https://cms.ls-nyc.org/matter/dynamic-profile/view/1895972","19-1895972")</f>
        <v>0</v>
      </c>
      <c r="B2050" t="s">
        <v>10</v>
      </c>
      <c r="D2050" t="s">
        <v>14</v>
      </c>
      <c r="F2050" t="s">
        <v>17</v>
      </c>
      <c r="H2050" t="s">
        <v>20</v>
      </c>
    </row>
    <row r="2051" spans="1:8">
      <c r="A2051" s="1">
        <f>HYPERLINK("https://cms.ls-nyc.org/matter/dynamic-profile/view/1844969","17-1844969")</f>
        <v>0</v>
      </c>
      <c r="B2051" t="s">
        <v>12</v>
      </c>
      <c r="D2051" t="s">
        <v>15</v>
      </c>
      <c r="E2051" t="s">
        <v>16</v>
      </c>
      <c r="H2051" t="s">
        <v>20</v>
      </c>
    </row>
    <row r="2052" spans="1:8">
      <c r="A2052" s="1">
        <f>HYPERLINK("https://cms.ls-nyc.org/matter/dynamic-profile/view/1854109","17-1854109")</f>
        <v>0</v>
      </c>
      <c r="B2052" t="s">
        <v>10</v>
      </c>
      <c r="D2052" t="s">
        <v>15</v>
      </c>
      <c r="E2052" t="s">
        <v>16</v>
      </c>
      <c r="H2052" t="s">
        <v>20</v>
      </c>
    </row>
    <row r="2053" spans="1:8">
      <c r="A2053" s="1">
        <f>HYPERLINK("https://cms.ls-nyc.org/matter/dynamic-profile/view/1834583","17-1834583")</f>
        <v>0</v>
      </c>
      <c r="B2053" t="s">
        <v>9</v>
      </c>
      <c r="D2053" t="s">
        <v>15</v>
      </c>
      <c r="E2053" t="s">
        <v>16</v>
      </c>
      <c r="H2053" t="s">
        <v>20</v>
      </c>
    </row>
    <row r="2054" spans="1:8">
      <c r="A2054" s="1">
        <f>HYPERLINK("https://cms.ls-nyc.org/matter/dynamic-profile/view/1899272","19-1899272")</f>
        <v>0</v>
      </c>
      <c r="B2054" t="s">
        <v>8</v>
      </c>
      <c r="H2054" t="s">
        <v>19</v>
      </c>
    </row>
    <row r="2055" spans="1:8">
      <c r="A2055" s="1">
        <f>HYPERLINK("https://cms.ls-nyc.org/matter/dynamic-profile/view/1899826","19-1899826")</f>
        <v>0</v>
      </c>
      <c r="B2055" t="s">
        <v>9</v>
      </c>
      <c r="H2055" t="s">
        <v>19</v>
      </c>
    </row>
    <row r="2056" spans="1:8">
      <c r="A2056" s="1">
        <f>HYPERLINK("https://cms.ls-nyc.org/matter/dynamic-profile/view/1900978","19-1900978")</f>
        <v>0</v>
      </c>
      <c r="B2056" t="s">
        <v>9</v>
      </c>
      <c r="H2056" t="s">
        <v>19</v>
      </c>
    </row>
    <row r="2057" spans="1:8">
      <c r="A2057" s="1">
        <f>HYPERLINK("https://cms.ls-nyc.org/matter/dynamic-profile/view/1900040","19-1900040")</f>
        <v>0</v>
      </c>
      <c r="B2057" t="s">
        <v>11</v>
      </c>
      <c r="C2057" t="s">
        <v>13</v>
      </c>
      <c r="D2057" t="s">
        <v>14</v>
      </c>
      <c r="E2057" t="s">
        <v>16</v>
      </c>
      <c r="G2057" t="s">
        <v>18</v>
      </c>
      <c r="H2057" t="s">
        <v>20</v>
      </c>
    </row>
    <row r="2058" spans="1:8">
      <c r="A2058" s="1">
        <f>HYPERLINK("https://cms.ls-nyc.org/matter/dynamic-profile/view/1898899","19-1898899")</f>
        <v>0</v>
      </c>
      <c r="B2058" t="s">
        <v>12</v>
      </c>
      <c r="H2058" t="s">
        <v>19</v>
      </c>
    </row>
    <row r="2059" spans="1:8">
      <c r="A2059" s="1">
        <f>HYPERLINK("https://cms.ls-nyc.org/matter/dynamic-profile/view/1866060","18-1866060")</f>
        <v>0</v>
      </c>
      <c r="B2059" t="s">
        <v>9</v>
      </c>
      <c r="H2059" t="s">
        <v>19</v>
      </c>
    </row>
    <row r="2060" spans="1:8">
      <c r="A2060" s="1">
        <f>HYPERLINK("https://cms.ls-nyc.org/matter/dynamic-profile/view/0806931","16-0806931")</f>
        <v>0</v>
      </c>
      <c r="B2060" t="s">
        <v>12</v>
      </c>
      <c r="D2060" t="s">
        <v>15</v>
      </c>
      <c r="E2060" t="s">
        <v>16</v>
      </c>
      <c r="H2060" t="s">
        <v>20</v>
      </c>
    </row>
    <row r="2061" spans="1:8">
      <c r="A2061" s="1">
        <f>HYPERLINK("https://cms.ls-nyc.org/matter/dynamic-profile/view/1898112","19-1898112")</f>
        <v>0</v>
      </c>
      <c r="B2061" t="s">
        <v>10</v>
      </c>
      <c r="D2061" t="s">
        <v>14</v>
      </c>
      <c r="H2061" t="s">
        <v>20</v>
      </c>
    </row>
    <row r="2062" spans="1:8">
      <c r="A2062" s="1">
        <f>HYPERLINK("https://cms.ls-nyc.org/matter/dynamic-profile/view/1882302","18-1882302")</f>
        <v>0</v>
      </c>
      <c r="B2062" t="s">
        <v>9</v>
      </c>
      <c r="H2062" t="s">
        <v>19</v>
      </c>
    </row>
    <row r="2063" spans="1:8">
      <c r="A2063" s="1">
        <f>HYPERLINK("https://cms.ls-nyc.org/matter/dynamic-profile/view/1892699","19-1892699")</f>
        <v>0</v>
      </c>
      <c r="B2063" t="s">
        <v>12</v>
      </c>
      <c r="H2063" t="s">
        <v>19</v>
      </c>
    </row>
    <row r="2064" spans="1:8">
      <c r="A2064" s="1">
        <f>HYPERLINK("https://cms.ls-nyc.org/matter/dynamic-profile/view/1873213","18-1873213")</f>
        <v>0</v>
      </c>
      <c r="B2064" t="s">
        <v>8</v>
      </c>
      <c r="H2064" t="s">
        <v>19</v>
      </c>
    </row>
    <row r="2065" spans="1:8">
      <c r="A2065" s="1">
        <f>HYPERLINK("https://cms.ls-nyc.org/matter/dynamic-profile/view/1890731","19-1890731")</f>
        <v>0</v>
      </c>
      <c r="B2065" t="s">
        <v>10</v>
      </c>
      <c r="D2065" t="s">
        <v>14</v>
      </c>
      <c r="F2065" t="s">
        <v>17</v>
      </c>
      <c r="H2065" t="s">
        <v>20</v>
      </c>
    </row>
    <row r="2066" spans="1:8">
      <c r="A2066" s="1">
        <f>HYPERLINK("https://cms.ls-nyc.org/matter/dynamic-profile/view/1899388","19-1899388")</f>
        <v>0</v>
      </c>
      <c r="B2066" t="s">
        <v>11</v>
      </c>
      <c r="C2066" t="s">
        <v>13</v>
      </c>
      <c r="D2066" t="s">
        <v>14</v>
      </c>
      <c r="E2066" t="s">
        <v>16</v>
      </c>
      <c r="F2066" t="s">
        <v>17</v>
      </c>
      <c r="G2066" t="s">
        <v>18</v>
      </c>
      <c r="H2066" t="s">
        <v>20</v>
      </c>
    </row>
    <row r="2067" spans="1:8">
      <c r="A2067" s="1">
        <f>HYPERLINK("https://cms.ls-nyc.org/matter/dynamic-profile/view/1863696","18-1863696")</f>
        <v>0</v>
      </c>
      <c r="B2067" t="s">
        <v>10</v>
      </c>
      <c r="D2067" t="s">
        <v>15</v>
      </c>
      <c r="E2067" t="s">
        <v>16</v>
      </c>
      <c r="H2067" t="s">
        <v>20</v>
      </c>
    </row>
    <row r="2068" spans="1:8">
      <c r="A2068" s="1">
        <f>HYPERLINK("https://cms.ls-nyc.org/matter/dynamic-profile/view/1867970","18-1867970")</f>
        <v>0</v>
      </c>
      <c r="B2068" t="s">
        <v>12</v>
      </c>
      <c r="D2068" t="s">
        <v>15</v>
      </c>
      <c r="E2068" t="s">
        <v>16</v>
      </c>
      <c r="H2068" t="s">
        <v>20</v>
      </c>
    </row>
    <row r="2069" spans="1:8">
      <c r="A2069" s="1">
        <f>HYPERLINK("https://cms.ls-nyc.org/matter/dynamic-profile/view/1867941","18-1867941")</f>
        <v>0</v>
      </c>
      <c r="B2069" t="s">
        <v>12</v>
      </c>
      <c r="D2069" t="s">
        <v>15</v>
      </c>
      <c r="E2069" t="s">
        <v>16</v>
      </c>
      <c r="H2069" t="s">
        <v>20</v>
      </c>
    </row>
    <row r="2070" spans="1:8">
      <c r="A2070" s="1">
        <f>HYPERLINK("https://cms.ls-nyc.org/matter/dynamic-profile/view/1847636","17-1847636")</f>
        <v>0</v>
      </c>
      <c r="B2070" t="s">
        <v>12</v>
      </c>
      <c r="D2070" t="s">
        <v>15</v>
      </c>
      <c r="E2070" t="s">
        <v>16</v>
      </c>
      <c r="H2070" t="s">
        <v>20</v>
      </c>
    </row>
    <row r="2071" spans="1:8">
      <c r="A2071" s="1">
        <f>HYPERLINK("https://cms.ls-nyc.org/matter/dynamic-profile/view/0823551","17-0823551")</f>
        <v>0</v>
      </c>
      <c r="B2071" t="s">
        <v>11</v>
      </c>
      <c r="D2071" t="s">
        <v>15</v>
      </c>
      <c r="E2071" t="s">
        <v>16</v>
      </c>
      <c r="H2071" t="s">
        <v>20</v>
      </c>
    </row>
    <row r="2072" spans="1:8">
      <c r="A2072" s="1">
        <f>HYPERLINK("https://cms.ls-nyc.org/matter/dynamic-profile/view/1878913","18-1878913")</f>
        <v>0</v>
      </c>
      <c r="B2072" t="s">
        <v>12</v>
      </c>
      <c r="H2072" t="s">
        <v>19</v>
      </c>
    </row>
    <row r="2073" spans="1:8">
      <c r="A2073" s="1">
        <f>HYPERLINK("https://cms.ls-nyc.org/matter/dynamic-profile/view/1895732","19-1895732")</f>
        <v>0</v>
      </c>
      <c r="B2073" t="s">
        <v>12</v>
      </c>
      <c r="H2073" t="s">
        <v>19</v>
      </c>
    </row>
    <row r="2074" spans="1:8">
      <c r="A2074" s="1">
        <f>HYPERLINK("https://cms.ls-nyc.org/matter/dynamic-profile/view/1897175","19-1897175")</f>
        <v>0</v>
      </c>
      <c r="B2074" t="s">
        <v>9</v>
      </c>
      <c r="E2074" t="s">
        <v>16</v>
      </c>
      <c r="F2074" t="s">
        <v>17</v>
      </c>
      <c r="H2074" t="s">
        <v>20</v>
      </c>
    </row>
    <row r="2075" spans="1:8">
      <c r="A2075" s="1">
        <f>HYPERLINK("https://cms.ls-nyc.org/matter/dynamic-profile/view/1897179","19-1897179")</f>
        <v>0</v>
      </c>
      <c r="B2075" t="s">
        <v>9</v>
      </c>
      <c r="E2075" t="s">
        <v>16</v>
      </c>
      <c r="F2075" t="s">
        <v>17</v>
      </c>
      <c r="H2075" t="s">
        <v>20</v>
      </c>
    </row>
    <row r="2076" spans="1:8">
      <c r="A2076" s="1">
        <f>HYPERLINK("https://cms.ls-nyc.org/matter/dynamic-profile/view/1835837","17-1835837")</f>
        <v>0</v>
      </c>
      <c r="B2076" t="s">
        <v>12</v>
      </c>
      <c r="D2076" t="s">
        <v>15</v>
      </c>
      <c r="E2076" t="s">
        <v>16</v>
      </c>
      <c r="F2076" t="s">
        <v>17</v>
      </c>
      <c r="H2076" t="s">
        <v>20</v>
      </c>
    </row>
    <row r="2077" spans="1:8">
      <c r="A2077" s="1">
        <f>HYPERLINK("https://cms.ls-nyc.org/matter/dynamic-profile/view/1847273","17-1847273")</f>
        <v>0</v>
      </c>
      <c r="B2077" t="s">
        <v>12</v>
      </c>
      <c r="D2077" t="s">
        <v>15</v>
      </c>
      <c r="E2077" t="s">
        <v>16</v>
      </c>
      <c r="F2077" t="s">
        <v>17</v>
      </c>
      <c r="H2077" t="s">
        <v>20</v>
      </c>
    </row>
    <row r="2078" spans="1:8">
      <c r="A2078" s="1">
        <f>HYPERLINK("https://cms.ls-nyc.org/matter/dynamic-profile/view/1892359","19-1892359")</f>
        <v>0</v>
      </c>
      <c r="B2078" t="s">
        <v>9</v>
      </c>
      <c r="H2078" t="s">
        <v>19</v>
      </c>
    </row>
    <row r="2079" spans="1:8">
      <c r="A2079" s="1">
        <f>HYPERLINK("https://cms.ls-nyc.org/matter/dynamic-profile/view/1894582","19-1894582")</f>
        <v>0</v>
      </c>
      <c r="B2079" t="s">
        <v>9</v>
      </c>
      <c r="C2079" t="s">
        <v>13</v>
      </c>
      <c r="D2079" t="s">
        <v>14</v>
      </c>
      <c r="E2079" t="s">
        <v>16</v>
      </c>
      <c r="G2079" t="s">
        <v>18</v>
      </c>
      <c r="H2079" t="s">
        <v>20</v>
      </c>
    </row>
    <row r="2080" spans="1:8">
      <c r="A2080" s="1">
        <f>HYPERLINK("https://cms.ls-nyc.org/matter/dynamic-profile/view/0806096","16-0806096")</f>
        <v>0</v>
      </c>
      <c r="B2080" t="s">
        <v>9</v>
      </c>
      <c r="D2080" t="s">
        <v>15</v>
      </c>
      <c r="E2080" t="s">
        <v>16</v>
      </c>
      <c r="H2080" t="s">
        <v>20</v>
      </c>
    </row>
    <row r="2081" spans="1:8">
      <c r="A2081" s="1">
        <f>HYPERLINK("https://cms.ls-nyc.org/matter/dynamic-profile/view/0823992","17-0823992")</f>
        <v>0</v>
      </c>
      <c r="B2081" t="s">
        <v>9</v>
      </c>
      <c r="D2081" t="s">
        <v>15</v>
      </c>
      <c r="E2081" t="s">
        <v>16</v>
      </c>
      <c r="H2081" t="s">
        <v>20</v>
      </c>
    </row>
    <row r="2082" spans="1:8">
      <c r="A2082" s="1">
        <f>HYPERLINK("https://cms.ls-nyc.org/matter/dynamic-profile/view/1871791","18-1871791")</f>
        <v>0</v>
      </c>
      <c r="B2082" t="s">
        <v>9</v>
      </c>
      <c r="H2082" t="s">
        <v>19</v>
      </c>
    </row>
    <row r="2083" spans="1:8">
      <c r="A2083" s="1">
        <f>HYPERLINK("https://cms.ls-nyc.org/matter/dynamic-profile/view/1878325","18-1878325")</f>
        <v>0</v>
      </c>
      <c r="B2083" t="s">
        <v>12</v>
      </c>
      <c r="E2083" t="s">
        <v>16</v>
      </c>
      <c r="F2083" t="s">
        <v>17</v>
      </c>
      <c r="H2083" t="s">
        <v>20</v>
      </c>
    </row>
    <row r="2084" spans="1:8">
      <c r="A2084" s="1">
        <f>HYPERLINK("https://cms.ls-nyc.org/matter/dynamic-profile/view/1882776","18-1882776")</f>
        <v>0</v>
      </c>
      <c r="B2084" t="s">
        <v>12</v>
      </c>
      <c r="H2084" t="s">
        <v>19</v>
      </c>
    </row>
    <row r="2085" spans="1:8">
      <c r="A2085" s="1">
        <f>HYPERLINK("https://cms.ls-nyc.org/matter/dynamic-profile/view/1886645","18-1886645")</f>
        <v>0</v>
      </c>
      <c r="B2085" t="s">
        <v>9</v>
      </c>
      <c r="H2085" t="s">
        <v>19</v>
      </c>
    </row>
    <row r="2086" spans="1:8">
      <c r="A2086" s="1">
        <f>HYPERLINK("https://cms.ls-nyc.org/matter/dynamic-profile/view/1845402","17-1845402")</f>
        <v>0</v>
      </c>
      <c r="B2086" t="s">
        <v>11</v>
      </c>
      <c r="D2086" t="s">
        <v>15</v>
      </c>
      <c r="E2086" t="s">
        <v>16</v>
      </c>
      <c r="H2086" t="s">
        <v>20</v>
      </c>
    </row>
    <row r="2087" spans="1:8">
      <c r="A2087" s="1">
        <f>HYPERLINK("https://cms.ls-nyc.org/matter/dynamic-profile/view/1861085","18-1861085")</f>
        <v>0</v>
      </c>
      <c r="B2087" t="s">
        <v>12</v>
      </c>
      <c r="D2087" t="s">
        <v>15</v>
      </c>
      <c r="E2087" t="s">
        <v>16</v>
      </c>
      <c r="H2087" t="s">
        <v>20</v>
      </c>
    </row>
    <row r="2088" spans="1:8">
      <c r="A2088" s="1">
        <f>HYPERLINK("https://cms.ls-nyc.org/matter/dynamic-profile/view/1893083","19-1893083")</f>
        <v>0</v>
      </c>
      <c r="B2088" t="s">
        <v>10</v>
      </c>
      <c r="H2088" t="s">
        <v>19</v>
      </c>
    </row>
    <row r="2089" spans="1:8">
      <c r="A2089" s="1">
        <f>HYPERLINK("https://cms.ls-nyc.org/matter/dynamic-profile/view/1899187","19-1899187")</f>
        <v>0</v>
      </c>
      <c r="B2089" t="s">
        <v>10</v>
      </c>
      <c r="D2089" t="s">
        <v>14</v>
      </c>
      <c r="H2089" t="s">
        <v>20</v>
      </c>
    </row>
    <row r="2090" spans="1:8">
      <c r="A2090" s="1">
        <f>HYPERLINK("https://cms.ls-nyc.org/matter/dynamic-profile/view/1876348","18-1876348")</f>
        <v>0</v>
      </c>
      <c r="B2090" t="s">
        <v>12</v>
      </c>
      <c r="H2090" t="s">
        <v>19</v>
      </c>
    </row>
    <row r="2091" spans="1:8">
      <c r="A2091" s="1">
        <f>HYPERLINK("https://cms.ls-nyc.org/matter/dynamic-profile/view/1897089","19-1897089")</f>
        <v>0</v>
      </c>
      <c r="B2091" t="s">
        <v>10</v>
      </c>
      <c r="H2091" t="s">
        <v>19</v>
      </c>
    </row>
    <row r="2092" spans="1:8">
      <c r="A2092" s="1">
        <f>HYPERLINK("https://cms.ls-nyc.org/matter/dynamic-profile/view/1843489","17-1843489")</f>
        <v>0</v>
      </c>
      <c r="B2092" t="s">
        <v>12</v>
      </c>
      <c r="D2092" t="s">
        <v>15</v>
      </c>
      <c r="E2092" t="s">
        <v>16</v>
      </c>
      <c r="H2092" t="s">
        <v>20</v>
      </c>
    </row>
    <row r="2093" spans="1:8">
      <c r="A2093" s="1">
        <f>HYPERLINK("https://cms.ls-nyc.org/matter/dynamic-profile/view/1901098","19-1901098")</f>
        <v>0</v>
      </c>
      <c r="B2093" t="s">
        <v>9</v>
      </c>
      <c r="H2093" t="s">
        <v>19</v>
      </c>
    </row>
    <row r="2094" spans="1:8">
      <c r="A2094" s="1">
        <f>HYPERLINK("https://cms.ls-nyc.org/matter/dynamic-profile/view/1863308","18-1863308")</f>
        <v>0</v>
      </c>
      <c r="B2094" t="s">
        <v>9</v>
      </c>
      <c r="H2094" t="s">
        <v>19</v>
      </c>
    </row>
    <row r="2095" spans="1:8">
      <c r="A2095" s="1">
        <f>HYPERLINK("https://cms.ls-nyc.org/matter/dynamic-profile/view/0779699","15-0779699")</f>
        <v>0</v>
      </c>
      <c r="B2095" t="s">
        <v>9</v>
      </c>
      <c r="D2095" t="s">
        <v>14</v>
      </c>
      <c r="E2095" t="s">
        <v>16</v>
      </c>
      <c r="H2095" t="s">
        <v>20</v>
      </c>
    </row>
    <row r="2096" spans="1:8">
      <c r="A2096" s="1">
        <f>HYPERLINK("https://cms.ls-nyc.org/matter/dynamic-profile/view/1835508","17-1835508")</f>
        <v>0</v>
      </c>
      <c r="B2096" t="s">
        <v>9</v>
      </c>
      <c r="D2096" t="s">
        <v>15</v>
      </c>
      <c r="E2096" t="s">
        <v>16</v>
      </c>
      <c r="H2096" t="s">
        <v>20</v>
      </c>
    </row>
    <row r="2097" spans="1:8">
      <c r="A2097" s="1">
        <f>HYPERLINK("https://cms.ls-nyc.org/matter/dynamic-profile/view/1869424","18-1869424")</f>
        <v>0</v>
      </c>
      <c r="B2097" t="s">
        <v>9</v>
      </c>
      <c r="D2097" t="s">
        <v>15</v>
      </c>
      <c r="E2097" t="s">
        <v>16</v>
      </c>
      <c r="H2097" t="s">
        <v>20</v>
      </c>
    </row>
    <row r="2098" spans="1:8">
      <c r="A2098" s="1">
        <f>HYPERLINK("https://cms.ls-nyc.org/matter/dynamic-profile/view/1880650","18-1880650")</f>
        <v>0</v>
      </c>
      <c r="B2098" t="s">
        <v>8</v>
      </c>
      <c r="H2098" t="s">
        <v>19</v>
      </c>
    </row>
    <row r="2099" spans="1:8">
      <c r="A2099" s="1">
        <f>HYPERLINK("https://cms.ls-nyc.org/matter/dynamic-profile/view/1869373","18-1869373")</f>
        <v>0</v>
      </c>
      <c r="B2099" t="s">
        <v>10</v>
      </c>
      <c r="D2099" t="s">
        <v>15</v>
      </c>
      <c r="E2099" t="s">
        <v>16</v>
      </c>
      <c r="H2099" t="s">
        <v>20</v>
      </c>
    </row>
    <row r="2100" spans="1:8">
      <c r="A2100" s="1">
        <f>HYPERLINK("https://cms.ls-nyc.org/matter/dynamic-profile/view/1841599","17-1841599")</f>
        <v>0</v>
      </c>
      <c r="B2100" t="s">
        <v>10</v>
      </c>
      <c r="D2100" t="s">
        <v>15</v>
      </c>
      <c r="E2100" t="s">
        <v>16</v>
      </c>
      <c r="H2100" t="s">
        <v>20</v>
      </c>
    </row>
    <row r="2101" spans="1:8">
      <c r="A2101" s="1">
        <f>HYPERLINK("https://cms.ls-nyc.org/matter/dynamic-profile/view/1900587","19-1900587")</f>
        <v>0</v>
      </c>
      <c r="B2101" t="s">
        <v>12</v>
      </c>
      <c r="D2101" t="s">
        <v>14</v>
      </c>
      <c r="F2101" t="s">
        <v>17</v>
      </c>
      <c r="H2101" t="s">
        <v>20</v>
      </c>
    </row>
    <row r="2102" spans="1:8">
      <c r="A2102" s="1">
        <f>HYPERLINK("https://cms.ls-nyc.org/matter/dynamic-profile/view/1864136","18-1864136")</f>
        <v>0</v>
      </c>
      <c r="B2102" t="s">
        <v>12</v>
      </c>
      <c r="D2102" t="s">
        <v>15</v>
      </c>
      <c r="H2102" t="s">
        <v>20</v>
      </c>
    </row>
    <row r="2103" spans="1:8">
      <c r="A2103" s="1">
        <f>HYPERLINK("https://cms.ls-nyc.org/matter/dynamic-profile/view/1882560","18-1882560")</f>
        <v>0</v>
      </c>
      <c r="B2103" t="s">
        <v>10</v>
      </c>
      <c r="H2103" t="s">
        <v>19</v>
      </c>
    </row>
    <row r="2104" spans="1:8">
      <c r="A2104" s="1">
        <f>HYPERLINK("https://cms.ls-nyc.org/matter/dynamic-profile/view/1860901","18-1860901")</f>
        <v>0</v>
      </c>
      <c r="B2104" t="s">
        <v>10</v>
      </c>
      <c r="D2104" t="s">
        <v>15</v>
      </c>
      <c r="E2104" t="s">
        <v>16</v>
      </c>
      <c r="H2104" t="s">
        <v>20</v>
      </c>
    </row>
    <row r="2105" spans="1:8">
      <c r="A2105" s="1">
        <f>HYPERLINK("https://cms.ls-nyc.org/matter/dynamic-profile/view/1860915","18-1860915")</f>
        <v>0</v>
      </c>
      <c r="B2105" t="s">
        <v>9</v>
      </c>
      <c r="D2105" t="s">
        <v>15</v>
      </c>
      <c r="E2105" t="s">
        <v>16</v>
      </c>
      <c r="H2105" t="s">
        <v>20</v>
      </c>
    </row>
    <row r="2106" spans="1:8">
      <c r="A2106" s="1">
        <f>HYPERLINK("https://cms.ls-nyc.org/matter/dynamic-profile/view/1864198","18-1864198")</f>
        <v>0</v>
      </c>
      <c r="B2106" t="s">
        <v>9</v>
      </c>
      <c r="D2106" t="s">
        <v>15</v>
      </c>
      <c r="E2106" t="s">
        <v>16</v>
      </c>
      <c r="H2106" t="s">
        <v>20</v>
      </c>
    </row>
    <row r="2107" spans="1:8">
      <c r="A2107" s="1">
        <f>HYPERLINK("https://cms.ls-nyc.org/matter/dynamic-profile/view/1870033","18-1870033")</f>
        <v>0</v>
      </c>
      <c r="B2107" t="s">
        <v>9</v>
      </c>
      <c r="D2107" t="s">
        <v>15</v>
      </c>
      <c r="E2107" t="s">
        <v>16</v>
      </c>
      <c r="H2107" t="s">
        <v>20</v>
      </c>
    </row>
    <row r="2108" spans="1:8">
      <c r="A2108" s="1">
        <f>HYPERLINK("https://cms.ls-nyc.org/matter/dynamic-profile/view/1883624","18-1883624")</f>
        <v>0</v>
      </c>
      <c r="B2108" t="s">
        <v>9</v>
      </c>
      <c r="C2108" t="s">
        <v>13</v>
      </c>
      <c r="D2108" t="s">
        <v>14</v>
      </c>
      <c r="E2108" t="s">
        <v>16</v>
      </c>
      <c r="H2108" t="s">
        <v>20</v>
      </c>
    </row>
    <row r="2109" spans="1:8">
      <c r="A2109" s="1">
        <f>HYPERLINK("https://cms.ls-nyc.org/matter/dynamic-profile/view/1863930","18-1863930")</f>
        <v>0</v>
      </c>
      <c r="B2109" t="s">
        <v>9</v>
      </c>
      <c r="D2109" t="s">
        <v>15</v>
      </c>
      <c r="E2109" t="s">
        <v>16</v>
      </c>
      <c r="H2109" t="s">
        <v>20</v>
      </c>
    </row>
    <row r="2110" spans="1:8">
      <c r="A2110" s="1">
        <f>HYPERLINK("https://cms.ls-nyc.org/matter/dynamic-profile/view/1863309","18-1863309")</f>
        <v>0</v>
      </c>
      <c r="B2110" t="s">
        <v>10</v>
      </c>
      <c r="D2110" t="s">
        <v>15</v>
      </c>
      <c r="E2110" t="s">
        <v>16</v>
      </c>
      <c r="H2110" t="s">
        <v>20</v>
      </c>
    </row>
    <row r="2111" spans="1:8">
      <c r="A2111" s="1">
        <f>HYPERLINK("https://cms.ls-nyc.org/matter/dynamic-profile/view/1856746","18-1856746")</f>
        <v>0</v>
      </c>
      <c r="B2111" t="s">
        <v>10</v>
      </c>
      <c r="D2111" t="s">
        <v>15</v>
      </c>
      <c r="H2111" t="s">
        <v>20</v>
      </c>
    </row>
    <row r="2112" spans="1:8">
      <c r="A2112" s="1">
        <f>HYPERLINK("https://cms.ls-nyc.org/matter/dynamic-profile/view/1851293","17-1851293")</f>
        <v>0</v>
      </c>
      <c r="B2112" t="s">
        <v>9</v>
      </c>
      <c r="D2112" t="s">
        <v>15</v>
      </c>
      <c r="E2112" t="s">
        <v>16</v>
      </c>
      <c r="F2112" t="s">
        <v>17</v>
      </c>
      <c r="H2112" t="s">
        <v>20</v>
      </c>
    </row>
    <row r="2113" spans="1:8">
      <c r="A2113" s="1">
        <f>HYPERLINK("https://cms.ls-nyc.org/matter/dynamic-profile/view/1857188","18-1857188")</f>
        <v>0</v>
      </c>
      <c r="B2113" t="s">
        <v>9</v>
      </c>
      <c r="D2113" t="s">
        <v>15</v>
      </c>
      <c r="H2113" t="s">
        <v>20</v>
      </c>
    </row>
    <row r="2114" spans="1:8">
      <c r="A2114" s="1">
        <f>HYPERLINK("https://cms.ls-nyc.org/matter/dynamic-profile/view/1843620","17-1843620")</f>
        <v>0</v>
      </c>
      <c r="B2114" t="s">
        <v>12</v>
      </c>
      <c r="C2114" t="s">
        <v>13</v>
      </c>
      <c r="D2114" t="s">
        <v>14</v>
      </c>
      <c r="F2114" t="s">
        <v>17</v>
      </c>
      <c r="H2114" t="s">
        <v>20</v>
      </c>
    </row>
    <row r="2115" spans="1:8">
      <c r="A2115" s="1">
        <f>HYPERLINK("https://cms.ls-nyc.org/matter/dynamic-profile/view/1872232","18-1872232")</f>
        <v>0</v>
      </c>
      <c r="B2115" t="s">
        <v>10</v>
      </c>
      <c r="H2115" t="s">
        <v>19</v>
      </c>
    </row>
    <row r="2116" spans="1:8">
      <c r="A2116" s="1">
        <f>HYPERLINK("https://cms.ls-nyc.org/matter/dynamic-profile/view/1871554","18-1871554")</f>
        <v>0</v>
      </c>
      <c r="B2116" t="s">
        <v>9</v>
      </c>
      <c r="D2116" t="s">
        <v>15</v>
      </c>
      <c r="E2116" t="s">
        <v>16</v>
      </c>
      <c r="H2116" t="s">
        <v>20</v>
      </c>
    </row>
    <row r="2117" spans="1:8">
      <c r="A2117" s="1">
        <f>HYPERLINK("https://cms.ls-nyc.org/matter/dynamic-profile/view/0798517","16-0798517")</f>
        <v>0</v>
      </c>
      <c r="B2117" t="s">
        <v>12</v>
      </c>
      <c r="D2117" t="s">
        <v>15</v>
      </c>
      <c r="E2117" t="s">
        <v>16</v>
      </c>
      <c r="H2117" t="s">
        <v>20</v>
      </c>
    </row>
    <row r="2118" spans="1:8">
      <c r="A2118" s="1">
        <f>HYPERLINK("https://cms.ls-nyc.org/matter/dynamic-profile/view/1898073","19-1898073")</f>
        <v>0</v>
      </c>
      <c r="B2118" t="s">
        <v>10</v>
      </c>
      <c r="D2118" t="s">
        <v>14</v>
      </c>
      <c r="F2118" t="s">
        <v>17</v>
      </c>
      <c r="H2118" t="s">
        <v>20</v>
      </c>
    </row>
    <row r="2119" spans="1:8">
      <c r="A2119" s="1">
        <f>HYPERLINK("https://cms.ls-nyc.org/matter/dynamic-profile/view/1878888","18-1878888")</f>
        <v>0</v>
      </c>
      <c r="B2119" t="s">
        <v>12</v>
      </c>
      <c r="H2119" t="s">
        <v>19</v>
      </c>
    </row>
    <row r="2120" spans="1:8">
      <c r="A2120" s="1">
        <f>HYPERLINK("https://cms.ls-nyc.org/matter/dynamic-profile/view/1845563","17-1845563")</f>
        <v>0</v>
      </c>
      <c r="B2120" t="s">
        <v>9</v>
      </c>
      <c r="D2120" t="s">
        <v>15</v>
      </c>
      <c r="E2120" t="s">
        <v>16</v>
      </c>
      <c r="H2120" t="s">
        <v>20</v>
      </c>
    </row>
    <row r="2121" spans="1:8">
      <c r="A2121" s="1">
        <f>HYPERLINK("https://cms.ls-nyc.org/matter/dynamic-profile/view/1899798","19-1899798")</f>
        <v>0</v>
      </c>
      <c r="B2121" t="s">
        <v>10</v>
      </c>
      <c r="D2121" t="s">
        <v>14</v>
      </c>
      <c r="H2121" t="s">
        <v>20</v>
      </c>
    </row>
    <row r="2122" spans="1:8">
      <c r="A2122" s="1">
        <f>HYPERLINK("https://cms.ls-nyc.org/matter/dynamic-profile/view/1896576","19-1896576")</f>
        <v>0</v>
      </c>
      <c r="B2122" t="s">
        <v>8</v>
      </c>
      <c r="H2122" t="s">
        <v>19</v>
      </c>
    </row>
    <row r="2123" spans="1:8">
      <c r="A2123" s="1">
        <f>HYPERLINK("https://cms.ls-nyc.org/matter/dynamic-profile/view/1892650","19-1892650")</f>
        <v>0</v>
      </c>
      <c r="B2123" t="s">
        <v>9</v>
      </c>
      <c r="E2123" t="s">
        <v>16</v>
      </c>
      <c r="F2123" t="s">
        <v>17</v>
      </c>
      <c r="H2123" t="s">
        <v>20</v>
      </c>
    </row>
    <row r="2124" spans="1:8">
      <c r="A2124" s="1">
        <f>HYPERLINK("https://cms.ls-nyc.org/matter/dynamic-profile/view/1892653","19-1892653")</f>
        <v>0</v>
      </c>
      <c r="B2124" t="s">
        <v>9</v>
      </c>
      <c r="E2124" t="s">
        <v>16</v>
      </c>
      <c r="F2124" t="s">
        <v>17</v>
      </c>
      <c r="H2124" t="s">
        <v>20</v>
      </c>
    </row>
    <row r="2125" spans="1:8">
      <c r="A2125" s="1">
        <f>HYPERLINK("https://cms.ls-nyc.org/matter/dynamic-profile/view/1900058","19-1900058")</f>
        <v>0</v>
      </c>
      <c r="B2125" t="s">
        <v>8</v>
      </c>
      <c r="E2125" t="s">
        <v>16</v>
      </c>
      <c r="H2125" t="s">
        <v>20</v>
      </c>
    </row>
    <row r="2126" spans="1:8">
      <c r="A2126" s="1">
        <f>HYPERLINK("https://cms.ls-nyc.org/matter/dynamic-profile/view/1898437","19-1898437")</f>
        <v>0</v>
      </c>
      <c r="B2126" t="s">
        <v>12</v>
      </c>
      <c r="H2126" t="s">
        <v>19</v>
      </c>
    </row>
    <row r="2127" spans="1:8">
      <c r="A2127" s="1">
        <f>HYPERLINK("https://cms.ls-nyc.org/matter/dynamic-profile/view/0806919","16-0806919")</f>
        <v>0</v>
      </c>
      <c r="B2127" t="s">
        <v>12</v>
      </c>
      <c r="D2127" t="s">
        <v>15</v>
      </c>
      <c r="E2127" t="s">
        <v>16</v>
      </c>
      <c r="H2127" t="s">
        <v>20</v>
      </c>
    </row>
    <row r="2128" spans="1:8">
      <c r="A2128" s="1">
        <f>HYPERLINK("https://cms.ls-nyc.org/matter/dynamic-profile/view/1887836","19-1887836")</f>
        <v>0</v>
      </c>
      <c r="B2128" t="s">
        <v>9</v>
      </c>
      <c r="D2128" t="s">
        <v>15</v>
      </c>
      <c r="E2128" t="s">
        <v>16</v>
      </c>
      <c r="H2128" t="s">
        <v>20</v>
      </c>
    </row>
    <row r="2129" spans="1:8">
      <c r="A2129" s="1">
        <f>HYPERLINK("https://cms.ls-nyc.org/matter/dynamic-profile/view/1872113","18-1872113")</f>
        <v>0</v>
      </c>
      <c r="B2129" t="s">
        <v>9</v>
      </c>
      <c r="D2129" t="s">
        <v>15</v>
      </c>
      <c r="E2129" t="s">
        <v>16</v>
      </c>
      <c r="H2129" t="s">
        <v>20</v>
      </c>
    </row>
    <row r="2130" spans="1:8">
      <c r="A2130" s="1">
        <f>HYPERLINK("https://cms.ls-nyc.org/matter/dynamic-profile/view/1888671","19-1888671")</f>
        <v>0</v>
      </c>
      <c r="B2130" t="s">
        <v>8</v>
      </c>
      <c r="H2130" t="s">
        <v>19</v>
      </c>
    </row>
    <row r="2131" spans="1:8">
      <c r="A2131" s="1">
        <f>HYPERLINK("https://cms.ls-nyc.org/matter/dynamic-profile/view/1835328","17-1835328")</f>
        <v>0</v>
      </c>
      <c r="B2131" t="s">
        <v>9</v>
      </c>
      <c r="D2131" t="s">
        <v>15</v>
      </c>
      <c r="E2131" t="s">
        <v>16</v>
      </c>
      <c r="H2131" t="s">
        <v>20</v>
      </c>
    </row>
    <row r="2132" spans="1:8">
      <c r="A2132" s="1">
        <f>HYPERLINK("https://cms.ls-nyc.org/matter/dynamic-profile/view/0822574","16-0822574")</f>
        <v>0</v>
      </c>
      <c r="B2132" t="s">
        <v>12</v>
      </c>
      <c r="D2132" t="s">
        <v>15</v>
      </c>
      <c r="E2132" t="s">
        <v>16</v>
      </c>
      <c r="H2132" t="s">
        <v>20</v>
      </c>
    </row>
    <row r="2133" spans="1:8">
      <c r="A2133" s="1">
        <f>HYPERLINK("https://cms.ls-nyc.org/matter/dynamic-profile/view/1901128","19-1901128")</f>
        <v>0</v>
      </c>
      <c r="B2133" t="s">
        <v>9</v>
      </c>
      <c r="H2133" t="s">
        <v>19</v>
      </c>
    </row>
    <row r="2134" spans="1:8">
      <c r="A2134" s="1">
        <f>HYPERLINK("https://cms.ls-nyc.org/matter/dynamic-profile/view/1892326","19-1892326")</f>
        <v>0</v>
      </c>
      <c r="B2134" t="s">
        <v>10</v>
      </c>
      <c r="C2134" t="s">
        <v>13</v>
      </c>
      <c r="D2134" t="s">
        <v>14</v>
      </c>
      <c r="E2134" t="s">
        <v>16</v>
      </c>
      <c r="F2134" t="s">
        <v>17</v>
      </c>
      <c r="H2134" t="s">
        <v>20</v>
      </c>
    </row>
    <row r="2135" spans="1:8">
      <c r="A2135" s="1">
        <f>HYPERLINK("https://cms.ls-nyc.org/matter/dynamic-profile/view/0809597","16-0809597")</f>
        <v>0</v>
      </c>
      <c r="B2135" t="s">
        <v>10</v>
      </c>
      <c r="D2135" t="s">
        <v>15</v>
      </c>
      <c r="E2135" t="s">
        <v>16</v>
      </c>
      <c r="H2135" t="s">
        <v>20</v>
      </c>
    </row>
    <row r="2136" spans="1:8">
      <c r="A2136" s="1">
        <f>HYPERLINK("https://cms.ls-nyc.org/matter/dynamic-profile/view/1866352","18-1866352")</f>
        <v>0</v>
      </c>
      <c r="B2136" t="s">
        <v>10</v>
      </c>
      <c r="D2136" t="s">
        <v>15</v>
      </c>
      <c r="H2136" t="s">
        <v>20</v>
      </c>
    </row>
    <row r="2137" spans="1:8">
      <c r="A2137" s="1">
        <f>HYPERLINK("https://cms.ls-nyc.org/matter/dynamic-profile/view/0814096","16-0814096")</f>
        <v>0</v>
      </c>
      <c r="B2137" t="s">
        <v>10</v>
      </c>
      <c r="D2137" t="s">
        <v>15</v>
      </c>
      <c r="E2137" t="s">
        <v>16</v>
      </c>
      <c r="H2137" t="s">
        <v>20</v>
      </c>
    </row>
    <row r="2138" spans="1:8">
      <c r="A2138" s="1">
        <f>HYPERLINK("https://cms.ls-nyc.org/matter/dynamic-profile/view/1869719","18-1869719")</f>
        <v>0</v>
      </c>
      <c r="B2138" t="s">
        <v>10</v>
      </c>
      <c r="D2138" t="s">
        <v>15</v>
      </c>
      <c r="E2138" t="s">
        <v>16</v>
      </c>
      <c r="H2138" t="s">
        <v>20</v>
      </c>
    </row>
    <row r="2139" spans="1:8">
      <c r="A2139" s="1">
        <f>HYPERLINK("https://cms.ls-nyc.org/matter/dynamic-profile/view/1876936","18-1876936")</f>
        <v>0</v>
      </c>
      <c r="B2139" t="s">
        <v>12</v>
      </c>
      <c r="H2139" t="s">
        <v>19</v>
      </c>
    </row>
    <row r="2140" spans="1:8">
      <c r="A2140" s="1">
        <f>HYPERLINK("https://cms.ls-nyc.org/matter/dynamic-profile/view/1877463","18-1877463")</f>
        <v>0</v>
      </c>
      <c r="B2140" t="s">
        <v>8</v>
      </c>
      <c r="H2140" t="s">
        <v>19</v>
      </c>
    </row>
    <row r="2141" spans="1:8">
      <c r="A2141" s="1">
        <f>HYPERLINK("https://cms.ls-nyc.org/matter/dynamic-profile/view/1855163","18-1855163")</f>
        <v>0</v>
      </c>
      <c r="B2141" t="s">
        <v>9</v>
      </c>
      <c r="D2141" t="s">
        <v>15</v>
      </c>
      <c r="E2141" t="s">
        <v>16</v>
      </c>
      <c r="H2141" t="s">
        <v>20</v>
      </c>
    </row>
    <row r="2142" spans="1:8">
      <c r="A2142" s="1">
        <f>HYPERLINK("https://cms.ls-nyc.org/matter/dynamic-profile/view/0791455","15-0791455")</f>
        <v>0</v>
      </c>
      <c r="B2142" t="s">
        <v>10</v>
      </c>
      <c r="D2142" t="s">
        <v>15</v>
      </c>
      <c r="E2142" t="s">
        <v>16</v>
      </c>
      <c r="H2142" t="s">
        <v>20</v>
      </c>
    </row>
    <row r="2143" spans="1:8">
      <c r="A2143" s="1">
        <f>HYPERLINK("https://cms.ls-nyc.org/matter/dynamic-profile/view/1899191","19-1899191")</f>
        <v>0</v>
      </c>
      <c r="B2143" t="s">
        <v>10</v>
      </c>
      <c r="D2143" t="s">
        <v>14</v>
      </c>
      <c r="H2143" t="s">
        <v>20</v>
      </c>
    </row>
    <row r="2144" spans="1:8">
      <c r="A2144" s="1">
        <f>HYPERLINK("https://cms.ls-nyc.org/matter/dynamic-profile/view/1868236","18-1868236")</f>
        <v>0</v>
      </c>
      <c r="B2144" t="s">
        <v>10</v>
      </c>
      <c r="D2144" t="s">
        <v>15</v>
      </c>
      <c r="E2144" t="s">
        <v>16</v>
      </c>
      <c r="H2144" t="s">
        <v>20</v>
      </c>
    </row>
    <row r="2145" spans="1:8">
      <c r="A2145" s="1">
        <f>HYPERLINK("https://cms.ls-nyc.org/matter/dynamic-profile/view/0790592","15-0790592")</f>
        <v>0</v>
      </c>
      <c r="B2145" t="s">
        <v>11</v>
      </c>
      <c r="C2145" t="s">
        <v>13</v>
      </c>
      <c r="D2145" t="s">
        <v>15</v>
      </c>
      <c r="E2145" t="s">
        <v>16</v>
      </c>
      <c r="F2145" t="s">
        <v>17</v>
      </c>
      <c r="H2145" t="s">
        <v>20</v>
      </c>
    </row>
    <row r="2146" spans="1:8">
      <c r="A2146" s="1">
        <f>HYPERLINK("https://cms.ls-nyc.org/matter/dynamic-profile/view/0792808","15-0792808")</f>
        <v>0</v>
      </c>
      <c r="B2146" t="s">
        <v>8</v>
      </c>
      <c r="D2146" t="s">
        <v>15</v>
      </c>
      <c r="E2146" t="s">
        <v>16</v>
      </c>
      <c r="H2146" t="s">
        <v>20</v>
      </c>
    </row>
    <row r="2147" spans="1:8">
      <c r="A2147" s="1">
        <f>HYPERLINK("https://cms.ls-nyc.org/matter/dynamic-profile/view/1882206","18-1882206")</f>
        <v>0</v>
      </c>
      <c r="B2147" t="s">
        <v>9</v>
      </c>
      <c r="D2147" t="s">
        <v>15</v>
      </c>
      <c r="H2147" t="s">
        <v>20</v>
      </c>
    </row>
    <row r="2148" spans="1:8">
      <c r="A2148" s="1">
        <f>HYPERLINK("https://cms.ls-nyc.org/matter/dynamic-profile/view/1863518","18-1863518")</f>
        <v>0</v>
      </c>
      <c r="B2148" t="s">
        <v>10</v>
      </c>
      <c r="D2148" t="s">
        <v>15</v>
      </c>
      <c r="E2148" t="s">
        <v>16</v>
      </c>
      <c r="H2148" t="s">
        <v>20</v>
      </c>
    </row>
    <row r="2149" spans="1:8">
      <c r="A2149" s="1">
        <f>HYPERLINK("https://cms.ls-nyc.org/matter/dynamic-profile/view/1872141","18-1872141")</f>
        <v>0</v>
      </c>
      <c r="B2149" t="s">
        <v>10</v>
      </c>
      <c r="H2149" t="s">
        <v>19</v>
      </c>
    </row>
    <row r="2150" spans="1:8">
      <c r="A2150" s="1">
        <f>HYPERLINK("https://cms.ls-nyc.org/matter/dynamic-profile/view/1896135","19-1896135")</f>
        <v>0</v>
      </c>
      <c r="B2150" t="s">
        <v>10</v>
      </c>
      <c r="H2150" t="s">
        <v>19</v>
      </c>
    </row>
    <row r="2151" spans="1:8">
      <c r="A2151" s="1">
        <f>HYPERLINK("https://cms.ls-nyc.org/matter/dynamic-profile/view/0812112","16-0812112")</f>
        <v>0</v>
      </c>
      <c r="B2151" t="s">
        <v>10</v>
      </c>
      <c r="C2151" t="s">
        <v>13</v>
      </c>
      <c r="D2151" t="s">
        <v>15</v>
      </c>
      <c r="E2151" t="s">
        <v>16</v>
      </c>
      <c r="H2151" t="s">
        <v>20</v>
      </c>
    </row>
    <row r="2152" spans="1:8">
      <c r="A2152" s="1">
        <f>HYPERLINK("https://cms.ls-nyc.org/matter/dynamic-profile/view/0818715","16-0818715")</f>
        <v>0</v>
      </c>
      <c r="B2152" t="s">
        <v>12</v>
      </c>
      <c r="D2152" t="s">
        <v>15</v>
      </c>
      <c r="E2152" t="s">
        <v>16</v>
      </c>
      <c r="H2152" t="s">
        <v>20</v>
      </c>
    </row>
    <row r="2153" spans="1:8">
      <c r="A2153" s="1">
        <f>HYPERLINK("https://cms.ls-nyc.org/matter/dynamic-profile/view/1898095","19-1898095")</f>
        <v>0</v>
      </c>
      <c r="B2153" t="s">
        <v>10</v>
      </c>
      <c r="D2153" t="s">
        <v>14</v>
      </c>
      <c r="H2153" t="s">
        <v>20</v>
      </c>
    </row>
    <row r="2154" spans="1:8">
      <c r="A2154" s="1">
        <f>HYPERLINK("https://cms.ls-nyc.org/matter/dynamic-profile/view/1895822","19-1895822")</f>
        <v>0</v>
      </c>
      <c r="B2154" t="s">
        <v>8</v>
      </c>
      <c r="H2154" t="s">
        <v>19</v>
      </c>
    </row>
    <row r="2155" spans="1:8">
      <c r="A2155" s="1">
        <f>HYPERLINK("https://cms.ls-nyc.org/matter/dynamic-profile/view/1895829","19-1895829")</f>
        <v>0</v>
      </c>
      <c r="B2155" t="s">
        <v>8</v>
      </c>
      <c r="H2155" t="s">
        <v>19</v>
      </c>
    </row>
    <row r="2156" spans="1:8">
      <c r="A2156" s="1">
        <f>HYPERLINK("https://cms.ls-nyc.org/matter/dynamic-profile/view/1898558","19-1898558")</f>
        <v>0</v>
      </c>
      <c r="B2156" t="s">
        <v>11</v>
      </c>
      <c r="C2156" t="s">
        <v>13</v>
      </c>
      <c r="D2156" t="s">
        <v>14</v>
      </c>
      <c r="E2156" t="s">
        <v>16</v>
      </c>
      <c r="G2156" t="s">
        <v>18</v>
      </c>
      <c r="H2156" t="s">
        <v>20</v>
      </c>
    </row>
    <row r="2157" spans="1:8">
      <c r="A2157" s="1">
        <f>HYPERLINK("https://cms.ls-nyc.org/matter/dynamic-profile/view/0821956","16-0821956")</f>
        <v>0</v>
      </c>
      <c r="B2157" t="s">
        <v>8</v>
      </c>
      <c r="C2157" t="s">
        <v>13</v>
      </c>
      <c r="D2157" t="s">
        <v>14</v>
      </c>
      <c r="E2157" t="s">
        <v>16</v>
      </c>
      <c r="H2157" t="s">
        <v>20</v>
      </c>
    </row>
    <row r="2158" spans="1:8">
      <c r="A2158" s="1">
        <f>HYPERLINK("https://cms.ls-nyc.org/matter/dynamic-profile/view/1887131","19-1887131")</f>
        <v>0</v>
      </c>
      <c r="B2158" t="s">
        <v>8</v>
      </c>
      <c r="F2158" t="s">
        <v>17</v>
      </c>
      <c r="H2158" t="s">
        <v>20</v>
      </c>
    </row>
    <row r="2159" spans="1:8">
      <c r="A2159" s="1">
        <f>HYPERLINK("https://cms.ls-nyc.org/matter/dynamic-profile/view/1875911","18-1875911")</f>
        <v>0</v>
      </c>
      <c r="B2159" t="s">
        <v>11</v>
      </c>
      <c r="D2159" t="s">
        <v>14</v>
      </c>
      <c r="H2159" t="s">
        <v>20</v>
      </c>
    </row>
    <row r="2160" spans="1:8">
      <c r="A2160" s="1">
        <f>HYPERLINK("https://cms.ls-nyc.org/matter/dynamic-profile/view/0792803","15-0792803")</f>
        <v>0</v>
      </c>
      <c r="B2160" t="s">
        <v>8</v>
      </c>
      <c r="D2160" t="s">
        <v>15</v>
      </c>
      <c r="E2160" t="s">
        <v>16</v>
      </c>
      <c r="H2160" t="s">
        <v>20</v>
      </c>
    </row>
    <row r="2161" spans="1:8">
      <c r="A2161" s="1">
        <f>HYPERLINK("https://cms.ls-nyc.org/matter/dynamic-profile/view/1899598","19-1899598")</f>
        <v>0</v>
      </c>
      <c r="B2161" t="s">
        <v>11</v>
      </c>
      <c r="C2161" t="s">
        <v>13</v>
      </c>
      <c r="D2161" t="s">
        <v>14</v>
      </c>
      <c r="E2161" t="s">
        <v>16</v>
      </c>
      <c r="G2161" t="s">
        <v>18</v>
      </c>
      <c r="H2161" t="s">
        <v>20</v>
      </c>
    </row>
    <row r="2162" spans="1:8">
      <c r="A2162" s="1">
        <f>HYPERLINK("https://cms.ls-nyc.org/matter/dynamic-profile/view/1867069","18-1867069")</f>
        <v>0</v>
      </c>
      <c r="B2162" t="s">
        <v>9</v>
      </c>
      <c r="D2162" t="s">
        <v>15</v>
      </c>
      <c r="E2162" t="s">
        <v>16</v>
      </c>
      <c r="H2162" t="s">
        <v>20</v>
      </c>
    </row>
    <row r="2163" spans="1:8">
      <c r="A2163" s="1">
        <f>HYPERLINK("https://cms.ls-nyc.org/matter/dynamic-profile/view/1899593","19-1899593")</f>
        <v>0</v>
      </c>
      <c r="B2163" t="s">
        <v>10</v>
      </c>
      <c r="D2163" t="s">
        <v>14</v>
      </c>
      <c r="F2163" t="s">
        <v>17</v>
      </c>
      <c r="H2163" t="s">
        <v>20</v>
      </c>
    </row>
    <row r="2164" spans="1:8">
      <c r="A2164" s="1">
        <f>HYPERLINK("https://cms.ls-nyc.org/matter/dynamic-profile/view/0792810","15-0792810")</f>
        <v>0</v>
      </c>
      <c r="B2164" t="s">
        <v>8</v>
      </c>
      <c r="D2164" t="s">
        <v>15</v>
      </c>
      <c r="E2164" t="s">
        <v>16</v>
      </c>
      <c r="H2164" t="s">
        <v>20</v>
      </c>
    </row>
    <row r="2165" spans="1:8">
      <c r="A2165" s="1">
        <f>HYPERLINK("https://cms.ls-nyc.org/matter/dynamic-profile/view/0780604","15-0780604")</f>
        <v>0</v>
      </c>
      <c r="B2165" t="s">
        <v>10</v>
      </c>
      <c r="D2165" t="s">
        <v>15</v>
      </c>
      <c r="E2165" t="s">
        <v>16</v>
      </c>
      <c r="H2165" t="s">
        <v>20</v>
      </c>
    </row>
    <row r="2166" spans="1:8">
      <c r="A2166" s="1">
        <f>HYPERLINK("https://cms.ls-nyc.org/matter/dynamic-profile/view/1899060","19-1899060")</f>
        <v>0</v>
      </c>
      <c r="B2166" t="s">
        <v>10</v>
      </c>
      <c r="D2166" t="s">
        <v>14</v>
      </c>
      <c r="H2166" t="s">
        <v>20</v>
      </c>
    </row>
    <row r="2167" spans="1:8">
      <c r="A2167" s="1">
        <f>HYPERLINK("https://cms.ls-nyc.org/matter/dynamic-profile/view/1888008","19-1888008")</f>
        <v>0</v>
      </c>
      <c r="B2167" t="s">
        <v>9</v>
      </c>
      <c r="G2167" t="s">
        <v>18</v>
      </c>
      <c r="H2167" t="s">
        <v>20</v>
      </c>
    </row>
    <row r="2168" spans="1:8">
      <c r="A2168" s="1">
        <f>HYPERLINK("https://cms.ls-nyc.org/matter/dynamic-profile/view/1900606","19-1900606")</f>
        <v>0</v>
      </c>
      <c r="B2168" t="s">
        <v>10</v>
      </c>
      <c r="D2168" t="s">
        <v>14</v>
      </c>
      <c r="H2168" t="s">
        <v>20</v>
      </c>
    </row>
    <row r="2169" spans="1:8">
      <c r="A2169" s="1">
        <f>HYPERLINK("https://cms.ls-nyc.org/matter/dynamic-profile/view/1883558","18-1883558")</f>
        <v>0</v>
      </c>
      <c r="B2169" t="s">
        <v>10</v>
      </c>
      <c r="C2169" t="s">
        <v>13</v>
      </c>
      <c r="D2169" t="s">
        <v>15</v>
      </c>
      <c r="E2169" t="s">
        <v>16</v>
      </c>
      <c r="F2169" t="s">
        <v>17</v>
      </c>
      <c r="H2169" t="s">
        <v>20</v>
      </c>
    </row>
    <row r="2170" spans="1:8">
      <c r="A2170" s="1">
        <f>HYPERLINK("https://cms.ls-nyc.org/matter/dynamic-profile/view/1889519","19-1889519")</f>
        <v>0</v>
      </c>
      <c r="B2170" t="s">
        <v>10</v>
      </c>
      <c r="H2170" t="s">
        <v>19</v>
      </c>
    </row>
    <row r="2171" spans="1:8">
      <c r="A2171" s="1">
        <f>HYPERLINK("https://cms.ls-nyc.org/matter/dynamic-profile/view/1881892","18-1881892")</f>
        <v>0</v>
      </c>
      <c r="B2171" t="s">
        <v>9</v>
      </c>
      <c r="H2171" t="s">
        <v>19</v>
      </c>
    </row>
    <row r="2172" spans="1:8">
      <c r="A2172" s="1">
        <f>HYPERLINK("https://cms.ls-nyc.org/matter/dynamic-profile/view/0827315","17-0827315")</f>
        <v>0</v>
      </c>
      <c r="B2172" t="s">
        <v>12</v>
      </c>
      <c r="D2172" t="s">
        <v>15</v>
      </c>
      <c r="E2172" t="s">
        <v>16</v>
      </c>
      <c r="H2172" t="s">
        <v>20</v>
      </c>
    </row>
    <row r="2173" spans="1:8">
      <c r="A2173" s="1">
        <f>HYPERLINK("https://cms.ls-nyc.org/matter/dynamic-profile/view/1862231","18-1862231")</f>
        <v>0</v>
      </c>
      <c r="B2173" t="s">
        <v>10</v>
      </c>
      <c r="D2173" t="s">
        <v>15</v>
      </c>
      <c r="E2173" t="s">
        <v>16</v>
      </c>
      <c r="H2173" t="s">
        <v>20</v>
      </c>
    </row>
    <row r="2174" spans="1:8">
      <c r="A2174" s="1">
        <f>HYPERLINK("https://cms.ls-nyc.org/matter/dynamic-profile/view/1868756","18-1868756")</f>
        <v>0</v>
      </c>
      <c r="B2174" t="s">
        <v>10</v>
      </c>
      <c r="D2174" t="s">
        <v>15</v>
      </c>
      <c r="E2174" t="s">
        <v>16</v>
      </c>
      <c r="H2174" t="s">
        <v>20</v>
      </c>
    </row>
    <row r="2175" spans="1:8">
      <c r="A2175" s="1">
        <f>HYPERLINK("https://cms.ls-nyc.org/matter/dynamic-profile/view/1864115","18-1864115")</f>
        <v>0</v>
      </c>
      <c r="B2175" t="s">
        <v>12</v>
      </c>
      <c r="D2175" t="s">
        <v>15</v>
      </c>
      <c r="E2175" t="s">
        <v>16</v>
      </c>
      <c r="H2175" t="s">
        <v>20</v>
      </c>
    </row>
    <row r="2176" spans="1:8">
      <c r="A2176" s="1">
        <f>HYPERLINK("https://cms.ls-nyc.org/matter/dynamic-profile/view/1899978","19-1899978")</f>
        <v>0</v>
      </c>
      <c r="B2176" t="s">
        <v>9</v>
      </c>
      <c r="C2176" t="s">
        <v>13</v>
      </c>
      <c r="E2176" t="s">
        <v>16</v>
      </c>
      <c r="G2176" t="s">
        <v>18</v>
      </c>
      <c r="H2176" t="s">
        <v>20</v>
      </c>
    </row>
    <row r="2177" spans="1:8">
      <c r="A2177" s="1">
        <f>HYPERLINK("https://cms.ls-nyc.org/matter/dynamic-profile/view/1898553","19-1898553")</f>
        <v>0</v>
      </c>
      <c r="B2177" t="s">
        <v>10</v>
      </c>
      <c r="H2177" t="s">
        <v>19</v>
      </c>
    </row>
    <row r="2178" spans="1:8">
      <c r="A2178" s="1">
        <f>HYPERLINK("https://cms.ls-nyc.org/matter/dynamic-profile/view/1899837","19-1899837")</f>
        <v>0</v>
      </c>
      <c r="B2178" t="s">
        <v>10</v>
      </c>
      <c r="D2178" t="s">
        <v>14</v>
      </c>
      <c r="H2178" t="s">
        <v>20</v>
      </c>
    </row>
    <row r="2179" spans="1:8">
      <c r="A2179" s="1">
        <f>HYPERLINK("https://cms.ls-nyc.org/matter/dynamic-profile/view/1891535","19-1891535")</f>
        <v>0</v>
      </c>
      <c r="B2179" t="s">
        <v>12</v>
      </c>
      <c r="H2179" t="s">
        <v>19</v>
      </c>
    </row>
    <row r="2180" spans="1:8">
      <c r="A2180" s="1">
        <f>HYPERLINK("https://cms.ls-nyc.org/matter/dynamic-profile/view/1885539","18-1885539")</f>
        <v>0</v>
      </c>
      <c r="B2180" t="s">
        <v>10</v>
      </c>
      <c r="H2180" t="s">
        <v>19</v>
      </c>
    </row>
    <row r="2181" spans="1:8">
      <c r="A2181" s="1">
        <f>HYPERLINK("https://cms.ls-nyc.org/matter/dynamic-profile/view/0804313","16-0804313")</f>
        <v>0</v>
      </c>
      <c r="B2181" t="s">
        <v>9</v>
      </c>
      <c r="D2181" t="s">
        <v>15</v>
      </c>
      <c r="E2181" t="s">
        <v>16</v>
      </c>
      <c r="H2181" t="s">
        <v>20</v>
      </c>
    </row>
    <row r="2182" spans="1:8">
      <c r="A2182" s="1">
        <f>HYPERLINK("https://cms.ls-nyc.org/matter/dynamic-profile/view/1845235","17-1845235")</f>
        <v>0</v>
      </c>
      <c r="B2182" t="s">
        <v>9</v>
      </c>
      <c r="D2182" t="s">
        <v>15</v>
      </c>
      <c r="E2182" t="s">
        <v>16</v>
      </c>
      <c r="H2182" t="s">
        <v>20</v>
      </c>
    </row>
    <row r="2183" spans="1:8">
      <c r="A2183" s="1">
        <f>HYPERLINK("https://cms.ls-nyc.org/matter/dynamic-profile/view/1841429","17-1841429")</f>
        <v>0</v>
      </c>
      <c r="B2183" t="s">
        <v>12</v>
      </c>
      <c r="D2183" t="s">
        <v>15</v>
      </c>
      <c r="E2183" t="s">
        <v>16</v>
      </c>
      <c r="H2183" t="s">
        <v>20</v>
      </c>
    </row>
    <row r="2184" spans="1:8">
      <c r="A2184" s="1">
        <f>HYPERLINK("https://cms.ls-nyc.org/matter/dynamic-profile/view/0824540","17-0824540")</f>
        <v>0</v>
      </c>
      <c r="B2184" t="s">
        <v>12</v>
      </c>
      <c r="D2184" t="s">
        <v>15</v>
      </c>
      <c r="H2184" t="s">
        <v>20</v>
      </c>
    </row>
    <row r="2185" spans="1:8">
      <c r="A2185" s="1">
        <f>HYPERLINK("https://cms.ls-nyc.org/matter/dynamic-profile/view/0823542","16-0823542")</f>
        <v>0</v>
      </c>
      <c r="B2185" t="s">
        <v>10</v>
      </c>
      <c r="D2185" t="s">
        <v>15</v>
      </c>
      <c r="E2185" t="s">
        <v>16</v>
      </c>
      <c r="H2185" t="s">
        <v>20</v>
      </c>
    </row>
    <row r="2186" spans="1:8">
      <c r="A2186" s="1">
        <f>HYPERLINK("https://cms.ls-nyc.org/matter/dynamic-profile/view/1884518","18-1884518")</f>
        <v>0</v>
      </c>
      <c r="B2186" t="s">
        <v>9</v>
      </c>
      <c r="E2186" t="s">
        <v>16</v>
      </c>
      <c r="H2186" t="s">
        <v>20</v>
      </c>
    </row>
    <row r="2187" spans="1:8">
      <c r="A2187" s="1">
        <f>HYPERLINK("https://cms.ls-nyc.org/matter/dynamic-profile/view/1836206","17-1836206")</f>
        <v>0</v>
      </c>
      <c r="B2187" t="s">
        <v>9</v>
      </c>
      <c r="D2187" t="s">
        <v>15</v>
      </c>
      <c r="E2187" t="s">
        <v>16</v>
      </c>
      <c r="H2187" t="s">
        <v>20</v>
      </c>
    </row>
    <row r="2188" spans="1:8">
      <c r="A2188" s="1">
        <f>HYPERLINK("https://cms.ls-nyc.org/matter/dynamic-profile/view/0829023","17-0829023")</f>
        <v>0</v>
      </c>
      <c r="B2188" t="s">
        <v>9</v>
      </c>
      <c r="D2188" t="s">
        <v>15</v>
      </c>
      <c r="E2188" t="s">
        <v>16</v>
      </c>
      <c r="H2188" t="s">
        <v>20</v>
      </c>
    </row>
    <row r="2189" spans="1:8">
      <c r="A2189" s="1">
        <f>HYPERLINK("https://cms.ls-nyc.org/matter/dynamic-profile/view/1896712","19-1896712")</f>
        <v>0</v>
      </c>
      <c r="B2189" t="s">
        <v>9</v>
      </c>
      <c r="H2189" t="s">
        <v>19</v>
      </c>
    </row>
    <row r="2190" spans="1:8">
      <c r="A2190" s="1">
        <f>HYPERLINK("https://cms.ls-nyc.org/matter/dynamic-profile/view/1898298","19-1898298")</f>
        <v>0</v>
      </c>
      <c r="B2190" t="s">
        <v>8</v>
      </c>
      <c r="D2190" t="s">
        <v>14</v>
      </c>
      <c r="H2190" t="s">
        <v>20</v>
      </c>
    </row>
    <row r="2191" spans="1:8">
      <c r="A2191" s="1">
        <f>HYPERLINK("https://cms.ls-nyc.org/matter/dynamic-profile/view/1899153","19-1899153")</f>
        <v>0</v>
      </c>
      <c r="B2191" t="s">
        <v>10</v>
      </c>
      <c r="F2191" t="s">
        <v>17</v>
      </c>
      <c r="H2191" t="s">
        <v>20</v>
      </c>
    </row>
    <row r="2192" spans="1:8">
      <c r="A2192" s="1">
        <f>HYPERLINK("https://cms.ls-nyc.org/matter/dynamic-profile/view/0809050","16-0809050")</f>
        <v>0</v>
      </c>
      <c r="B2192" t="s">
        <v>10</v>
      </c>
      <c r="D2192" t="s">
        <v>15</v>
      </c>
      <c r="E2192" t="s">
        <v>16</v>
      </c>
      <c r="H2192" t="s">
        <v>20</v>
      </c>
    </row>
    <row r="2193" spans="1:8">
      <c r="A2193" s="1">
        <f>HYPERLINK("https://cms.ls-nyc.org/matter/dynamic-profile/view/0816866","16-0816866")</f>
        <v>0</v>
      </c>
      <c r="B2193" t="s">
        <v>10</v>
      </c>
      <c r="D2193" t="s">
        <v>15</v>
      </c>
      <c r="E2193" t="s">
        <v>16</v>
      </c>
      <c r="H2193" t="s">
        <v>20</v>
      </c>
    </row>
    <row r="2194" spans="1:8">
      <c r="A2194" s="1">
        <f>HYPERLINK("https://cms.ls-nyc.org/matter/dynamic-profile/view/1864507","18-1864507")</f>
        <v>0</v>
      </c>
      <c r="B2194" t="s">
        <v>12</v>
      </c>
      <c r="D2194" t="s">
        <v>15</v>
      </c>
      <c r="F2194" t="s">
        <v>17</v>
      </c>
      <c r="H2194" t="s">
        <v>20</v>
      </c>
    </row>
    <row r="2195" spans="1:8">
      <c r="A2195" s="1">
        <f>HYPERLINK("https://cms.ls-nyc.org/matter/dynamic-profile/view/1876957","18-1876957")</f>
        <v>0</v>
      </c>
      <c r="B2195" t="s">
        <v>10</v>
      </c>
      <c r="H2195" t="s">
        <v>19</v>
      </c>
    </row>
    <row r="2196" spans="1:8">
      <c r="A2196" s="1">
        <f>HYPERLINK("https://cms.ls-nyc.org/matter/dynamic-profile/view/1898128","19-1898128")</f>
        <v>0</v>
      </c>
      <c r="B2196" t="s">
        <v>10</v>
      </c>
      <c r="H2196" t="s">
        <v>19</v>
      </c>
    </row>
    <row r="2197" spans="1:8">
      <c r="A2197" s="1">
        <f>HYPERLINK("https://cms.ls-nyc.org/matter/dynamic-profile/view/1874063","18-1874063")</f>
        <v>0</v>
      </c>
      <c r="B2197" t="s">
        <v>12</v>
      </c>
      <c r="H2197" t="s">
        <v>19</v>
      </c>
    </row>
    <row r="2198" spans="1:8">
      <c r="A2198" s="1">
        <f>HYPERLINK("https://cms.ls-nyc.org/matter/dynamic-profile/view/1857530","18-1857530")</f>
        <v>0</v>
      </c>
      <c r="B2198" t="s">
        <v>9</v>
      </c>
      <c r="D2198" t="s">
        <v>15</v>
      </c>
      <c r="H2198" t="s">
        <v>20</v>
      </c>
    </row>
    <row r="2199" spans="1:8">
      <c r="A2199" s="1">
        <f>HYPERLINK("https://cms.ls-nyc.org/matter/dynamic-profile/view/1871747","18-1871747")</f>
        <v>0</v>
      </c>
      <c r="B2199" t="s">
        <v>9</v>
      </c>
      <c r="D2199" t="s">
        <v>14</v>
      </c>
      <c r="E2199" t="s">
        <v>16</v>
      </c>
      <c r="H2199" t="s">
        <v>20</v>
      </c>
    </row>
    <row r="2200" spans="1:8">
      <c r="A2200" s="1">
        <f>HYPERLINK("https://cms.ls-nyc.org/matter/dynamic-profile/view/1898442","19-1898442")</f>
        <v>0</v>
      </c>
      <c r="B2200" t="s">
        <v>12</v>
      </c>
      <c r="H2200" t="s">
        <v>19</v>
      </c>
    </row>
    <row r="2201" spans="1:8">
      <c r="A2201" s="1">
        <f>HYPERLINK("https://cms.ls-nyc.org/matter/dynamic-profile/view/0788972","15-0788972")</f>
        <v>0</v>
      </c>
      <c r="B2201" t="s">
        <v>10</v>
      </c>
      <c r="D2201" t="s">
        <v>15</v>
      </c>
      <c r="E2201" t="s">
        <v>16</v>
      </c>
      <c r="H2201" t="s">
        <v>20</v>
      </c>
    </row>
    <row r="2202" spans="1:8">
      <c r="A2202" s="1">
        <f>HYPERLINK("https://cms.ls-nyc.org/matter/dynamic-profile/view/1857367","18-1857367")</f>
        <v>0</v>
      </c>
      <c r="B2202" t="s">
        <v>10</v>
      </c>
      <c r="D2202" t="s">
        <v>15</v>
      </c>
      <c r="E2202" t="s">
        <v>16</v>
      </c>
      <c r="H2202" t="s">
        <v>20</v>
      </c>
    </row>
    <row r="2203" spans="1:8">
      <c r="A2203" s="1">
        <f>HYPERLINK("https://cms.ls-nyc.org/matter/dynamic-profile/view/0791421","15-0791421")</f>
        <v>0</v>
      </c>
      <c r="B2203" t="s">
        <v>10</v>
      </c>
      <c r="D2203" t="s">
        <v>15</v>
      </c>
      <c r="E2203" t="s">
        <v>16</v>
      </c>
      <c r="H2203" t="s">
        <v>20</v>
      </c>
    </row>
    <row r="2204" spans="1:8">
      <c r="A2204" s="1">
        <f>HYPERLINK("https://cms.ls-nyc.org/matter/dynamic-profile/view/0823487","16-0823487")</f>
        <v>0</v>
      </c>
      <c r="B2204" t="s">
        <v>12</v>
      </c>
      <c r="D2204" t="s">
        <v>15</v>
      </c>
      <c r="E2204" t="s">
        <v>16</v>
      </c>
      <c r="H2204" t="s">
        <v>20</v>
      </c>
    </row>
    <row r="2205" spans="1:8">
      <c r="A2205" s="1">
        <f>HYPERLINK("https://cms.ls-nyc.org/matter/dynamic-profile/view/1897584","19-1897584")</f>
        <v>0</v>
      </c>
      <c r="B2205" t="s">
        <v>12</v>
      </c>
      <c r="F2205" t="s">
        <v>17</v>
      </c>
      <c r="H2205" t="s">
        <v>20</v>
      </c>
    </row>
    <row r="2206" spans="1:8">
      <c r="A2206" s="1">
        <f>HYPERLINK("https://cms.ls-nyc.org/matter/dynamic-profile/view/1900594","19-1900594")</f>
        <v>0</v>
      </c>
      <c r="B2206" t="s">
        <v>8</v>
      </c>
      <c r="H2206" t="s">
        <v>19</v>
      </c>
    </row>
    <row r="2207" spans="1:8">
      <c r="A2207" s="1">
        <f>HYPERLINK("https://cms.ls-nyc.org/matter/dynamic-profile/view/1897843","19-1897843")</f>
        <v>0</v>
      </c>
      <c r="B2207" t="s">
        <v>9</v>
      </c>
      <c r="E2207" t="s">
        <v>16</v>
      </c>
      <c r="F2207" t="s">
        <v>17</v>
      </c>
      <c r="H2207" t="s">
        <v>20</v>
      </c>
    </row>
    <row r="2208" spans="1:8">
      <c r="A2208" s="1">
        <f>HYPERLINK("https://cms.ls-nyc.org/matter/dynamic-profile/view/1897985","19-1897985")</f>
        <v>0</v>
      </c>
      <c r="B2208" t="s">
        <v>9</v>
      </c>
      <c r="E2208" t="s">
        <v>16</v>
      </c>
      <c r="F2208" t="s">
        <v>17</v>
      </c>
      <c r="H2208" t="s">
        <v>20</v>
      </c>
    </row>
    <row r="2209" spans="1:8">
      <c r="A2209" s="1">
        <f>HYPERLINK("https://cms.ls-nyc.org/matter/dynamic-profile/view/1892604","19-1892604")</f>
        <v>0</v>
      </c>
      <c r="B2209" t="s">
        <v>10</v>
      </c>
      <c r="F2209" t="s">
        <v>17</v>
      </c>
      <c r="H2209" t="s">
        <v>20</v>
      </c>
    </row>
    <row r="2210" spans="1:8">
      <c r="A2210" s="1">
        <f>HYPERLINK("https://cms.ls-nyc.org/matter/dynamic-profile/view/1892594","19-1892594")</f>
        <v>0</v>
      </c>
      <c r="B2210" t="s">
        <v>10</v>
      </c>
      <c r="F2210" t="s">
        <v>17</v>
      </c>
      <c r="H2210" t="s">
        <v>20</v>
      </c>
    </row>
    <row r="2211" spans="1:8">
      <c r="A2211" s="1">
        <f>HYPERLINK("https://cms.ls-nyc.org/matter/dynamic-profile/view/1877117","18-1877117")</f>
        <v>0</v>
      </c>
      <c r="B2211" t="s">
        <v>11</v>
      </c>
      <c r="H2211" t="s">
        <v>19</v>
      </c>
    </row>
    <row r="2212" spans="1:8">
      <c r="A2212" s="1">
        <f>HYPERLINK("https://cms.ls-nyc.org/matter/dynamic-profile/view/1864519","18-1864519")</f>
        <v>0</v>
      </c>
      <c r="B2212" t="s">
        <v>12</v>
      </c>
      <c r="D2212" t="s">
        <v>15</v>
      </c>
      <c r="F2212" t="s">
        <v>17</v>
      </c>
      <c r="H2212" t="s">
        <v>20</v>
      </c>
    </row>
    <row r="2213" spans="1:8">
      <c r="A2213" s="1">
        <f>HYPERLINK("https://cms.ls-nyc.org/matter/dynamic-profile/view/1886842","19-1886842")</f>
        <v>0</v>
      </c>
      <c r="B2213" t="s">
        <v>9</v>
      </c>
      <c r="H2213" t="s">
        <v>19</v>
      </c>
    </row>
    <row r="2214" spans="1:8">
      <c r="A2214" s="1">
        <f>HYPERLINK("https://cms.ls-nyc.org/matter/dynamic-profile/view/1838498","17-1838498")</f>
        <v>0</v>
      </c>
      <c r="B2214" t="s">
        <v>8</v>
      </c>
      <c r="D2214" t="s">
        <v>15</v>
      </c>
      <c r="E2214" t="s">
        <v>16</v>
      </c>
      <c r="H2214" t="s">
        <v>20</v>
      </c>
    </row>
    <row r="2215" spans="1:8">
      <c r="A2215" s="1">
        <f>HYPERLINK("https://cms.ls-nyc.org/matter/dynamic-profile/view/1887081","19-1887081")</f>
        <v>0</v>
      </c>
      <c r="B2215" t="s">
        <v>9</v>
      </c>
      <c r="H2215" t="s">
        <v>19</v>
      </c>
    </row>
    <row r="2216" spans="1:8">
      <c r="A2216" s="1">
        <f>HYPERLINK("https://cms.ls-nyc.org/matter/dynamic-profile/view/1888079","19-1888079")</f>
        <v>0</v>
      </c>
      <c r="B2216" t="s">
        <v>9</v>
      </c>
      <c r="H2216" t="s">
        <v>19</v>
      </c>
    </row>
    <row r="2217" spans="1:8">
      <c r="A2217" s="1">
        <f>HYPERLINK("https://cms.ls-nyc.org/matter/dynamic-profile/view/1883813","18-1883813")</f>
        <v>0</v>
      </c>
      <c r="B2217" t="s">
        <v>9</v>
      </c>
      <c r="C2217" t="s">
        <v>13</v>
      </c>
      <c r="E2217" t="s">
        <v>16</v>
      </c>
      <c r="H2217" t="s">
        <v>20</v>
      </c>
    </row>
    <row r="2218" spans="1:8">
      <c r="A2218" s="1">
        <f>HYPERLINK("https://cms.ls-nyc.org/matter/dynamic-profile/view/1887235","19-1887235")</f>
        <v>0</v>
      </c>
      <c r="B2218" t="s">
        <v>9</v>
      </c>
      <c r="C2218" t="s">
        <v>13</v>
      </c>
      <c r="E2218" t="s">
        <v>16</v>
      </c>
      <c r="H2218" t="s">
        <v>20</v>
      </c>
    </row>
    <row r="2219" spans="1:8">
      <c r="A2219" s="1">
        <f>HYPERLINK("https://cms.ls-nyc.org/matter/dynamic-profile/view/1863004","18-1863004")</f>
        <v>0</v>
      </c>
      <c r="B2219" t="s">
        <v>12</v>
      </c>
      <c r="D2219" t="s">
        <v>15</v>
      </c>
      <c r="E2219" t="s">
        <v>16</v>
      </c>
      <c r="H2219" t="s">
        <v>20</v>
      </c>
    </row>
    <row r="2220" spans="1:8">
      <c r="A2220" s="1">
        <f>HYPERLINK("https://cms.ls-nyc.org/matter/dynamic-profile/view/1894701","19-1894701")</f>
        <v>0</v>
      </c>
      <c r="B2220" t="s">
        <v>8</v>
      </c>
      <c r="H2220" t="s">
        <v>19</v>
      </c>
    </row>
    <row r="2221" spans="1:8">
      <c r="A2221" s="1">
        <f>HYPERLINK("https://cms.ls-nyc.org/matter/dynamic-profile/view/1885749","18-1885749")</f>
        <v>0</v>
      </c>
      <c r="B2221" t="s">
        <v>10</v>
      </c>
      <c r="H2221" t="s">
        <v>19</v>
      </c>
    </row>
    <row r="2222" spans="1:8">
      <c r="A2222" s="1">
        <f>HYPERLINK("https://cms.ls-nyc.org/matter/dynamic-profile/view/1882714","18-1882714")</f>
        <v>0</v>
      </c>
      <c r="B2222" t="s">
        <v>10</v>
      </c>
      <c r="H2222" t="s">
        <v>19</v>
      </c>
    </row>
    <row r="2223" spans="1:8">
      <c r="A2223" s="1">
        <f>HYPERLINK("https://cms.ls-nyc.org/matter/dynamic-profile/view/1882709","18-1882709")</f>
        <v>0</v>
      </c>
      <c r="B2223" t="s">
        <v>10</v>
      </c>
      <c r="H2223" t="s">
        <v>19</v>
      </c>
    </row>
    <row r="2224" spans="1:8">
      <c r="A2224" s="1">
        <f>HYPERLINK("https://cms.ls-nyc.org/matter/dynamic-profile/view/1852645","17-1852645")</f>
        <v>0</v>
      </c>
      <c r="B2224" t="s">
        <v>9</v>
      </c>
      <c r="D2224" t="s">
        <v>15</v>
      </c>
      <c r="E2224" t="s">
        <v>16</v>
      </c>
      <c r="H2224" t="s">
        <v>20</v>
      </c>
    </row>
    <row r="2225" spans="1:8">
      <c r="A2225" s="1">
        <f>HYPERLINK("https://cms.ls-nyc.org/matter/dynamic-profile/view/1885444","18-1885444")</f>
        <v>0</v>
      </c>
      <c r="B2225" t="s">
        <v>9</v>
      </c>
      <c r="H2225" t="s">
        <v>19</v>
      </c>
    </row>
    <row r="2226" spans="1:8">
      <c r="A2226" s="1">
        <f>HYPERLINK("https://cms.ls-nyc.org/matter/dynamic-profile/view/1864098","18-1864098")</f>
        <v>0</v>
      </c>
      <c r="B2226" t="s">
        <v>9</v>
      </c>
      <c r="C2226" t="s">
        <v>13</v>
      </c>
      <c r="D2226" t="s">
        <v>14</v>
      </c>
      <c r="E2226" t="s">
        <v>16</v>
      </c>
      <c r="H2226" t="s">
        <v>20</v>
      </c>
    </row>
    <row r="2227" spans="1:8">
      <c r="A2227" s="1">
        <f>HYPERLINK("https://cms.ls-nyc.org/matter/dynamic-profile/view/1884207","18-1884207")</f>
        <v>0</v>
      </c>
      <c r="B2227" t="s">
        <v>9</v>
      </c>
      <c r="H2227" t="s">
        <v>19</v>
      </c>
    </row>
    <row r="2228" spans="1:8">
      <c r="A2228" s="1">
        <f>HYPERLINK("https://cms.ls-nyc.org/matter/dynamic-profile/view/1867114","18-1867114")</f>
        <v>0</v>
      </c>
      <c r="B2228" t="s">
        <v>9</v>
      </c>
      <c r="D2228" t="s">
        <v>15</v>
      </c>
      <c r="E2228" t="s">
        <v>16</v>
      </c>
      <c r="H2228" t="s">
        <v>20</v>
      </c>
    </row>
    <row r="2229" spans="1:8">
      <c r="A2229" s="1">
        <f>HYPERLINK("https://cms.ls-nyc.org/matter/dynamic-profile/view/1881908","18-1881908")</f>
        <v>0</v>
      </c>
      <c r="B2229" t="s">
        <v>9</v>
      </c>
      <c r="H2229" t="s">
        <v>19</v>
      </c>
    </row>
    <row r="2230" spans="1:8">
      <c r="A2230" s="1">
        <f>HYPERLINK("https://cms.ls-nyc.org/matter/dynamic-profile/view/1885581","18-1885581")</f>
        <v>0</v>
      </c>
      <c r="B2230" t="s">
        <v>10</v>
      </c>
      <c r="H2230" t="s">
        <v>19</v>
      </c>
    </row>
    <row r="2231" spans="1:8">
      <c r="A2231" s="1">
        <f>HYPERLINK("https://cms.ls-nyc.org/matter/dynamic-profile/view/1886091","18-1886091")</f>
        <v>0</v>
      </c>
      <c r="B2231" t="s">
        <v>12</v>
      </c>
      <c r="H2231" t="s">
        <v>19</v>
      </c>
    </row>
    <row r="2232" spans="1:8">
      <c r="A2232" s="1">
        <f>HYPERLINK("https://cms.ls-nyc.org/matter/dynamic-profile/view/1874297","18-1874297")</f>
        <v>0</v>
      </c>
      <c r="B2232" t="s">
        <v>12</v>
      </c>
      <c r="H2232" t="s">
        <v>19</v>
      </c>
    </row>
    <row r="2233" spans="1:8">
      <c r="A2233" s="1">
        <f>HYPERLINK("https://cms.ls-nyc.org/matter/dynamic-profile/view/1880614","18-1880614")</f>
        <v>0</v>
      </c>
      <c r="B2233" t="s">
        <v>10</v>
      </c>
      <c r="H2233" t="s">
        <v>19</v>
      </c>
    </row>
    <row r="2234" spans="1:8">
      <c r="A2234" s="1">
        <f>HYPERLINK("https://cms.ls-nyc.org/matter/dynamic-profile/view/1877914","18-1877914")</f>
        <v>0</v>
      </c>
      <c r="B2234" t="s">
        <v>10</v>
      </c>
      <c r="D2234" t="s">
        <v>14</v>
      </c>
      <c r="H2234" t="s">
        <v>20</v>
      </c>
    </row>
    <row r="2235" spans="1:8">
      <c r="A2235" s="1">
        <f>HYPERLINK("https://cms.ls-nyc.org/matter/dynamic-profile/view/1894073","19-1894073")</f>
        <v>0</v>
      </c>
      <c r="B2235" t="s">
        <v>10</v>
      </c>
      <c r="H2235" t="s">
        <v>19</v>
      </c>
    </row>
    <row r="2236" spans="1:8">
      <c r="A2236" s="1">
        <f>HYPERLINK("https://cms.ls-nyc.org/matter/dynamic-profile/view/1894071","19-1894071")</f>
        <v>0</v>
      </c>
      <c r="B2236" t="s">
        <v>10</v>
      </c>
      <c r="H2236" t="s">
        <v>19</v>
      </c>
    </row>
    <row r="2237" spans="1:8">
      <c r="A2237" s="1">
        <f>HYPERLINK("https://cms.ls-nyc.org/matter/dynamic-profile/view/1894068","18-1894068")</f>
        <v>0</v>
      </c>
      <c r="B2237" t="s">
        <v>10</v>
      </c>
      <c r="H2237" t="s">
        <v>19</v>
      </c>
    </row>
    <row r="2238" spans="1:8">
      <c r="A2238" s="1">
        <f>HYPERLINK("https://cms.ls-nyc.org/matter/dynamic-profile/view/1869429","18-1869429")</f>
        <v>0</v>
      </c>
      <c r="B2238" t="s">
        <v>9</v>
      </c>
      <c r="D2238" t="s">
        <v>15</v>
      </c>
      <c r="E2238" t="s">
        <v>16</v>
      </c>
      <c r="H2238" t="s">
        <v>20</v>
      </c>
    </row>
    <row r="2239" spans="1:8">
      <c r="A2239" s="1">
        <f>HYPERLINK("https://cms.ls-nyc.org/matter/dynamic-profile/view/1880927","18-1880927")</f>
        <v>0</v>
      </c>
      <c r="B2239" t="s">
        <v>10</v>
      </c>
      <c r="H2239" t="s">
        <v>19</v>
      </c>
    </row>
    <row r="2240" spans="1:8">
      <c r="A2240" s="1">
        <f>HYPERLINK("https://cms.ls-nyc.org/matter/dynamic-profile/view/1842302","17-1842302")</f>
        <v>0</v>
      </c>
      <c r="B2240" t="s">
        <v>12</v>
      </c>
      <c r="D2240" t="s">
        <v>15</v>
      </c>
      <c r="E2240" t="s">
        <v>16</v>
      </c>
      <c r="H2240" t="s">
        <v>20</v>
      </c>
    </row>
    <row r="2241" spans="1:8">
      <c r="A2241" s="1">
        <f>HYPERLINK("https://cms.ls-nyc.org/matter/dynamic-profile/view/1884681","18-1884681")</f>
        <v>0</v>
      </c>
      <c r="B2241" t="s">
        <v>10</v>
      </c>
      <c r="F2241" t="s">
        <v>17</v>
      </c>
      <c r="H2241" t="s">
        <v>20</v>
      </c>
    </row>
    <row r="2242" spans="1:8">
      <c r="A2242" s="1">
        <f>HYPERLINK("https://cms.ls-nyc.org/matter/dynamic-profile/view/1879577","18-1879577")</f>
        <v>0</v>
      </c>
      <c r="B2242" t="s">
        <v>9</v>
      </c>
      <c r="D2242" t="s">
        <v>15</v>
      </c>
      <c r="H2242" t="s">
        <v>20</v>
      </c>
    </row>
    <row r="2243" spans="1:8">
      <c r="A2243" s="1">
        <f>HYPERLINK("https://cms.ls-nyc.org/matter/dynamic-profile/view/1895666","19-1895666")</f>
        <v>0</v>
      </c>
      <c r="B2243" t="s">
        <v>11</v>
      </c>
      <c r="H2243" t="s">
        <v>19</v>
      </c>
    </row>
    <row r="2244" spans="1:8">
      <c r="A2244" s="1">
        <f>HYPERLINK("https://cms.ls-nyc.org/matter/dynamic-profile/view/0796053","16-0796053")</f>
        <v>0</v>
      </c>
      <c r="B2244" t="s">
        <v>10</v>
      </c>
      <c r="D2244" t="s">
        <v>15</v>
      </c>
      <c r="H2244" t="s">
        <v>20</v>
      </c>
    </row>
    <row r="2245" spans="1:8">
      <c r="A2245" s="1">
        <f>HYPERLINK("https://cms.ls-nyc.org/matter/dynamic-profile/view/1897154","19-1897154")</f>
        <v>0</v>
      </c>
      <c r="B2245" t="s">
        <v>9</v>
      </c>
      <c r="E2245" t="s">
        <v>16</v>
      </c>
      <c r="F2245" t="s">
        <v>17</v>
      </c>
      <c r="H2245" t="s">
        <v>20</v>
      </c>
    </row>
    <row r="2246" spans="1:8">
      <c r="A2246" s="1">
        <f>HYPERLINK("https://cms.ls-nyc.org/matter/dynamic-profile/view/1897159","19-1897159")</f>
        <v>0</v>
      </c>
      <c r="B2246" t="s">
        <v>9</v>
      </c>
      <c r="E2246" t="s">
        <v>16</v>
      </c>
      <c r="F2246" t="s">
        <v>17</v>
      </c>
      <c r="H2246" t="s">
        <v>20</v>
      </c>
    </row>
    <row r="2247" spans="1:8">
      <c r="A2247" s="1">
        <f>HYPERLINK("https://cms.ls-nyc.org/matter/dynamic-profile/view/1900989","19-1900989")</f>
        <v>0</v>
      </c>
      <c r="B2247" t="s">
        <v>11</v>
      </c>
      <c r="E2247" t="s">
        <v>16</v>
      </c>
      <c r="H2247" t="s">
        <v>20</v>
      </c>
    </row>
    <row r="2248" spans="1:8">
      <c r="A2248" s="1">
        <f>HYPERLINK("https://cms.ls-nyc.org/matter/dynamic-profile/view/1856175","18-1856175")</f>
        <v>0</v>
      </c>
      <c r="B2248" t="s">
        <v>9</v>
      </c>
      <c r="D2248" t="s">
        <v>15</v>
      </c>
      <c r="E2248" t="s">
        <v>16</v>
      </c>
      <c r="H2248" t="s">
        <v>20</v>
      </c>
    </row>
    <row r="2249" spans="1:8">
      <c r="A2249" s="1">
        <f>HYPERLINK("https://cms.ls-nyc.org/matter/dynamic-profile/view/1849906","17-1849906")</f>
        <v>0</v>
      </c>
      <c r="B2249" t="s">
        <v>9</v>
      </c>
      <c r="D2249" t="s">
        <v>15</v>
      </c>
      <c r="E2249" t="s">
        <v>16</v>
      </c>
      <c r="H2249" t="s">
        <v>20</v>
      </c>
    </row>
    <row r="2250" spans="1:8">
      <c r="A2250" s="1">
        <f>HYPERLINK("https://cms.ls-nyc.org/matter/dynamic-profile/view/1872575","18-1872575")</f>
        <v>0</v>
      </c>
      <c r="B2250" t="s">
        <v>10</v>
      </c>
      <c r="F2250" t="s">
        <v>17</v>
      </c>
      <c r="H2250" t="s">
        <v>20</v>
      </c>
    </row>
    <row r="2251" spans="1:8">
      <c r="A2251" s="1">
        <f>HYPERLINK("https://cms.ls-nyc.org/matter/dynamic-profile/view/1899922","19-1899922")</f>
        <v>0</v>
      </c>
      <c r="B2251" t="s">
        <v>11</v>
      </c>
      <c r="H2251" t="s">
        <v>19</v>
      </c>
    </row>
    <row r="2252" spans="1:8">
      <c r="A2252" s="1">
        <f>HYPERLINK("https://cms.ls-nyc.org/matter/dynamic-profile/view/1853193","17-1853193")</f>
        <v>0</v>
      </c>
      <c r="B2252" t="s">
        <v>10</v>
      </c>
      <c r="D2252" t="s">
        <v>15</v>
      </c>
      <c r="E2252" t="s">
        <v>16</v>
      </c>
      <c r="H2252" t="s">
        <v>20</v>
      </c>
    </row>
    <row r="2253" spans="1:8">
      <c r="A2253" s="1">
        <f>HYPERLINK("https://cms.ls-nyc.org/matter/dynamic-profile/view/1857086","18-1857086")</f>
        <v>0</v>
      </c>
      <c r="B2253" t="s">
        <v>10</v>
      </c>
      <c r="D2253" t="s">
        <v>15</v>
      </c>
      <c r="E2253" t="s">
        <v>16</v>
      </c>
      <c r="H2253" t="s">
        <v>20</v>
      </c>
    </row>
    <row r="2254" spans="1:8">
      <c r="A2254" s="1">
        <f>HYPERLINK("https://cms.ls-nyc.org/matter/dynamic-profile/view/1857559","18-1857559")</f>
        <v>0</v>
      </c>
      <c r="B2254" t="s">
        <v>10</v>
      </c>
      <c r="D2254" t="s">
        <v>15</v>
      </c>
      <c r="E2254" t="s">
        <v>16</v>
      </c>
      <c r="H2254" t="s">
        <v>20</v>
      </c>
    </row>
    <row r="2255" spans="1:8">
      <c r="A2255" s="1">
        <f>HYPERLINK("https://cms.ls-nyc.org/matter/dynamic-profile/view/1893266","19-1893266")</f>
        <v>0</v>
      </c>
      <c r="B2255" t="s">
        <v>9</v>
      </c>
      <c r="H2255" t="s">
        <v>19</v>
      </c>
    </row>
    <row r="2256" spans="1:8">
      <c r="A2256" s="1">
        <f>HYPERLINK("https://cms.ls-nyc.org/matter/dynamic-profile/view/1900288","19-1900288")</f>
        <v>0</v>
      </c>
      <c r="B2256" t="s">
        <v>9</v>
      </c>
      <c r="C2256" t="s">
        <v>13</v>
      </c>
      <c r="D2256" t="s">
        <v>14</v>
      </c>
      <c r="E2256" t="s">
        <v>16</v>
      </c>
      <c r="H2256" t="s">
        <v>20</v>
      </c>
    </row>
    <row r="2257" spans="1:8">
      <c r="A2257" s="1">
        <f>HYPERLINK("https://cms.ls-nyc.org/matter/dynamic-profile/view/1896228","19-1896228")</f>
        <v>0</v>
      </c>
      <c r="B2257" t="s">
        <v>10</v>
      </c>
      <c r="H2257" t="s">
        <v>19</v>
      </c>
    </row>
    <row r="2258" spans="1:8">
      <c r="A2258" s="1">
        <f>HYPERLINK("https://cms.ls-nyc.org/matter/dynamic-profile/view/1896222","19-1896222")</f>
        <v>0</v>
      </c>
      <c r="B2258" t="s">
        <v>10</v>
      </c>
      <c r="H2258" t="s">
        <v>19</v>
      </c>
    </row>
    <row r="2259" spans="1:8">
      <c r="A2259" s="1">
        <f>HYPERLINK("https://cms.ls-nyc.org/matter/dynamic-profile/view/1900969","19-1900969")</f>
        <v>0</v>
      </c>
      <c r="B2259" t="s">
        <v>10</v>
      </c>
      <c r="D2259" t="s">
        <v>14</v>
      </c>
      <c r="E2259" t="s">
        <v>16</v>
      </c>
      <c r="H2259" t="s">
        <v>20</v>
      </c>
    </row>
    <row r="2260" spans="1:8">
      <c r="A2260" s="1">
        <f>HYPERLINK("https://cms.ls-nyc.org/matter/dynamic-profile/view/1897620","19-1897620")</f>
        <v>0</v>
      </c>
      <c r="B2260" t="s">
        <v>12</v>
      </c>
      <c r="H2260" t="s">
        <v>19</v>
      </c>
    </row>
    <row r="2261" spans="1:8">
      <c r="A2261" s="1">
        <f>HYPERLINK("https://cms.ls-nyc.org/matter/dynamic-profile/view/1854138","17-1854138")</f>
        <v>0</v>
      </c>
      <c r="B2261" t="s">
        <v>10</v>
      </c>
      <c r="D2261" t="s">
        <v>15</v>
      </c>
      <c r="E2261" t="s">
        <v>16</v>
      </c>
      <c r="H2261" t="s">
        <v>20</v>
      </c>
    </row>
    <row r="2262" spans="1:8">
      <c r="A2262" s="1">
        <f>HYPERLINK("https://cms.ls-nyc.org/matter/dynamic-profile/view/1898939","19-1898939")</f>
        <v>0</v>
      </c>
      <c r="B2262" t="s">
        <v>10</v>
      </c>
      <c r="D2262" t="s">
        <v>14</v>
      </c>
      <c r="H2262" t="s">
        <v>20</v>
      </c>
    </row>
    <row r="2263" spans="1:8">
      <c r="A2263" s="1">
        <f>HYPERLINK("https://cms.ls-nyc.org/matter/dynamic-profile/view/1881008","18-1881008")</f>
        <v>0</v>
      </c>
      <c r="B2263" t="s">
        <v>10</v>
      </c>
      <c r="H2263" t="s">
        <v>19</v>
      </c>
    </row>
    <row r="2264" spans="1:8">
      <c r="A2264" s="1">
        <f>HYPERLINK("https://cms.ls-nyc.org/matter/dynamic-profile/view/1857401","18-1857401")</f>
        <v>0</v>
      </c>
      <c r="B2264" t="s">
        <v>10</v>
      </c>
      <c r="D2264" t="s">
        <v>15</v>
      </c>
      <c r="E2264" t="s">
        <v>16</v>
      </c>
      <c r="H2264" t="s">
        <v>20</v>
      </c>
    </row>
    <row r="2265" spans="1:8">
      <c r="A2265" s="1">
        <f>HYPERLINK("https://cms.ls-nyc.org/matter/dynamic-profile/view/1883614","18-1883614")</f>
        <v>0</v>
      </c>
      <c r="B2265" t="s">
        <v>11</v>
      </c>
      <c r="H2265" t="s">
        <v>19</v>
      </c>
    </row>
    <row r="2266" spans="1:8">
      <c r="A2266" s="1">
        <f>HYPERLINK("https://cms.ls-nyc.org/matter/dynamic-profile/view/1896853","19-1896853")</f>
        <v>0</v>
      </c>
      <c r="B2266" t="s">
        <v>11</v>
      </c>
      <c r="D2266" t="s">
        <v>14</v>
      </c>
      <c r="E2266" t="s">
        <v>16</v>
      </c>
      <c r="G2266" t="s">
        <v>18</v>
      </c>
      <c r="H2266" t="s">
        <v>20</v>
      </c>
    </row>
    <row r="2267" spans="1:8">
      <c r="A2267" s="1">
        <f>HYPERLINK("https://cms.ls-nyc.org/matter/dynamic-profile/view/1897227","19-1897227")</f>
        <v>0</v>
      </c>
      <c r="B2267" t="s">
        <v>10</v>
      </c>
      <c r="H2267" t="s">
        <v>19</v>
      </c>
    </row>
    <row r="2268" spans="1:8">
      <c r="A2268" s="1">
        <f>HYPERLINK("https://cms.ls-nyc.org/matter/dynamic-profile/view/1881801","18-1881801")</f>
        <v>0</v>
      </c>
      <c r="B2268" t="s">
        <v>10</v>
      </c>
      <c r="H2268" t="s">
        <v>19</v>
      </c>
    </row>
    <row r="2269" spans="1:8">
      <c r="A2269" s="1">
        <f>HYPERLINK("https://cms.ls-nyc.org/matter/dynamic-profile/view/0793302","15-0793302")</f>
        <v>0</v>
      </c>
      <c r="B2269" t="s">
        <v>9</v>
      </c>
      <c r="D2269" t="s">
        <v>15</v>
      </c>
      <c r="E2269" t="s">
        <v>16</v>
      </c>
      <c r="H2269" t="s">
        <v>20</v>
      </c>
    </row>
    <row r="2270" spans="1:8">
      <c r="A2270" s="1">
        <f>HYPERLINK("https://cms.ls-nyc.org/matter/dynamic-profile/view/1895329","19-1895329")</f>
        <v>0</v>
      </c>
      <c r="B2270" t="s">
        <v>9</v>
      </c>
      <c r="H2270" t="s">
        <v>19</v>
      </c>
    </row>
    <row r="2271" spans="1:8">
      <c r="A2271" s="1">
        <f>HYPERLINK("https://cms.ls-nyc.org/matter/dynamic-profile/view/1890052","19-1890052")</f>
        <v>0</v>
      </c>
      <c r="B2271" t="s">
        <v>10</v>
      </c>
      <c r="F2271" t="s">
        <v>17</v>
      </c>
      <c r="H2271" t="s">
        <v>20</v>
      </c>
    </row>
    <row r="2272" spans="1:8">
      <c r="A2272" s="1">
        <f>HYPERLINK("https://cms.ls-nyc.org/matter/dynamic-profile/view/1890043","19-1890043")</f>
        <v>0</v>
      </c>
      <c r="B2272" t="s">
        <v>10</v>
      </c>
      <c r="F2272" t="s">
        <v>17</v>
      </c>
      <c r="H2272" t="s">
        <v>20</v>
      </c>
    </row>
    <row r="2273" spans="1:8">
      <c r="A2273" s="1">
        <f>HYPERLINK("https://cms.ls-nyc.org/matter/dynamic-profile/view/1866488","18-1866488")</f>
        <v>0</v>
      </c>
      <c r="B2273" t="s">
        <v>9</v>
      </c>
      <c r="F2273" t="s">
        <v>17</v>
      </c>
      <c r="H2273" t="s">
        <v>20</v>
      </c>
    </row>
    <row r="2274" spans="1:8">
      <c r="A2274" s="1">
        <f>HYPERLINK("https://cms.ls-nyc.org/matter/dynamic-profile/view/1861487","18-1861487")</f>
        <v>0</v>
      </c>
      <c r="B2274" t="s">
        <v>10</v>
      </c>
      <c r="D2274" t="s">
        <v>15</v>
      </c>
      <c r="E2274" t="s">
        <v>16</v>
      </c>
      <c r="H2274" t="s">
        <v>20</v>
      </c>
    </row>
    <row r="2275" spans="1:8">
      <c r="A2275" s="1">
        <f>HYPERLINK("https://cms.ls-nyc.org/matter/dynamic-profile/view/1899592","19-1899592")</f>
        <v>0</v>
      </c>
      <c r="B2275" t="s">
        <v>10</v>
      </c>
      <c r="D2275" t="s">
        <v>14</v>
      </c>
      <c r="H2275" t="s">
        <v>20</v>
      </c>
    </row>
    <row r="2276" spans="1:8">
      <c r="A2276" s="1">
        <f>HYPERLINK("https://cms.ls-nyc.org/matter/dynamic-profile/view/1899572","19-1899572")</f>
        <v>0</v>
      </c>
      <c r="B2276" t="s">
        <v>9</v>
      </c>
      <c r="C2276" t="s">
        <v>13</v>
      </c>
      <c r="D2276" t="s">
        <v>14</v>
      </c>
      <c r="E2276" t="s">
        <v>16</v>
      </c>
      <c r="G2276" t="s">
        <v>18</v>
      </c>
      <c r="H2276" t="s">
        <v>20</v>
      </c>
    </row>
    <row r="2277" spans="1:8">
      <c r="A2277" s="1">
        <f>HYPERLINK("https://cms.ls-nyc.org/matter/dynamic-profile/view/0802398","16-0802398")</f>
        <v>0</v>
      </c>
      <c r="B2277" t="s">
        <v>8</v>
      </c>
      <c r="C2277" t="s">
        <v>13</v>
      </c>
      <c r="D2277" t="s">
        <v>15</v>
      </c>
      <c r="E2277" t="s">
        <v>16</v>
      </c>
      <c r="H2277" t="s">
        <v>20</v>
      </c>
    </row>
    <row r="2278" spans="1:8">
      <c r="A2278" s="1">
        <f>HYPERLINK("https://cms.ls-nyc.org/matter/dynamic-profile/view/0806134","16-0806134")</f>
        <v>0</v>
      </c>
      <c r="B2278" t="s">
        <v>10</v>
      </c>
      <c r="D2278" t="s">
        <v>15</v>
      </c>
      <c r="E2278" t="s">
        <v>16</v>
      </c>
      <c r="H2278" t="s">
        <v>20</v>
      </c>
    </row>
    <row r="2279" spans="1:8">
      <c r="A2279" s="1">
        <f>HYPERLINK("https://cms.ls-nyc.org/matter/dynamic-profile/view/1884117","18-1884117")</f>
        <v>0</v>
      </c>
      <c r="B2279" t="s">
        <v>10</v>
      </c>
      <c r="H2279" t="s">
        <v>19</v>
      </c>
    </row>
    <row r="2280" spans="1:8">
      <c r="A2280" s="1">
        <f>HYPERLINK("https://cms.ls-nyc.org/matter/dynamic-profile/view/1836107","17-1836107")</f>
        <v>0</v>
      </c>
      <c r="B2280" t="s">
        <v>12</v>
      </c>
      <c r="D2280" t="s">
        <v>15</v>
      </c>
      <c r="H2280" t="s">
        <v>20</v>
      </c>
    </row>
    <row r="2281" spans="1:8">
      <c r="A2281" s="1">
        <f>HYPERLINK("https://cms.ls-nyc.org/matter/dynamic-profile/view/1898956","19-1898956")</f>
        <v>0</v>
      </c>
      <c r="B2281" t="s">
        <v>9</v>
      </c>
      <c r="E2281" t="s">
        <v>16</v>
      </c>
      <c r="F2281" t="s">
        <v>17</v>
      </c>
      <c r="H2281" t="s">
        <v>20</v>
      </c>
    </row>
    <row r="2282" spans="1:8">
      <c r="A2282" s="1">
        <f>HYPERLINK("https://cms.ls-nyc.org/matter/dynamic-profile/view/1898960","19-1898960")</f>
        <v>0</v>
      </c>
      <c r="B2282" t="s">
        <v>9</v>
      </c>
      <c r="E2282" t="s">
        <v>16</v>
      </c>
      <c r="F2282" t="s">
        <v>17</v>
      </c>
      <c r="H2282" t="s">
        <v>20</v>
      </c>
    </row>
    <row r="2283" spans="1:8">
      <c r="A2283" s="1">
        <f>HYPERLINK("https://cms.ls-nyc.org/matter/dynamic-profile/view/1897193","19-1897193")</f>
        <v>0</v>
      </c>
      <c r="B2283" t="s">
        <v>8</v>
      </c>
      <c r="H2283" t="s">
        <v>19</v>
      </c>
    </row>
    <row r="2284" spans="1:8">
      <c r="A2284" s="1">
        <f>HYPERLINK("https://cms.ls-nyc.org/matter/dynamic-profile/view/1891604","19-1891604")</f>
        <v>0</v>
      </c>
      <c r="B2284" t="s">
        <v>9</v>
      </c>
      <c r="E2284" t="s">
        <v>16</v>
      </c>
      <c r="F2284" t="s">
        <v>17</v>
      </c>
      <c r="H2284" t="s">
        <v>20</v>
      </c>
    </row>
    <row r="2285" spans="1:8">
      <c r="A2285" s="1">
        <f>HYPERLINK("https://cms.ls-nyc.org/matter/dynamic-profile/view/1891606","19-1891606")</f>
        <v>0</v>
      </c>
      <c r="B2285" t="s">
        <v>9</v>
      </c>
      <c r="E2285" t="s">
        <v>16</v>
      </c>
      <c r="F2285" t="s">
        <v>17</v>
      </c>
      <c r="H2285" t="s">
        <v>20</v>
      </c>
    </row>
    <row r="2286" spans="1:8">
      <c r="A2286" s="1">
        <f>HYPERLINK("https://cms.ls-nyc.org/matter/dynamic-profile/view/1899720","19-1899720")</f>
        <v>0</v>
      </c>
      <c r="B2286" t="s">
        <v>10</v>
      </c>
      <c r="D2286" t="s">
        <v>14</v>
      </c>
      <c r="H2286" t="s">
        <v>20</v>
      </c>
    </row>
    <row r="2287" spans="1:8">
      <c r="A2287" s="1">
        <f>HYPERLINK("https://cms.ls-nyc.org/matter/dynamic-profile/view/1893460","19-1893460")</f>
        <v>0</v>
      </c>
      <c r="B2287" t="s">
        <v>11</v>
      </c>
      <c r="H2287" t="s">
        <v>19</v>
      </c>
    </row>
    <row r="2288" spans="1:8">
      <c r="A2288" s="1">
        <f>HYPERLINK("https://cms.ls-nyc.org/matter/dynamic-profile/view/1852487","17-1852487")</f>
        <v>0</v>
      </c>
      <c r="B2288" t="s">
        <v>9</v>
      </c>
      <c r="D2288" t="s">
        <v>15</v>
      </c>
      <c r="E2288" t="s">
        <v>16</v>
      </c>
      <c r="H2288" t="s">
        <v>20</v>
      </c>
    </row>
    <row r="2289" spans="1:8">
      <c r="A2289" s="1">
        <f>HYPERLINK("https://cms.ls-nyc.org/matter/dynamic-profile/view/1859446","18-1859446")</f>
        <v>0</v>
      </c>
      <c r="B2289" t="s">
        <v>10</v>
      </c>
      <c r="D2289" t="s">
        <v>15</v>
      </c>
      <c r="E2289" t="s">
        <v>16</v>
      </c>
      <c r="H2289" t="s">
        <v>20</v>
      </c>
    </row>
    <row r="2290" spans="1:8">
      <c r="A2290" s="1">
        <f>HYPERLINK("https://cms.ls-nyc.org/matter/dynamic-profile/view/1856855","18-1856855")</f>
        <v>0</v>
      </c>
      <c r="B2290" t="s">
        <v>12</v>
      </c>
      <c r="D2290" t="s">
        <v>15</v>
      </c>
      <c r="E2290" t="s">
        <v>16</v>
      </c>
      <c r="H2290" t="s">
        <v>20</v>
      </c>
    </row>
    <row r="2291" spans="1:8">
      <c r="A2291" s="1">
        <f>HYPERLINK("https://cms.ls-nyc.org/matter/dynamic-profile/view/1889837","19-1889837")</f>
        <v>0</v>
      </c>
      <c r="B2291" t="s">
        <v>9</v>
      </c>
      <c r="H2291" t="s">
        <v>19</v>
      </c>
    </row>
    <row r="2292" spans="1:8">
      <c r="A2292" s="1">
        <f>HYPERLINK("https://cms.ls-nyc.org/matter/dynamic-profile/view/1898667","19-1898667")</f>
        <v>0</v>
      </c>
      <c r="B2292" t="s">
        <v>9</v>
      </c>
      <c r="H2292" t="s">
        <v>19</v>
      </c>
    </row>
    <row r="2293" spans="1:8">
      <c r="A2293" s="1">
        <f>HYPERLINK("https://cms.ls-nyc.org/matter/dynamic-profile/view/1856547","18-1856547")</f>
        <v>0</v>
      </c>
      <c r="B2293" t="s">
        <v>10</v>
      </c>
      <c r="D2293" t="s">
        <v>15</v>
      </c>
      <c r="E2293" t="s">
        <v>16</v>
      </c>
      <c r="H2293" t="s">
        <v>20</v>
      </c>
    </row>
    <row r="2294" spans="1:8">
      <c r="A2294" s="1">
        <f>HYPERLINK("https://cms.ls-nyc.org/matter/dynamic-profile/view/0822142","16-0822142")</f>
        <v>0</v>
      </c>
      <c r="B2294" t="s">
        <v>10</v>
      </c>
      <c r="D2294" t="s">
        <v>15</v>
      </c>
      <c r="E2294" t="s">
        <v>16</v>
      </c>
      <c r="H2294" t="s">
        <v>20</v>
      </c>
    </row>
    <row r="2295" spans="1:8">
      <c r="A2295" s="1">
        <f>HYPERLINK("https://cms.ls-nyc.org/matter/dynamic-profile/view/1865543","18-1865543")</f>
        <v>0</v>
      </c>
      <c r="B2295" t="s">
        <v>8</v>
      </c>
      <c r="D2295" t="s">
        <v>15</v>
      </c>
      <c r="E2295" t="s">
        <v>16</v>
      </c>
      <c r="H2295" t="s">
        <v>20</v>
      </c>
    </row>
    <row r="2296" spans="1:8">
      <c r="A2296" s="1">
        <f>HYPERLINK("https://cms.ls-nyc.org/matter/dynamic-profile/view/0795538","16-0795538")</f>
        <v>0</v>
      </c>
      <c r="B2296" t="s">
        <v>12</v>
      </c>
      <c r="C2296" t="s">
        <v>13</v>
      </c>
      <c r="D2296" t="s">
        <v>15</v>
      </c>
      <c r="E2296" t="s">
        <v>16</v>
      </c>
      <c r="H2296" t="s">
        <v>20</v>
      </c>
    </row>
    <row r="2297" spans="1:8">
      <c r="A2297" s="1">
        <f>HYPERLINK("https://cms.ls-nyc.org/matter/dynamic-profile/view/1899885","19-1899885")</f>
        <v>0</v>
      </c>
      <c r="B2297" t="s">
        <v>10</v>
      </c>
      <c r="D2297" t="s">
        <v>14</v>
      </c>
      <c r="H2297" t="s">
        <v>20</v>
      </c>
    </row>
    <row r="2298" spans="1:8">
      <c r="A2298" s="1">
        <f>HYPERLINK("https://cms.ls-nyc.org/matter/dynamic-profile/view/0810651","16-0810651")</f>
        <v>0</v>
      </c>
      <c r="B2298" t="s">
        <v>10</v>
      </c>
      <c r="D2298" t="s">
        <v>15</v>
      </c>
      <c r="E2298" t="s">
        <v>16</v>
      </c>
      <c r="H2298" t="s">
        <v>20</v>
      </c>
    </row>
    <row r="2299" spans="1:8">
      <c r="A2299" s="1">
        <f>HYPERLINK("https://cms.ls-nyc.org/matter/dynamic-profile/view/0821446","16-0821446")</f>
        <v>0</v>
      </c>
      <c r="B2299" t="s">
        <v>8</v>
      </c>
      <c r="D2299" t="s">
        <v>15</v>
      </c>
      <c r="E2299" t="s">
        <v>16</v>
      </c>
      <c r="H2299" t="s">
        <v>20</v>
      </c>
    </row>
    <row r="2300" spans="1:8">
      <c r="A2300" s="1">
        <f>HYPERLINK("https://cms.ls-nyc.org/matter/dynamic-profile/view/1895933","19-1895933")</f>
        <v>0</v>
      </c>
      <c r="B2300" t="s">
        <v>8</v>
      </c>
      <c r="H2300" t="s">
        <v>19</v>
      </c>
    </row>
    <row r="2301" spans="1:8">
      <c r="A2301" s="1">
        <f>HYPERLINK("https://cms.ls-nyc.org/matter/dynamic-profile/view/0826185","17-0826185")</f>
        <v>0</v>
      </c>
      <c r="B2301" t="s">
        <v>12</v>
      </c>
      <c r="D2301" t="s">
        <v>15</v>
      </c>
      <c r="E2301" t="s">
        <v>16</v>
      </c>
      <c r="H2301" t="s">
        <v>20</v>
      </c>
    </row>
    <row r="2302" spans="1:8">
      <c r="A2302" s="1">
        <f>HYPERLINK("https://cms.ls-nyc.org/matter/dynamic-profile/view/1855754","18-1855754")</f>
        <v>0</v>
      </c>
      <c r="B2302" t="s">
        <v>10</v>
      </c>
      <c r="D2302" t="s">
        <v>15</v>
      </c>
      <c r="E2302" t="s">
        <v>16</v>
      </c>
      <c r="H2302" t="s">
        <v>20</v>
      </c>
    </row>
    <row r="2303" spans="1:8">
      <c r="A2303" s="1">
        <f>HYPERLINK("https://cms.ls-nyc.org/matter/dynamic-profile/view/1853275","17-1853275")</f>
        <v>0</v>
      </c>
      <c r="B2303" t="s">
        <v>10</v>
      </c>
      <c r="D2303" t="s">
        <v>15</v>
      </c>
      <c r="E2303" t="s">
        <v>16</v>
      </c>
      <c r="H2303" t="s">
        <v>20</v>
      </c>
    </row>
    <row r="2304" spans="1:8">
      <c r="A2304" s="1">
        <f>HYPERLINK("https://cms.ls-nyc.org/matter/dynamic-profile/view/1855758","18-1855758")</f>
        <v>0</v>
      </c>
      <c r="B2304" t="s">
        <v>10</v>
      </c>
      <c r="D2304" t="s">
        <v>15</v>
      </c>
      <c r="E2304" t="s">
        <v>16</v>
      </c>
      <c r="H2304" t="s">
        <v>20</v>
      </c>
    </row>
    <row r="2305" spans="1:8">
      <c r="A2305" s="1">
        <f>HYPERLINK("https://cms.ls-nyc.org/matter/dynamic-profile/view/1864743","18-1864743")</f>
        <v>0</v>
      </c>
      <c r="B2305" t="s">
        <v>9</v>
      </c>
      <c r="F2305" t="s">
        <v>17</v>
      </c>
      <c r="H2305" t="s">
        <v>20</v>
      </c>
    </row>
    <row r="2306" spans="1:8">
      <c r="A2306" s="1">
        <f>HYPERLINK("https://cms.ls-nyc.org/matter/dynamic-profile/view/1875260","18-1875260")</f>
        <v>0</v>
      </c>
      <c r="B2306" t="s">
        <v>12</v>
      </c>
      <c r="H2306" t="s">
        <v>19</v>
      </c>
    </row>
    <row r="2307" spans="1:8">
      <c r="A2307" s="1">
        <f>HYPERLINK("https://cms.ls-nyc.org/matter/dynamic-profile/view/0820941","16-0820941")</f>
        <v>0</v>
      </c>
      <c r="B2307" t="s">
        <v>8</v>
      </c>
      <c r="C2307" t="s">
        <v>13</v>
      </c>
      <c r="D2307" t="s">
        <v>14</v>
      </c>
      <c r="E2307" t="s">
        <v>16</v>
      </c>
      <c r="H2307" t="s">
        <v>20</v>
      </c>
    </row>
    <row r="2308" spans="1:8">
      <c r="A2308" s="1">
        <f>HYPERLINK("https://cms.ls-nyc.org/matter/dynamic-profile/view/0821749","16-0821749")</f>
        <v>0</v>
      </c>
      <c r="B2308" t="s">
        <v>9</v>
      </c>
      <c r="D2308" t="s">
        <v>15</v>
      </c>
      <c r="E2308" t="s">
        <v>16</v>
      </c>
      <c r="H2308" t="s">
        <v>20</v>
      </c>
    </row>
    <row r="2309" spans="1:8">
      <c r="A2309" s="1">
        <f>HYPERLINK("https://cms.ls-nyc.org/matter/dynamic-profile/view/1883248","18-1883248")</f>
        <v>0</v>
      </c>
      <c r="B2309" t="s">
        <v>8</v>
      </c>
      <c r="H2309" t="s">
        <v>19</v>
      </c>
    </row>
    <row r="2310" spans="1:8">
      <c r="A2310" s="1">
        <f>HYPERLINK("https://cms.ls-nyc.org/matter/dynamic-profile/view/1863476","18-1863476")</f>
        <v>0</v>
      </c>
      <c r="B2310" t="s">
        <v>9</v>
      </c>
      <c r="C2310" t="s">
        <v>13</v>
      </c>
      <c r="D2310" t="s">
        <v>14</v>
      </c>
      <c r="E2310" t="s">
        <v>16</v>
      </c>
      <c r="F2310" t="s">
        <v>17</v>
      </c>
      <c r="G2310" t="s">
        <v>18</v>
      </c>
      <c r="H2310" t="s">
        <v>20</v>
      </c>
    </row>
    <row r="2311" spans="1:8">
      <c r="A2311" s="1">
        <f>HYPERLINK("https://cms.ls-nyc.org/matter/dynamic-profile/view/1877280","18-1877280")</f>
        <v>0</v>
      </c>
      <c r="B2311" t="s">
        <v>9</v>
      </c>
      <c r="C2311" t="s">
        <v>13</v>
      </c>
      <c r="D2311" t="s">
        <v>14</v>
      </c>
      <c r="E2311" t="s">
        <v>16</v>
      </c>
      <c r="H2311" t="s">
        <v>20</v>
      </c>
    </row>
    <row r="2312" spans="1:8">
      <c r="A2312" s="1">
        <f>HYPERLINK("https://cms.ls-nyc.org/matter/dynamic-profile/view/1897745","19-1897745")</f>
        <v>0</v>
      </c>
      <c r="B2312" t="s">
        <v>12</v>
      </c>
      <c r="H2312" t="s">
        <v>19</v>
      </c>
    </row>
    <row r="2313" spans="1:8">
      <c r="A2313" s="1">
        <f>HYPERLINK("https://cms.ls-nyc.org/matter/dynamic-profile/view/1898548","19-1898548")</f>
        <v>0</v>
      </c>
      <c r="B2313" t="s">
        <v>10</v>
      </c>
      <c r="D2313" t="s">
        <v>14</v>
      </c>
      <c r="E2313" t="s">
        <v>16</v>
      </c>
      <c r="H2313" t="s">
        <v>20</v>
      </c>
    </row>
    <row r="2314" spans="1:8">
      <c r="A2314" s="1">
        <f>HYPERLINK("https://cms.ls-nyc.org/matter/dynamic-profile/view/1878687","18-1878687")</f>
        <v>0</v>
      </c>
      <c r="B2314" t="s">
        <v>9</v>
      </c>
      <c r="F2314" t="s">
        <v>17</v>
      </c>
      <c r="H2314" t="s">
        <v>20</v>
      </c>
    </row>
    <row r="2315" spans="1:8">
      <c r="A2315" s="1">
        <f>HYPERLINK("https://cms.ls-nyc.org/matter/dynamic-profile/view/0804116","16-0804116")</f>
        <v>0</v>
      </c>
      <c r="B2315" t="s">
        <v>9</v>
      </c>
      <c r="D2315" t="s">
        <v>15</v>
      </c>
      <c r="E2315" t="s">
        <v>16</v>
      </c>
      <c r="F2315" t="s">
        <v>17</v>
      </c>
      <c r="H2315" t="s">
        <v>20</v>
      </c>
    </row>
    <row r="2316" spans="1:8">
      <c r="A2316" s="1">
        <f>HYPERLINK("https://cms.ls-nyc.org/matter/dynamic-profile/view/0823855","17-0823855")</f>
        <v>0</v>
      </c>
      <c r="B2316" t="s">
        <v>9</v>
      </c>
      <c r="C2316" t="s">
        <v>13</v>
      </c>
      <c r="D2316" t="s">
        <v>15</v>
      </c>
      <c r="E2316" t="s">
        <v>16</v>
      </c>
      <c r="F2316" t="s">
        <v>17</v>
      </c>
      <c r="H2316" t="s">
        <v>20</v>
      </c>
    </row>
    <row r="2317" spans="1:8">
      <c r="A2317" s="1">
        <f>HYPERLINK("https://cms.ls-nyc.org/matter/dynamic-profile/view/1896785","19-1896785")</f>
        <v>0</v>
      </c>
      <c r="B2317" t="s">
        <v>9</v>
      </c>
      <c r="C2317" t="s">
        <v>13</v>
      </c>
      <c r="D2317" t="s">
        <v>14</v>
      </c>
      <c r="E2317" t="s">
        <v>16</v>
      </c>
      <c r="H2317" t="s">
        <v>20</v>
      </c>
    </row>
    <row r="2318" spans="1:8">
      <c r="A2318" s="1">
        <f>HYPERLINK("https://cms.ls-nyc.org/matter/dynamic-profile/view/1891393","19-1891393")</f>
        <v>0</v>
      </c>
      <c r="B2318" t="s">
        <v>10</v>
      </c>
      <c r="H2318" t="s">
        <v>19</v>
      </c>
    </row>
    <row r="2319" spans="1:8">
      <c r="A2319" s="1">
        <f>HYPERLINK("https://cms.ls-nyc.org/matter/dynamic-profile/view/1891395","19-1891395")</f>
        <v>0</v>
      </c>
      <c r="B2319" t="s">
        <v>10</v>
      </c>
      <c r="H2319" t="s">
        <v>19</v>
      </c>
    </row>
    <row r="2320" spans="1:8">
      <c r="A2320" s="1">
        <f>HYPERLINK("https://cms.ls-nyc.org/matter/dynamic-profile/view/0812483","16-0812483")</f>
        <v>0</v>
      </c>
      <c r="B2320" t="s">
        <v>9</v>
      </c>
      <c r="C2320" t="s">
        <v>13</v>
      </c>
      <c r="D2320" t="s">
        <v>15</v>
      </c>
      <c r="E2320" t="s">
        <v>16</v>
      </c>
      <c r="H2320" t="s">
        <v>20</v>
      </c>
    </row>
    <row r="2321" spans="1:8">
      <c r="A2321" s="1">
        <f>HYPERLINK("https://cms.ls-nyc.org/matter/dynamic-profile/view/1863635","18-1863635")</f>
        <v>0</v>
      </c>
      <c r="B2321" t="s">
        <v>10</v>
      </c>
      <c r="D2321" t="s">
        <v>15</v>
      </c>
      <c r="E2321" t="s">
        <v>16</v>
      </c>
      <c r="H2321" t="s">
        <v>20</v>
      </c>
    </row>
    <row r="2322" spans="1:8">
      <c r="A2322" s="1">
        <f>HYPERLINK("https://cms.ls-nyc.org/matter/dynamic-profile/view/1889914","19-1889914")</f>
        <v>0</v>
      </c>
      <c r="B2322" t="s">
        <v>12</v>
      </c>
      <c r="H2322" t="s">
        <v>19</v>
      </c>
    </row>
    <row r="2323" spans="1:8">
      <c r="A2323" s="1">
        <f>HYPERLINK("https://cms.ls-nyc.org/matter/dynamic-profile/view/0830048","17-0830048")</f>
        <v>0</v>
      </c>
      <c r="B2323" t="s">
        <v>10</v>
      </c>
      <c r="D2323" t="s">
        <v>15</v>
      </c>
      <c r="E2323" t="s">
        <v>16</v>
      </c>
      <c r="H2323" t="s">
        <v>20</v>
      </c>
    </row>
    <row r="2324" spans="1:8">
      <c r="A2324" s="1">
        <f>HYPERLINK("https://cms.ls-nyc.org/matter/dynamic-profile/view/1843148","17-1843148")</f>
        <v>0</v>
      </c>
      <c r="B2324" t="s">
        <v>11</v>
      </c>
      <c r="D2324" t="s">
        <v>15</v>
      </c>
      <c r="E2324" t="s">
        <v>16</v>
      </c>
      <c r="H2324" t="s">
        <v>20</v>
      </c>
    </row>
    <row r="2325" spans="1:8">
      <c r="A2325" s="1">
        <f>HYPERLINK("https://cms.ls-nyc.org/matter/dynamic-profile/view/1834512","17-1834512")</f>
        <v>0</v>
      </c>
      <c r="B2325" t="s">
        <v>12</v>
      </c>
      <c r="D2325" t="s">
        <v>15</v>
      </c>
      <c r="E2325" t="s">
        <v>16</v>
      </c>
      <c r="H2325" t="s">
        <v>20</v>
      </c>
    </row>
    <row r="2326" spans="1:8">
      <c r="A2326" s="1">
        <f>HYPERLINK("https://cms.ls-nyc.org/matter/dynamic-profile/view/1841984","17-1841984")</f>
        <v>0</v>
      </c>
      <c r="B2326" t="s">
        <v>12</v>
      </c>
      <c r="D2326" t="s">
        <v>15</v>
      </c>
      <c r="E2326" t="s">
        <v>16</v>
      </c>
      <c r="H2326" t="s">
        <v>20</v>
      </c>
    </row>
    <row r="2327" spans="1:8">
      <c r="A2327" s="1">
        <f>HYPERLINK("https://cms.ls-nyc.org/matter/dynamic-profile/view/1862289","18-1862289")</f>
        <v>0</v>
      </c>
      <c r="B2327" t="s">
        <v>12</v>
      </c>
      <c r="D2327" t="s">
        <v>15</v>
      </c>
      <c r="E2327" t="s">
        <v>16</v>
      </c>
      <c r="H2327" t="s">
        <v>20</v>
      </c>
    </row>
    <row r="2328" spans="1:8">
      <c r="A2328" s="1">
        <f>HYPERLINK("https://cms.ls-nyc.org/matter/dynamic-profile/view/1862256","18-1862256")</f>
        <v>0</v>
      </c>
      <c r="B2328" t="s">
        <v>12</v>
      </c>
      <c r="D2328" t="s">
        <v>15</v>
      </c>
      <c r="E2328" t="s">
        <v>16</v>
      </c>
      <c r="H2328" t="s">
        <v>20</v>
      </c>
    </row>
    <row r="2329" spans="1:8">
      <c r="A2329" s="1">
        <f>HYPERLINK("https://cms.ls-nyc.org/matter/dynamic-profile/view/1882906","18-1882906")</f>
        <v>0</v>
      </c>
      <c r="B2329" t="s">
        <v>9</v>
      </c>
      <c r="H2329" t="s">
        <v>19</v>
      </c>
    </row>
    <row r="2330" spans="1:8">
      <c r="A2330" s="1">
        <f>HYPERLINK("https://cms.ls-nyc.org/matter/dynamic-profile/view/1882380","18-1882380")</f>
        <v>0</v>
      </c>
      <c r="B2330" t="s">
        <v>10</v>
      </c>
      <c r="D2330" t="s">
        <v>14</v>
      </c>
      <c r="F2330" t="s">
        <v>17</v>
      </c>
      <c r="H2330" t="s">
        <v>20</v>
      </c>
    </row>
    <row r="2331" spans="1:8">
      <c r="A2331" s="1">
        <f>HYPERLINK("https://cms.ls-nyc.org/matter/dynamic-profile/view/1887087","19-1887087")</f>
        <v>0</v>
      </c>
      <c r="B2331" t="s">
        <v>10</v>
      </c>
      <c r="C2331" t="s">
        <v>13</v>
      </c>
      <c r="D2331" t="s">
        <v>14</v>
      </c>
      <c r="E2331" t="s">
        <v>16</v>
      </c>
      <c r="F2331" t="s">
        <v>17</v>
      </c>
      <c r="H2331" t="s">
        <v>20</v>
      </c>
    </row>
    <row r="2332" spans="1:8">
      <c r="A2332" s="1">
        <f>HYPERLINK("https://cms.ls-nyc.org/matter/dynamic-profile/view/1868674","18-1868674")</f>
        <v>0</v>
      </c>
      <c r="B2332" t="s">
        <v>12</v>
      </c>
      <c r="D2332" t="s">
        <v>15</v>
      </c>
      <c r="E2332" t="s">
        <v>16</v>
      </c>
      <c r="H2332" t="s">
        <v>20</v>
      </c>
    </row>
    <row r="2333" spans="1:8">
      <c r="A2333" s="1">
        <f>HYPERLINK("https://cms.ls-nyc.org/matter/dynamic-profile/view/1896825","19-1896825")</f>
        <v>0</v>
      </c>
      <c r="B2333" t="s">
        <v>9</v>
      </c>
      <c r="C2333" t="s">
        <v>13</v>
      </c>
      <c r="D2333" t="s">
        <v>14</v>
      </c>
      <c r="E2333" t="s">
        <v>16</v>
      </c>
      <c r="G2333" t="s">
        <v>18</v>
      </c>
      <c r="H2333" t="s">
        <v>20</v>
      </c>
    </row>
    <row r="2334" spans="1:8">
      <c r="A2334" s="1">
        <f>HYPERLINK("https://cms.ls-nyc.org/matter/dynamic-profile/view/1890235","19-1890235")</f>
        <v>0</v>
      </c>
      <c r="B2334" t="s">
        <v>11</v>
      </c>
      <c r="H2334" t="s">
        <v>19</v>
      </c>
    </row>
    <row r="2335" spans="1:8">
      <c r="A2335" s="1">
        <f>HYPERLINK("https://cms.ls-nyc.org/matter/dynamic-profile/view/1891269","19-1891269")</f>
        <v>0</v>
      </c>
      <c r="B2335" t="s">
        <v>10</v>
      </c>
      <c r="C2335" t="s">
        <v>13</v>
      </c>
      <c r="D2335" t="s">
        <v>14</v>
      </c>
      <c r="E2335" t="s">
        <v>16</v>
      </c>
      <c r="H2335" t="s">
        <v>20</v>
      </c>
    </row>
    <row r="2336" spans="1:8">
      <c r="A2336" s="1">
        <f>HYPERLINK("https://cms.ls-nyc.org/matter/dynamic-profile/view/1899796","19-1899796")</f>
        <v>0</v>
      </c>
      <c r="B2336" t="s">
        <v>9</v>
      </c>
      <c r="C2336" t="s">
        <v>13</v>
      </c>
      <c r="D2336" t="s">
        <v>14</v>
      </c>
      <c r="E2336" t="s">
        <v>16</v>
      </c>
      <c r="G2336" t="s">
        <v>18</v>
      </c>
      <c r="H2336" t="s">
        <v>20</v>
      </c>
    </row>
    <row r="2337" spans="1:8">
      <c r="A2337" s="1">
        <f>HYPERLINK("https://cms.ls-nyc.org/matter/dynamic-profile/view/1884240","18-1884240")</f>
        <v>0</v>
      </c>
      <c r="B2337" t="s">
        <v>10</v>
      </c>
      <c r="H2337" t="s">
        <v>19</v>
      </c>
    </row>
    <row r="2338" spans="1:8">
      <c r="A2338" s="1">
        <f>HYPERLINK("https://cms.ls-nyc.org/matter/dynamic-profile/view/1885994","18-1885994")</f>
        <v>0</v>
      </c>
      <c r="B2338" t="s">
        <v>8</v>
      </c>
      <c r="C2338" t="s">
        <v>13</v>
      </c>
      <c r="D2338" t="s">
        <v>14</v>
      </c>
      <c r="E2338" t="s">
        <v>16</v>
      </c>
      <c r="H2338" t="s">
        <v>20</v>
      </c>
    </row>
    <row r="2339" spans="1:8">
      <c r="A2339" s="1">
        <f>HYPERLINK("https://cms.ls-nyc.org/matter/dynamic-profile/view/1871625","18-1871625")</f>
        <v>0</v>
      </c>
      <c r="B2339" t="s">
        <v>9</v>
      </c>
      <c r="D2339" t="s">
        <v>15</v>
      </c>
      <c r="E2339" t="s">
        <v>16</v>
      </c>
      <c r="H2339" t="s">
        <v>20</v>
      </c>
    </row>
    <row r="2340" spans="1:8">
      <c r="A2340" s="1">
        <f>HYPERLINK("https://cms.ls-nyc.org/matter/dynamic-profile/view/1867294","18-1867294")</f>
        <v>0</v>
      </c>
      <c r="B2340" t="s">
        <v>9</v>
      </c>
      <c r="D2340" t="s">
        <v>15</v>
      </c>
      <c r="E2340" t="s">
        <v>16</v>
      </c>
      <c r="H2340" t="s">
        <v>20</v>
      </c>
    </row>
    <row r="2341" spans="1:8">
      <c r="A2341" s="1">
        <f>HYPERLINK("https://cms.ls-nyc.org/matter/dynamic-profile/view/1860743","18-1860743")</f>
        <v>0</v>
      </c>
      <c r="B2341" t="s">
        <v>12</v>
      </c>
      <c r="D2341" t="s">
        <v>15</v>
      </c>
      <c r="E2341" t="s">
        <v>16</v>
      </c>
      <c r="H2341" t="s">
        <v>20</v>
      </c>
    </row>
    <row r="2342" spans="1:8">
      <c r="A2342" s="1">
        <f>HYPERLINK("https://cms.ls-nyc.org/matter/dynamic-profile/view/1895189","19-1895189")</f>
        <v>0</v>
      </c>
      <c r="B2342" t="s">
        <v>12</v>
      </c>
      <c r="H2342" t="s">
        <v>19</v>
      </c>
    </row>
    <row r="2343" spans="1:8">
      <c r="A2343" s="1">
        <f>HYPERLINK("https://cms.ls-nyc.org/matter/dynamic-profile/view/1876753","18-1876753")</f>
        <v>0</v>
      </c>
      <c r="B2343" t="s">
        <v>9</v>
      </c>
      <c r="H2343" t="s">
        <v>19</v>
      </c>
    </row>
    <row r="2344" spans="1:8">
      <c r="A2344" s="1">
        <f>HYPERLINK("https://cms.ls-nyc.org/matter/dynamic-profile/view/1895458","19-1895458")</f>
        <v>0</v>
      </c>
      <c r="B2344" t="s">
        <v>12</v>
      </c>
      <c r="H2344" t="s">
        <v>19</v>
      </c>
    </row>
    <row r="2345" spans="1:8">
      <c r="A2345" s="1">
        <f>HYPERLINK("https://cms.ls-nyc.org/matter/dynamic-profile/view/1898233","19-1898233")</f>
        <v>0</v>
      </c>
      <c r="B2345" t="s">
        <v>10</v>
      </c>
      <c r="D2345" t="s">
        <v>14</v>
      </c>
      <c r="F2345" t="s">
        <v>17</v>
      </c>
      <c r="H2345" t="s">
        <v>20</v>
      </c>
    </row>
    <row r="2346" spans="1:8">
      <c r="A2346" s="1">
        <f>HYPERLINK("https://cms.ls-nyc.org/matter/dynamic-profile/view/1898305","19-1898305")</f>
        <v>0</v>
      </c>
      <c r="B2346" t="s">
        <v>10</v>
      </c>
      <c r="D2346" t="s">
        <v>14</v>
      </c>
      <c r="F2346" t="s">
        <v>17</v>
      </c>
      <c r="H2346" t="s">
        <v>20</v>
      </c>
    </row>
    <row r="2347" spans="1:8">
      <c r="A2347" s="1">
        <f>HYPERLINK("https://cms.ls-nyc.org/matter/dynamic-profile/view/1896282","19-1896282")</f>
        <v>0</v>
      </c>
      <c r="B2347" t="s">
        <v>10</v>
      </c>
      <c r="D2347" t="s">
        <v>14</v>
      </c>
      <c r="H2347" t="s">
        <v>20</v>
      </c>
    </row>
    <row r="2348" spans="1:8">
      <c r="A2348" s="1">
        <f>HYPERLINK("https://cms.ls-nyc.org/matter/dynamic-profile/view/1897794","19-1897794")</f>
        <v>0</v>
      </c>
      <c r="B2348" t="s">
        <v>9</v>
      </c>
      <c r="H2348" t="s">
        <v>19</v>
      </c>
    </row>
    <row r="2349" spans="1:8">
      <c r="A2349" s="1">
        <f>HYPERLINK("https://cms.ls-nyc.org/matter/dynamic-profile/view/1889700","19-1889700")</f>
        <v>0</v>
      </c>
      <c r="B2349" t="s">
        <v>10</v>
      </c>
      <c r="H2349" t="s">
        <v>19</v>
      </c>
    </row>
    <row r="2350" spans="1:8">
      <c r="A2350" s="1">
        <f>HYPERLINK("https://cms.ls-nyc.org/matter/dynamic-profile/view/1888423","19-1888423")</f>
        <v>0</v>
      </c>
      <c r="B2350" t="s">
        <v>9</v>
      </c>
      <c r="H2350" t="s">
        <v>19</v>
      </c>
    </row>
    <row r="2351" spans="1:8">
      <c r="A2351" s="1">
        <f>HYPERLINK("https://cms.ls-nyc.org/matter/dynamic-profile/view/1893554","19-1893554")</f>
        <v>0</v>
      </c>
      <c r="B2351" t="s">
        <v>8</v>
      </c>
      <c r="C2351" t="s">
        <v>13</v>
      </c>
      <c r="D2351" t="s">
        <v>14</v>
      </c>
      <c r="E2351" t="s">
        <v>16</v>
      </c>
      <c r="H2351" t="s">
        <v>20</v>
      </c>
    </row>
    <row r="2352" spans="1:8">
      <c r="A2352" s="1">
        <f>HYPERLINK("https://cms.ls-nyc.org/matter/dynamic-profile/view/1900608","19-1900608")</f>
        <v>0</v>
      </c>
      <c r="B2352" t="s">
        <v>10</v>
      </c>
      <c r="D2352" t="s">
        <v>14</v>
      </c>
      <c r="F2352" t="s">
        <v>17</v>
      </c>
      <c r="H2352" t="s">
        <v>20</v>
      </c>
    </row>
    <row r="2353" spans="1:8">
      <c r="A2353" s="1">
        <f>HYPERLINK("https://cms.ls-nyc.org/matter/dynamic-profile/view/1869873","18-1869873")</f>
        <v>0</v>
      </c>
      <c r="B2353" t="s">
        <v>12</v>
      </c>
      <c r="D2353" t="s">
        <v>15</v>
      </c>
      <c r="E2353" t="s">
        <v>16</v>
      </c>
      <c r="H2353" t="s">
        <v>20</v>
      </c>
    </row>
    <row r="2354" spans="1:8">
      <c r="A2354" s="1">
        <f>HYPERLINK("https://cms.ls-nyc.org/matter/dynamic-profile/view/1869881","18-1869881")</f>
        <v>0</v>
      </c>
      <c r="B2354" t="s">
        <v>12</v>
      </c>
      <c r="D2354" t="s">
        <v>15</v>
      </c>
      <c r="E2354" t="s">
        <v>16</v>
      </c>
      <c r="H2354" t="s">
        <v>20</v>
      </c>
    </row>
    <row r="2355" spans="1:8">
      <c r="A2355" s="1">
        <f>HYPERLINK("https://cms.ls-nyc.org/matter/dynamic-profile/view/1899842","19-1899842")</f>
        <v>0</v>
      </c>
      <c r="B2355" t="s">
        <v>10</v>
      </c>
      <c r="D2355" t="s">
        <v>14</v>
      </c>
      <c r="H2355" t="s">
        <v>20</v>
      </c>
    </row>
    <row r="2356" spans="1:8">
      <c r="A2356" s="1">
        <f>HYPERLINK("https://cms.ls-nyc.org/matter/dynamic-profile/view/1895944","19-1895944")</f>
        <v>0</v>
      </c>
      <c r="B2356" t="s">
        <v>10</v>
      </c>
      <c r="D2356" t="s">
        <v>14</v>
      </c>
      <c r="H2356" t="s">
        <v>20</v>
      </c>
    </row>
    <row r="2357" spans="1:8">
      <c r="A2357" s="1">
        <f>HYPERLINK("https://cms.ls-nyc.org/matter/dynamic-profile/view/1889261","19-1889261")</f>
        <v>0</v>
      </c>
      <c r="B2357" t="s">
        <v>10</v>
      </c>
      <c r="H2357" t="s">
        <v>19</v>
      </c>
    </row>
    <row r="2358" spans="1:8">
      <c r="A2358" s="1">
        <f>HYPERLINK("https://cms.ls-nyc.org/matter/dynamic-profile/view/1892367","19-1892367")</f>
        <v>0</v>
      </c>
      <c r="B2358" t="s">
        <v>10</v>
      </c>
      <c r="D2358" t="s">
        <v>14</v>
      </c>
      <c r="F2358" t="s">
        <v>17</v>
      </c>
      <c r="H2358" t="s">
        <v>20</v>
      </c>
    </row>
    <row r="2359" spans="1:8">
      <c r="A2359" s="1">
        <f>HYPERLINK("https://cms.ls-nyc.org/matter/dynamic-profile/view/0802856","16-0802856")</f>
        <v>0</v>
      </c>
      <c r="B2359" t="s">
        <v>9</v>
      </c>
      <c r="D2359" t="s">
        <v>15</v>
      </c>
      <c r="E2359" t="s">
        <v>16</v>
      </c>
      <c r="H2359" t="s">
        <v>20</v>
      </c>
    </row>
    <row r="2360" spans="1:8">
      <c r="A2360" s="1">
        <f>HYPERLINK("https://cms.ls-nyc.org/matter/dynamic-profile/view/1886679","18-1886679")</f>
        <v>0</v>
      </c>
      <c r="B2360" t="s">
        <v>10</v>
      </c>
      <c r="H2360" t="s">
        <v>19</v>
      </c>
    </row>
    <row r="2361" spans="1:8">
      <c r="A2361" s="1">
        <f>HYPERLINK("https://cms.ls-nyc.org/matter/dynamic-profile/view/1891451","19-1891451")</f>
        <v>0</v>
      </c>
      <c r="B2361" t="s">
        <v>11</v>
      </c>
      <c r="H2361" t="s">
        <v>19</v>
      </c>
    </row>
    <row r="2362" spans="1:8">
      <c r="A2362" s="1">
        <f>HYPERLINK("https://cms.ls-nyc.org/matter/dynamic-profile/view/1856415","18-1856415")</f>
        <v>0</v>
      </c>
      <c r="B2362" t="s">
        <v>11</v>
      </c>
      <c r="D2362" t="s">
        <v>15</v>
      </c>
      <c r="H2362" t="s">
        <v>20</v>
      </c>
    </row>
    <row r="2363" spans="1:8">
      <c r="A2363" s="1">
        <f>HYPERLINK("https://cms.ls-nyc.org/matter/dynamic-profile/view/0768580","14-0768580")</f>
        <v>0</v>
      </c>
      <c r="B2363" t="s">
        <v>9</v>
      </c>
      <c r="C2363" t="s">
        <v>13</v>
      </c>
      <c r="D2363" t="s">
        <v>14</v>
      </c>
      <c r="E2363" t="s">
        <v>16</v>
      </c>
      <c r="H2363" t="s">
        <v>20</v>
      </c>
    </row>
    <row r="2364" spans="1:8">
      <c r="A2364" s="1">
        <f>HYPERLINK("https://cms.ls-nyc.org/matter/dynamic-profile/view/1877995","18-1877995")</f>
        <v>0</v>
      </c>
      <c r="B2364" t="s">
        <v>9</v>
      </c>
      <c r="H2364" t="s">
        <v>19</v>
      </c>
    </row>
    <row r="2365" spans="1:8">
      <c r="A2365" s="1">
        <f>HYPERLINK("https://cms.ls-nyc.org/matter/dynamic-profile/view/1890017","19-1890017")</f>
        <v>0</v>
      </c>
      <c r="B2365" t="s">
        <v>10</v>
      </c>
      <c r="H2365" t="s">
        <v>19</v>
      </c>
    </row>
    <row r="2366" spans="1:8">
      <c r="A2366" s="1">
        <f>HYPERLINK("https://cms.ls-nyc.org/matter/dynamic-profile/view/1836150","17-1836150")</f>
        <v>0</v>
      </c>
      <c r="B2366" t="s">
        <v>9</v>
      </c>
      <c r="D2366" t="s">
        <v>15</v>
      </c>
      <c r="E2366" t="s">
        <v>16</v>
      </c>
      <c r="H2366" t="s">
        <v>20</v>
      </c>
    </row>
    <row r="2367" spans="1:8">
      <c r="A2367" s="1">
        <f>HYPERLINK("https://cms.ls-nyc.org/matter/dynamic-profile/view/1890039","19-1890039")</f>
        <v>0</v>
      </c>
      <c r="B2367" t="s">
        <v>10</v>
      </c>
      <c r="D2367" t="s">
        <v>14</v>
      </c>
      <c r="H2367" t="s">
        <v>20</v>
      </c>
    </row>
    <row r="2368" spans="1:8">
      <c r="A2368" s="1">
        <f>HYPERLINK("https://cms.ls-nyc.org/matter/dynamic-profile/view/1890024","19-1890024")</f>
        <v>0</v>
      </c>
      <c r="B2368" t="s">
        <v>10</v>
      </c>
      <c r="H2368" t="s">
        <v>19</v>
      </c>
    </row>
    <row r="2369" spans="1:8">
      <c r="A2369" s="1">
        <f>HYPERLINK("https://cms.ls-nyc.org/matter/dynamic-profile/view/0803477","16-0803477")</f>
        <v>0</v>
      </c>
      <c r="B2369" t="s">
        <v>8</v>
      </c>
      <c r="D2369" t="s">
        <v>15</v>
      </c>
      <c r="E2369" t="s">
        <v>16</v>
      </c>
      <c r="H2369" t="s">
        <v>20</v>
      </c>
    </row>
    <row r="2370" spans="1:8">
      <c r="A2370" s="1">
        <f>HYPERLINK("https://cms.ls-nyc.org/matter/dynamic-profile/view/1869944","18-1869944")</f>
        <v>0</v>
      </c>
      <c r="B2370" t="s">
        <v>9</v>
      </c>
      <c r="D2370" t="s">
        <v>15</v>
      </c>
      <c r="E2370" t="s">
        <v>16</v>
      </c>
      <c r="H2370" t="s">
        <v>20</v>
      </c>
    </row>
    <row r="2371" spans="1:8">
      <c r="A2371" s="1">
        <f>HYPERLINK("https://cms.ls-nyc.org/matter/dynamic-profile/view/1842388","17-1842388")</f>
        <v>0</v>
      </c>
      <c r="B2371" t="s">
        <v>12</v>
      </c>
      <c r="D2371" t="s">
        <v>15</v>
      </c>
      <c r="E2371" t="s">
        <v>16</v>
      </c>
      <c r="H2371" t="s">
        <v>20</v>
      </c>
    </row>
    <row r="2372" spans="1:8">
      <c r="A2372" s="1">
        <f>HYPERLINK("https://cms.ls-nyc.org/matter/dynamic-profile/view/1887018","19-1887018")</f>
        <v>0</v>
      </c>
      <c r="B2372" t="s">
        <v>10</v>
      </c>
      <c r="H2372" t="s">
        <v>19</v>
      </c>
    </row>
    <row r="2373" spans="1:8">
      <c r="A2373" s="1">
        <f>HYPERLINK("https://cms.ls-nyc.org/matter/dynamic-profile/view/1863415","18-1863415")</f>
        <v>0</v>
      </c>
      <c r="B2373" t="s">
        <v>10</v>
      </c>
      <c r="D2373" t="s">
        <v>15</v>
      </c>
      <c r="E2373" t="s">
        <v>16</v>
      </c>
      <c r="H2373" t="s">
        <v>20</v>
      </c>
    </row>
    <row r="2374" spans="1:8">
      <c r="A2374" s="1">
        <f>HYPERLINK("https://cms.ls-nyc.org/matter/dynamic-profile/view/1885003","18-1885003")</f>
        <v>0</v>
      </c>
      <c r="B2374" t="s">
        <v>10</v>
      </c>
      <c r="H2374" t="s">
        <v>19</v>
      </c>
    </row>
    <row r="2375" spans="1:8">
      <c r="A2375" s="1">
        <f>HYPERLINK("https://cms.ls-nyc.org/matter/dynamic-profile/view/0817301","16-0817301")</f>
        <v>0</v>
      </c>
      <c r="B2375" t="s">
        <v>8</v>
      </c>
      <c r="D2375" t="s">
        <v>15</v>
      </c>
      <c r="E2375" t="s">
        <v>16</v>
      </c>
      <c r="F2375" t="s">
        <v>17</v>
      </c>
      <c r="H2375" t="s">
        <v>20</v>
      </c>
    </row>
    <row r="2376" spans="1:8">
      <c r="A2376" s="1">
        <f>HYPERLINK("https://cms.ls-nyc.org/matter/dynamic-profile/view/1852468","17-1852468")</f>
        <v>0</v>
      </c>
      <c r="B2376" t="s">
        <v>12</v>
      </c>
      <c r="D2376" t="s">
        <v>15</v>
      </c>
      <c r="E2376" t="s">
        <v>16</v>
      </c>
      <c r="H2376" t="s">
        <v>20</v>
      </c>
    </row>
    <row r="2377" spans="1:8">
      <c r="A2377" s="1">
        <f>HYPERLINK("https://cms.ls-nyc.org/matter/dynamic-profile/view/0804634","16-0804634")</f>
        <v>0</v>
      </c>
      <c r="B2377" t="s">
        <v>10</v>
      </c>
      <c r="D2377" t="s">
        <v>15</v>
      </c>
      <c r="E2377" t="s">
        <v>16</v>
      </c>
      <c r="H2377" t="s">
        <v>20</v>
      </c>
    </row>
    <row r="2378" spans="1:8">
      <c r="A2378" s="1">
        <f>HYPERLINK("https://cms.ls-nyc.org/matter/dynamic-profile/view/1857410","18-1857410")</f>
        <v>0</v>
      </c>
      <c r="B2378" t="s">
        <v>10</v>
      </c>
      <c r="D2378" t="s">
        <v>15</v>
      </c>
      <c r="E2378" t="s">
        <v>16</v>
      </c>
      <c r="H2378" t="s">
        <v>20</v>
      </c>
    </row>
    <row r="2379" spans="1:8">
      <c r="A2379" s="1">
        <f>HYPERLINK("https://cms.ls-nyc.org/matter/dynamic-profile/view/1878072","18-1878072")</f>
        <v>0</v>
      </c>
      <c r="B2379" t="s">
        <v>10</v>
      </c>
      <c r="H2379" t="s">
        <v>19</v>
      </c>
    </row>
    <row r="2380" spans="1:8">
      <c r="A2380" s="1">
        <f>HYPERLINK("https://cms.ls-nyc.org/matter/dynamic-profile/view/1864121","18-1864121")</f>
        <v>0</v>
      </c>
      <c r="B2380" t="s">
        <v>12</v>
      </c>
      <c r="D2380" t="s">
        <v>15</v>
      </c>
      <c r="E2380" t="s">
        <v>16</v>
      </c>
      <c r="H2380" t="s">
        <v>20</v>
      </c>
    </row>
    <row r="2381" spans="1:8">
      <c r="A2381" s="1">
        <f>HYPERLINK("https://cms.ls-nyc.org/matter/dynamic-profile/view/1882587","18-1882587")</f>
        <v>0</v>
      </c>
      <c r="B2381" t="s">
        <v>9</v>
      </c>
      <c r="C2381" t="s">
        <v>13</v>
      </c>
      <c r="D2381" t="s">
        <v>14</v>
      </c>
      <c r="E2381" t="s">
        <v>16</v>
      </c>
      <c r="H2381" t="s">
        <v>20</v>
      </c>
    </row>
    <row r="2382" spans="1:8">
      <c r="A2382" s="1">
        <f>HYPERLINK("https://cms.ls-nyc.org/matter/dynamic-profile/view/1856862","18-1856862")</f>
        <v>0</v>
      </c>
      <c r="B2382" t="s">
        <v>12</v>
      </c>
      <c r="D2382" t="s">
        <v>15</v>
      </c>
      <c r="E2382" t="s">
        <v>16</v>
      </c>
      <c r="H2382" t="s">
        <v>20</v>
      </c>
    </row>
    <row r="2383" spans="1:8">
      <c r="A2383" s="1">
        <f>HYPERLINK("https://cms.ls-nyc.org/matter/dynamic-profile/view/1886871","19-1886871")</f>
        <v>0</v>
      </c>
      <c r="B2383" t="s">
        <v>10</v>
      </c>
      <c r="H2383" t="s">
        <v>19</v>
      </c>
    </row>
    <row r="2384" spans="1:8">
      <c r="A2384" s="1">
        <f>HYPERLINK("https://cms.ls-nyc.org/matter/dynamic-profile/view/1864271","18-1864271")</f>
        <v>0</v>
      </c>
      <c r="B2384" t="s">
        <v>9</v>
      </c>
      <c r="H2384" t="s">
        <v>19</v>
      </c>
    </row>
    <row r="2385" spans="1:8">
      <c r="A2385" s="1">
        <f>HYPERLINK("https://cms.ls-nyc.org/matter/dynamic-profile/view/1888044","19-1888044")</f>
        <v>0</v>
      </c>
      <c r="B2385" t="s">
        <v>12</v>
      </c>
      <c r="F2385" t="s">
        <v>17</v>
      </c>
      <c r="H2385" t="s">
        <v>20</v>
      </c>
    </row>
    <row r="2386" spans="1:8">
      <c r="A2386" s="1">
        <f>HYPERLINK("https://cms.ls-nyc.org/matter/dynamic-profile/view/1889007","19-1889007")</f>
        <v>0</v>
      </c>
      <c r="B2386" t="s">
        <v>9</v>
      </c>
      <c r="H2386" t="s">
        <v>19</v>
      </c>
    </row>
    <row r="2387" spans="1:8">
      <c r="A2387" s="1">
        <f>HYPERLINK("https://cms.ls-nyc.org/matter/dynamic-profile/view/1899824","19-1899824")</f>
        <v>0</v>
      </c>
      <c r="B2387" t="s">
        <v>9</v>
      </c>
      <c r="F2387" t="s">
        <v>17</v>
      </c>
      <c r="H2387" t="s">
        <v>20</v>
      </c>
    </row>
    <row r="2388" spans="1:8">
      <c r="A2388" s="1">
        <f>HYPERLINK("https://cms.ls-nyc.org/matter/dynamic-profile/view/1886938","19-1886938")</f>
        <v>0</v>
      </c>
      <c r="B2388" t="s">
        <v>10</v>
      </c>
      <c r="D2388" t="s">
        <v>14</v>
      </c>
      <c r="F2388" t="s">
        <v>17</v>
      </c>
      <c r="H2388" t="s">
        <v>20</v>
      </c>
    </row>
    <row r="2389" spans="1:8">
      <c r="A2389" s="1">
        <f>HYPERLINK("https://cms.ls-nyc.org/matter/dynamic-profile/view/1866458","18-1866458")</f>
        <v>0</v>
      </c>
      <c r="B2389" t="s">
        <v>9</v>
      </c>
      <c r="H2389" t="s">
        <v>19</v>
      </c>
    </row>
    <row r="2390" spans="1:8">
      <c r="A2390" s="1">
        <f>HYPERLINK("https://cms.ls-nyc.org/matter/dynamic-profile/view/1885977","18-1885977")</f>
        <v>0</v>
      </c>
      <c r="B2390" t="s">
        <v>9</v>
      </c>
      <c r="H2390" t="s">
        <v>19</v>
      </c>
    </row>
    <row r="2391" spans="1:8">
      <c r="A2391" s="1">
        <f>HYPERLINK("https://cms.ls-nyc.org/matter/dynamic-profile/view/1879651","18-1879651")</f>
        <v>0</v>
      </c>
      <c r="B2391" t="s">
        <v>9</v>
      </c>
      <c r="F2391" t="s">
        <v>17</v>
      </c>
      <c r="H2391" t="s">
        <v>20</v>
      </c>
    </row>
    <row r="2392" spans="1:8">
      <c r="A2392" s="1">
        <f>HYPERLINK("https://cms.ls-nyc.org/matter/dynamic-profile/view/1867522","18-1867522")</f>
        <v>0</v>
      </c>
      <c r="B2392" t="s">
        <v>9</v>
      </c>
      <c r="D2392" t="s">
        <v>15</v>
      </c>
      <c r="F2392" t="s">
        <v>17</v>
      </c>
      <c r="H2392" t="s">
        <v>20</v>
      </c>
    </row>
    <row r="2393" spans="1:8">
      <c r="A2393" s="1">
        <f>HYPERLINK("https://cms.ls-nyc.org/matter/dynamic-profile/view/1840506","17-1840506")</f>
        <v>0</v>
      </c>
      <c r="B2393" t="s">
        <v>9</v>
      </c>
      <c r="D2393" t="s">
        <v>15</v>
      </c>
      <c r="H2393" t="s">
        <v>20</v>
      </c>
    </row>
    <row r="2394" spans="1:8">
      <c r="A2394" s="1">
        <f>HYPERLINK("https://cms.ls-nyc.org/matter/dynamic-profile/view/1885751","18-1885751")</f>
        <v>0</v>
      </c>
      <c r="B2394" t="s">
        <v>10</v>
      </c>
      <c r="F2394" t="s">
        <v>17</v>
      </c>
      <c r="H2394" t="s">
        <v>20</v>
      </c>
    </row>
    <row r="2395" spans="1:8">
      <c r="A2395" s="1">
        <f>HYPERLINK("https://cms.ls-nyc.org/matter/dynamic-profile/view/1884607","18-1884607")</f>
        <v>0</v>
      </c>
      <c r="B2395" t="s">
        <v>10</v>
      </c>
      <c r="H2395" t="s">
        <v>19</v>
      </c>
    </row>
    <row r="2396" spans="1:8">
      <c r="A2396" s="1">
        <f>HYPERLINK("https://cms.ls-nyc.org/matter/dynamic-profile/view/1864083","18-1864083")</f>
        <v>0</v>
      </c>
      <c r="B2396" t="s">
        <v>12</v>
      </c>
      <c r="D2396" t="s">
        <v>15</v>
      </c>
      <c r="E2396" t="s">
        <v>16</v>
      </c>
      <c r="H2396" t="s">
        <v>20</v>
      </c>
    </row>
    <row r="2397" spans="1:8">
      <c r="A2397" s="1">
        <f>HYPERLINK("https://cms.ls-nyc.org/matter/dynamic-profile/view/1893391","19-1893391")</f>
        <v>0</v>
      </c>
      <c r="B2397" t="s">
        <v>12</v>
      </c>
      <c r="C2397" t="s">
        <v>13</v>
      </c>
      <c r="D2397" t="s">
        <v>14</v>
      </c>
      <c r="E2397" t="s">
        <v>16</v>
      </c>
      <c r="H2397" t="s">
        <v>20</v>
      </c>
    </row>
    <row r="2398" spans="1:8">
      <c r="A2398" s="1">
        <f>HYPERLINK("https://cms.ls-nyc.org/matter/dynamic-profile/view/1854582","17-1854582")</f>
        <v>0</v>
      </c>
      <c r="B2398" t="s">
        <v>10</v>
      </c>
      <c r="D2398" t="s">
        <v>15</v>
      </c>
      <c r="E2398" t="s">
        <v>16</v>
      </c>
      <c r="H2398" t="s">
        <v>20</v>
      </c>
    </row>
    <row r="2399" spans="1:8">
      <c r="A2399" s="1">
        <f>HYPERLINK("https://cms.ls-nyc.org/matter/dynamic-profile/view/1837947","17-1837947")</f>
        <v>0</v>
      </c>
      <c r="B2399" t="s">
        <v>12</v>
      </c>
      <c r="D2399" t="s">
        <v>15</v>
      </c>
      <c r="E2399" t="s">
        <v>16</v>
      </c>
      <c r="H2399" t="s">
        <v>20</v>
      </c>
    </row>
    <row r="2400" spans="1:8">
      <c r="A2400" s="1">
        <f>HYPERLINK("https://cms.ls-nyc.org/matter/dynamic-profile/view/1837977","17-1837977")</f>
        <v>0</v>
      </c>
      <c r="B2400" t="s">
        <v>12</v>
      </c>
      <c r="D2400" t="s">
        <v>15</v>
      </c>
      <c r="E2400" t="s">
        <v>16</v>
      </c>
      <c r="H2400" t="s">
        <v>20</v>
      </c>
    </row>
    <row r="2401" spans="1:8">
      <c r="A2401" s="1">
        <f>HYPERLINK("https://cms.ls-nyc.org/matter/dynamic-profile/view/1901607","19-1901607")</f>
        <v>0</v>
      </c>
      <c r="B2401" t="s">
        <v>10</v>
      </c>
      <c r="D2401" t="s">
        <v>14</v>
      </c>
      <c r="F2401" t="s">
        <v>17</v>
      </c>
      <c r="H2401" t="s">
        <v>20</v>
      </c>
    </row>
    <row r="2402" spans="1:8">
      <c r="A2402" s="1">
        <f>HYPERLINK("https://cms.ls-nyc.org/matter/dynamic-profile/view/1897566","19-1897566")</f>
        <v>0</v>
      </c>
      <c r="B2402" t="s">
        <v>11</v>
      </c>
      <c r="H2402" t="s">
        <v>19</v>
      </c>
    </row>
    <row r="2403" spans="1:8">
      <c r="A2403" s="1">
        <f>HYPERLINK("https://cms.ls-nyc.org/matter/dynamic-profile/view/1857526","18-1857526")</f>
        <v>0</v>
      </c>
      <c r="B2403" t="s">
        <v>10</v>
      </c>
      <c r="D2403" t="s">
        <v>15</v>
      </c>
      <c r="E2403" t="s">
        <v>16</v>
      </c>
      <c r="H2403" t="s">
        <v>20</v>
      </c>
    </row>
    <row r="2404" spans="1:8">
      <c r="A2404" s="1">
        <f>HYPERLINK("https://cms.ls-nyc.org/matter/dynamic-profile/view/1874650","18-1874650")</f>
        <v>0</v>
      </c>
      <c r="B2404" t="s">
        <v>8</v>
      </c>
      <c r="H2404" t="s">
        <v>19</v>
      </c>
    </row>
    <row r="2405" spans="1:8">
      <c r="A2405" s="1">
        <f>HYPERLINK("https://cms.ls-nyc.org/matter/dynamic-profile/view/1868067","18-1868067")</f>
        <v>0</v>
      </c>
      <c r="B2405" t="s">
        <v>9</v>
      </c>
      <c r="D2405" t="s">
        <v>15</v>
      </c>
      <c r="E2405" t="s">
        <v>16</v>
      </c>
      <c r="H2405" t="s">
        <v>20</v>
      </c>
    </row>
    <row r="2406" spans="1:8">
      <c r="A2406" s="1">
        <f>HYPERLINK("https://cms.ls-nyc.org/matter/dynamic-profile/view/1881294","18-1881294")</f>
        <v>0</v>
      </c>
      <c r="B2406" t="s">
        <v>12</v>
      </c>
      <c r="H2406" t="s">
        <v>19</v>
      </c>
    </row>
    <row r="2407" spans="1:8">
      <c r="A2407" s="1">
        <f>HYPERLINK("https://cms.ls-nyc.org/matter/dynamic-profile/view/1886508","18-1886508")</f>
        <v>0</v>
      </c>
      <c r="B2407" t="s">
        <v>10</v>
      </c>
      <c r="H2407" t="s">
        <v>19</v>
      </c>
    </row>
    <row r="2408" spans="1:8">
      <c r="A2408" s="1">
        <f>HYPERLINK("https://cms.ls-nyc.org/matter/dynamic-profile/view/1868474","18-1868474")</f>
        <v>0</v>
      </c>
      <c r="B2408" t="s">
        <v>12</v>
      </c>
      <c r="C2408" t="s">
        <v>13</v>
      </c>
      <c r="D2408" t="s">
        <v>15</v>
      </c>
      <c r="E2408" t="s">
        <v>16</v>
      </c>
      <c r="H2408" t="s">
        <v>20</v>
      </c>
    </row>
    <row r="2409" spans="1:8">
      <c r="A2409" s="1">
        <f>HYPERLINK("https://cms.ls-nyc.org/matter/dynamic-profile/view/1899986","19-1899986")</f>
        <v>0</v>
      </c>
      <c r="B2409" t="s">
        <v>10</v>
      </c>
      <c r="D2409" t="s">
        <v>14</v>
      </c>
      <c r="H2409" t="s">
        <v>20</v>
      </c>
    </row>
    <row r="2410" spans="1:8">
      <c r="A2410" s="1">
        <f>HYPERLINK("https://cms.ls-nyc.org/matter/dynamic-profile/view/1862824","18-1862824")</f>
        <v>0</v>
      </c>
      <c r="B2410" t="s">
        <v>10</v>
      </c>
      <c r="D2410" t="s">
        <v>14</v>
      </c>
      <c r="E2410" t="s">
        <v>16</v>
      </c>
      <c r="H2410" t="s">
        <v>20</v>
      </c>
    </row>
    <row r="2411" spans="1:8">
      <c r="A2411" s="1">
        <f>HYPERLINK("https://cms.ls-nyc.org/matter/dynamic-profile/view/1894727","19-1894727")</f>
        <v>0</v>
      </c>
      <c r="B2411" t="s">
        <v>9</v>
      </c>
      <c r="H2411" t="s">
        <v>19</v>
      </c>
    </row>
    <row r="2412" spans="1:8">
      <c r="A2412" s="1">
        <f>HYPERLINK("https://cms.ls-nyc.org/matter/dynamic-profile/view/1895194","19-1895194")</f>
        <v>0</v>
      </c>
      <c r="B2412" t="s">
        <v>8</v>
      </c>
      <c r="H2412" t="s">
        <v>19</v>
      </c>
    </row>
    <row r="2413" spans="1:8">
      <c r="A2413" s="1">
        <f>HYPERLINK("https://cms.ls-nyc.org/matter/dynamic-profile/view/1889882","19-1889882")</f>
        <v>0</v>
      </c>
      <c r="B2413" t="s">
        <v>10</v>
      </c>
      <c r="H2413" t="s">
        <v>19</v>
      </c>
    </row>
    <row r="2414" spans="1:8">
      <c r="A2414" s="1">
        <f>HYPERLINK("https://cms.ls-nyc.org/matter/dynamic-profile/view/1895947","19-1895947")</f>
        <v>0</v>
      </c>
      <c r="B2414" t="s">
        <v>10</v>
      </c>
      <c r="D2414" t="s">
        <v>14</v>
      </c>
      <c r="F2414" t="s">
        <v>17</v>
      </c>
      <c r="H2414" t="s">
        <v>20</v>
      </c>
    </row>
    <row r="2415" spans="1:8">
      <c r="A2415" s="1">
        <f>HYPERLINK("https://cms.ls-nyc.org/matter/dynamic-profile/view/1859459","18-1859459")</f>
        <v>0</v>
      </c>
      <c r="B2415" t="s">
        <v>10</v>
      </c>
      <c r="D2415" t="s">
        <v>15</v>
      </c>
      <c r="E2415" t="s">
        <v>16</v>
      </c>
      <c r="H2415" t="s">
        <v>20</v>
      </c>
    </row>
    <row r="2416" spans="1:8">
      <c r="A2416" s="1">
        <f>HYPERLINK("https://cms.ls-nyc.org/matter/dynamic-profile/view/1836415","17-1836415")</f>
        <v>0</v>
      </c>
      <c r="B2416" t="s">
        <v>12</v>
      </c>
      <c r="D2416" t="s">
        <v>15</v>
      </c>
      <c r="E2416" t="s">
        <v>16</v>
      </c>
      <c r="H2416" t="s">
        <v>20</v>
      </c>
    </row>
    <row r="2417" spans="1:8">
      <c r="A2417" s="1">
        <f>HYPERLINK("https://cms.ls-nyc.org/matter/dynamic-profile/view/1880463","18-1880463")</f>
        <v>0</v>
      </c>
      <c r="B2417" t="s">
        <v>10</v>
      </c>
      <c r="C2417" t="s">
        <v>13</v>
      </c>
      <c r="D2417" t="s">
        <v>14</v>
      </c>
      <c r="E2417" t="s">
        <v>16</v>
      </c>
      <c r="G2417" t="s">
        <v>18</v>
      </c>
      <c r="H2417" t="s">
        <v>20</v>
      </c>
    </row>
    <row r="2418" spans="1:8">
      <c r="A2418" s="1">
        <f>HYPERLINK("https://cms.ls-nyc.org/matter/dynamic-profile/view/1846660","17-1846660")</f>
        <v>0</v>
      </c>
      <c r="B2418" t="s">
        <v>9</v>
      </c>
      <c r="D2418" t="s">
        <v>15</v>
      </c>
      <c r="F2418" t="s">
        <v>17</v>
      </c>
      <c r="H2418" t="s">
        <v>20</v>
      </c>
    </row>
    <row r="2419" spans="1:8">
      <c r="A2419" s="1">
        <f>HYPERLINK("https://cms.ls-nyc.org/matter/dynamic-profile/view/1836401","17-1836401")</f>
        <v>0</v>
      </c>
      <c r="B2419" t="s">
        <v>12</v>
      </c>
      <c r="C2419" t="s">
        <v>13</v>
      </c>
      <c r="D2419" t="s">
        <v>15</v>
      </c>
      <c r="E2419" t="s">
        <v>16</v>
      </c>
      <c r="H2419" t="s">
        <v>20</v>
      </c>
    </row>
    <row r="2420" spans="1:8">
      <c r="A2420" s="1">
        <f>HYPERLINK("https://cms.ls-nyc.org/matter/dynamic-profile/view/0804889","16-0804889")</f>
        <v>0</v>
      </c>
      <c r="B2420" t="s">
        <v>10</v>
      </c>
      <c r="D2420" t="s">
        <v>15</v>
      </c>
      <c r="E2420" t="s">
        <v>16</v>
      </c>
      <c r="H2420" t="s">
        <v>20</v>
      </c>
    </row>
    <row r="2421" spans="1:8">
      <c r="A2421" s="1">
        <f>HYPERLINK("https://cms.ls-nyc.org/matter/dynamic-profile/view/1891108","19-1891108")</f>
        <v>0</v>
      </c>
      <c r="B2421" t="s">
        <v>9</v>
      </c>
      <c r="C2421" t="s">
        <v>13</v>
      </c>
      <c r="D2421" t="s">
        <v>14</v>
      </c>
      <c r="E2421" t="s">
        <v>16</v>
      </c>
      <c r="H2421" t="s">
        <v>20</v>
      </c>
    </row>
    <row r="2422" spans="1:8">
      <c r="A2422" s="1">
        <f>HYPERLINK("https://cms.ls-nyc.org/matter/dynamic-profile/view/1856641","18-1856641")</f>
        <v>0</v>
      </c>
      <c r="B2422" t="s">
        <v>12</v>
      </c>
      <c r="D2422" t="s">
        <v>15</v>
      </c>
      <c r="E2422" t="s">
        <v>16</v>
      </c>
      <c r="H2422" t="s">
        <v>20</v>
      </c>
    </row>
    <row r="2423" spans="1:8">
      <c r="A2423" s="1">
        <f>HYPERLINK("https://cms.ls-nyc.org/matter/dynamic-profile/view/1861677","18-1861677")</f>
        <v>0</v>
      </c>
      <c r="B2423" t="s">
        <v>9</v>
      </c>
      <c r="D2423" t="s">
        <v>15</v>
      </c>
      <c r="E2423" t="s">
        <v>16</v>
      </c>
      <c r="H2423" t="s">
        <v>20</v>
      </c>
    </row>
    <row r="2424" spans="1:8">
      <c r="A2424" s="1">
        <f>HYPERLINK("https://cms.ls-nyc.org/matter/dynamic-profile/view/1863534","18-1863534")</f>
        <v>0</v>
      </c>
      <c r="B2424" t="s">
        <v>12</v>
      </c>
      <c r="D2424" t="s">
        <v>15</v>
      </c>
      <c r="E2424" t="s">
        <v>16</v>
      </c>
      <c r="H2424" t="s">
        <v>20</v>
      </c>
    </row>
    <row r="2425" spans="1:8">
      <c r="A2425" s="1">
        <f>HYPERLINK("https://cms.ls-nyc.org/matter/dynamic-profile/view/1860466","18-1860466")</f>
        <v>0</v>
      </c>
      <c r="B2425" t="s">
        <v>8</v>
      </c>
      <c r="D2425" t="s">
        <v>15</v>
      </c>
      <c r="E2425" t="s">
        <v>16</v>
      </c>
      <c r="H2425" t="s">
        <v>20</v>
      </c>
    </row>
    <row r="2426" spans="1:8">
      <c r="A2426" s="1">
        <f>HYPERLINK("https://cms.ls-nyc.org/matter/dynamic-profile/view/1864195","18-1864195")</f>
        <v>0</v>
      </c>
      <c r="B2426" t="s">
        <v>9</v>
      </c>
      <c r="D2426" t="s">
        <v>15</v>
      </c>
      <c r="E2426" t="s">
        <v>16</v>
      </c>
      <c r="H2426" t="s">
        <v>20</v>
      </c>
    </row>
    <row r="2427" spans="1:8">
      <c r="A2427" s="1">
        <f>HYPERLINK("https://cms.ls-nyc.org/matter/dynamic-profile/view/1871508","18-1871508")</f>
        <v>0</v>
      </c>
      <c r="B2427" t="s">
        <v>8</v>
      </c>
      <c r="H2427" t="s">
        <v>19</v>
      </c>
    </row>
    <row r="2428" spans="1:8">
      <c r="A2428" s="1">
        <f>HYPERLINK("https://cms.ls-nyc.org/matter/dynamic-profile/view/1895962","19-1895962")</f>
        <v>0</v>
      </c>
      <c r="B2428" t="s">
        <v>10</v>
      </c>
      <c r="D2428" t="s">
        <v>14</v>
      </c>
      <c r="H2428" t="s">
        <v>20</v>
      </c>
    </row>
    <row r="2429" spans="1:8">
      <c r="A2429" s="1">
        <f>HYPERLINK("https://cms.ls-nyc.org/matter/dynamic-profile/view/0812102","16-0812102")</f>
        <v>0</v>
      </c>
      <c r="B2429" t="s">
        <v>9</v>
      </c>
      <c r="D2429" t="s">
        <v>15</v>
      </c>
      <c r="E2429" t="s">
        <v>16</v>
      </c>
      <c r="H2429" t="s">
        <v>20</v>
      </c>
    </row>
    <row r="2430" spans="1:8">
      <c r="A2430" s="1">
        <f>HYPERLINK("https://cms.ls-nyc.org/matter/dynamic-profile/view/0789364","15-0789364")</f>
        <v>0</v>
      </c>
      <c r="B2430" t="s">
        <v>10</v>
      </c>
      <c r="D2430" t="s">
        <v>15</v>
      </c>
      <c r="E2430" t="s">
        <v>16</v>
      </c>
      <c r="H2430" t="s">
        <v>20</v>
      </c>
    </row>
    <row r="2431" spans="1:8">
      <c r="A2431" s="1">
        <f>HYPERLINK("https://cms.ls-nyc.org/matter/dynamic-profile/view/1888681","19-1888681")</f>
        <v>0</v>
      </c>
      <c r="B2431" t="s">
        <v>12</v>
      </c>
      <c r="H2431" t="s">
        <v>19</v>
      </c>
    </row>
    <row r="2432" spans="1:8">
      <c r="A2432" s="1">
        <f>HYPERLINK("https://cms.ls-nyc.org/matter/dynamic-profile/view/1896270","19-1896270")</f>
        <v>0</v>
      </c>
      <c r="B2432" t="s">
        <v>8</v>
      </c>
      <c r="H2432" t="s">
        <v>19</v>
      </c>
    </row>
    <row r="2433" spans="1:8">
      <c r="A2433" s="1">
        <f>HYPERLINK("https://cms.ls-nyc.org/matter/dynamic-profile/view/1889647","19-1889647")</f>
        <v>0</v>
      </c>
      <c r="B2433" t="s">
        <v>9</v>
      </c>
      <c r="D2433" t="s">
        <v>14</v>
      </c>
      <c r="H2433" t="s">
        <v>20</v>
      </c>
    </row>
    <row r="2434" spans="1:8">
      <c r="A2434" s="1">
        <f>HYPERLINK("https://cms.ls-nyc.org/matter/dynamic-profile/view/1897145","19-1897145")</f>
        <v>0</v>
      </c>
      <c r="B2434" t="s">
        <v>10</v>
      </c>
      <c r="H2434" t="s">
        <v>19</v>
      </c>
    </row>
    <row r="2435" spans="1:8">
      <c r="A2435" s="1">
        <f>HYPERLINK("https://cms.ls-nyc.org/matter/dynamic-profile/view/1897591","19-1897591")</f>
        <v>0</v>
      </c>
      <c r="B2435" t="s">
        <v>10</v>
      </c>
      <c r="H2435" t="s">
        <v>19</v>
      </c>
    </row>
    <row r="2436" spans="1:8">
      <c r="A2436" s="1">
        <f>HYPERLINK("https://cms.ls-nyc.org/matter/dynamic-profile/view/1897829","19-1897829")</f>
        <v>0</v>
      </c>
      <c r="B2436" t="s">
        <v>11</v>
      </c>
      <c r="C2436" t="s">
        <v>13</v>
      </c>
      <c r="D2436" t="s">
        <v>14</v>
      </c>
      <c r="E2436" t="s">
        <v>16</v>
      </c>
      <c r="G2436" t="s">
        <v>18</v>
      </c>
      <c r="H2436" t="s">
        <v>20</v>
      </c>
    </row>
    <row r="2437" spans="1:8">
      <c r="A2437" s="1">
        <f>HYPERLINK("https://cms.ls-nyc.org/matter/dynamic-profile/view/1895534","19-1895534")</f>
        <v>0</v>
      </c>
      <c r="B2437" t="s">
        <v>12</v>
      </c>
      <c r="H2437" t="s">
        <v>19</v>
      </c>
    </row>
    <row r="2438" spans="1:8">
      <c r="A2438" s="1">
        <f>HYPERLINK("https://cms.ls-nyc.org/matter/dynamic-profile/view/0829854","17-0829854")</f>
        <v>0</v>
      </c>
      <c r="B2438" t="s">
        <v>10</v>
      </c>
      <c r="D2438" t="s">
        <v>15</v>
      </c>
      <c r="E2438" t="s">
        <v>16</v>
      </c>
      <c r="H2438" t="s">
        <v>20</v>
      </c>
    </row>
    <row r="2439" spans="1:8">
      <c r="A2439" s="1">
        <f>HYPERLINK("https://cms.ls-nyc.org/matter/dynamic-profile/view/1885042","18-1885042")</f>
        <v>0</v>
      </c>
      <c r="B2439" t="s">
        <v>10</v>
      </c>
      <c r="H2439" t="s">
        <v>19</v>
      </c>
    </row>
    <row r="2440" spans="1:8">
      <c r="A2440" s="1">
        <f>HYPERLINK("https://cms.ls-nyc.org/matter/dynamic-profile/view/1885045","18-1885045")</f>
        <v>0</v>
      </c>
      <c r="B2440" t="s">
        <v>10</v>
      </c>
      <c r="H2440" t="s">
        <v>19</v>
      </c>
    </row>
    <row r="2441" spans="1:8">
      <c r="A2441" s="1">
        <f>HYPERLINK("https://cms.ls-nyc.org/matter/dynamic-profile/view/1867904","18-1867904")</f>
        <v>0</v>
      </c>
      <c r="B2441" t="s">
        <v>12</v>
      </c>
      <c r="D2441" t="s">
        <v>15</v>
      </c>
      <c r="H2441" t="s">
        <v>20</v>
      </c>
    </row>
    <row r="2442" spans="1:8">
      <c r="A2442" s="1">
        <f>HYPERLINK("https://cms.ls-nyc.org/matter/dynamic-profile/view/1884960","18-1884960")</f>
        <v>0</v>
      </c>
      <c r="B2442" t="s">
        <v>10</v>
      </c>
      <c r="H2442" t="s">
        <v>19</v>
      </c>
    </row>
    <row r="2443" spans="1:8">
      <c r="A2443" s="1">
        <f>HYPERLINK("https://cms.ls-nyc.org/matter/dynamic-profile/view/1893985","19-1893985")</f>
        <v>0</v>
      </c>
      <c r="B2443" t="s">
        <v>11</v>
      </c>
      <c r="C2443" t="s">
        <v>13</v>
      </c>
      <c r="D2443" t="s">
        <v>14</v>
      </c>
      <c r="G2443" t="s">
        <v>18</v>
      </c>
      <c r="H2443" t="s">
        <v>20</v>
      </c>
    </row>
    <row r="2444" spans="1:8">
      <c r="A2444" s="1">
        <f>HYPERLINK("https://cms.ls-nyc.org/matter/dynamic-profile/view/0830874","17-0830874")</f>
        <v>0</v>
      </c>
      <c r="B2444" t="s">
        <v>12</v>
      </c>
      <c r="C2444" t="s">
        <v>13</v>
      </c>
      <c r="D2444" t="s">
        <v>15</v>
      </c>
      <c r="E2444" t="s">
        <v>16</v>
      </c>
      <c r="H2444" t="s">
        <v>20</v>
      </c>
    </row>
    <row r="2445" spans="1:8">
      <c r="A2445" s="1">
        <f>HYPERLINK("https://cms.ls-nyc.org/matter/dynamic-profile/view/1863899","18-1863899")</f>
        <v>0</v>
      </c>
      <c r="B2445" t="s">
        <v>11</v>
      </c>
      <c r="D2445" t="s">
        <v>15</v>
      </c>
      <c r="E2445" t="s">
        <v>16</v>
      </c>
      <c r="H2445" t="s">
        <v>20</v>
      </c>
    </row>
    <row r="2446" spans="1:8">
      <c r="A2446" s="1">
        <f>HYPERLINK("https://cms.ls-nyc.org/matter/dynamic-profile/view/1892251","19-1892251")</f>
        <v>0</v>
      </c>
      <c r="B2446" t="s">
        <v>8</v>
      </c>
      <c r="H2446" t="s">
        <v>19</v>
      </c>
    </row>
    <row r="2447" spans="1:8">
      <c r="A2447" s="1">
        <f>HYPERLINK("https://cms.ls-nyc.org/matter/dynamic-profile/view/1899822","19-1899822")</f>
        <v>0</v>
      </c>
      <c r="B2447" t="s">
        <v>12</v>
      </c>
      <c r="H2447" t="s">
        <v>19</v>
      </c>
    </row>
    <row r="2448" spans="1:8">
      <c r="A2448" s="1">
        <f>HYPERLINK("https://cms.ls-nyc.org/matter/dynamic-profile/view/1860216","18-1860216")</f>
        <v>0</v>
      </c>
      <c r="B2448" t="s">
        <v>8</v>
      </c>
      <c r="D2448" t="s">
        <v>15</v>
      </c>
      <c r="E2448" t="s">
        <v>16</v>
      </c>
      <c r="H2448" t="s">
        <v>20</v>
      </c>
    </row>
    <row r="2449" spans="1:8">
      <c r="A2449" s="1">
        <f>HYPERLINK("https://cms.ls-nyc.org/matter/dynamic-profile/view/1860305","18-1860305")</f>
        <v>0</v>
      </c>
      <c r="B2449" t="s">
        <v>8</v>
      </c>
      <c r="D2449" t="s">
        <v>15</v>
      </c>
      <c r="E2449" t="s">
        <v>16</v>
      </c>
      <c r="H2449" t="s">
        <v>20</v>
      </c>
    </row>
    <row r="2450" spans="1:8">
      <c r="A2450" s="1">
        <f>HYPERLINK("https://cms.ls-nyc.org/matter/dynamic-profile/view/1838024","17-1838024")</f>
        <v>0</v>
      </c>
      <c r="B2450" t="s">
        <v>10</v>
      </c>
      <c r="D2450" t="s">
        <v>15</v>
      </c>
      <c r="E2450" t="s">
        <v>16</v>
      </c>
      <c r="H2450" t="s">
        <v>20</v>
      </c>
    </row>
    <row r="2451" spans="1:8">
      <c r="A2451" s="1">
        <f>HYPERLINK("https://cms.ls-nyc.org/matter/dynamic-profile/view/1895467","19-1895467")</f>
        <v>0</v>
      </c>
      <c r="B2451" t="s">
        <v>9</v>
      </c>
      <c r="H2451" t="s">
        <v>19</v>
      </c>
    </row>
    <row r="2452" spans="1:8">
      <c r="A2452" s="1">
        <f>HYPERLINK("https://cms.ls-nyc.org/matter/dynamic-profile/view/1895470","19-1895470")</f>
        <v>0</v>
      </c>
      <c r="B2452" t="s">
        <v>9</v>
      </c>
      <c r="H2452" t="s">
        <v>19</v>
      </c>
    </row>
    <row r="2453" spans="1:8">
      <c r="A2453" s="1">
        <f>HYPERLINK("https://cms.ls-nyc.org/matter/dynamic-profile/view/1848555","17-1848555")</f>
        <v>0</v>
      </c>
      <c r="B2453" t="s">
        <v>10</v>
      </c>
      <c r="D2453" t="s">
        <v>15</v>
      </c>
      <c r="E2453" t="s">
        <v>16</v>
      </c>
      <c r="H2453" t="s">
        <v>20</v>
      </c>
    </row>
    <row r="2454" spans="1:8">
      <c r="A2454" s="1">
        <f>HYPERLINK("https://cms.ls-nyc.org/matter/dynamic-profile/view/1863649","18-1863649")</f>
        <v>0</v>
      </c>
      <c r="B2454" t="s">
        <v>11</v>
      </c>
      <c r="D2454" t="s">
        <v>15</v>
      </c>
      <c r="H2454" t="s">
        <v>20</v>
      </c>
    </row>
    <row r="2455" spans="1:8">
      <c r="A2455" s="1">
        <f>HYPERLINK("https://cms.ls-nyc.org/matter/dynamic-profile/view/1883440","18-1883440")</f>
        <v>0</v>
      </c>
      <c r="B2455" t="s">
        <v>9</v>
      </c>
      <c r="C2455" t="s">
        <v>13</v>
      </c>
      <c r="D2455" t="s">
        <v>14</v>
      </c>
      <c r="E2455" t="s">
        <v>16</v>
      </c>
      <c r="F2455" t="s">
        <v>17</v>
      </c>
      <c r="G2455" t="s">
        <v>18</v>
      </c>
      <c r="H2455" t="s">
        <v>20</v>
      </c>
    </row>
    <row r="2456" spans="1:8">
      <c r="A2456" s="1">
        <f>HYPERLINK("https://cms.ls-nyc.org/matter/dynamic-profile/view/1874579","18-1874579")</f>
        <v>0</v>
      </c>
      <c r="B2456" t="s">
        <v>12</v>
      </c>
      <c r="H2456" t="s">
        <v>19</v>
      </c>
    </row>
    <row r="2457" spans="1:8">
      <c r="A2457" s="1">
        <f>HYPERLINK("https://cms.ls-nyc.org/matter/dynamic-profile/view/1889136","19-1889136")</f>
        <v>0</v>
      </c>
      <c r="B2457" t="s">
        <v>12</v>
      </c>
      <c r="H2457" t="s">
        <v>19</v>
      </c>
    </row>
    <row r="2458" spans="1:8">
      <c r="A2458" s="1">
        <f>HYPERLINK("https://cms.ls-nyc.org/matter/dynamic-profile/view/1882857","18-1882857")</f>
        <v>0</v>
      </c>
      <c r="B2458" t="s">
        <v>10</v>
      </c>
      <c r="D2458" t="s">
        <v>14</v>
      </c>
      <c r="F2458" t="s">
        <v>17</v>
      </c>
      <c r="H2458" t="s">
        <v>20</v>
      </c>
    </row>
    <row r="2459" spans="1:8">
      <c r="A2459" s="1">
        <f>HYPERLINK("https://cms.ls-nyc.org/matter/dynamic-profile/view/0802576","16-0802576")</f>
        <v>0</v>
      </c>
      <c r="B2459" t="s">
        <v>10</v>
      </c>
      <c r="D2459" t="s">
        <v>15</v>
      </c>
      <c r="E2459" t="s">
        <v>16</v>
      </c>
      <c r="H2459" t="s">
        <v>20</v>
      </c>
    </row>
    <row r="2460" spans="1:8">
      <c r="A2460" s="1">
        <f>HYPERLINK("https://cms.ls-nyc.org/matter/dynamic-profile/view/0812516","16-0812516")</f>
        <v>0</v>
      </c>
      <c r="B2460" t="s">
        <v>10</v>
      </c>
      <c r="D2460" t="s">
        <v>15</v>
      </c>
      <c r="E2460" t="s">
        <v>16</v>
      </c>
      <c r="H2460" t="s">
        <v>20</v>
      </c>
    </row>
    <row r="2461" spans="1:8">
      <c r="A2461" s="1">
        <f>HYPERLINK("https://cms.ls-nyc.org/matter/dynamic-profile/view/0821614","16-0821614")</f>
        <v>0</v>
      </c>
      <c r="B2461" t="s">
        <v>10</v>
      </c>
      <c r="D2461" t="s">
        <v>15</v>
      </c>
      <c r="E2461" t="s">
        <v>16</v>
      </c>
      <c r="H2461" t="s">
        <v>20</v>
      </c>
    </row>
    <row r="2462" spans="1:8">
      <c r="A2462" s="1">
        <f>HYPERLINK("https://cms.ls-nyc.org/matter/dynamic-profile/view/0821616","16-0821616")</f>
        <v>0</v>
      </c>
      <c r="B2462" t="s">
        <v>10</v>
      </c>
      <c r="D2462" t="s">
        <v>15</v>
      </c>
      <c r="E2462" t="s">
        <v>16</v>
      </c>
      <c r="H2462" t="s">
        <v>20</v>
      </c>
    </row>
    <row r="2463" spans="1:8">
      <c r="A2463" s="1">
        <f>HYPERLINK("https://cms.ls-nyc.org/matter/dynamic-profile/view/1888138","19-1888138")</f>
        <v>0</v>
      </c>
      <c r="B2463" t="s">
        <v>9</v>
      </c>
      <c r="H2463" t="s">
        <v>19</v>
      </c>
    </row>
    <row r="2464" spans="1:8">
      <c r="A2464" s="1">
        <f>HYPERLINK("https://cms.ls-nyc.org/matter/dynamic-profile/view/1877654","18-1877654")</f>
        <v>0</v>
      </c>
      <c r="B2464" t="s">
        <v>10</v>
      </c>
      <c r="H2464" t="s">
        <v>19</v>
      </c>
    </row>
    <row r="2465" spans="1:8">
      <c r="A2465" s="1">
        <f>HYPERLINK("https://cms.ls-nyc.org/matter/dynamic-profile/view/1863846","18-1863846")</f>
        <v>0</v>
      </c>
      <c r="B2465" t="s">
        <v>10</v>
      </c>
      <c r="D2465" t="s">
        <v>15</v>
      </c>
      <c r="E2465" t="s">
        <v>16</v>
      </c>
      <c r="H2465" t="s">
        <v>20</v>
      </c>
    </row>
    <row r="2466" spans="1:8">
      <c r="A2466" s="1">
        <f>HYPERLINK("https://cms.ls-nyc.org/matter/dynamic-profile/view/0800064","16-0800064")</f>
        <v>0</v>
      </c>
      <c r="B2466" t="s">
        <v>10</v>
      </c>
      <c r="D2466" t="s">
        <v>15</v>
      </c>
      <c r="E2466" t="s">
        <v>16</v>
      </c>
      <c r="H2466" t="s">
        <v>20</v>
      </c>
    </row>
    <row r="2467" spans="1:8">
      <c r="A2467" s="1">
        <f>HYPERLINK("https://cms.ls-nyc.org/matter/dynamic-profile/view/0816932","16-0816932")</f>
        <v>0</v>
      </c>
      <c r="B2467" t="s">
        <v>10</v>
      </c>
      <c r="D2467" t="s">
        <v>15</v>
      </c>
      <c r="E2467" t="s">
        <v>16</v>
      </c>
      <c r="H2467" t="s">
        <v>20</v>
      </c>
    </row>
    <row r="2468" spans="1:8">
      <c r="A2468" s="1">
        <f>HYPERLINK("https://cms.ls-nyc.org/matter/dynamic-profile/view/1898681","19-1898681")</f>
        <v>0</v>
      </c>
      <c r="B2468" t="s">
        <v>8</v>
      </c>
      <c r="H2468" t="s">
        <v>19</v>
      </c>
    </row>
    <row r="2469" spans="1:8">
      <c r="A2469" s="1">
        <f>HYPERLINK("https://cms.ls-nyc.org/matter/dynamic-profile/view/1876334","18-1876334")</f>
        <v>0</v>
      </c>
      <c r="B2469" t="s">
        <v>12</v>
      </c>
      <c r="H2469" t="s">
        <v>19</v>
      </c>
    </row>
    <row r="2470" spans="1:8">
      <c r="A2470" s="1">
        <f>HYPERLINK("https://cms.ls-nyc.org/matter/dynamic-profile/view/1898119","19-1898119")</f>
        <v>0</v>
      </c>
      <c r="B2470" t="s">
        <v>10</v>
      </c>
      <c r="D2470" t="s">
        <v>14</v>
      </c>
      <c r="H2470" t="s">
        <v>20</v>
      </c>
    </row>
    <row r="2471" spans="1:8">
      <c r="A2471" s="1">
        <f>HYPERLINK("https://cms.ls-nyc.org/matter/dynamic-profile/view/1892712","19-1892712")</f>
        <v>0</v>
      </c>
      <c r="B2471" t="s">
        <v>10</v>
      </c>
      <c r="D2471" t="s">
        <v>14</v>
      </c>
      <c r="H2471" t="s">
        <v>20</v>
      </c>
    </row>
    <row r="2472" spans="1:8">
      <c r="A2472" s="1">
        <f>HYPERLINK("https://cms.ls-nyc.org/matter/dynamic-profile/view/1864472","18-1864472")</f>
        <v>0</v>
      </c>
      <c r="B2472" t="s">
        <v>12</v>
      </c>
      <c r="D2472" t="s">
        <v>15</v>
      </c>
      <c r="H2472" t="s">
        <v>20</v>
      </c>
    </row>
    <row r="2473" spans="1:8">
      <c r="A2473" s="1">
        <f>HYPERLINK("https://cms.ls-nyc.org/matter/dynamic-profile/view/1887095","19-1887095")</f>
        <v>0</v>
      </c>
      <c r="B2473" t="s">
        <v>9</v>
      </c>
      <c r="H2473" t="s">
        <v>19</v>
      </c>
    </row>
    <row r="2474" spans="1:8">
      <c r="A2474" s="1">
        <f>HYPERLINK("https://cms.ls-nyc.org/matter/dynamic-profile/view/0813174","16-0813174")</f>
        <v>0</v>
      </c>
      <c r="B2474" t="s">
        <v>9</v>
      </c>
      <c r="D2474" t="s">
        <v>15</v>
      </c>
      <c r="E2474" t="s">
        <v>16</v>
      </c>
      <c r="H2474" t="s">
        <v>20</v>
      </c>
    </row>
    <row r="2475" spans="1:8">
      <c r="A2475" s="1">
        <f>HYPERLINK("https://cms.ls-nyc.org/matter/dynamic-profile/view/0796328","16-0796328")</f>
        <v>0</v>
      </c>
      <c r="B2475" t="s">
        <v>10</v>
      </c>
      <c r="D2475" t="s">
        <v>15</v>
      </c>
      <c r="E2475" t="s">
        <v>16</v>
      </c>
      <c r="H2475" t="s">
        <v>20</v>
      </c>
    </row>
    <row r="2476" spans="1:8">
      <c r="A2476" s="1">
        <f>HYPERLINK("https://cms.ls-nyc.org/matter/dynamic-profile/view/1884245","18-1884245")</f>
        <v>0</v>
      </c>
      <c r="B2476" t="s">
        <v>11</v>
      </c>
      <c r="C2476" t="s">
        <v>13</v>
      </c>
      <c r="D2476" t="s">
        <v>14</v>
      </c>
      <c r="G2476" t="s">
        <v>18</v>
      </c>
      <c r="H2476" t="s">
        <v>20</v>
      </c>
    </row>
    <row r="2477" spans="1:8">
      <c r="A2477" s="1">
        <f>HYPERLINK("https://cms.ls-nyc.org/matter/dynamic-profile/view/1889309","19-1889309")</f>
        <v>0</v>
      </c>
      <c r="B2477" t="s">
        <v>8</v>
      </c>
      <c r="H2477" t="s">
        <v>19</v>
      </c>
    </row>
    <row r="2478" spans="1:8">
      <c r="A2478" s="1">
        <f>HYPERLINK("https://cms.ls-nyc.org/matter/dynamic-profile/view/1894904","19-1894904")</f>
        <v>0</v>
      </c>
      <c r="B2478" t="s">
        <v>10</v>
      </c>
      <c r="H2478" t="s">
        <v>19</v>
      </c>
    </row>
    <row r="2479" spans="1:8">
      <c r="A2479" s="1">
        <f>HYPERLINK("https://cms.ls-nyc.org/matter/dynamic-profile/view/1897239","19-1897239")</f>
        <v>0</v>
      </c>
      <c r="B2479" t="s">
        <v>12</v>
      </c>
      <c r="H2479" t="s">
        <v>19</v>
      </c>
    </row>
    <row r="2480" spans="1:8">
      <c r="A2480" s="1">
        <f>HYPERLINK("https://cms.ls-nyc.org/matter/dynamic-profile/view/1860471","18-1860471")</f>
        <v>0</v>
      </c>
      <c r="B2480" t="s">
        <v>8</v>
      </c>
      <c r="D2480" t="s">
        <v>15</v>
      </c>
      <c r="H2480" t="s">
        <v>20</v>
      </c>
    </row>
    <row r="2481" spans="1:8">
      <c r="A2481" s="1">
        <f>HYPERLINK("https://cms.ls-nyc.org/matter/dynamic-profile/view/1844569","17-1844569")</f>
        <v>0</v>
      </c>
      <c r="B2481" t="s">
        <v>9</v>
      </c>
      <c r="D2481" t="s">
        <v>15</v>
      </c>
      <c r="E2481" t="s">
        <v>16</v>
      </c>
      <c r="F2481" t="s">
        <v>17</v>
      </c>
      <c r="H2481" t="s">
        <v>20</v>
      </c>
    </row>
    <row r="2482" spans="1:8">
      <c r="A2482" s="1">
        <f>HYPERLINK("https://cms.ls-nyc.org/matter/dynamic-profile/view/1840732","17-1840732")</f>
        <v>0</v>
      </c>
      <c r="B2482" t="s">
        <v>10</v>
      </c>
      <c r="D2482" t="s">
        <v>15</v>
      </c>
      <c r="E2482" t="s">
        <v>16</v>
      </c>
      <c r="H2482" t="s">
        <v>20</v>
      </c>
    </row>
    <row r="2483" spans="1:8">
      <c r="A2483" s="1">
        <f>HYPERLINK("https://cms.ls-nyc.org/matter/dynamic-profile/view/1857284","18-1857284")</f>
        <v>0</v>
      </c>
      <c r="B2483" t="s">
        <v>10</v>
      </c>
      <c r="D2483" t="s">
        <v>15</v>
      </c>
      <c r="E2483" t="s">
        <v>16</v>
      </c>
      <c r="H2483" t="s">
        <v>20</v>
      </c>
    </row>
    <row r="2484" spans="1:8">
      <c r="A2484" s="1">
        <f>HYPERLINK("https://cms.ls-nyc.org/matter/dynamic-profile/view/1847647","17-1847647")</f>
        <v>0</v>
      </c>
      <c r="B2484" t="s">
        <v>12</v>
      </c>
      <c r="D2484" t="s">
        <v>15</v>
      </c>
      <c r="E2484" t="s">
        <v>16</v>
      </c>
      <c r="F2484" t="s">
        <v>17</v>
      </c>
      <c r="H2484" t="s">
        <v>20</v>
      </c>
    </row>
    <row r="2485" spans="1:8">
      <c r="A2485" s="1">
        <f>HYPERLINK("https://cms.ls-nyc.org/matter/dynamic-profile/view/0788392","15-0788392")</f>
        <v>0</v>
      </c>
      <c r="B2485" t="s">
        <v>8</v>
      </c>
      <c r="D2485" t="s">
        <v>15</v>
      </c>
      <c r="E2485" t="s">
        <v>16</v>
      </c>
      <c r="H2485" t="s">
        <v>20</v>
      </c>
    </row>
    <row r="2486" spans="1:8">
      <c r="A2486" s="1">
        <f>HYPERLINK("https://cms.ls-nyc.org/matter/dynamic-profile/view/1894291","19-1894291")</f>
        <v>0</v>
      </c>
      <c r="B2486" t="s">
        <v>10</v>
      </c>
      <c r="H2486" t="s">
        <v>19</v>
      </c>
    </row>
    <row r="2487" spans="1:8">
      <c r="A2487" s="1">
        <f>HYPERLINK("https://cms.ls-nyc.org/matter/dynamic-profile/view/1886780","19-1886780")</f>
        <v>0</v>
      </c>
      <c r="B2487" t="s">
        <v>9</v>
      </c>
      <c r="H2487" t="s">
        <v>19</v>
      </c>
    </row>
    <row r="2488" spans="1:8">
      <c r="A2488" s="1">
        <f>HYPERLINK("https://cms.ls-nyc.org/matter/dynamic-profile/view/1886501","18-1886501")</f>
        <v>0</v>
      </c>
      <c r="B2488" t="s">
        <v>9</v>
      </c>
      <c r="H2488" t="s">
        <v>19</v>
      </c>
    </row>
    <row r="2489" spans="1:8">
      <c r="A2489" s="1">
        <f>HYPERLINK("https://cms.ls-nyc.org/matter/dynamic-profile/view/1899120","19-1899120")</f>
        <v>0</v>
      </c>
      <c r="B2489" t="s">
        <v>10</v>
      </c>
      <c r="H2489" t="s">
        <v>19</v>
      </c>
    </row>
    <row r="2490" spans="1:8">
      <c r="A2490" s="1">
        <f>HYPERLINK("https://cms.ls-nyc.org/matter/dynamic-profile/view/1887998","19-1887998")</f>
        <v>0</v>
      </c>
      <c r="B2490" t="s">
        <v>12</v>
      </c>
      <c r="H2490" t="s">
        <v>19</v>
      </c>
    </row>
    <row r="2491" spans="1:8">
      <c r="A2491" s="1">
        <f>HYPERLINK("https://cms.ls-nyc.org/matter/dynamic-profile/view/1884699","18-1884699")</f>
        <v>0</v>
      </c>
      <c r="B2491" t="s">
        <v>10</v>
      </c>
      <c r="H2491" t="s">
        <v>19</v>
      </c>
    </row>
    <row r="2492" spans="1:8">
      <c r="A2492" s="1">
        <f>HYPERLINK("https://cms.ls-nyc.org/matter/dynamic-profile/view/0802610","16-0802610")</f>
        <v>0</v>
      </c>
      <c r="B2492" t="s">
        <v>10</v>
      </c>
      <c r="D2492" t="s">
        <v>15</v>
      </c>
      <c r="E2492" t="s">
        <v>16</v>
      </c>
      <c r="H2492" t="s">
        <v>20</v>
      </c>
    </row>
    <row r="2493" spans="1:8">
      <c r="A2493" s="1">
        <f>HYPERLINK("https://cms.ls-nyc.org/matter/dynamic-profile/view/1859588","18-1859588")</f>
        <v>0</v>
      </c>
      <c r="B2493" t="s">
        <v>8</v>
      </c>
      <c r="D2493" t="s">
        <v>15</v>
      </c>
      <c r="E2493" t="s">
        <v>16</v>
      </c>
      <c r="H2493" t="s">
        <v>20</v>
      </c>
    </row>
    <row r="2494" spans="1:8">
      <c r="A2494" s="1">
        <f>HYPERLINK("https://cms.ls-nyc.org/matter/dynamic-profile/view/1837674","17-1837674")</f>
        <v>0</v>
      </c>
      <c r="B2494" t="s">
        <v>12</v>
      </c>
      <c r="D2494" t="s">
        <v>15</v>
      </c>
      <c r="E2494" t="s">
        <v>16</v>
      </c>
      <c r="H2494" t="s">
        <v>20</v>
      </c>
    </row>
    <row r="2495" spans="1:8">
      <c r="A2495" s="1">
        <f>HYPERLINK("https://cms.ls-nyc.org/matter/dynamic-profile/view/1870297","18-1870297")</f>
        <v>0</v>
      </c>
      <c r="B2495" t="s">
        <v>10</v>
      </c>
      <c r="D2495" t="s">
        <v>15</v>
      </c>
      <c r="H2495" t="s">
        <v>20</v>
      </c>
    </row>
    <row r="2496" spans="1:8">
      <c r="A2496" s="1">
        <f>HYPERLINK("https://cms.ls-nyc.org/matter/dynamic-profile/view/1861226","18-1861226")</f>
        <v>0</v>
      </c>
      <c r="B2496" t="s">
        <v>12</v>
      </c>
      <c r="D2496" t="s">
        <v>15</v>
      </c>
      <c r="E2496" t="s">
        <v>16</v>
      </c>
      <c r="H2496" t="s">
        <v>20</v>
      </c>
    </row>
    <row r="2497" spans="1:8">
      <c r="A2497" s="1">
        <f>HYPERLINK("https://cms.ls-nyc.org/matter/dynamic-profile/view/1867877","18-1867877")</f>
        <v>0</v>
      </c>
      <c r="B2497" t="s">
        <v>12</v>
      </c>
      <c r="D2497" t="s">
        <v>15</v>
      </c>
      <c r="H2497" t="s">
        <v>20</v>
      </c>
    </row>
    <row r="2498" spans="1:8">
      <c r="A2498" s="1">
        <f>HYPERLINK("https://cms.ls-nyc.org/matter/dynamic-profile/view/1891411","19-1891411")</f>
        <v>0</v>
      </c>
      <c r="B2498" t="s">
        <v>9</v>
      </c>
      <c r="C2498" t="s">
        <v>13</v>
      </c>
      <c r="D2498" t="s">
        <v>14</v>
      </c>
      <c r="E2498" t="s">
        <v>16</v>
      </c>
      <c r="G2498" t="s">
        <v>18</v>
      </c>
      <c r="H2498" t="s">
        <v>20</v>
      </c>
    </row>
    <row r="2499" spans="1:8">
      <c r="A2499" s="1">
        <f>HYPERLINK("https://cms.ls-nyc.org/matter/dynamic-profile/view/1889313","19-1889313")</f>
        <v>0</v>
      </c>
      <c r="B2499" t="s">
        <v>12</v>
      </c>
      <c r="H2499" t="s">
        <v>19</v>
      </c>
    </row>
    <row r="2500" spans="1:8">
      <c r="A2500" s="1">
        <f>HYPERLINK("https://cms.ls-nyc.org/matter/dynamic-profile/view/1882840","18-1882840")</f>
        <v>0</v>
      </c>
      <c r="B2500" t="s">
        <v>10</v>
      </c>
      <c r="D2500" t="s">
        <v>14</v>
      </c>
      <c r="F2500" t="s">
        <v>17</v>
      </c>
      <c r="H2500" t="s">
        <v>20</v>
      </c>
    </row>
    <row r="2501" spans="1:8">
      <c r="A2501" s="1">
        <f>HYPERLINK("https://cms.ls-nyc.org/matter/dynamic-profile/view/0802735","16-0802735")</f>
        <v>0</v>
      </c>
      <c r="B2501" t="s">
        <v>10</v>
      </c>
      <c r="D2501" t="s">
        <v>15</v>
      </c>
      <c r="E2501" t="s">
        <v>16</v>
      </c>
      <c r="H2501" t="s">
        <v>20</v>
      </c>
    </row>
    <row r="2502" spans="1:8">
      <c r="A2502" s="1">
        <f>HYPERLINK("https://cms.ls-nyc.org/matter/dynamic-profile/view/1898098","19-1898098")</f>
        <v>0</v>
      </c>
      <c r="B2502" t="s">
        <v>11</v>
      </c>
      <c r="D2502" t="s">
        <v>14</v>
      </c>
      <c r="H2502" t="s">
        <v>20</v>
      </c>
    </row>
    <row r="2503" spans="1:8">
      <c r="A2503" s="1">
        <f>HYPERLINK("https://cms.ls-nyc.org/matter/dynamic-profile/view/1900574","19-1900574")</f>
        <v>0</v>
      </c>
      <c r="B2503" t="s">
        <v>12</v>
      </c>
      <c r="H2503" t="s">
        <v>19</v>
      </c>
    </row>
    <row r="2504" spans="1:8">
      <c r="A2504" s="1">
        <f>HYPERLINK("https://cms.ls-nyc.org/matter/dynamic-profile/view/1845745","17-1845745")</f>
        <v>0</v>
      </c>
      <c r="B2504" t="s">
        <v>12</v>
      </c>
      <c r="D2504" t="s">
        <v>15</v>
      </c>
      <c r="E2504" t="s">
        <v>16</v>
      </c>
      <c r="H2504" t="s">
        <v>20</v>
      </c>
    </row>
    <row r="2505" spans="1:8">
      <c r="A2505" s="1">
        <f>HYPERLINK("https://cms.ls-nyc.org/matter/dynamic-profile/view/1889603","19-1889603")</f>
        <v>0</v>
      </c>
      <c r="B2505" t="s">
        <v>12</v>
      </c>
      <c r="H2505" t="s">
        <v>19</v>
      </c>
    </row>
    <row r="2506" spans="1:8">
      <c r="A2506" s="1">
        <f>HYPERLINK("https://cms.ls-nyc.org/matter/dynamic-profile/view/1860318","18-1860318")</f>
        <v>0</v>
      </c>
      <c r="B2506" t="s">
        <v>9</v>
      </c>
      <c r="H2506" t="s">
        <v>19</v>
      </c>
    </row>
    <row r="2507" spans="1:8">
      <c r="A2507" s="1">
        <f>HYPERLINK("https://cms.ls-nyc.org/matter/dynamic-profile/view/1871413","18-1871413")</f>
        <v>0</v>
      </c>
      <c r="B2507" t="s">
        <v>10</v>
      </c>
      <c r="H2507" t="s">
        <v>19</v>
      </c>
    </row>
    <row r="2508" spans="1:8">
      <c r="A2508" s="1">
        <f>HYPERLINK("https://cms.ls-nyc.org/matter/dynamic-profile/view/1876811","18-1876811")</f>
        <v>0</v>
      </c>
      <c r="B2508" t="s">
        <v>10</v>
      </c>
      <c r="H2508" t="s">
        <v>19</v>
      </c>
    </row>
    <row r="2509" spans="1:8">
      <c r="A2509" s="1">
        <f>HYPERLINK("https://cms.ls-nyc.org/matter/dynamic-profile/view/1886108","18-1886108")</f>
        <v>0</v>
      </c>
      <c r="B2509" t="s">
        <v>10</v>
      </c>
      <c r="H2509" t="s">
        <v>19</v>
      </c>
    </row>
    <row r="2510" spans="1:8">
      <c r="A2510" s="1">
        <f>HYPERLINK("https://cms.ls-nyc.org/matter/dynamic-profile/view/1876810","18-1876810")</f>
        <v>0</v>
      </c>
      <c r="B2510" t="s">
        <v>10</v>
      </c>
      <c r="H2510" t="s">
        <v>19</v>
      </c>
    </row>
    <row r="2511" spans="1:8">
      <c r="A2511" s="1">
        <f>HYPERLINK("https://cms.ls-nyc.org/matter/dynamic-profile/view/1888402","19-1888402")</f>
        <v>0</v>
      </c>
      <c r="B2511" t="s">
        <v>10</v>
      </c>
      <c r="D2511" t="s">
        <v>14</v>
      </c>
      <c r="H2511" t="s">
        <v>20</v>
      </c>
    </row>
    <row r="2512" spans="1:8">
      <c r="A2512" s="1">
        <f>HYPERLINK("https://cms.ls-nyc.org/matter/dynamic-profile/view/1885973","18-1885973")</f>
        <v>0</v>
      </c>
      <c r="B2512" t="s">
        <v>11</v>
      </c>
      <c r="H2512" t="s">
        <v>19</v>
      </c>
    </row>
    <row r="2513" spans="1:8">
      <c r="A2513" s="1">
        <f>HYPERLINK("https://cms.ls-nyc.org/matter/dynamic-profile/view/1887304","19-1887304")</f>
        <v>0</v>
      </c>
      <c r="B2513" t="s">
        <v>12</v>
      </c>
      <c r="H2513" t="s">
        <v>19</v>
      </c>
    </row>
    <row r="2514" spans="1:8">
      <c r="A2514" s="1">
        <f>HYPERLINK("https://cms.ls-nyc.org/matter/dynamic-profile/view/0828910","17-0828910")</f>
        <v>0</v>
      </c>
      <c r="B2514" t="s">
        <v>11</v>
      </c>
      <c r="D2514" t="s">
        <v>15</v>
      </c>
      <c r="E2514" t="s">
        <v>16</v>
      </c>
      <c r="H2514" t="s">
        <v>20</v>
      </c>
    </row>
    <row r="2515" spans="1:8">
      <c r="A2515" s="1">
        <f>HYPERLINK("https://cms.ls-nyc.org/matter/dynamic-profile/view/0823544","16-0823544")</f>
        <v>0</v>
      </c>
      <c r="B2515" t="s">
        <v>10</v>
      </c>
      <c r="D2515" t="s">
        <v>15</v>
      </c>
      <c r="E2515" t="s">
        <v>16</v>
      </c>
      <c r="H2515" t="s">
        <v>20</v>
      </c>
    </row>
    <row r="2516" spans="1:8">
      <c r="A2516" s="1">
        <f>HYPERLINK("https://cms.ls-nyc.org/matter/dynamic-profile/view/1838822","17-1838822")</f>
        <v>0</v>
      </c>
      <c r="B2516" t="s">
        <v>10</v>
      </c>
      <c r="D2516" t="s">
        <v>15</v>
      </c>
      <c r="E2516" t="s">
        <v>16</v>
      </c>
      <c r="H2516" t="s">
        <v>20</v>
      </c>
    </row>
    <row r="2517" spans="1:8">
      <c r="A2517" s="1">
        <f>HYPERLINK("https://cms.ls-nyc.org/matter/dynamic-profile/view/1900865","19-1900865")</f>
        <v>0</v>
      </c>
      <c r="B2517" t="s">
        <v>9</v>
      </c>
      <c r="C2517" t="s">
        <v>13</v>
      </c>
      <c r="D2517" t="s">
        <v>14</v>
      </c>
      <c r="E2517" t="s">
        <v>16</v>
      </c>
      <c r="G2517" t="s">
        <v>18</v>
      </c>
      <c r="H2517" t="s">
        <v>20</v>
      </c>
    </row>
    <row r="2518" spans="1:8">
      <c r="A2518" s="1">
        <f>HYPERLINK("https://cms.ls-nyc.org/matter/dynamic-profile/view/1892953","19-1892953")</f>
        <v>0</v>
      </c>
      <c r="B2518" t="s">
        <v>10</v>
      </c>
      <c r="D2518" t="s">
        <v>14</v>
      </c>
      <c r="F2518" t="s">
        <v>17</v>
      </c>
      <c r="G2518" t="s">
        <v>18</v>
      </c>
      <c r="H2518" t="s">
        <v>20</v>
      </c>
    </row>
    <row r="2519" spans="1:8">
      <c r="A2519" s="1">
        <f>HYPERLINK("https://cms.ls-nyc.org/matter/dynamic-profile/view/1901676","19-1901676")</f>
        <v>0</v>
      </c>
      <c r="B2519" t="s">
        <v>10</v>
      </c>
      <c r="D2519" t="s">
        <v>14</v>
      </c>
      <c r="F2519" t="s">
        <v>17</v>
      </c>
      <c r="H2519" t="s">
        <v>20</v>
      </c>
    </row>
    <row r="2520" spans="1:8">
      <c r="A2520" s="1">
        <f>HYPERLINK("https://cms.ls-nyc.org/matter/dynamic-profile/view/1897803","19-1897803")</f>
        <v>0</v>
      </c>
      <c r="B2520" t="s">
        <v>12</v>
      </c>
      <c r="H2520" t="s">
        <v>19</v>
      </c>
    </row>
    <row r="2521" spans="1:8">
      <c r="A2521" s="1">
        <f>HYPERLINK("https://cms.ls-nyc.org/matter/dynamic-profile/view/1858600","18-1858600")</f>
        <v>0</v>
      </c>
      <c r="B2521" t="s">
        <v>8</v>
      </c>
      <c r="D2521" t="s">
        <v>15</v>
      </c>
      <c r="E2521" t="s">
        <v>16</v>
      </c>
      <c r="H2521" t="s">
        <v>20</v>
      </c>
    </row>
    <row r="2522" spans="1:8">
      <c r="A2522" s="1">
        <f>HYPERLINK("https://cms.ls-nyc.org/matter/dynamic-profile/view/1896760","19-1896760")</f>
        <v>0</v>
      </c>
      <c r="B2522" t="s">
        <v>9</v>
      </c>
      <c r="E2522" t="s">
        <v>16</v>
      </c>
      <c r="H2522" t="s">
        <v>20</v>
      </c>
    </row>
    <row r="2523" spans="1:8">
      <c r="A2523" s="1">
        <f>HYPERLINK("https://cms.ls-nyc.org/matter/dynamic-profile/view/1896769","19-1896769")</f>
        <v>0</v>
      </c>
      <c r="B2523" t="s">
        <v>9</v>
      </c>
      <c r="D2523" t="s">
        <v>14</v>
      </c>
      <c r="E2523" t="s">
        <v>16</v>
      </c>
      <c r="H2523" t="s">
        <v>20</v>
      </c>
    </row>
    <row r="2524" spans="1:8">
      <c r="A2524" s="1">
        <f>HYPERLINK("https://cms.ls-nyc.org/matter/dynamic-profile/view/1896764","19-1896764")</f>
        <v>0</v>
      </c>
      <c r="B2524" t="s">
        <v>9</v>
      </c>
      <c r="E2524" t="s">
        <v>16</v>
      </c>
      <c r="H2524" t="s">
        <v>20</v>
      </c>
    </row>
    <row r="2525" spans="1:8">
      <c r="A2525" s="1">
        <f>HYPERLINK("https://cms.ls-nyc.org/matter/dynamic-profile/view/1896750","19-1896750")</f>
        <v>0</v>
      </c>
      <c r="B2525" t="s">
        <v>9</v>
      </c>
      <c r="E2525" t="s">
        <v>16</v>
      </c>
      <c r="H2525" t="s">
        <v>20</v>
      </c>
    </row>
    <row r="2526" spans="1:8">
      <c r="A2526" s="1">
        <f>HYPERLINK("https://cms.ls-nyc.org/matter/dynamic-profile/view/1896757","19-1896757")</f>
        <v>0</v>
      </c>
      <c r="B2526" t="s">
        <v>9</v>
      </c>
      <c r="E2526" t="s">
        <v>16</v>
      </c>
      <c r="H2526" t="s">
        <v>20</v>
      </c>
    </row>
    <row r="2527" spans="1:8">
      <c r="A2527" s="1">
        <f>HYPERLINK("https://cms.ls-nyc.org/matter/dynamic-profile/view/1895557","19-1895557")</f>
        <v>0</v>
      </c>
      <c r="B2527" t="s">
        <v>9</v>
      </c>
      <c r="H2527" t="s">
        <v>19</v>
      </c>
    </row>
    <row r="2528" spans="1:8">
      <c r="A2528" s="1">
        <f>HYPERLINK("https://cms.ls-nyc.org/matter/dynamic-profile/view/1867107","18-1867107")</f>
        <v>0</v>
      </c>
      <c r="B2528" t="s">
        <v>9</v>
      </c>
      <c r="D2528" t="s">
        <v>15</v>
      </c>
      <c r="E2528" t="s">
        <v>16</v>
      </c>
      <c r="H2528" t="s">
        <v>20</v>
      </c>
    </row>
    <row r="2529" spans="1:8">
      <c r="A2529" s="1">
        <f>HYPERLINK("https://cms.ls-nyc.org/matter/dynamic-profile/view/1895453","19-1895453")</f>
        <v>0</v>
      </c>
      <c r="B2529" t="s">
        <v>9</v>
      </c>
      <c r="D2529" t="s">
        <v>15</v>
      </c>
      <c r="G2529" t="s">
        <v>18</v>
      </c>
      <c r="H2529" t="s">
        <v>20</v>
      </c>
    </row>
    <row r="2530" spans="1:8">
      <c r="A2530" s="1">
        <f>HYPERLINK("https://cms.ls-nyc.org/matter/dynamic-profile/view/1864356","18-1864356")</f>
        <v>0</v>
      </c>
      <c r="B2530" t="s">
        <v>12</v>
      </c>
      <c r="D2530" t="s">
        <v>15</v>
      </c>
      <c r="H2530" t="s">
        <v>20</v>
      </c>
    </row>
    <row r="2531" spans="1:8">
      <c r="A2531" s="1">
        <f>HYPERLINK("https://cms.ls-nyc.org/matter/dynamic-profile/view/0817648","16-0817648")</f>
        <v>0</v>
      </c>
      <c r="B2531" t="s">
        <v>9</v>
      </c>
      <c r="D2531" t="s">
        <v>15</v>
      </c>
      <c r="F2531" t="s">
        <v>17</v>
      </c>
      <c r="H2531" t="s">
        <v>20</v>
      </c>
    </row>
    <row r="2532" spans="1:8">
      <c r="A2532" s="1">
        <f>HYPERLINK("https://cms.ls-nyc.org/matter/dynamic-profile/view/1835693","17-1835693")</f>
        <v>0</v>
      </c>
      <c r="B2532" t="s">
        <v>12</v>
      </c>
      <c r="D2532" t="s">
        <v>15</v>
      </c>
      <c r="E2532" t="s">
        <v>16</v>
      </c>
      <c r="H2532" t="s">
        <v>20</v>
      </c>
    </row>
    <row r="2533" spans="1:8">
      <c r="A2533" s="1">
        <f>HYPERLINK("https://cms.ls-nyc.org/matter/dynamic-profile/view/0796336","16-0796336")</f>
        <v>0</v>
      </c>
      <c r="B2533" t="s">
        <v>9</v>
      </c>
      <c r="D2533" t="s">
        <v>15</v>
      </c>
      <c r="H2533" t="s">
        <v>20</v>
      </c>
    </row>
    <row r="2534" spans="1:8">
      <c r="A2534" s="1">
        <f>HYPERLINK("https://cms.ls-nyc.org/matter/dynamic-profile/view/0796753","16-0796753")</f>
        <v>0</v>
      </c>
      <c r="B2534" t="s">
        <v>10</v>
      </c>
      <c r="D2534" t="s">
        <v>15</v>
      </c>
      <c r="E2534" t="s">
        <v>16</v>
      </c>
      <c r="H2534" t="s">
        <v>20</v>
      </c>
    </row>
    <row r="2535" spans="1:8">
      <c r="A2535" s="1">
        <f>HYPERLINK("https://cms.ls-nyc.org/matter/dynamic-profile/view/1863839","18-1863839")</f>
        <v>0</v>
      </c>
      <c r="B2535" t="s">
        <v>12</v>
      </c>
      <c r="D2535" t="s">
        <v>15</v>
      </c>
      <c r="H2535" t="s">
        <v>20</v>
      </c>
    </row>
    <row r="2536" spans="1:8">
      <c r="A2536" s="1">
        <f>HYPERLINK("https://cms.ls-nyc.org/matter/dynamic-profile/view/0821996","16-0821996")</f>
        <v>0</v>
      </c>
      <c r="B2536" t="s">
        <v>12</v>
      </c>
      <c r="D2536" t="s">
        <v>15</v>
      </c>
      <c r="E2536" t="s">
        <v>16</v>
      </c>
      <c r="H2536" t="s">
        <v>20</v>
      </c>
    </row>
    <row r="2537" spans="1:8">
      <c r="A2537" s="1">
        <f>HYPERLINK("https://cms.ls-nyc.org/matter/dynamic-profile/view/1873916","18-1873916")</f>
        <v>0</v>
      </c>
      <c r="B2537" t="s">
        <v>9</v>
      </c>
      <c r="C2537" t="s">
        <v>13</v>
      </c>
      <c r="D2537" t="s">
        <v>14</v>
      </c>
      <c r="E2537" t="s">
        <v>16</v>
      </c>
      <c r="F2537" t="s">
        <v>17</v>
      </c>
      <c r="G2537" t="s">
        <v>18</v>
      </c>
      <c r="H2537" t="s">
        <v>20</v>
      </c>
    </row>
    <row r="2538" spans="1:8">
      <c r="A2538" s="1">
        <f>HYPERLINK("https://cms.ls-nyc.org/matter/dynamic-profile/view/1885393","18-1885393")</f>
        <v>0</v>
      </c>
      <c r="B2538" t="s">
        <v>9</v>
      </c>
      <c r="H2538" t="s">
        <v>19</v>
      </c>
    </row>
    <row r="2539" spans="1:8">
      <c r="A2539" s="1">
        <f>HYPERLINK("https://cms.ls-nyc.org/matter/dynamic-profile/view/1885656","18-1885656")</f>
        <v>0</v>
      </c>
      <c r="B2539" t="s">
        <v>10</v>
      </c>
      <c r="H2539" t="s">
        <v>19</v>
      </c>
    </row>
    <row r="2540" spans="1:8">
      <c r="A2540" s="1">
        <f>HYPERLINK("https://cms.ls-nyc.org/matter/dynamic-profile/view/1883104","18-1883104")</f>
        <v>0</v>
      </c>
      <c r="B2540" t="s">
        <v>10</v>
      </c>
      <c r="H2540" t="s">
        <v>19</v>
      </c>
    </row>
    <row r="2541" spans="1:8">
      <c r="A2541" s="1">
        <f>HYPERLINK("https://cms.ls-nyc.org/matter/dynamic-profile/view/1854958","18-1854958")</f>
        <v>0</v>
      </c>
      <c r="B2541" t="s">
        <v>12</v>
      </c>
      <c r="D2541" t="s">
        <v>15</v>
      </c>
      <c r="E2541" t="s">
        <v>16</v>
      </c>
      <c r="H2541" t="s">
        <v>20</v>
      </c>
    </row>
    <row r="2542" spans="1:8">
      <c r="A2542" s="1">
        <f>HYPERLINK("https://cms.ls-nyc.org/matter/dynamic-profile/view/1867283","18-1867283")</f>
        <v>0</v>
      </c>
      <c r="B2542" t="s">
        <v>9</v>
      </c>
      <c r="D2542" t="s">
        <v>15</v>
      </c>
      <c r="H2542" t="s">
        <v>20</v>
      </c>
    </row>
    <row r="2543" spans="1:8">
      <c r="A2543" s="1">
        <f>HYPERLINK("https://cms.ls-nyc.org/matter/dynamic-profile/view/1860615","18-1860615")</f>
        <v>0</v>
      </c>
      <c r="B2543" t="s">
        <v>10</v>
      </c>
      <c r="D2543" t="s">
        <v>15</v>
      </c>
      <c r="E2543" t="s">
        <v>16</v>
      </c>
      <c r="H2543" t="s">
        <v>20</v>
      </c>
    </row>
    <row r="2544" spans="1:8">
      <c r="A2544" s="1">
        <f>HYPERLINK("https://cms.ls-nyc.org/matter/dynamic-profile/view/1868634","18-1868634")</f>
        <v>0</v>
      </c>
      <c r="B2544" t="s">
        <v>10</v>
      </c>
      <c r="D2544" t="s">
        <v>15</v>
      </c>
      <c r="H2544" t="s">
        <v>20</v>
      </c>
    </row>
    <row r="2545" spans="1:8">
      <c r="A2545" s="1">
        <f>HYPERLINK("https://cms.ls-nyc.org/matter/dynamic-profile/view/1877225","18-1877225")</f>
        <v>0</v>
      </c>
      <c r="B2545" t="s">
        <v>10</v>
      </c>
      <c r="H2545" t="s">
        <v>19</v>
      </c>
    </row>
    <row r="2546" spans="1:8">
      <c r="A2546" s="1">
        <f>HYPERLINK("https://cms.ls-nyc.org/matter/dynamic-profile/view/1838091","17-1838091")</f>
        <v>0</v>
      </c>
      <c r="B2546" t="s">
        <v>8</v>
      </c>
      <c r="D2546" t="s">
        <v>15</v>
      </c>
      <c r="E2546" t="s">
        <v>16</v>
      </c>
      <c r="H2546" t="s">
        <v>20</v>
      </c>
    </row>
    <row r="2547" spans="1:8">
      <c r="A2547" s="1">
        <f>HYPERLINK("https://cms.ls-nyc.org/matter/dynamic-profile/view/1859777","18-1859777")</f>
        <v>0</v>
      </c>
      <c r="B2547" t="s">
        <v>9</v>
      </c>
      <c r="C2547" t="s">
        <v>13</v>
      </c>
      <c r="D2547" t="s">
        <v>15</v>
      </c>
      <c r="E2547" t="s">
        <v>16</v>
      </c>
      <c r="H2547" t="s">
        <v>20</v>
      </c>
    </row>
    <row r="2548" spans="1:8">
      <c r="A2548" s="1">
        <f>HYPERLINK("https://cms.ls-nyc.org/matter/dynamic-profile/view/1860309","18-1860309")</f>
        <v>0</v>
      </c>
      <c r="B2548" t="s">
        <v>9</v>
      </c>
      <c r="H2548" t="s">
        <v>19</v>
      </c>
    </row>
    <row r="2549" spans="1:8">
      <c r="A2549" s="1">
        <f>HYPERLINK("https://cms.ls-nyc.org/matter/dynamic-profile/view/1859703","18-1859703")</f>
        <v>0</v>
      </c>
      <c r="B2549" t="s">
        <v>10</v>
      </c>
      <c r="D2549" t="s">
        <v>15</v>
      </c>
      <c r="E2549" t="s">
        <v>16</v>
      </c>
      <c r="H2549" t="s">
        <v>20</v>
      </c>
    </row>
    <row r="2550" spans="1:8">
      <c r="A2550" s="1">
        <f>HYPERLINK("https://cms.ls-nyc.org/matter/dynamic-profile/view/1892749","19-1892749")</f>
        <v>0</v>
      </c>
      <c r="B2550" t="s">
        <v>12</v>
      </c>
      <c r="C2550" t="s">
        <v>13</v>
      </c>
      <c r="D2550" t="s">
        <v>14</v>
      </c>
      <c r="E2550" t="s">
        <v>16</v>
      </c>
      <c r="H2550" t="s">
        <v>20</v>
      </c>
    </row>
    <row r="2551" spans="1:8">
      <c r="A2551" s="1">
        <f>HYPERLINK("https://cms.ls-nyc.org/matter/dynamic-profile/view/1846266","17-1846266")</f>
        <v>0</v>
      </c>
      <c r="B2551" t="s">
        <v>8</v>
      </c>
      <c r="D2551" t="s">
        <v>15</v>
      </c>
      <c r="E2551" t="s">
        <v>16</v>
      </c>
      <c r="H2551" t="s">
        <v>20</v>
      </c>
    </row>
    <row r="2552" spans="1:8">
      <c r="A2552" s="1">
        <f>HYPERLINK("https://cms.ls-nyc.org/matter/dynamic-profile/view/1845604","17-1845604")</f>
        <v>0</v>
      </c>
      <c r="B2552" t="s">
        <v>9</v>
      </c>
      <c r="D2552" t="s">
        <v>15</v>
      </c>
      <c r="E2552" t="s">
        <v>16</v>
      </c>
      <c r="H2552" t="s">
        <v>20</v>
      </c>
    </row>
    <row r="2553" spans="1:8">
      <c r="A2553" s="1">
        <f>HYPERLINK("https://cms.ls-nyc.org/matter/dynamic-profile/view/1883424","18-1883424")</f>
        <v>0</v>
      </c>
      <c r="B2553" t="s">
        <v>10</v>
      </c>
      <c r="H2553" t="s">
        <v>19</v>
      </c>
    </row>
    <row r="2554" spans="1:8">
      <c r="A2554" s="1">
        <f>HYPERLINK("https://cms.ls-nyc.org/matter/dynamic-profile/view/0803193","16-0803193")</f>
        <v>0</v>
      </c>
      <c r="B2554" t="s">
        <v>10</v>
      </c>
      <c r="D2554" t="s">
        <v>15</v>
      </c>
      <c r="E2554" t="s">
        <v>16</v>
      </c>
      <c r="H2554" t="s">
        <v>20</v>
      </c>
    </row>
    <row r="2555" spans="1:8">
      <c r="A2555" s="1">
        <f>HYPERLINK("https://cms.ls-nyc.org/matter/dynamic-profile/view/1868856","18-1868856")</f>
        <v>0</v>
      </c>
      <c r="B2555" t="s">
        <v>10</v>
      </c>
      <c r="D2555" t="s">
        <v>15</v>
      </c>
      <c r="E2555" t="s">
        <v>16</v>
      </c>
      <c r="H2555" t="s">
        <v>20</v>
      </c>
    </row>
    <row r="2556" spans="1:8">
      <c r="A2556" s="1">
        <f>HYPERLINK("https://cms.ls-nyc.org/matter/dynamic-profile/view/1898707","19-1898707")</f>
        <v>0</v>
      </c>
      <c r="B2556" t="s">
        <v>12</v>
      </c>
      <c r="H2556" t="s">
        <v>19</v>
      </c>
    </row>
    <row r="2557" spans="1:8">
      <c r="A2557" s="1">
        <f>HYPERLINK("https://cms.ls-nyc.org/matter/dynamic-profile/view/1889861","19-1889861")</f>
        <v>0</v>
      </c>
      <c r="B2557" t="s">
        <v>12</v>
      </c>
      <c r="H2557" t="s">
        <v>19</v>
      </c>
    </row>
    <row r="2558" spans="1:8">
      <c r="A2558" s="1">
        <f>HYPERLINK("https://cms.ls-nyc.org/matter/dynamic-profile/view/1889917","19-1889917")</f>
        <v>0</v>
      </c>
      <c r="B2558" t="s">
        <v>12</v>
      </c>
      <c r="H2558" t="s">
        <v>19</v>
      </c>
    </row>
    <row r="2559" spans="1:8">
      <c r="A2559" s="1">
        <f>HYPERLINK("https://cms.ls-nyc.org/matter/dynamic-profile/view/1861195","18-1861195")</f>
        <v>0</v>
      </c>
      <c r="B2559" t="s">
        <v>9</v>
      </c>
      <c r="D2559" t="s">
        <v>15</v>
      </c>
      <c r="E2559" t="s">
        <v>16</v>
      </c>
      <c r="H2559" t="s">
        <v>20</v>
      </c>
    </row>
    <row r="2560" spans="1:8">
      <c r="A2560" s="1">
        <f>HYPERLINK("https://cms.ls-nyc.org/matter/dynamic-profile/view/1874458","18-1874458")</f>
        <v>0</v>
      </c>
      <c r="B2560" t="s">
        <v>9</v>
      </c>
      <c r="C2560" t="s">
        <v>13</v>
      </c>
      <c r="D2560" t="s">
        <v>14</v>
      </c>
      <c r="E2560" t="s">
        <v>16</v>
      </c>
      <c r="H2560" t="s">
        <v>20</v>
      </c>
    </row>
    <row r="2561" spans="1:8">
      <c r="A2561" s="1">
        <f>HYPERLINK("https://cms.ls-nyc.org/matter/dynamic-profile/view/1862649","18-1862649")</f>
        <v>0</v>
      </c>
      <c r="B2561" t="s">
        <v>9</v>
      </c>
      <c r="D2561" t="s">
        <v>15</v>
      </c>
      <c r="E2561" t="s">
        <v>16</v>
      </c>
      <c r="H2561" t="s">
        <v>20</v>
      </c>
    </row>
    <row r="2562" spans="1:8">
      <c r="A2562" s="1">
        <f>HYPERLINK("https://cms.ls-nyc.org/matter/dynamic-profile/view/1868591","18-1868591")</f>
        <v>0</v>
      </c>
      <c r="B2562" t="s">
        <v>9</v>
      </c>
      <c r="D2562" t="s">
        <v>15</v>
      </c>
      <c r="E2562" t="s">
        <v>16</v>
      </c>
      <c r="H2562" t="s">
        <v>20</v>
      </c>
    </row>
    <row r="2563" spans="1:8">
      <c r="A2563" s="1">
        <f>HYPERLINK("https://cms.ls-nyc.org/matter/dynamic-profile/view/1881179","18-1881179")</f>
        <v>0</v>
      </c>
      <c r="B2563" t="s">
        <v>9</v>
      </c>
      <c r="C2563" t="s">
        <v>13</v>
      </c>
      <c r="D2563" t="s">
        <v>14</v>
      </c>
      <c r="E2563" t="s">
        <v>16</v>
      </c>
      <c r="H2563" t="s">
        <v>20</v>
      </c>
    </row>
    <row r="2564" spans="1:8">
      <c r="A2564" s="1">
        <f>HYPERLINK("https://cms.ls-nyc.org/matter/dynamic-profile/view/1880608","18-1880608")</f>
        <v>0</v>
      </c>
      <c r="B2564" t="s">
        <v>10</v>
      </c>
      <c r="H2564" t="s">
        <v>19</v>
      </c>
    </row>
    <row r="2565" spans="1:8">
      <c r="A2565" s="1">
        <f>HYPERLINK("https://cms.ls-nyc.org/matter/dynamic-profile/view/1856778","18-1856778")</f>
        <v>0</v>
      </c>
      <c r="B2565" t="s">
        <v>10</v>
      </c>
      <c r="D2565" t="s">
        <v>15</v>
      </c>
      <c r="E2565" t="s">
        <v>16</v>
      </c>
      <c r="H2565" t="s">
        <v>20</v>
      </c>
    </row>
    <row r="2566" spans="1:8">
      <c r="A2566" s="1">
        <f>HYPERLINK("https://cms.ls-nyc.org/matter/dynamic-profile/view/1846617","17-1846617")</f>
        <v>0</v>
      </c>
      <c r="B2566" t="s">
        <v>9</v>
      </c>
      <c r="D2566" t="s">
        <v>15</v>
      </c>
      <c r="E2566" t="s">
        <v>16</v>
      </c>
      <c r="H2566" t="s">
        <v>20</v>
      </c>
    </row>
    <row r="2567" spans="1:8">
      <c r="A2567" s="1">
        <f>HYPERLINK("https://cms.ls-nyc.org/matter/dynamic-profile/view/1900159","19-1900159")</f>
        <v>0</v>
      </c>
      <c r="B2567" t="s">
        <v>10</v>
      </c>
      <c r="D2567" t="s">
        <v>14</v>
      </c>
      <c r="H2567" t="s">
        <v>20</v>
      </c>
    </row>
    <row r="2568" spans="1:8">
      <c r="A2568" s="1">
        <f>HYPERLINK("https://cms.ls-nyc.org/matter/dynamic-profile/view/1853702","17-1853702")</f>
        <v>0</v>
      </c>
      <c r="B2568" t="s">
        <v>12</v>
      </c>
      <c r="D2568" t="s">
        <v>15</v>
      </c>
      <c r="E2568" t="s">
        <v>16</v>
      </c>
      <c r="H2568" t="s">
        <v>20</v>
      </c>
    </row>
    <row r="2569" spans="1:8">
      <c r="A2569" s="1">
        <f>HYPERLINK("https://cms.ls-nyc.org/matter/dynamic-profile/view/1857047","18-1857047")</f>
        <v>0</v>
      </c>
      <c r="B2569" t="s">
        <v>12</v>
      </c>
      <c r="D2569" t="s">
        <v>15</v>
      </c>
      <c r="E2569" t="s">
        <v>16</v>
      </c>
      <c r="H2569" t="s">
        <v>20</v>
      </c>
    </row>
    <row r="2570" spans="1:8">
      <c r="A2570" s="1">
        <f>HYPERLINK("https://cms.ls-nyc.org/matter/dynamic-profile/view/1865603","18-1865603")</f>
        <v>0</v>
      </c>
      <c r="B2570" t="s">
        <v>11</v>
      </c>
      <c r="D2570" t="s">
        <v>15</v>
      </c>
      <c r="E2570" t="s">
        <v>16</v>
      </c>
      <c r="H2570" t="s">
        <v>20</v>
      </c>
    </row>
    <row r="2571" spans="1:8">
      <c r="A2571" s="1">
        <f>HYPERLINK("https://cms.ls-nyc.org/matter/dynamic-profile/view/0789344","15-0789344")</f>
        <v>0</v>
      </c>
      <c r="B2571" t="s">
        <v>10</v>
      </c>
      <c r="D2571" t="s">
        <v>15</v>
      </c>
      <c r="E2571" t="s">
        <v>16</v>
      </c>
      <c r="H2571" t="s">
        <v>20</v>
      </c>
    </row>
    <row r="2572" spans="1:8">
      <c r="A2572" s="1">
        <f>HYPERLINK("https://cms.ls-nyc.org/matter/dynamic-profile/view/1845269","17-1845269")</f>
        <v>0</v>
      </c>
      <c r="B2572" t="s">
        <v>9</v>
      </c>
      <c r="D2572" t="s">
        <v>15</v>
      </c>
      <c r="E2572" t="s">
        <v>16</v>
      </c>
      <c r="H2572" t="s">
        <v>20</v>
      </c>
    </row>
    <row r="2573" spans="1:8">
      <c r="A2573" s="1">
        <f>HYPERLINK("https://cms.ls-nyc.org/matter/dynamic-profile/view/1865962","18-1865962")</f>
        <v>0</v>
      </c>
      <c r="B2573" t="s">
        <v>12</v>
      </c>
      <c r="D2573" t="s">
        <v>15</v>
      </c>
      <c r="H2573" t="s">
        <v>20</v>
      </c>
    </row>
    <row r="2574" spans="1:8">
      <c r="A2574" s="1">
        <f>HYPERLINK("https://cms.ls-nyc.org/matter/dynamic-profile/view/1836082","17-1836082")</f>
        <v>0</v>
      </c>
      <c r="B2574" t="s">
        <v>9</v>
      </c>
      <c r="D2574" t="s">
        <v>15</v>
      </c>
      <c r="E2574" t="s">
        <v>16</v>
      </c>
      <c r="H2574" t="s">
        <v>20</v>
      </c>
    </row>
    <row r="2575" spans="1:8">
      <c r="A2575" s="1">
        <f>HYPERLINK("https://cms.ls-nyc.org/matter/dynamic-profile/view/0831173","17-0831173")</f>
        <v>0</v>
      </c>
      <c r="B2575" t="s">
        <v>9</v>
      </c>
      <c r="D2575" t="s">
        <v>15</v>
      </c>
      <c r="E2575" t="s">
        <v>16</v>
      </c>
      <c r="H2575" t="s">
        <v>20</v>
      </c>
    </row>
    <row r="2576" spans="1:8">
      <c r="A2576" s="1">
        <f>HYPERLINK("https://cms.ls-nyc.org/matter/dynamic-profile/view/1897238","19-1897238")</f>
        <v>0</v>
      </c>
      <c r="B2576" t="s">
        <v>8</v>
      </c>
      <c r="H2576" t="s">
        <v>19</v>
      </c>
    </row>
    <row r="2577" spans="1:8">
      <c r="A2577" s="1">
        <f>HYPERLINK("https://cms.ls-nyc.org/matter/dynamic-profile/view/1897335","19-1897335")</f>
        <v>0</v>
      </c>
      <c r="B2577" t="s">
        <v>10</v>
      </c>
      <c r="C2577" t="s">
        <v>13</v>
      </c>
      <c r="D2577" t="s">
        <v>14</v>
      </c>
      <c r="E2577" t="s">
        <v>16</v>
      </c>
      <c r="G2577" t="s">
        <v>18</v>
      </c>
      <c r="H2577" t="s">
        <v>20</v>
      </c>
    </row>
    <row r="2578" spans="1:8">
      <c r="A2578" s="1">
        <f>HYPERLINK("https://cms.ls-nyc.org/matter/dynamic-profile/view/1892967","19-1892967")</f>
        <v>0</v>
      </c>
      <c r="B2578" t="s">
        <v>9</v>
      </c>
      <c r="H2578" t="s">
        <v>19</v>
      </c>
    </row>
    <row r="2579" spans="1:8">
      <c r="A2579" s="1">
        <f>HYPERLINK("https://cms.ls-nyc.org/matter/dynamic-profile/view/1886947","19-1886947")</f>
        <v>0</v>
      </c>
      <c r="B2579" t="s">
        <v>12</v>
      </c>
      <c r="H2579" t="s">
        <v>19</v>
      </c>
    </row>
    <row r="2580" spans="1:8">
      <c r="A2580" s="1">
        <f>HYPERLINK("https://cms.ls-nyc.org/matter/dynamic-profile/view/1893564","19-1893564")</f>
        <v>0</v>
      </c>
      <c r="B2580" t="s">
        <v>12</v>
      </c>
      <c r="C2580" t="s">
        <v>13</v>
      </c>
      <c r="D2580" t="s">
        <v>14</v>
      </c>
      <c r="E2580" t="s">
        <v>16</v>
      </c>
      <c r="H2580" t="s">
        <v>20</v>
      </c>
    </row>
    <row r="2581" spans="1:8">
      <c r="A2581" s="1">
        <f>HYPERLINK("https://cms.ls-nyc.org/matter/dynamic-profile/view/1840076","17-1840076")</f>
        <v>0</v>
      </c>
      <c r="B2581" t="s">
        <v>9</v>
      </c>
      <c r="D2581" t="s">
        <v>15</v>
      </c>
      <c r="H2581" t="s">
        <v>20</v>
      </c>
    </row>
    <row r="2582" spans="1:8">
      <c r="A2582" s="1">
        <f>HYPERLINK("https://cms.ls-nyc.org/matter/dynamic-profile/view/1840081","17-1840081")</f>
        <v>0</v>
      </c>
      <c r="B2582" t="s">
        <v>9</v>
      </c>
      <c r="D2582" t="s">
        <v>15</v>
      </c>
      <c r="H2582" t="s">
        <v>20</v>
      </c>
    </row>
    <row r="2583" spans="1:8">
      <c r="A2583" s="1">
        <f>HYPERLINK("https://cms.ls-nyc.org/matter/dynamic-profile/view/0806036","16-0806036")</f>
        <v>0</v>
      </c>
      <c r="B2583" t="s">
        <v>8</v>
      </c>
      <c r="D2583" t="s">
        <v>15</v>
      </c>
      <c r="E2583" t="s">
        <v>16</v>
      </c>
      <c r="H2583" t="s">
        <v>20</v>
      </c>
    </row>
    <row r="2584" spans="1:8">
      <c r="A2584" s="1">
        <f>HYPERLINK("https://cms.ls-nyc.org/matter/dynamic-profile/view/1895215","19-1895215")</f>
        <v>0</v>
      </c>
      <c r="B2584" t="s">
        <v>9</v>
      </c>
      <c r="H2584" t="s">
        <v>19</v>
      </c>
    </row>
    <row r="2585" spans="1:8">
      <c r="A2585" s="1">
        <f>HYPERLINK("https://cms.ls-nyc.org/matter/dynamic-profile/view/0822673","16-0822673")</f>
        <v>0</v>
      </c>
      <c r="B2585" t="s">
        <v>12</v>
      </c>
      <c r="D2585" t="s">
        <v>15</v>
      </c>
      <c r="E2585" t="s">
        <v>16</v>
      </c>
      <c r="F2585" t="s">
        <v>17</v>
      </c>
      <c r="H2585" t="s">
        <v>20</v>
      </c>
    </row>
    <row r="2586" spans="1:8">
      <c r="A2586" s="1">
        <f>HYPERLINK("https://cms.ls-nyc.org/matter/dynamic-profile/view/1867350","18-1867350")</f>
        <v>0</v>
      </c>
      <c r="B2586" t="s">
        <v>9</v>
      </c>
      <c r="D2586" t="s">
        <v>15</v>
      </c>
      <c r="E2586" t="s">
        <v>16</v>
      </c>
      <c r="H2586" t="s">
        <v>20</v>
      </c>
    </row>
    <row r="2587" spans="1:8">
      <c r="A2587" s="1">
        <f>HYPERLINK("https://cms.ls-nyc.org/matter/dynamic-profile/view/1898967","19-1898967")</f>
        <v>0</v>
      </c>
      <c r="B2587" t="s">
        <v>8</v>
      </c>
      <c r="H2587" t="s">
        <v>19</v>
      </c>
    </row>
    <row r="2588" spans="1:8">
      <c r="A2588" s="1">
        <f>HYPERLINK("https://cms.ls-nyc.org/matter/dynamic-profile/view/1889638","19-1889638")</f>
        <v>0</v>
      </c>
      <c r="B2588" t="s">
        <v>12</v>
      </c>
      <c r="H2588" t="s">
        <v>19</v>
      </c>
    </row>
    <row r="2589" spans="1:8">
      <c r="A2589" s="1">
        <f>HYPERLINK("https://cms.ls-nyc.org/matter/dynamic-profile/view/1900879","19-1900879")</f>
        <v>0</v>
      </c>
      <c r="B2589" t="s">
        <v>8</v>
      </c>
      <c r="E2589" t="s">
        <v>16</v>
      </c>
      <c r="H2589" t="s">
        <v>20</v>
      </c>
    </row>
    <row r="2590" spans="1:8">
      <c r="A2590" s="1">
        <f>HYPERLINK("https://cms.ls-nyc.org/matter/dynamic-profile/view/0817107","16-0817107")</f>
        <v>0</v>
      </c>
      <c r="B2590" t="s">
        <v>9</v>
      </c>
      <c r="D2590" t="s">
        <v>15</v>
      </c>
      <c r="E2590" t="s">
        <v>16</v>
      </c>
      <c r="H2590" t="s">
        <v>20</v>
      </c>
    </row>
    <row r="2591" spans="1:8">
      <c r="A2591" s="1">
        <f>HYPERLINK("https://cms.ls-nyc.org/matter/dynamic-profile/view/0817143","16-0817143")</f>
        <v>0</v>
      </c>
      <c r="B2591" t="s">
        <v>9</v>
      </c>
      <c r="D2591" t="s">
        <v>15</v>
      </c>
      <c r="E2591" t="s">
        <v>16</v>
      </c>
      <c r="H2591" t="s">
        <v>20</v>
      </c>
    </row>
    <row r="2592" spans="1:8">
      <c r="A2592" s="1">
        <f>HYPERLINK("https://cms.ls-nyc.org/matter/dynamic-profile/view/0823095","16-0823095")</f>
        <v>0</v>
      </c>
      <c r="B2592" t="s">
        <v>9</v>
      </c>
      <c r="D2592" t="s">
        <v>15</v>
      </c>
      <c r="E2592" t="s">
        <v>16</v>
      </c>
      <c r="H2592" t="s">
        <v>20</v>
      </c>
    </row>
    <row r="2593" spans="1:8">
      <c r="A2593" s="1">
        <f>HYPERLINK("https://cms.ls-nyc.org/matter/dynamic-profile/view/1836774","17-1836774")</f>
        <v>0</v>
      </c>
      <c r="B2593" t="s">
        <v>12</v>
      </c>
      <c r="D2593" t="s">
        <v>15</v>
      </c>
      <c r="E2593" t="s">
        <v>16</v>
      </c>
      <c r="H2593" t="s">
        <v>20</v>
      </c>
    </row>
    <row r="2594" spans="1:8">
      <c r="A2594" s="1">
        <f>HYPERLINK("https://cms.ls-nyc.org/matter/dynamic-profile/view/1841253","17-1841253")</f>
        <v>0</v>
      </c>
      <c r="B2594" t="s">
        <v>12</v>
      </c>
      <c r="D2594" t="s">
        <v>15</v>
      </c>
      <c r="E2594" t="s">
        <v>16</v>
      </c>
      <c r="H2594" t="s">
        <v>20</v>
      </c>
    </row>
    <row r="2595" spans="1:8">
      <c r="A2595" s="1">
        <f>HYPERLINK("https://cms.ls-nyc.org/matter/dynamic-profile/view/1881539","18-1881539")</f>
        <v>0</v>
      </c>
      <c r="B2595" t="s">
        <v>9</v>
      </c>
      <c r="D2595" t="s">
        <v>14</v>
      </c>
      <c r="H2595" t="s">
        <v>20</v>
      </c>
    </row>
    <row r="2596" spans="1:8">
      <c r="A2596" s="1">
        <f>HYPERLINK("https://cms.ls-nyc.org/matter/dynamic-profile/view/1873845","18-1873845")</f>
        <v>0</v>
      </c>
      <c r="B2596" t="s">
        <v>12</v>
      </c>
      <c r="H2596" t="s">
        <v>19</v>
      </c>
    </row>
    <row r="2597" spans="1:8">
      <c r="A2597" s="1">
        <f>HYPERLINK("https://cms.ls-nyc.org/matter/dynamic-profile/view/1895579","19-1895579")</f>
        <v>0</v>
      </c>
      <c r="B2597" t="s">
        <v>11</v>
      </c>
      <c r="D2597" t="s">
        <v>14</v>
      </c>
      <c r="G2597" t="s">
        <v>18</v>
      </c>
      <c r="H2597" t="s">
        <v>20</v>
      </c>
    </row>
    <row r="2598" spans="1:8">
      <c r="A2598" s="1">
        <f>HYPERLINK("https://cms.ls-nyc.org/matter/dynamic-profile/view/1891140","19-1891140")</f>
        <v>0</v>
      </c>
      <c r="B2598" t="s">
        <v>9</v>
      </c>
      <c r="H2598" t="s">
        <v>19</v>
      </c>
    </row>
    <row r="2599" spans="1:8">
      <c r="A2599" s="1">
        <f>HYPERLINK("https://cms.ls-nyc.org/matter/dynamic-profile/view/1900025","19-1900025")</f>
        <v>0</v>
      </c>
      <c r="B2599" t="s">
        <v>10</v>
      </c>
      <c r="D2599" t="s">
        <v>14</v>
      </c>
      <c r="E2599" t="s">
        <v>16</v>
      </c>
      <c r="F2599" t="s">
        <v>17</v>
      </c>
      <c r="H2599" t="s">
        <v>20</v>
      </c>
    </row>
    <row r="2600" spans="1:8">
      <c r="A2600" s="1">
        <f>HYPERLINK("https://cms.ls-nyc.org/matter/dynamic-profile/view/1900473","19-1900473")</f>
        <v>0</v>
      </c>
      <c r="B2600" t="s">
        <v>9</v>
      </c>
      <c r="E2600" t="s">
        <v>16</v>
      </c>
      <c r="H2600" t="s">
        <v>20</v>
      </c>
    </row>
    <row r="2601" spans="1:8">
      <c r="A2601" s="1">
        <f>HYPERLINK("https://cms.ls-nyc.org/matter/dynamic-profile/view/1836136","17-1836136")</f>
        <v>0</v>
      </c>
      <c r="B2601" t="s">
        <v>12</v>
      </c>
      <c r="C2601" t="s">
        <v>13</v>
      </c>
      <c r="D2601" t="s">
        <v>15</v>
      </c>
      <c r="E2601" t="s">
        <v>16</v>
      </c>
      <c r="H2601" t="s">
        <v>20</v>
      </c>
    </row>
    <row r="2602" spans="1:8">
      <c r="A2602" s="1">
        <f>HYPERLINK("https://cms.ls-nyc.org/matter/dynamic-profile/view/1897578","19-1897578")</f>
        <v>0</v>
      </c>
      <c r="B2602" t="s">
        <v>10</v>
      </c>
      <c r="C2602" t="s">
        <v>13</v>
      </c>
      <c r="D2602" t="s">
        <v>14</v>
      </c>
      <c r="E2602" t="s">
        <v>16</v>
      </c>
      <c r="H2602" t="s">
        <v>20</v>
      </c>
    </row>
    <row r="2603" spans="1:8">
      <c r="A2603" s="1">
        <f>HYPERLINK("https://cms.ls-nyc.org/matter/dynamic-profile/view/1864918","18-1864918")</f>
        <v>0</v>
      </c>
      <c r="B2603" t="s">
        <v>9</v>
      </c>
      <c r="D2603" t="s">
        <v>15</v>
      </c>
      <c r="E2603" t="s">
        <v>16</v>
      </c>
      <c r="H2603" t="s">
        <v>20</v>
      </c>
    </row>
    <row r="2604" spans="1:8">
      <c r="A2604" s="1">
        <f>HYPERLINK("https://cms.ls-nyc.org/matter/dynamic-profile/view/1862837","18-1862837")</f>
        <v>0</v>
      </c>
      <c r="B2604" t="s">
        <v>10</v>
      </c>
      <c r="D2604" t="s">
        <v>15</v>
      </c>
      <c r="E2604" t="s">
        <v>16</v>
      </c>
      <c r="H2604" t="s">
        <v>20</v>
      </c>
    </row>
    <row r="2605" spans="1:8">
      <c r="A2605" s="1">
        <f>HYPERLINK("https://cms.ls-nyc.org/matter/dynamic-profile/view/1888376","19-1888376")</f>
        <v>0</v>
      </c>
      <c r="B2605" t="s">
        <v>10</v>
      </c>
      <c r="H2605" t="s">
        <v>19</v>
      </c>
    </row>
    <row r="2606" spans="1:8">
      <c r="A2606" s="1">
        <f>HYPERLINK("https://cms.ls-nyc.org/matter/dynamic-profile/view/0829791","17-0829791")</f>
        <v>0</v>
      </c>
      <c r="B2606" t="s">
        <v>12</v>
      </c>
      <c r="C2606" t="s">
        <v>13</v>
      </c>
      <c r="D2606" t="s">
        <v>15</v>
      </c>
      <c r="E2606" t="s">
        <v>16</v>
      </c>
      <c r="H2606" t="s">
        <v>20</v>
      </c>
    </row>
    <row r="2607" spans="1:8">
      <c r="A2607" s="1">
        <f>HYPERLINK("https://cms.ls-nyc.org/matter/dynamic-profile/view/1864036","18-1864036")</f>
        <v>0</v>
      </c>
      <c r="B2607" t="s">
        <v>12</v>
      </c>
      <c r="D2607" t="s">
        <v>15</v>
      </c>
      <c r="H2607" t="s">
        <v>20</v>
      </c>
    </row>
    <row r="2608" spans="1:8">
      <c r="A2608" s="1">
        <f>HYPERLINK("https://cms.ls-nyc.org/matter/dynamic-profile/view/1889539","19-1889539")</f>
        <v>0</v>
      </c>
      <c r="B2608" t="s">
        <v>9</v>
      </c>
      <c r="H2608" t="s">
        <v>19</v>
      </c>
    </row>
    <row r="2609" spans="1:8">
      <c r="A2609" s="1">
        <f>HYPERLINK("https://cms.ls-nyc.org/matter/dynamic-profile/view/1890798","19-1890798")</f>
        <v>0</v>
      </c>
      <c r="B2609" t="s">
        <v>9</v>
      </c>
      <c r="H2609" t="s">
        <v>19</v>
      </c>
    </row>
    <row r="2610" spans="1:8">
      <c r="A2610" s="1">
        <f>HYPERLINK("https://cms.ls-nyc.org/matter/dynamic-profile/view/1890807","19-1890807")</f>
        <v>0</v>
      </c>
      <c r="B2610" t="s">
        <v>9</v>
      </c>
      <c r="H2610" t="s">
        <v>19</v>
      </c>
    </row>
    <row r="2611" spans="1:8">
      <c r="A2611" s="1">
        <f>HYPERLINK("https://cms.ls-nyc.org/matter/dynamic-profile/view/1890810","19-1890810")</f>
        <v>0</v>
      </c>
      <c r="B2611" t="s">
        <v>9</v>
      </c>
      <c r="H2611" t="s">
        <v>19</v>
      </c>
    </row>
    <row r="2612" spans="1:8">
      <c r="A2612" s="1">
        <f>HYPERLINK("https://cms.ls-nyc.org/matter/dynamic-profile/view/1896425","19-1896425")</f>
        <v>0</v>
      </c>
      <c r="B2612" t="s">
        <v>10</v>
      </c>
      <c r="D2612" t="s">
        <v>14</v>
      </c>
      <c r="G2612" t="s">
        <v>18</v>
      </c>
      <c r="H2612" t="s">
        <v>20</v>
      </c>
    </row>
    <row r="2613" spans="1:8">
      <c r="A2613" s="1">
        <f>HYPERLINK("https://cms.ls-nyc.org/matter/dynamic-profile/view/1899718","19-1899718")</f>
        <v>0</v>
      </c>
      <c r="B2613" t="s">
        <v>10</v>
      </c>
      <c r="D2613" t="s">
        <v>14</v>
      </c>
      <c r="H2613" t="s">
        <v>20</v>
      </c>
    </row>
    <row r="2614" spans="1:8">
      <c r="A2614" s="1">
        <f>HYPERLINK("https://cms.ls-nyc.org/matter/dynamic-profile/view/1892080","19-1892080")</f>
        <v>0</v>
      </c>
      <c r="B2614" t="s">
        <v>9</v>
      </c>
      <c r="E2614" t="s">
        <v>16</v>
      </c>
      <c r="F2614" t="s">
        <v>17</v>
      </c>
      <c r="H2614" t="s">
        <v>20</v>
      </c>
    </row>
    <row r="2615" spans="1:8">
      <c r="A2615" s="1">
        <f>HYPERLINK("https://cms.ls-nyc.org/matter/dynamic-profile/view/1892085","19-1892085")</f>
        <v>0</v>
      </c>
      <c r="B2615" t="s">
        <v>9</v>
      </c>
      <c r="E2615" t="s">
        <v>16</v>
      </c>
      <c r="F2615" t="s">
        <v>17</v>
      </c>
      <c r="H2615" t="s">
        <v>20</v>
      </c>
    </row>
    <row r="2616" spans="1:8">
      <c r="A2616" s="1">
        <f>HYPERLINK("https://cms.ls-nyc.org/matter/dynamic-profile/view/1887065","19-1887065")</f>
        <v>0</v>
      </c>
      <c r="B2616" t="s">
        <v>10</v>
      </c>
      <c r="H2616" t="s">
        <v>19</v>
      </c>
    </row>
    <row r="2617" spans="1:8">
      <c r="A2617" s="1">
        <f>HYPERLINK("https://cms.ls-nyc.org/matter/dynamic-profile/view/1887063","19-1887063")</f>
        <v>0</v>
      </c>
      <c r="B2617" t="s">
        <v>10</v>
      </c>
      <c r="H2617" t="s">
        <v>19</v>
      </c>
    </row>
    <row r="2618" spans="1:8">
      <c r="A2618" s="1">
        <f>HYPERLINK("https://cms.ls-nyc.org/matter/dynamic-profile/view/1887069","19-1887069")</f>
        <v>0</v>
      </c>
      <c r="B2618" t="s">
        <v>10</v>
      </c>
      <c r="H2618" t="s">
        <v>19</v>
      </c>
    </row>
    <row r="2619" spans="1:8">
      <c r="A2619" s="1">
        <f>HYPERLINK("https://cms.ls-nyc.org/matter/dynamic-profile/view/1863504","18-1863504")</f>
        <v>0</v>
      </c>
      <c r="B2619" t="s">
        <v>10</v>
      </c>
      <c r="D2619" t="s">
        <v>15</v>
      </c>
      <c r="E2619" t="s">
        <v>16</v>
      </c>
      <c r="H2619" t="s">
        <v>20</v>
      </c>
    </row>
    <row r="2620" spans="1:8">
      <c r="A2620" s="1">
        <f>HYPERLINK("https://cms.ls-nyc.org/matter/dynamic-profile/view/1872194","18-1872194")</f>
        <v>0</v>
      </c>
      <c r="B2620" t="s">
        <v>10</v>
      </c>
      <c r="D2620" t="s">
        <v>15</v>
      </c>
      <c r="E2620" t="s">
        <v>16</v>
      </c>
      <c r="H2620" t="s">
        <v>20</v>
      </c>
    </row>
    <row r="2621" spans="1:8">
      <c r="A2621" s="1">
        <f>HYPERLINK("https://cms.ls-nyc.org/matter/dynamic-profile/view/1894609","19-1894609")</f>
        <v>0</v>
      </c>
      <c r="B2621" t="s">
        <v>10</v>
      </c>
      <c r="F2621" t="s">
        <v>17</v>
      </c>
      <c r="H2621" t="s">
        <v>20</v>
      </c>
    </row>
    <row r="2622" spans="1:8">
      <c r="A2622" s="1">
        <f>HYPERLINK("https://cms.ls-nyc.org/matter/dynamic-profile/view/1897148","19-1897148")</f>
        <v>0</v>
      </c>
      <c r="B2622" t="s">
        <v>11</v>
      </c>
      <c r="H2622" t="s">
        <v>19</v>
      </c>
    </row>
    <row r="2623" spans="1:8">
      <c r="A2623" s="1">
        <f>HYPERLINK("https://cms.ls-nyc.org/matter/dynamic-profile/view/1860312","18-1860312")</f>
        <v>0</v>
      </c>
      <c r="B2623" t="s">
        <v>8</v>
      </c>
      <c r="D2623" t="s">
        <v>15</v>
      </c>
      <c r="E2623" t="s">
        <v>16</v>
      </c>
      <c r="F2623" t="s">
        <v>17</v>
      </c>
      <c r="H2623" t="s">
        <v>20</v>
      </c>
    </row>
    <row r="2624" spans="1:8">
      <c r="A2624" s="1">
        <f>HYPERLINK("https://cms.ls-nyc.org/matter/dynamic-profile/view/1860339","18-1860339")</f>
        <v>0</v>
      </c>
      <c r="B2624" t="s">
        <v>8</v>
      </c>
      <c r="D2624" t="s">
        <v>15</v>
      </c>
      <c r="E2624" t="s">
        <v>16</v>
      </c>
      <c r="F2624" t="s">
        <v>17</v>
      </c>
      <c r="H2624" t="s">
        <v>20</v>
      </c>
    </row>
    <row r="2625" spans="1:8">
      <c r="A2625" s="1">
        <f>HYPERLINK("https://cms.ls-nyc.org/matter/dynamic-profile/view/1867094","18-1867094")</f>
        <v>0</v>
      </c>
      <c r="B2625" t="s">
        <v>12</v>
      </c>
      <c r="D2625" t="s">
        <v>15</v>
      </c>
      <c r="E2625" t="s">
        <v>16</v>
      </c>
      <c r="H2625" t="s">
        <v>20</v>
      </c>
    </row>
    <row r="2626" spans="1:8">
      <c r="A2626" s="1">
        <f>HYPERLINK("https://cms.ls-nyc.org/matter/dynamic-profile/view/1867856","18-1867856")</f>
        <v>0</v>
      </c>
      <c r="B2626" t="s">
        <v>12</v>
      </c>
      <c r="D2626" t="s">
        <v>15</v>
      </c>
      <c r="H2626" t="s">
        <v>20</v>
      </c>
    </row>
    <row r="2627" spans="1:8">
      <c r="A2627" s="1">
        <f>HYPERLINK("https://cms.ls-nyc.org/matter/dynamic-profile/view/1890808","19-1890808")</f>
        <v>0</v>
      </c>
      <c r="B2627" t="s">
        <v>9</v>
      </c>
      <c r="H2627" t="s">
        <v>19</v>
      </c>
    </row>
    <row r="2628" spans="1:8">
      <c r="A2628" s="1">
        <f>HYPERLINK("https://cms.ls-nyc.org/matter/dynamic-profile/view/1892395","19-1892395")</f>
        <v>0</v>
      </c>
      <c r="B2628" t="s">
        <v>9</v>
      </c>
      <c r="H2628" t="s">
        <v>19</v>
      </c>
    </row>
    <row r="2629" spans="1:8">
      <c r="A2629" s="1">
        <f>HYPERLINK("https://cms.ls-nyc.org/matter/dynamic-profile/view/1896960","19-1896960")</f>
        <v>0</v>
      </c>
      <c r="B2629" t="s">
        <v>9</v>
      </c>
      <c r="C2629" t="s">
        <v>13</v>
      </c>
      <c r="E2629" t="s">
        <v>16</v>
      </c>
      <c r="H2629" t="s">
        <v>20</v>
      </c>
    </row>
    <row r="2630" spans="1:8">
      <c r="A2630" s="1">
        <f>HYPERLINK("https://cms.ls-nyc.org/matter/dynamic-profile/view/1840469","17-1840469")</f>
        <v>0</v>
      </c>
      <c r="B2630" t="s">
        <v>12</v>
      </c>
      <c r="D2630" t="s">
        <v>15</v>
      </c>
      <c r="E2630" t="s">
        <v>16</v>
      </c>
      <c r="H2630" t="s">
        <v>20</v>
      </c>
    </row>
    <row r="2631" spans="1:8">
      <c r="A2631" s="1">
        <f>HYPERLINK("https://cms.ls-nyc.org/matter/dynamic-profile/view/1846029","17-1846029")</f>
        <v>0</v>
      </c>
      <c r="B2631" t="s">
        <v>12</v>
      </c>
      <c r="D2631" t="s">
        <v>15</v>
      </c>
      <c r="E2631" t="s">
        <v>16</v>
      </c>
      <c r="H2631" t="s">
        <v>20</v>
      </c>
    </row>
    <row r="2632" spans="1:8">
      <c r="A2632" s="1">
        <f>HYPERLINK("https://cms.ls-nyc.org/matter/dynamic-profile/view/1885141","18-1885141")</f>
        <v>0</v>
      </c>
      <c r="B2632" t="s">
        <v>12</v>
      </c>
      <c r="H2632" t="s">
        <v>19</v>
      </c>
    </row>
    <row r="2633" spans="1:8">
      <c r="A2633" s="1">
        <f>HYPERLINK("https://cms.ls-nyc.org/matter/dynamic-profile/view/1841112","17-1841112")</f>
        <v>0</v>
      </c>
      <c r="B2633" t="s">
        <v>10</v>
      </c>
      <c r="D2633" t="s">
        <v>15</v>
      </c>
      <c r="E2633" t="s">
        <v>16</v>
      </c>
      <c r="H2633" t="s">
        <v>20</v>
      </c>
    </row>
    <row r="2634" spans="1:8">
      <c r="A2634" s="1">
        <f>HYPERLINK("https://cms.ls-nyc.org/matter/dynamic-profile/view/1857406","18-1857406")</f>
        <v>0</v>
      </c>
      <c r="B2634" t="s">
        <v>10</v>
      </c>
      <c r="D2634" t="s">
        <v>15</v>
      </c>
      <c r="E2634" t="s">
        <v>16</v>
      </c>
      <c r="H2634" t="s">
        <v>20</v>
      </c>
    </row>
    <row r="2635" spans="1:8">
      <c r="A2635" s="1">
        <f>HYPERLINK("https://cms.ls-nyc.org/matter/dynamic-profile/view/1860590","18-1860590")</f>
        <v>0</v>
      </c>
      <c r="B2635" t="s">
        <v>12</v>
      </c>
      <c r="D2635" t="s">
        <v>15</v>
      </c>
      <c r="E2635" t="s">
        <v>16</v>
      </c>
      <c r="H2635" t="s">
        <v>20</v>
      </c>
    </row>
    <row r="2636" spans="1:8">
      <c r="A2636" s="1">
        <f>HYPERLINK("https://cms.ls-nyc.org/matter/dynamic-profile/view/1881390","18-1881390")</f>
        <v>0</v>
      </c>
      <c r="B2636" t="s">
        <v>12</v>
      </c>
      <c r="H2636" t="s">
        <v>19</v>
      </c>
    </row>
    <row r="2637" spans="1:8">
      <c r="A2637" s="1">
        <f>HYPERLINK("https://cms.ls-nyc.org/matter/dynamic-profile/view/1841231","17-1841231")</f>
        <v>0</v>
      </c>
      <c r="B2637" t="s">
        <v>10</v>
      </c>
      <c r="D2637" t="s">
        <v>15</v>
      </c>
      <c r="E2637" t="s">
        <v>16</v>
      </c>
      <c r="H2637" t="s">
        <v>20</v>
      </c>
    </row>
    <row r="2638" spans="1:8">
      <c r="A2638" s="1">
        <f>HYPERLINK("https://cms.ls-nyc.org/matter/dynamic-profile/view/1854981","18-1854981")</f>
        <v>0</v>
      </c>
      <c r="B2638" t="s">
        <v>10</v>
      </c>
      <c r="D2638" t="s">
        <v>15</v>
      </c>
      <c r="E2638" t="s">
        <v>16</v>
      </c>
      <c r="H2638" t="s">
        <v>20</v>
      </c>
    </row>
    <row r="2639" spans="1:8">
      <c r="A2639" s="1">
        <f>HYPERLINK("https://cms.ls-nyc.org/matter/dynamic-profile/view/1872389","18-1872389")</f>
        <v>0</v>
      </c>
      <c r="B2639" t="s">
        <v>12</v>
      </c>
      <c r="F2639" t="s">
        <v>17</v>
      </c>
      <c r="H2639" t="s">
        <v>20</v>
      </c>
    </row>
    <row r="2640" spans="1:8">
      <c r="A2640" s="1">
        <f>HYPERLINK("https://cms.ls-nyc.org/matter/dynamic-profile/view/1895441","19-1895441")</f>
        <v>0</v>
      </c>
      <c r="B2640" t="s">
        <v>11</v>
      </c>
      <c r="C2640" t="s">
        <v>13</v>
      </c>
      <c r="D2640" t="s">
        <v>14</v>
      </c>
      <c r="F2640" t="s">
        <v>17</v>
      </c>
      <c r="H2640" t="s">
        <v>20</v>
      </c>
    </row>
    <row r="2641" spans="1:8">
      <c r="A2641" s="1">
        <f>HYPERLINK("https://cms.ls-nyc.org/matter/dynamic-profile/view/1899195","19-1899195")</f>
        <v>0</v>
      </c>
      <c r="B2641" t="s">
        <v>8</v>
      </c>
      <c r="H2641" t="s">
        <v>19</v>
      </c>
    </row>
    <row r="2642" spans="1:8">
      <c r="A2642" s="1">
        <f>HYPERLINK("https://cms.ls-nyc.org/matter/dynamic-profile/view/1862042","18-1862042")</f>
        <v>0</v>
      </c>
      <c r="B2642" t="s">
        <v>10</v>
      </c>
      <c r="D2642" t="s">
        <v>15</v>
      </c>
      <c r="E2642" t="s">
        <v>16</v>
      </c>
      <c r="H2642" t="s">
        <v>20</v>
      </c>
    </row>
    <row r="2643" spans="1:8">
      <c r="A2643" s="1">
        <f>HYPERLINK("https://cms.ls-nyc.org/matter/dynamic-profile/view/1868743","18-1868743")</f>
        <v>0</v>
      </c>
      <c r="B2643" t="s">
        <v>10</v>
      </c>
      <c r="D2643" t="s">
        <v>15</v>
      </c>
      <c r="E2643" t="s">
        <v>16</v>
      </c>
      <c r="H2643" t="s">
        <v>20</v>
      </c>
    </row>
    <row r="2644" spans="1:8">
      <c r="A2644" s="1">
        <f>HYPERLINK("https://cms.ls-nyc.org/matter/dynamic-profile/view/1854347","17-1854347")</f>
        <v>0</v>
      </c>
      <c r="B2644" t="s">
        <v>10</v>
      </c>
      <c r="D2644" t="s">
        <v>15</v>
      </c>
      <c r="E2644" t="s">
        <v>16</v>
      </c>
      <c r="H2644" t="s">
        <v>20</v>
      </c>
    </row>
    <row r="2645" spans="1:8">
      <c r="A2645" s="1">
        <f>HYPERLINK("https://cms.ls-nyc.org/matter/dynamic-profile/view/1893960","19-1893960")</f>
        <v>0</v>
      </c>
      <c r="B2645" t="s">
        <v>10</v>
      </c>
      <c r="D2645" t="s">
        <v>14</v>
      </c>
      <c r="F2645" t="s">
        <v>17</v>
      </c>
      <c r="H2645" t="s">
        <v>20</v>
      </c>
    </row>
    <row r="2646" spans="1:8">
      <c r="A2646" s="1">
        <f>HYPERLINK("https://cms.ls-nyc.org/matter/dynamic-profile/view/1875076","18-1875076")</f>
        <v>0</v>
      </c>
      <c r="B2646" t="s">
        <v>8</v>
      </c>
      <c r="H2646" t="s">
        <v>19</v>
      </c>
    </row>
    <row r="2647" spans="1:8">
      <c r="A2647" s="1">
        <f>HYPERLINK("https://cms.ls-nyc.org/matter/dynamic-profile/view/1864351","18-1864351")</f>
        <v>0</v>
      </c>
      <c r="B2647" t="s">
        <v>9</v>
      </c>
      <c r="D2647" t="s">
        <v>15</v>
      </c>
      <c r="E2647" t="s">
        <v>16</v>
      </c>
      <c r="H2647" t="s">
        <v>20</v>
      </c>
    </row>
    <row r="2648" spans="1:8">
      <c r="A2648" s="1">
        <f>HYPERLINK("https://cms.ls-nyc.org/matter/dynamic-profile/view/1880430","18-1880430")</f>
        <v>0</v>
      </c>
      <c r="B2648" t="s">
        <v>9</v>
      </c>
      <c r="C2648" t="s">
        <v>13</v>
      </c>
      <c r="D2648" t="s">
        <v>14</v>
      </c>
      <c r="E2648" t="s">
        <v>16</v>
      </c>
      <c r="F2648" t="s">
        <v>17</v>
      </c>
      <c r="H2648" t="s">
        <v>20</v>
      </c>
    </row>
    <row r="2649" spans="1:8">
      <c r="A2649" s="1">
        <f>HYPERLINK("https://cms.ls-nyc.org/matter/dynamic-profile/view/1867544","18-1867544")</f>
        <v>0</v>
      </c>
      <c r="B2649" t="s">
        <v>12</v>
      </c>
      <c r="D2649" t="s">
        <v>15</v>
      </c>
      <c r="E2649" t="s">
        <v>16</v>
      </c>
      <c r="G2649" t="s">
        <v>18</v>
      </c>
      <c r="H2649" t="s">
        <v>20</v>
      </c>
    </row>
    <row r="2650" spans="1:8">
      <c r="A2650" s="1">
        <f>HYPERLINK("https://cms.ls-nyc.org/matter/dynamic-profile/view/1860851","18-1860851")</f>
        <v>0</v>
      </c>
      <c r="B2650" t="s">
        <v>9</v>
      </c>
      <c r="D2650" t="s">
        <v>15</v>
      </c>
      <c r="E2650" t="s">
        <v>16</v>
      </c>
      <c r="F2650" t="s">
        <v>17</v>
      </c>
      <c r="H2650" t="s">
        <v>20</v>
      </c>
    </row>
    <row r="2651" spans="1:8">
      <c r="A2651" s="1">
        <f>HYPERLINK("https://cms.ls-nyc.org/matter/dynamic-profile/view/1862660","18-1862660")</f>
        <v>0</v>
      </c>
      <c r="B2651" t="s">
        <v>9</v>
      </c>
      <c r="D2651" t="s">
        <v>15</v>
      </c>
      <c r="E2651" t="s">
        <v>16</v>
      </c>
      <c r="F2651" t="s">
        <v>17</v>
      </c>
      <c r="H2651" t="s">
        <v>20</v>
      </c>
    </row>
    <row r="2652" spans="1:8">
      <c r="A2652" s="1">
        <f>HYPERLINK("https://cms.ls-nyc.org/matter/dynamic-profile/view/1880026","18-1880026")</f>
        <v>0</v>
      </c>
      <c r="B2652" t="s">
        <v>8</v>
      </c>
      <c r="H2652" t="s">
        <v>19</v>
      </c>
    </row>
    <row r="2653" spans="1:8">
      <c r="A2653" s="1">
        <f>HYPERLINK("https://cms.ls-nyc.org/matter/dynamic-profile/view/1881813","18-1881813")</f>
        <v>0</v>
      </c>
      <c r="B2653" t="s">
        <v>10</v>
      </c>
      <c r="F2653" t="s">
        <v>17</v>
      </c>
      <c r="H2653" t="s">
        <v>20</v>
      </c>
    </row>
    <row r="2654" spans="1:8">
      <c r="A2654" s="1">
        <f>HYPERLINK("https://cms.ls-nyc.org/matter/dynamic-profile/view/1863845","18-1863845")</f>
        <v>0</v>
      </c>
      <c r="B2654" t="s">
        <v>12</v>
      </c>
      <c r="D2654" t="s">
        <v>15</v>
      </c>
      <c r="F2654" t="s">
        <v>17</v>
      </c>
      <c r="H2654" t="s">
        <v>20</v>
      </c>
    </row>
    <row r="2655" spans="1:8">
      <c r="A2655" s="1">
        <f>HYPERLINK("https://cms.ls-nyc.org/matter/dynamic-profile/view/1852953","17-1852953")</f>
        <v>0</v>
      </c>
      <c r="B2655" t="s">
        <v>11</v>
      </c>
      <c r="D2655" t="s">
        <v>15</v>
      </c>
      <c r="E2655" t="s">
        <v>16</v>
      </c>
      <c r="H2655" t="s">
        <v>20</v>
      </c>
    </row>
    <row r="2656" spans="1:8">
      <c r="A2656" s="1">
        <f>HYPERLINK("https://cms.ls-nyc.org/matter/dynamic-profile/view/1882955","18-1882955")</f>
        <v>0</v>
      </c>
      <c r="B2656" t="s">
        <v>9</v>
      </c>
      <c r="H2656" t="s">
        <v>19</v>
      </c>
    </row>
    <row r="2657" spans="1:8">
      <c r="A2657" s="1">
        <f>HYPERLINK("https://cms.ls-nyc.org/matter/dynamic-profile/view/0805209","16-0805209")</f>
        <v>0</v>
      </c>
      <c r="B2657" t="s">
        <v>10</v>
      </c>
      <c r="D2657" t="s">
        <v>15</v>
      </c>
      <c r="E2657" t="s">
        <v>16</v>
      </c>
      <c r="H2657" t="s">
        <v>20</v>
      </c>
    </row>
    <row r="2658" spans="1:8">
      <c r="A2658" s="1">
        <f>HYPERLINK("https://cms.ls-nyc.org/matter/dynamic-profile/view/0809398","16-0809398")</f>
        <v>0</v>
      </c>
      <c r="B2658" t="s">
        <v>10</v>
      </c>
      <c r="D2658" t="s">
        <v>15</v>
      </c>
      <c r="E2658" t="s">
        <v>16</v>
      </c>
      <c r="F2658" t="s">
        <v>17</v>
      </c>
      <c r="H2658" t="s">
        <v>20</v>
      </c>
    </row>
    <row r="2659" spans="1:8">
      <c r="A2659" s="1">
        <f>HYPERLINK("https://cms.ls-nyc.org/matter/dynamic-profile/view/0816829","16-0816829")</f>
        <v>0</v>
      </c>
      <c r="B2659" t="s">
        <v>10</v>
      </c>
      <c r="D2659" t="s">
        <v>15</v>
      </c>
      <c r="E2659" t="s">
        <v>16</v>
      </c>
      <c r="F2659" t="s">
        <v>17</v>
      </c>
      <c r="H2659" t="s">
        <v>20</v>
      </c>
    </row>
    <row r="2660" spans="1:8">
      <c r="A2660" s="1">
        <f>HYPERLINK("https://cms.ls-nyc.org/matter/dynamic-profile/view/1899688","19-1899688")</f>
        <v>0</v>
      </c>
      <c r="B2660" t="s">
        <v>9</v>
      </c>
      <c r="C2660" t="s">
        <v>13</v>
      </c>
      <c r="D2660" t="s">
        <v>14</v>
      </c>
      <c r="E2660" t="s">
        <v>16</v>
      </c>
      <c r="G2660" t="s">
        <v>18</v>
      </c>
      <c r="H2660" t="s">
        <v>20</v>
      </c>
    </row>
    <row r="2661" spans="1:8">
      <c r="A2661" s="1">
        <f>HYPERLINK("https://cms.ls-nyc.org/matter/dynamic-profile/view/1887119","19-1887119")</f>
        <v>0</v>
      </c>
      <c r="B2661" t="s">
        <v>10</v>
      </c>
      <c r="H2661" t="s">
        <v>19</v>
      </c>
    </row>
    <row r="2662" spans="1:8">
      <c r="A2662" s="1">
        <f>HYPERLINK("https://cms.ls-nyc.org/matter/dynamic-profile/view/1886107","18-1886107")</f>
        <v>0</v>
      </c>
      <c r="B2662" t="s">
        <v>10</v>
      </c>
      <c r="F2662" t="s">
        <v>17</v>
      </c>
      <c r="H2662" t="s">
        <v>20</v>
      </c>
    </row>
    <row r="2663" spans="1:8">
      <c r="A2663" s="1">
        <f>HYPERLINK("https://cms.ls-nyc.org/matter/dynamic-profile/view/1895615","19-1895615")</f>
        <v>0</v>
      </c>
      <c r="B2663" t="s">
        <v>8</v>
      </c>
      <c r="D2663" t="s">
        <v>14</v>
      </c>
      <c r="H2663" t="s">
        <v>20</v>
      </c>
    </row>
    <row r="2664" spans="1:8">
      <c r="A2664" s="1">
        <f>HYPERLINK("https://cms.ls-nyc.org/matter/dynamic-profile/view/1844694","17-1844694")</f>
        <v>0</v>
      </c>
      <c r="B2664" t="s">
        <v>9</v>
      </c>
      <c r="D2664" t="s">
        <v>15</v>
      </c>
      <c r="E2664" t="s">
        <v>16</v>
      </c>
      <c r="H2664" t="s">
        <v>20</v>
      </c>
    </row>
    <row r="2665" spans="1:8">
      <c r="A2665" s="1">
        <f>HYPERLINK("https://cms.ls-nyc.org/matter/dynamic-profile/view/1854735","17-1854735")</f>
        <v>0</v>
      </c>
      <c r="B2665" t="s">
        <v>10</v>
      </c>
      <c r="D2665" t="s">
        <v>15</v>
      </c>
      <c r="E2665" t="s">
        <v>16</v>
      </c>
      <c r="H2665" t="s">
        <v>20</v>
      </c>
    </row>
    <row r="2666" spans="1:8">
      <c r="A2666" s="1">
        <f>HYPERLINK("https://cms.ls-nyc.org/matter/dynamic-profile/view/1898987","19-1898987")</f>
        <v>0</v>
      </c>
      <c r="B2666" t="s">
        <v>9</v>
      </c>
      <c r="E2666" t="s">
        <v>16</v>
      </c>
      <c r="F2666" t="s">
        <v>17</v>
      </c>
      <c r="H2666" t="s">
        <v>20</v>
      </c>
    </row>
    <row r="2667" spans="1:8">
      <c r="A2667" s="1">
        <f>HYPERLINK("https://cms.ls-nyc.org/matter/dynamic-profile/view/1898989","19-1898989")</f>
        <v>0</v>
      </c>
      <c r="B2667" t="s">
        <v>9</v>
      </c>
      <c r="E2667" t="s">
        <v>16</v>
      </c>
      <c r="F2667" t="s">
        <v>17</v>
      </c>
      <c r="H2667" t="s">
        <v>20</v>
      </c>
    </row>
    <row r="2668" spans="1:8">
      <c r="A2668" s="1">
        <f>HYPERLINK("https://cms.ls-nyc.org/matter/dynamic-profile/view/1896200","19-1896200")</f>
        <v>0</v>
      </c>
      <c r="B2668" t="s">
        <v>9</v>
      </c>
      <c r="H2668" t="s">
        <v>19</v>
      </c>
    </row>
    <row r="2669" spans="1:8">
      <c r="A2669" s="1">
        <f>HYPERLINK("https://cms.ls-nyc.org/matter/dynamic-profile/view/1850317","17-1850317")</f>
        <v>0</v>
      </c>
      <c r="B2669" t="s">
        <v>9</v>
      </c>
      <c r="D2669" t="s">
        <v>15</v>
      </c>
      <c r="E2669" t="s">
        <v>16</v>
      </c>
      <c r="H2669" t="s">
        <v>20</v>
      </c>
    </row>
    <row r="2670" spans="1:8">
      <c r="A2670" s="1">
        <f>HYPERLINK("https://cms.ls-nyc.org/matter/dynamic-profile/view/1878708","18-1878708")</f>
        <v>0</v>
      </c>
      <c r="B2670" t="s">
        <v>8</v>
      </c>
      <c r="H2670" t="s">
        <v>19</v>
      </c>
    </row>
    <row r="2671" spans="1:8">
      <c r="A2671" s="1">
        <f>HYPERLINK("https://cms.ls-nyc.org/matter/dynamic-profile/view/1901246","19-1901246")</f>
        <v>0</v>
      </c>
      <c r="B2671" t="s">
        <v>12</v>
      </c>
      <c r="H2671" t="s">
        <v>19</v>
      </c>
    </row>
    <row r="2672" spans="1:8">
      <c r="A2672" s="1">
        <f>HYPERLINK("https://cms.ls-nyc.org/matter/dynamic-profile/view/1883207","18-1883207")</f>
        <v>0</v>
      </c>
      <c r="B2672" t="s">
        <v>9</v>
      </c>
      <c r="C2672" t="s">
        <v>13</v>
      </c>
      <c r="D2672" t="s">
        <v>14</v>
      </c>
      <c r="E2672" t="s">
        <v>16</v>
      </c>
      <c r="G2672" t="s">
        <v>18</v>
      </c>
      <c r="H2672" t="s">
        <v>20</v>
      </c>
    </row>
    <row r="2673" spans="1:8">
      <c r="A2673" s="1">
        <f>HYPERLINK("https://cms.ls-nyc.org/matter/dynamic-profile/view/0802598","16-0802598")</f>
        <v>0</v>
      </c>
      <c r="B2673" t="s">
        <v>10</v>
      </c>
      <c r="D2673" t="s">
        <v>15</v>
      </c>
      <c r="E2673" t="s">
        <v>16</v>
      </c>
      <c r="H2673" t="s">
        <v>20</v>
      </c>
    </row>
    <row r="2674" spans="1:8">
      <c r="A2674" s="1">
        <f>HYPERLINK("https://cms.ls-nyc.org/matter/dynamic-profile/view/0820488","16-0820488")</f>
        <v>0</v>
      </c>
      <c r="B2674" t="s">
        <v>10</v>
      </c>
      <c r="D2674" t="s">
        <v>15</v>
      </c>
      <c r="E2674" t="s">
        <v>16</v>
      </c>
      <c r="H2674" t="s">
        <v>20</v>
      </c>
    </row>
    <row r="2675" spans="1:8">
      <c r="A2675" s="1">
        <f>HYPERLINK("https://cms.ls-nyc.org/matter/dynamic-profile/view/1901083","19-1901083")</f>
        <v>0</v>
      </c>
      <c r="B2675" t="s">
        <v>9</v>
      </c>
      <c r="H2675" t="s">
        <v>19</v>
      </c>
    </row>
    <row r="2676" spans="1:8">
      <c r="A2676" s="1">
        <f>HYPERLINK("https://cms.ls-nyc.org/matter/dynamic-profile/view/1895283","19-1895283")</f>
        <v>0</v>
      </c>
      <c r="B2676" t="s">
        <v>9</v>
      </c>
      <c r="C2676" t="s">
        <v>13</v>
      </c>
      <c r="D2676" t="s">
        <v>14</v>
      </c>
      <c r="E2676" t="s">
        <v>16</v>
      </c>
      <c r="F2676" t="s">
        <v>17</v>
      </c>
      <c r="H2676" t="s">
        <v>20</v>
      </c>
    </row>
    <row r="2677" spans="1:8">
      <c r="A2677" s="1">
        <f>HYPERLINK("https://cms.ls-nyc.org/matter/dynamic-profile/view/1901077","19-1901077")</f>
        <v>0</v>
      </c>
      <c r="B2677" t="s">
        <v>9</v>
      </c>
      <c r="F2677" t="s">
        <v>17</v>
      </c>
      <c r="H2677" t="s">
        <v>20</v>
      </c>
    </row>
    <row r="2678" spans="1:8">
      <c r="A2678" s="1">
        <f>HYPERLINK("https://cms.ls-nyc.org/matter/dynamic-profile/view/0789072","15-0789072")</f>
        <v>0</v>
      </c>
      <c r="B2678" t="s">
        <v>10</v>
      </c>
      <c r="D2678" t="s">
        <v>15</v>
      </c>
      <c r="E2678" t="s">
        <v>16</v>
      </c>
      <c r="H2678" t="s">
        <v>20</v>
      </c>
    </row>
    <row r="2679" spans="1:8">
      <c r="A2679" s="1">
        <f>HYPERLINK("https://cms.ls-nyc.org/matter/dynamic-profile/view/1836743","17-1836743")</f>
        <v>0</v>
      </c>
      <c r="B2679" t="s">
        <v>12</v>
      </c>
      <c r="D2679" t="s">
        <v>15</v>
      </c>
      <c r="E2679" t="s">
        <v>16</v>
      </c>
      <c r="H2679" t="s">
        <v>20</v>
      </c>
    </row>
    <row r="2680" spans="1:8">
      <c r="A2680" s="1">
        <f>HYPERLINK("https://cms.ls-nyc.org/matter/dynamic-profile/view/1841593","17-1841593")</f>
        <v>0</v>
      </c>
      <c r="B2680" t="s">
        <v>9</v>
      </c>
      <c r="D2680" t="s">
        <v>15</v>
      </c>
      <c r="E2680" t="s">
        <v>16</v>
      </c>
      <c r="F2680" t="s">
        <v>17</v>
      </c>
      <c r="H2680" t="s">
        <v>20</v>
      </c>
    </row>
    <row r="2681" spans="1:8">
      <c r="A2681" s="1">
        <f>HYPERLINK("https://cms.ls-nyc.org/matter/dynamic-profile/view/1895050","19-1895050")</f>
        <v>0</v>
      </c>
      <c r="B2681" t="s">
        <v>12</v>
      </c>
      <c r="H2681" t="s">
        <v>19</v>
      </c>
    </row>
    <row r="2682" spans="1:8">
      <c r="A2682" s="1">
        <f>HYPERLINK("https://cms.ls-nyc.org/matter/dynamic-profile/view/1892416","19-1892416")</f>
        <v>0</v>
      </c>
      <c r="B2682" t="s">
        <v>9</v>
      </c>
      <c r="F2682" t="s">
        <v>17</v>
      </c>
      <c r="H2682" t="s">
        <v>20</v>
      </c>
    </row>
    <row r="2683" spans="1:8">
      <c r="A2683" s="1">
        <f>HYPERLINK("https://cms.ls-nyc.org/matter/dynamic-profile/view/1897336","19-1897336")</f>
        <v>0</v>
      </c>
      <c r="B2683" t="s">
        <v>8</v>
      </c>
      <c r="H2683" t="s">
        <v>19</v>
      </c>
    </row>
    <row r="2684" spans="1:8">
      <c r="A2684" s="1">
        <f>HYPERLINK("https://cms.ls-nyc.org/matter/dynamic-profile/view/1834387","17-1834387")</f>
        <v>0</v>
      </c>
      <c r="B2684" t="s">
        <v>12</v>
      </c>
      <c r="D2684" t="s">
        <v>15</v>
      </c>
      <c r="E2684" t="s">
        <v>16</v>
      </c>
      <c r="H2684" t="s">
        <v>20</v>
      </c>
    </row>
    <row r="2685" spans="1:8">
      <c r="A2685" s="1">
        <f>HYPERLINK("https://cms.ls-nyc.org/matter/dynamic-profile/view/1899226","19-1899226")</f>
        <v>0</v>
      </c>
      <c r="B2685" t="s">
        <v>8</v>
      </c>
      <c r="H2685" t="s">
        <v>19</v>
      </c>
    </row>
    <row r="2686" spans="1:8">
      <c r="A2686" s="1">
        <f>HYPERLINK("https://cms.ls-nyc.org/matter/dynamic-profile/view/1871601","18-1871601")</f>
        <v>0</v>
      </c>
      <c r="B2686" t="s">
        <v>9</v>
      </c>
      <c r="H2686" t="s">
        <v>19</v>
      </c>
    </row>
    <row r="2687" spans="1:8">
      <c r="A2687" s="1">
        <f>HYPERLINK("https://cms.ls-nyc.org/matter/dynamic-profile/view/1854898","17-1854898")</f>
        <v>0</v>
      </c>
      <c r="B2687" t="s">
        <v>10</v>
      </c>
      <c r="D2687" t="s">
        <v>15</v>
      </c>
      <c r="E2687" t="s">
        <v>16</v>
      </c>
      <c r="H2687" t="s">
        <v>20</v>
      </c>
    </row>
    <row r="2688" spans="1:8">
      <c r="A2688" s="1">
        <f>HYPERLINK("https://cms.ls-nyc.org/matter/dynamic-profile/view/1855288","18-1855288")</f>
        <v>0</v>
      </c>
      <c r="B2688" t="s">
        <v>10</v>
      </c>
      <c r="D2688" t="s">
        <v>15</v>
      </c>
      <c r="E2688" t="s">
        <v>16</v>
      </c>
      <c r="H2688" t="s">
        <v>20</v>
      </c>
    </row>
    <row r="2689" spans="1:8">
      <c r="A2689" s="1">
        <f>HYPERLINK("https://cms.ls-nyc.org/matter/dynamic-profile/view/0799507","16-0799507")</f>
        <v>0</v>
      </c>
      <c r="B2689" t="s">
        <v>9</v>
      </c>
      <c r="D2689" t="s">
        <v>15</v>
      </c>
      <c r="E2689" t="s">
        <v>16</v>
      </c>
      <c r="H2689" t="s">
        <v>20</v>
      </c>
    </row>
    <row r="2690" spans="1:8">
      <c r="A2690" s="1">
        <f>HYPERLINK("https://cms.ls-nyc.org/matter/dynamic-profile/view/0801403","16-0801403")</f>
        <v>0</v>
      </c>
      <c r="B2690" t="s">
        <v>9</v>
      </c>
      <c r="D2690" t="s">
        <v>15</v>
      </c>
      <c r="E2690" t="s">
        <v>16</v>
      </c>
      <c r="H2690" t="s">
        <v>20</v>
      </c>
    </row>
    <row r="2691" spans="1:8">
      <c r="A2691" s="1">
        <f>HYPERLINK("https://cms.ls-nyc.org/matter/dynamic-profile/view/1833880","17-1833880")</f>
        <v>0</v>
      </c>
      <c r="B2691" t="s">
        <v>8</v>
      </c>
      <c r="C2691" t="s">
        <v>13</v>
      </c>
      <c r="D2691" t="s">
        <v>14</v>
      </c>
      <c r="E2691" t="s">
        <v>16</v>
      </c>
      <c r="H2691" t="s">
        <v>20</v>
      </c>
    </row>
    <row r="2692" spans="1:8">
      <c r="A2692" s="1">
        <f>HYPERLINK("https://cms.ls-nyc.org/matter/dynamic-profile/view/1870088","18-1870088")</f>
        <v>0</v>
      </c>
      <c r="B2692" t="s">
        <v>12</v>
      </c>
      <c r="H2692" t="s">
        <v>19</v>
      </c>
    </row>
    <row r="2693" spans="1:8">
      <c r="A2693" s="1">
        <f>HYPERLINK("https://cms.ls-nyc.org/matter/dynamic-profile/view/0823816","17-0823816")</f>
        <v>0</v>
      </c>
      <c r="B2693" t="s">
        <v>9</v>
      </c>
      <c r="D2693" t="s">
        <v>15</v>
      </c>
      <c r="E2693" t="s">
        <v>16</v>
      </c>
      <c r="H2693" t="s">
        <v>20</v>
      </c>
    </row>
    <row r="2694" spans="1:8">
      <c r="A2694" s="1">
        <f>HYPERLINK("https://cms.ls-nyc.org/matter/dynamic-profile/view/1871037","18-1871037")</f>
        <v>0</v>
      </c>
      <c r="B2694" t="s">
        <v>11</v>
      </c>
      <c r="H2694" t="s">
        <v>19</v>
      </c>
    </row>
    <row r="2695" spans="1:8">
      <c r="A2695" s="1">
        <f>HYPERLINK("https://cms.ls-nyc.org/matter/dynamic-profile/view/1848822","17-1848822")</f>
        <v>0</v>
      </c>
      <c r="B2695" t="s">
        <v>10</v>
      </c>
      <c r="D2695" t="s">
        <v>15</v>
      </c>
      <c r="E2695" t="s">
        <v>16</v>
      </c>
      <c r="H2695" t="s">
        <v>20</v>
      </c>
    </row>
    <row r="2696" spans="1:8">
      <c r="A2696" s="1">
        <f>HYPERLINK("https://cms.ls-nyc.org/matter/dynamic-profile/view/1892616","19-1892616")</f>
        <v>0</v>
      </c>
      <c r="B2696" t="s">
        <v>9</v>
      </c>
      <c r="H2696" t="s">
        <v>19</v>
      </c>
    </row>
    <row r="2697" spans="1:8">
      <c r="A2697" s="1">
        <f>HYPERLINK("https://cms.ls-nyc.org/matter/dynamic-profile/view/0830528","17-0830528")</f>
        <v>0</v>
      </c>
      <c r="B2697" t="s">
        <v>12</v>
      </c>
      <c r="C2697" t="s">
        <v>13</v>
      </c>
      <c r="D2697" t="s">
        <v>15</v>
      </c>
      <c r="E2697" t="s">
        <v>16</v>
      </c>
      <c r="H2697" t="s">
        <v>20</v>
      </c>
    </row>
    <row r="2698" spans="1:8">
      <c r="A2698" s="1">
        <f>HYPERLINK("https://cms.ls-nyc.org/matter/dynamic-profile/view/1856019","18-1856019")</f>
        <v>0</v>
      </c>
      <c r="B2698" t="s">
        <v>9</v>
      </c>
      <c r="D2698" t="s">
        <v>15</v>
      </c>
      <c r="E2698" t="s">
        <v>16</v>
      </c>
      <c r="H2698" t="s">
        <v>20</v>
      </c>
    </row>
    <row r="2699" spans="1:8">
      <c r="A2699" s="1">
        <f>HYPERLINK("https://cms.ls-nyc.org/matter/dynamic-profile/view/1864516","18-1864516")</f>
        <v>0</v>
      </c>
      <c r="B2699" t="s">
        <v>12</v>
      </c>
      <c r="D2699" t="s">
        <v>15</v>
      </c>
      <c r="H2699" t="s">
        <v>20</v>
      </c>
    </row>
    <row r="2700" spans="1:8">
      <c r="A2700" s="1">
        <f>HYPERLINK("https://cms.ls-nyc.org/matter/dynamic-profile/view/1896498","19-1896498")</f>
        <v>0</v>
      </c>
      <c r="B2700" t="s">
        <v>9</v>
      </c>
      <c r="H2700" t="s">
        <v>19</v>
      </c>
    </row>
    <row r="2701" spans="1:8">
      <c r="A2701" s="1">
        <f>HYPERLINK("https://cms.ls-nyc.org/matter/dynamic-profile/view/1890026","19-1890026")</f>
        <v>0</v>
      </c>
      <c r="B2701" t="s">
        <v>10</v>
      </c>
      <c r="H2701" t="s">
        <v>19</v>
      </c>
    </row>
    <row r="2702" spans="1:8">
      <c r="A2702" s="1">
        <f>HYPERLINK("https://cms.ls-nyc.org/matter/dynamic-profile/view/1894094","19-1894094")</f>
        <v>0</v>
      </c>
      <c r="B2702" t="s">
        <v>10</v>
      </c>
      <c r="F2702" t="s">
        <v>17</v>
      </c>
      <c r="H2702" t="s">
        <v>20</v>
      </c>
    </row>
    <row r="2703" spans="1:8">
      <c r="A2703" s="1">
        <f>HYPERLINK("https://cms.ls-nyc.org/matter/dynamic-profile/view/1857037","18-1857037")</f>
        <v>0</v>
      </c>
      <c r="B2703" t="s">
        <v>10</v>
      </c>
      <c r="D2703" t="s">
        <v>15</v>
      </c>
      <c r="E2703" t="s">
        <v>16</v>
      </c>
      <c r="H2703" t="s">
        <v>20</v>
      </c>
    </row>
    <row r="2704" spans="1:8">
      <c r="A2704" s="1">
        <f>HYPERLINK("https://cms.ls-nyc.org/matter/dynamic-profile/view/1889124","19-1889124")</f>
        <v>0</v>
      </c>
      <c r="B2704" t="s">
        <v>11</v>
      </c>
      <c r="C2704" t="s">
        <v>13</v>
      </c>
      <c r="H2704" t="s">
        <v>20</v>
      </c>
    </row>
    <row r="2705" spans="1:8">
      <c r="A2705" s="1">
        <f>HYPERLINK("https://cms.ls-nyc.org/matter/dynamic-profile/view/1862894","18-1862894")</f>
        <v>0</v>
      </c>
      <c r="B2705" t="s">
        <v>9</v>
      </c>
      <c r="D2705" t="s">
        <v>15</v>
      </c>
      <c r="E2705" t="s">
        <v>16</v>
      </c>
      <c r="F2705" t="s">
        <v>17</v>
      </c>
      <c r="H2705" t="s">
        <v>20</v>
      </c>
    </row>
    <row r="2706" spans="1:8">
      <c r="A2706" s="1">
        <f>HYPERLINK("https://cms.ls-nyc.org/matter/dynamic-profile/view/1879874","18-1879874")</f>
        <v>0</v>
      </c>
      <c r="B2706" t="s">
        <v>10</v>
      </c>
      <c r="C2706" t="s">
        <v>13</v>
      </c>
      <c r="D2706" t="s">
        <v>14</v>
      </c>
      <c r="E2706" t="s">
        <v>16</v>
      </c>
      <c r="H2706" t="s">
        <v>20</v>
      </c>
    </row>
    <row r="2707" spans="1:8">
      <c r="A2707" s="1">
        <f>HYPERLINK("https://cms.ls-nyc.org/matter/dynamic-profile/view/1846792","17-1846792")</f>
        <v>0</v>
      </c>
      <c r="B2707" t="s">
        <v>10</v>
      </c>
      <c r="D2707" t="s">
        <v>15</v>
      </c>
      <c r="E2707" t="s">
        <v>16</v>
      </c>
      <c r="H2707" t="s">
        <v>20</v>
      </c>
    </row>
    <row r="2708" spans="1:8">
      <c r="A2708" s="1">
        <f>HYPERLINK("https://cms.ls-nyc.org/matter/dynamic-profile/view/1867765","18-1867765")</f>
        <v>0</v>
      </c>
      <c r="B2708" t="s">
        <v>12</v>
      </c>
      <c r="C2708" t="s">
        <v>13</v>
      </c>
      <c r="D2708" t="s">
        <v>14</v>
      </c>
      <c r="E2708" t="s">
        <v>16</v>
      </c>
      <c r="G2708" t="s">
        <v>18</v>
      </c>
      <c r="H2708" t="s">
        <v>20</v>
      </c>
    </row>
    <row r="2709" spans="1:8">
      <c r="A2709" s="1">
        <f>HYPERLINK("https://cms.ls-nyc.org/matter/dynamic-profile/view/1881139","18-1881139")</f>
        <v>0</v>
      </c>
      <c r="B2709" t="s">
        <v>9</v>
      </c>
      <c r="D2709" t="s">
        <v>15</v>
      </c>
      <c r="F2709" t="s">
        <v>17</v>
      </c>
      <c r="H2709" t="s">
        <v>20</v>
      </c>
    </row>
    <row r="2710" spans="1:8">
      <c r="A2710" s="1">
        <f>HYPERLINK("https://cms.ls-nyc.org/matter/dynamic-profile/view/1846641","17-1846641")</f>
        <v>0</v>
      </c>
      <c r="B2710" t="s">
        <v>12</v>
      </c>
      <c r="D2710" t="s">
        <v>15</v>
      </c>
      <c r="E2710" t="s">
        <v>16</v>
      </c>
      <c r="H2710" t="s">
        <v>20</v>
      </c>
    </row>
    <row r="2711" spans="1:8">
      <c r="A2711" s="1">
        <f>HYPERLINK("https://cms.ls-nyc.org/matter/dynamic-profile/view/1863655","18-1863655")</f>
        <v>0</v>
      </c>
      <c r="B2711" t="s">
        <v>12</v>
      </c>
      <c r="D2711" t="s">
        <v>15</v>
      </c>
      <c r="E2711" t="s">
        <v>16</v>
      </c>
      <c r="H2711" t="s">
        <v>20</v>
      </c>
    </row>
    <row r="2712" spans="1:8">
      <c r="A2712" s="1">
        <f>HYPERLINK("https://cms.ls-nyc.org/matter/dynamic-profile/view/1880942","18-1880942")</f>
        <v>0</v>
      </c>
      <c r="B2712" t="s">
        <v>8</v>
      </c>
      <c r="H2712" t="s">
        <v>19</v>
      </c>
    </row>
    <row r="2713" spans="1:8">
      <c r="A2713" s="1">
        <f>HYPERLINK("https://cms.ls-nyc.org/matter/dynamic-profile/view/1885139","18-1885139")</f>
        <v>0</v>
      </c>
      <c r="B2713" t="s">
        <v>8</v>
      </c>
      <c r="H2713" t="s">
        <v>19</v>
      </c>
    </row>
    <row r="2714" spans="1:8">
      <c r="A2714" s="1">
        <f>HYPERLINK("https://cms.ls-nyc.org/matter/dynamic-profile/view/1885142","18-1885142")</f>
        <v>0</v>
      </c>
      <c r="B2714" t="s">
        <v>8</v>
      </c>
      <c r="H2714" t="s">
        <v>19</v>
      </c>
    </row>
    <row r="2715" spans="1:8">
      <c r="A2715" s="1">
        <f>HYPERLINK("https://cms.ls-nyc.org/matter/dynamic-profile/view/1871558","18-1871558")</f>
        <v>0</v>
      </c>
      <c r="B2715" t="s">
        <v>9</v>
      </c>
      <c r="D2715" t="s">
        <v>15</v>
      </c>
      <c r="E2715" t="s">
        <v>16</v>
      </c>
      <c r="H2715" t="s">
        <v>20</v>
      </c>
    </row>
    <row r="2716" spans="1:8">
      <c r="A2716" s="1">
        <f>HYPERLINK("https://cms.ls-nyc.org/matter/dynamic-profile/view/1867280","18-1867280")</f>
        <v>0</v>
      </c>
      <c r="B2716" t="s">
        <v>9</v>
      </c>
      <c r="D2716" t="s">
        <v>15</v>
      </c>
      <c r="E2716" t="s">
        <v>16</v>
      </c>
      <c r="H2716" t="s">
        <v>20</v>
      </c>
    </row>
    <row r="2717" spans="1:8">
      <c r="A2717" s="1">
        <f>HYPERLINK("https://cms.ls-nyc.org/matter/dynamic-profile/view/1880120","18-1880120")</f>
        <v>0</v>
      </c>
      <c r="B2717" t="s">
        <v>12</v>
      </c>
      <c r="H2717" t="s">
        <v>19</v>
      </c>
    </row>
    <row r="2718" spans="1:8">
      <c r="A2718" s="1">
        <f>HYPERLINK("https://cms.ls-nyc.org/matter/dynamic-profile/view/1874697","18-1874697")</f>
        <v>0</v>
      </c>
      <c r="B2718" t="s">
        <v>12</v>
      </c>
      <c r="H2718" t="s">
        <v>19</v>
      </c>
    </row>
    <row r="2719" spans="1:8">
      <c r="A2719" s="1">
        <f>HYPERLINK("https://cms.ls-nyc.org/matter/dynamic-profile/view/1899389","19-1899389")</f>
        <v>0</v>
      </c>
      <c r="B2719" t="s">
        <v>8</v>
      </c>
      <c r="E2719" t="s">
        <v>16</v>
      </c>
      <c r="F2719" t="s">
        <v>17</v>
      </c>
      <c r="H2719" t="s">
        <v>20</v>
      </c>
    </row>
    <row r="2720" spans="1:8">
      <c r="A2720" s="1">
        <f>HYPERLINK("https://cms.ls-nyc.org/matter/dynamic-profile/view/1881670","18-1881670")</f>
        <v>0</v>
      </c>
      <c r="B2720" t="s">
        <v>10</v>
      </c>
      <c r="H2720" t="s">
        <v>19</v>
      </c>
    </row>
    <row r="2721" spans="1:8">
      <c r="A2721" s="1">
        <f>HYPERLINK("https://cms.ls-nyc.org/matter/dynamic-profile/view/1874429","18-1874429")</f>
        <v>0</v>
      </c>
      <c r="B2721" t="s">
        <v>12</v>
      </c>
      <c r="F2721" t="s">
        <v>17</v>
      </c>
      <c r="H2721" t="s">
        <v>20</v>
      </c>
    </row>
    <row r="2722" spans="1:8">
      <c r="A2722" s="1">
        <f>HYPERLINK("https://cms.ls-nyc.org/matter/dynamic-profile/view/1879783","18-1879783")</f>
        <v>0</v>
      </c>
      <c r="B2722" t="s">
        <v>8</v>
      </c>
      <c r="C2722" t="s">
        <v>13</v>
      </c>
      <c r="D2722" t="s">
        <v>14</v>
      </c>
      <c r="E2722" t="s">
        <v>16</v>
      </c>
      <c r="H2722" t="s">
        <v>20</v>
      </c>
    </row>
    <row r="2723" spans="1:8">
      <c r="A2723" s="1">
        <f>HYPERLINK("https://cms.ls-nyc.org/matter/dynamic-profile/view/1883332","18-1883332")</f>
        <v>0</v>
      </c>
      <c r="B2723" t="s">
        <v>9</v>
      </c>
      <c r="C2723" t="s">
        <v>13</v>
      </c>
      <c r="D2723" t="s">
        <v>14</v>
      </c>
      <c r="E2723" t="s">
        <v>16</v>
      </c>
      <c r="F2723" t="s">
        <v>17</v>
      </c>
      <c r="G2723" t="s">
        <v>18</v>
      </c>
      <c r="H2723" t="s">
        <v>20</v>
      </c>
    </row>
    <row r="2724" spans="1:8">
      <c r="A2724" s="1">
        <f>HYPERLINK("https://cms.ls-nyc.org/matter/dynamic-profile/view/0799254","16-0799254")</f>
        <v>0</v>
      </c>
      <c r="B2724" t="s">
        <v>10</v>
      </c>
      <c r="D2724" t="s">
        <v>15</v>
      </c>
      <c r="E2724" t="s">
        <v>16</v>
      </c>
      <c r="H2724" t="s">
        <v>20</v>
      </c>
    </row>
    <row r="2725" spans="1:8">
      <c r="A2725" s="1">
        <f>HYPERLINK("https://cms.ls-nyc.org/matter/dynamic-profile/view/0817111","16-0817111")</f>
        <v>0</v>
      </c>
      <c r="B2725" t="s">
        <v>10</v>
      </c>
      <c r="D2725" t="s">
        <v>15</v>
      </c>
      <c r="E2725" t="s">
        <v>16</v>
      </c>
      <c r="H2725" t="s">
        <v>20</v>
      </c>
    </row>
    <row r="2726" spans="1:8">
      <c r="A2726" s="1">
        <f>HYPERLINK("https://cms.ls-nyc.org/matter/dynamic-profile/view/0822622","16-0822622")</f>
        <v>0</v>
      </c>
      <c r="B2726" t="s">
        <v>10</v>
      </c>
      <c r="D2726" t="s">
        <v>15</v>
      </c>
      <c r="E2726" t="s">
        <v>16</v>
      </c>
      <c r="H2726" t="s">
        <v>20</v>
      </c>
    </row>
    <row r="2727" spans="1:8">
      <c r="A2727" s="1">
        <f>HYPERLINK("https://cms.ls-nyc.org/matter/dynamic-profile/view/1899074","19-1899074")</f>
        <v>0</v>
      </c>
      <c r="B2727" t="s">
        <v>9</v>
      </c>
      <c r="H2727" t="s">
        <v>19</v>
      </c>
    </row>
    <row r="2728" spans="1:8">
      <c r="A2728" s="1">
        <f>HYPERLINK("https://cms.ls-nyc.org/matter/dynamic-profile/view/1900959","19-1900959")</f>
        <v>0</v>
      </c>
      <c r="B2728" t="s">
        <v>9</v>
      </c>
      <c r="H2728" t="s">
        <v>19</v>
      </c>
    </row>
    <row r="2729" spans="1:8">
      <c r="A2729" s="1">
        <f>HYPERLINK("https://cms.ls-nyc.org/matter/dynamic-profile/view/0800537","16-0800537")</f>
        <v>0</v>
      </c>
      <c r="B2729" t="s">
        <v>9</v>
      </c>
      <c r="D2729" t="s">
        <v>15</v>
      </c>
      <c r="E2729" t="s">
        <v>16</v>
      </c>
      <c r="H2729" t="s">
        <v>20</v>
      </c>
    </row>
    <row r="2730" spans="1:8">
      <c r="A2730" s="1">
        <f>HYPERLINK("https://cms.ls-nyc.org/matter/dynamic-profile/view/1861644","18-1861644")</f>
        <v>0</v>
      </c>
      <c r="B2730" t="s">
        <v>9</v>
      </c>
      <c r="C2730" t="s">
        <v>13</v>
      </c>
      <c r="D2730" t="s">
        <v>15</v>
      </c>
      <c r="E2730" t="s">
        <v>16</v>
      </c>
      <c r="H2730" t="s">
        <v>20</v>
      </c>
    </row>
    <row r="2731" spans="1:8">
      <c r="A2731" s="1">
        <f>HYPERLINK("https://cms.ls-nyc.org/matter/dynamic-profile/view/1874680","18-1874680")</f>
        <v>0</v>
      </c>
      <c r="B2731" t="s">
        <v>9</v>
      </c>
      <c r="C2731" t="s">
        <v>13</v>
      </c>
      <c r="D2731" t="s">
        <v>14</v>
      </c>
      <c r="E2731" t="s">
        <v>16</v>
      </c>
      <c r="H2731" t="s">
        <v>20</v>
      </c>
    </row>
    <row r="2732" spans="1:8">
      <c r="A2732" s="1">
        <f>HYPERLINK("https://cms.ls-nyc.org/matter/dynamic-profile/view/1887933","19-1887933")</f>
        <v>0</v>
      </c>
      <c r="B2732" t="s">
        <v>12</v>
      </c>
      <c r="H2732" t="s">
        <v>19</v>
      </c>
    </row>
    <row r="2733" spans="1:8">
      <c r="A2733" s="1">
        <f>HYPERLINK("https://cms.ls-nyc.org/matter/dynamic-profile/view/0825210","17-0825210")</f>
        <v>0</v>
      </c>
      <c r="B2733" t="s">
        <v>12</v>
      </c>
      <c r="D2733" t="s">
        <v>15</v>
      </c>
      <c r="E2733" t="s">
        <v>16</v>
      </c>
      <c r="H2733" t="s">
        <v>20</v>
      </c>
    </row>
    <row r="2734" spans="1:8">
      <c r="A2734" s="1">
        <f>HYPERLINK("https://cms.ls-nyc.org/matter/dynamic-profile/view/1871759","18-1871759")</f>
        <v>0</v>
      </c>
      <c r="B2734" t="s">
        <v>9</v>
      </c>
      <c r="D2734" t="s">
        <v>15</v>
      </c>
      <c r="E2734" t="s">
        <v>16</v>
      </c>
      <c r="H2734" t="s">
        <v>20</v>
      </c>
    </row>
    <row r="2735" spans="1:8">
      <c r="A2735" s="1">
        <f>HYPERLINK("https://cms.ls-nyc.org/matter/dynamic-profile/view/1899021","19-1899021")</f>
        <v>0</v>
      </c>
      <c r="B2735" t="s">
        <v>10</v>
      </c>
      <c r="C2735" t="s">
        <v>13</v>
      </c>
      <c r="D2735" t="s">
        <v>14</v>
      </c>
      <c r="E2735" t="s">
        <v>16</v>
      </c>
      <c r="F2735" t="s">
        <v>17</v>
      </c>
      <c r="H2735" t="s">
        <v>20</v>
      </c>
    </row>
    <row r="2736" spans="1:8">
      <c r="A2736" s="1">
        <f>HYPERLINK("https://cms.ls-nyc.org/matter/dynamic-profile/view/1837430","17-1837430")</f>
        <v>0</v>
      </c>
      <c r="B2736" t="s">
        <v>9</v>
      </c>
      <c r="D2736" t="s">
        <v>15</v>
      </c>
      <c r="E2736" t="s">
        <v>16</v>
      </c>
      <c r="H2736" t="s">
        <v>20</v>
      </c>
    </row>
    <row r="2737" spans="1:8">
      <c r="A2737" s="1">
        <f>HYPERLINK("https://cms.ls-nyc.org/matter/dynamic-profile/view/0828915","17-0828915")</f>
        <v>0</v>
      </c>
      <c r="B2737" t="s">
        <v>9</v>
      </c>
      <c r="D2737" t="s">
        <v>15</v>
      </c>
      <c r="E2737" t="s">
        <v>16</v>
      </c>
      <c r="H2737" t="s">
        <v>20</v>
      </c>
    </row>
    <row r="2738" spans="1:8">
      <c r="A2738" s="1">
        <f>HYPERLINK("https://cms.ls-nyc.org/matter/dynamic-profile/view/1836079","17-1836079")</f>
        <v>0</v>
      </c>
      <c r="B2738" t="s">
        <v>9</v>
      </c>
      <c r="D2738" t="s">
        <v>15</v>
      </c>
      <c r="E2738" t="s">
        <v>16</v>
      </c>
      <c r="H2738" t="s">
        <v>20</v>
      </c>
    </row>
    <row r="2739" spans="1:8">
      <c r="A2739" s="1">
        <f>HYPERLINK("https://cms.ls-nyc.org/matter/dynamic-profile/view/1847733","17-1847733")</f>
        <v>0</v>
      </c>
      <c r="B2739" t="s">
        <v>9</v>
      </c>
      <c r="D2739" t="s">
        <v>15</v>
      </c>
      <c r="E2739" t="s">
        <v>16</v>
      </c>
      <c r="H2739" t="s">
        <v>20</v>
      </c>
    </row>
    <row r="2740" spans="1:8">
      <c r="A2740" s="1">
        <f>HYPERLINK("https://cms.ls-nyc.org/matter/dynamic-profile/view/1842887","17-1842887")</f>
        <v>0</v>
      </c>
      <c r="B2740" t="s">
        <v>11</v>
      </c>
      <c r="D2740" t="s">
        <v>15</v>
      </c>
      <c r="E2740" t="s">
        <v>16</v>
      </c>
      <c r="H2740" t="s">
        <v>20</v>
      </c>
    </row>
    <row r="2741" spans="1:8">
      <c r="A2741" s="1">
        <f>HYPERLINK("https://cms.ls-nyc.org/matter/dynamic-profile/view/0826987","17-0826987")</f>
        <v>0</v>
      </c>
      <c r="B2741" t="s">
        <v>12</v>
      </c>
      <c r="D2741" t="s">
        <v>15</v>
      </c>
      <c r="E2741" t="s">
        <v>16</v>
      </c>
      <c r="H2741" t="s">
        <v>20</v>
      </c>
    </row>
    <row r="2742" spans="1:8">
      <c r="A2742" s="1">
        <f>HYPERLINK("https://cms.ls-nyc.org/matter/dynamic-profile/view/0789844","15-0789844")</f>
        <v>0</v>
      </c>
      <c r="B2742" t="s">
        <v>8</v>
      </c>
      <c r="D2742" t="s">
        <v>15</v>
      </c>
      <c r="E2742" t="s">
        <v>16</v>
      </c>
      <c r="H2742" t="s">
        <v>20</v>
      </c>
    </row>
    <row r="2743" spans="1:8">
      <c r="A2743" s="1">
        <f>HYPERLINK("https://cms.ls-nyc.org/matter/dynamic-profile/view/1835437","17-1835437")</f>
        <v>0</v>
      </c>
      <c r="B2743" t="s">
        <v>12</v>
      </c>
      <c r="C2743" t="s">
        <v>13</v>
      </c>
      <c r="D2743" t="s">
        <v>15</v>
      </c>
      <c r="E2743" t="s">
        <v>16</v>
      </c>
      <c r="H2743" t="s">
        <v>20</v>
      </c>
    </row>
    <row r="2744" spans="1:8">
      <c r="A2744" s="1">
        <f>HYPERLINK("https://cms.ls-nyc.org/matter/dynamic-profile/view/1884481","18-1884481")</f>
        <v>0</v>
      </c>
      <c r="B2744" t="s">
        <v>10</v>
      </c>
      <c r="C2744" t="s">
        <v>13</v>
      </c>
      <c r="D2744" t="s">
        <v>14</v>
      </c>
      <c r="E2744" t="s">
        <v>16</v>
      </c>
      <c r="H2744" t="s">
        <v>20</v>
      </c>
    </row>
    <row r="2745" spans="1:8">
      <c r="A2745" s="1">
        <f>HYPERLINK("https://cms.ls-nyc.org/matter/dynamic-profile/view/1879125","18-1879125")</f>
        <v>0</v>
      </c>
      <c r="B2745" t="s">
        <v>9</v>
      </c>
      <c r="H2745" t="s">
        <v>19</v>
      </c>
    </row>
    <row r="2746" spans="1:8">
      <c r="A2746" s="1">
        <f>HYPERLINK("https://cms.ls-nyc.org/matter/dynamic-profile/view/1887700","19-1887700")</f>
        <v>0</v>
      </c>
      <c r="B2746" t="s">
        <v>10</v>
      </c>
      <c r="D2746" t="s">
        <v>14</v>
      </c>
      <c r="H2746" t="s">
        <v>20</v>
      </c>
    </row>
    <row r="2747" spans="1:8">
      <c r="A2747" s="1">
        <f>HYPERLINK("https://cms.ls-nyc.org/matter/dynamic-profile/view/0789450","15-0789450")</f>
        <v>0</v>
      </c>
      <c r="B2747" t="s">
        <v>10</v>
      </c>
      <c r="D2747" t="s">
        <v>15</v>
      </c>
      <c r="E2747" t="s">
        <v>16</v>
      </c>
      <c r="H2747" t="s">
        <v>20</v>
      </c>
    </row>
    <row r="2748" spans="1:8">
      <c r="A2748" s="1">
        <f>HYPERLINK("https://cms.ls-nyc.org/matter/dynamic-profile/view/1882190","18-1882190")</f>
        <v>0</v>
      </c>
      <c r="B2748" t="s">
        <v>9</v>
      </c>
      <c r="H2748" t="s">
        <v>19</v>
      </c>
    </row>
    <row r="2749" spans="1:8">
      <c r="A2749" s="1">
        <f>HYPERLINK("https://cms.ls-nyc.org/matter/dynamic-profile/view/0818324","16-0818324")</f>
        <v>0</v>
      </c>
      <c r="B2749" t="s">
        <v>12</v>
      </c>
      <c r="D2749" t="s">
        <v>15</v>
      </c>
      <c r="E2749" t="s">
        <v>16</v>
      </c>
      <c r="H2749" t="s">
        <v>20</v>
      </c>
    </row>
    <row r="2750" spans="1:8">
      <c r="A2750" s="1">
        <f>HYPERLINK("https://cms.ls-nyc.org/matter/dynamic-profile/view/1872816","18-1872816")</f>
        <v>0</v>
      </c>
      <c r="B2750" t="s">
        <v>9</v>
      </c>
      <c r="C2750" t="s">
        <v>13</v>
      </c>
      <c r="D2750" t="s">
        <v>14</v>
      </c>
      <c r="E2750" t="s">
        <v>16</v>
      </c>
      <c r="G2750" t="s">
        <v>18</v>
      </c>
      <c r="H2750" t="s">
        <v>20</v>
      </c>
    </row>
    <row r="2751" spans="1:8">
      <c r="A2751" s="1">
        <f>HYPERLINK("https://cms.ls-nyc.org/matter/dynamic-profile/view/1892356","19-1892356")</f>
        <v>0</v>
      </c>
      <c r="B2751" t="s">
        <v>9</v>
      </c>
      <c r="H2751" t="s">
        <v>19</v>
      </c>
    </row>
    <row r="2752" spans="1:8">
      <c r="A2752" s="1">
        <f>HYPERLINK("https://cms.ls-nyc.org/matter/dynamic-profile/view/1857558","18-1857558")</f>
        <v>0</v>
      </c>
      <c r="B2752" t="s">
        <v>9</v>
      </c>
      <c r="D2752" t="s">
        <v>15</v>
      </c>
      <c r="E2752" t="s">
        <v>16</v>
      </c>
      <c r="H2752" t="s">
        <v>20</v>
      </c>
    </row>
    <row r="2753" spans="1:8">
      <c r="A2753" s="1">
        <f>HYPERLINK("https://cms.ls-nyc.org/matter/dynamic-profile/view/1858445","18-1858445")</f>
        <v>0</v>
      </c>
      <c r="B2753" t="s">
        <v>10</v>
      </c>
      <c r="D2753" t="s">
        <v>15</v>
      </c>
      <c r="H2753" t="s">
        <v>20</v>
      </c>
    </row>
    <row r="2754" spans="1:8">
      <c r="A2754" s="1">
        <f>HYPERLINK("https://cms.ls-nyc.org/matter/dynamic-profile/view/1892387","19-1892387")</f>
        <v>0</v>
      </c>
      <c r="B2754" t="s">
        <v>9</v>
      </c>
      <c r="C2754" t="s">
        <v>13</v>
      </c>
      <c r="D2754" t="s">
        <v>14</v>
      </c>
      <c r="E2754" t="s">
        <v>16</v>
      </c>
      <c r="G2754" t="s">
        <v>18</v>
      </c>
      <c r="H2754" t="s">
        <v>20</v>
      </c>
    </row>
    <row r="2755" spans="1:8">
      <c r="A2755" s="1">
        <f>HYPERLINK("https://cms.ls-nyc.org/matter/dynamic-profile/view/1881411","18-1881411")</f>
        <v>0</v>
      </c>
      <c r="B2755" t="s">
        <v>10</v>
      </c>
      <c r="H2755" t="s">
        <v>19</v>
      </c>
    </row>
    <row r="2756" spans="1:8">
      <c r="A2756" s="1">
        <f>HYPERLINK("https://cms.ls-nyc.org/matter/dynamic-profile/view/0821156","16-0821156")</f>
        <v>0</v>
      </c>
      <c r="B2756" t="s">
        <v>12</v>
      </c>
      <c r="D2756" t="s">
        <v>15</v>
      </c>
      <c r="E2756" t="s">
        <v>16</v>
      </c>
      <c r="H2756" t="s">
        <v>20</v>
      </c>
    </row>
    <row r="2757" spans="1:8">
      <c r="A2757" s="1">
        <f>HYPERLINK("https://cms.ls-nyc.org/matter/dynamic-profile/view/1901243","19-1901243")</f>
        <v>0</v>
      </c>
      <c r="B2757" t="s">
        <v>12</v>
      </c>
      <c r="F2757" t="s">
        <v>17</v>
      </c>
      <c r="H2757" t="s">
        <v>20</v>
      </c>
    </row>
    <row r="2758" spans="1:8">
      <c r="A2758" s="1">
        <f>HYPERLINK("https://cms.ls-nyc.org/matter/dynamic-profile/view/1880872","18-1880872")</f>
        <v>0</v>
      </c>
      <c r="B2758" t="s">
        <v>9</v>
      </c>
      <c r="C2758" t="s">
        <v>13</v>
      </c>
      <c r="D2758" t="s">
        <v>14</v>
      </c>
      <c r="E2758" t="s">
        <v>16</v>
      </c>
      <c r="G2758" t="s">
        <v>18</v>
      </c>
      <c r="H2758" t="s">
        <v>20</v>
      </c>
    </row>
    <row r="2759" spans="1:8">
      <c r="A2759" s="1">
        <f>HYPERLINK("https://cms.ls-nyc.org/matter/dynamic-profile/view/1863281","18-1863281")</f>
        <v>0</v>
      </c>
      <c r="B2759" t="s">
        <v>9</v>
      </c>
      <c r="D2759" t="s">
        <v>15</v>
      </c>
      <c r="E2759" t="s">
        <v>16</v>
      </c>
      <c r="H2759" t="s">
        <v>20</v>
      </c>
    </row>
    <row r="2760" spans="1:8">
      <c r="A2760" s="1">
        <f>HYPERLINK("https://cms.ls-nyc.org/matter/dynamic-profile/view/0817858","16-0817858")</f>
        <v>0</v>
      </c>
      <c r="B2760" t="s">
        <v>10</v>
      </c>
      <c r="D2760" t="s">
        <v>15</v>
      </c>
      <c r="E2760" t="s">
        <v>16</v>
      </c>
      <c r="H2760" t="s">
        <v>20</v>
      </c>
    </row>
    <row r="2761" spans="1:8">
      <c r="A2761" s="1">
        <f>HYPERLINK("https://cms.ls-nyc.org/matter/dynamic-profile/view/1891254","19-1891254")</f>
        <v>0</v>
      </c>
      <c r="B2761" t="s">
        <v>10</v>
      </c>
      <c r="C2761" t="s">
        <v>13</v>
      </c>
      <c r="D2761" t="s">
        <v>14</v>
      </c>
      <c r="E2761" t="s">
        <v>16</v>
      </c>
      <c r="H2761" t="s">
        <v>20</v>
      </c>
    </row>
    <row r="2762" spans="1:8">
      <c r="A2762" s="1">
        <f>HYPERLINK("https://cms.ls-nyc.org/matter/dynamic-profile/view/1899850","19-1899850")</f>
        <v>0</v>
      </c>
      <c r="B2762" t="s">
        <v>10</v>
      </c>
      <c r="D2762" t="s">
        <v>14</v>
      </c>
      <c r="E2762" t="s">
        <v>16</v>
      </c>
      <c r="H2762" t="s">
        <v>20</v>
      </c>
    </row>
    <row r="2763" spans="1:8">
      <c r="A2763" s="1">
        <f>HYPERLINK("https://cms.ls-nyc.org/matter/dynamic-profile/view/1887292","19-1887292")</f>
        <v>0</v>
      </c>
      <c r="B2763" t="s">
        <v>10</v>
      </c>
      <c r="H2763" t="s">
        <v>19</v>
      </c>
    </row>
    <row r="2764" spans="1:8">
      <c r="A2764" s="1">
        <f>HYPERLINK("https://cms.ls-nyc.org/matter/dynamic-profile/view/1863418","18-1863418")</f>
        <v>0</v>
      </c>
      <c r="B2764" t="s">
        <v>10</v>
      </c>
      <c r="D2764" t="s">
        <v>15</v>
      </c>
      <c r="E2764" t="s">
        <v>16</v>
      </c>
      <c r="H2764" t="s">
        <v>20</v>
      </c>
    </row>
    <row r="2765" spans="1:8">
      <c r="A2765" s="1">
        <f>HYPERLINK("https://cms.ls-nyc.org/matter/dynamic-profile/view/1883581","18-1883581")</f>
        <v>0</v>
      </c>
      <c r="B2765" t="s">
        <v>9</v>
      </c>
      <c r="H2765" t="s">
        <v>19</v>
      </c>
    </row>
    <row r="2766" spans="1:8">
      <c r="A2766" s="1">
        <f>HYPERLINK("https://cms.ls-nyc.org/matter/dynamic-profile/view/1899623","19-1899623")</f>
        <v>0</v>
      </c>
      <c r="B2766" t="s">
        <v>10</v>
      </c>
      <c r="D2766" t="s">
        <v>14</v>
      </c>
      <c r="H2766" t="s">
        <v>20</v>
      </c>
    </row>
    <row r="2767" spans="1:8">
      <c r="A2767" s="1">
        <f>HYPERLINK("https://cms.ls-nyc.org/matter/dynamic-profile/view/1895304","19-1895304")</f>
        <v>0</v>
      </c>
      <c r="B2767" t="s">
        <v>12</v>
      </c>
      <c r="E2767" t="s">
        <v>16</v>
      </c>
      <c r="H2767" t="s">
        <v>20</v>
      </c>
    </row>
    <row r="2768" spans="1:8">
      <c r="A2768" s="1">
        <f>HYPERLINK("https://cms.ls-nyc.org/matter/dynamic-profile/view/1889372","19-1889372")</f>
        <v>0</v>
      </c>
      <c r="B2768" t="s">
        <v>10</v>
      </c>
      <c r="H2768" t="s">
        <v>19</v>
      </c>
    </row>
    <row r="2769" spans="1:8">
      <c r="A2769" s="1">
        <f>HYPERLINK("https://cms.ls-nyc.org/matter/dynamic-profile/view/1893382","19-1893382")</f>
        <v>0</v>
      </c>
      <c r="B2769" t="s">
        <v>9</v>
      </c>
      <c r="D2769" t="s">
        <v>14</v>
      </c>
      <c r="H2769" t="s">
        <v>20</v>
      </c>
    </row>
    <row r="2770" spans="1:8">
      <c r="A2770" s="1">
        <f>HYPERLINK("https://cms.ls-nyc.org/matter/dynamic-profile/view/1893374","19-1893374")</f>
        <v>0</v>
      </c>
      <c r="B2770" t="s">
        <v>9</v>
      </c>
      <c r="D2770" t="s">
        <v>14</v>
      </c>
      <c r="H2770" t="s">
        <v>20</v>
      </c>
    </row>
    <row r="2771" spans="1:8">
      <c r="A2771" s="1">
        <f>HYPERLINK("https://cms.ls-nyc.org/matter/dynamic-profile/view/1893383","19-1893383")</f>
        <v>0</v>
      </c>
      <c r="B2771" t="s">
        <v>9</v>
      </c>
      <c r="D2771" t="s">
        <v>14</v>
      </c>
      <c r="H2771" t="s">
        <v>20</v>
      </c>
    </row>
    <row r="2772" spans="1:8">
      <c r="A2772" s="1">
        <f>HYPERLINK("https://cms.ls-nyc.org/matter/dynamic-profile/view/1899084","19-1899084")</f>
        <v>0</v>
      </c>
      <c r="B2772" t="s">
        <v>9</v>
      </c>
      <c r="C2772" t="s">
        <v>13</v>
      </c>
      <c r="D2772" t="s">
        <v>14</v>
      </c>
      <c r="E2772" t="s">
        <v>16</v>
      </c>
      <c r="G2772" t="s">
        <v>18</v>
      </c>
      <c r="H2772" t="s">
        <v>20</v>
      </c>
    </row>
    <row r="2773" spans="1:8">
      <c r="A2773" s="1">
        <f>HYPERLINK("https://cms.ls-nyc.org/matter/dynamic-profile/view/1898488","19-1898488")</f>
        <v>0</v>
      </c>
      <c r="B2773" t="s">
        <v>9</v>
      </c>
      <c r="H2773" t="s">
        <v>19</v>
      </c>
    </row>
    <row r="2774" spans="1:8">
      <c r="A2774" s="1">
        <f>HYPERLINK("https://cms.ls-nyc.org/matter/dynamic-profile/view/1868991","18-1868991")</f>
        <v>0</v>
      </c>
      <c r="B2774" t="s">
        <v>8</v>
      </c>
      <c r="D2774" t="s">
        <v>15</v>
      </c>
      <c r="E2774" t="s">
        <v>16</v>
      </c>
      <c r="H2774" t="s">
        <v>20</v>
      </c>
    </row>
    <row r="2775" spans="1:8">
      <c r="A2775" s="1">
        <f>HYPERLINK("https://cms.ls-nyc.org/matter/dynamic-profile/view/1887570","19-1887570")</f>
        <v>0</v>
      </c>
      <c r="B2775" t="s">
        <v>9</v>
      </c>
      <c r="H2775" t="s">
        <v>19</v>
      </c>
    </row>
    <row r="2776" spans="1:8">
      <c r="A2776" s="1">
        <f>HYPERLINK("https://cms.ls-nyc.org/matter/dynamic-profile/view/1861099","18-1861099")</f>
        <v>0</v>
      </c>
      <c r="B2776" t="s">
        <v>12</v>
      </c>
      <c r="D2776" t="s">
        <v>15</v>
      </c>
      <c r="E2776" t="s">
        <v>16</v>
      </c>
      <c r="H2776" t="s">
        <v>20</v>
      </c>
    </row>
    <row r="2777" spans="1:8">
      <c r="A2777" s="1">
        <f>HYPERLINK("https://cms.ls-nyc.org/matter/dynamic-profile/view/1863072","18-1863072")</f>
        <v>0</v>
      </c>
      <c r="B2777" t="s">
        <v>12</v>
      </c>
      <c r="C2777" t="s">
        <v>13</v>
      </c>
      <c r="D2777" t="s">
        <v>14</v>
      </c>
      <c r="E2777" t="s">
        <v>16</v>
      </c>
      <c r="G2777" t="s">
        <v>18</v>
      </c>
      <c r="H2777" t="s">
        <v>20</v>
      </c>
    </row>
    <row r="2778" spans="1:8">
      <c r="A2778" s="1">
        <f>HYPERLINK("https://cms.ls-nyc.org/matter/dynamic-profile/view/1900794","19-1900794")</f>
        <v>0</v>
      </c>
      <c r="B2778" t="s">
        <v>9</v>
      </c>
      <c r="G2778" t="s">
        <v>18</v>
      </c>
      <c r="H2778" t="s">
        <v>20</v>
      </c>
    </row>
    <row r="2779" spans="1:8">
      <c r="A2779" s="1">
        <f>HYPERLINK("https://cms.ls-nyc.org/matter/dynamic-profile/view/1836777","17-1836777")</f>
        <v>0</v>
      </c>
      <c r="B2779" t="s">
        <v>12</v>
      </c>
      <c r="D2779" t="s">
        <v>15</v>
      </c>
      <c r="E2779" t="s">
        <v>16</v>
      </c>
      <c r="H2779" t="s">
        <v>20</v>
      </c>
    </row>
    <row r="2780" spans="1:8">
      <c r="A2780" s="1">
        <f>HYPERLINK("https://cms.ls-nyc.org/matter/dynamic-profile/view/1898090","19-1898090")</f>
        <v>0</v>
      </c>
      <c r="B2780" t="s">
        <v>8</v>
      </c>
      <c r="D2780" t="s">
        <v>15</v>
      </c>
      <c r="H2780" t="s">
        <v>20</v>
      </c>
    </row>
    <row r="2781" spans="1:8">
      <c r="A2781" s="1">
        <f>HYPERLINK("https://cms.ls-nyc.org/matter/dynamic-profile/view/1860448","18-1860448")</f>
        <v>0</v>
      </c>
      <c r="B2781" t="s">
        <v>8</v>
      </c>
      <c r="D2781" t="s">
        <v>15</v>
      </c>
      <c r="E2781" t="s">
        <v>16</v>
      </c>
      <c r="H2781" t="s">
        <v>20</v>
      </c>
    </row>
    <row r="2782" spans="1:8">
      <c r="A2782" s="1">
        <f>HYPERLINK("https://cms.ls-nyc.org/matter/dynamic-profile/view/1860451","18-1860451")</f>
        <v>0</v>
      </c>
      <c r="B2782" t="s">
        <v>8</v>
      </c>
      <c r="D2782" t="s">
        <v>15</v>
      </c>
      <c r="E2782" t="s">
        <v>16</v>
      </c>
      <c r="H2782" t="s">
        <v>20</v>
      </c>
    </row>
    <row r="2783" spans="1:8">
      <c r="A2783" s="1">
        <f>HYPERLINK("https://cms.ls-nyc.org/matter/dynamic-profile/view/1867579","18-1867579")</f>
        <v>0</v>
      </c>
      <c r="B2783" t="s">
        <v>8</v>
      </c>
      <c r="D2783" t="s">
        <v>15</v>
      </c>
      <c r="E2783" t="s">
        <v>16</v>
      </c>
      <c r="H2783" t="s">
        <v>20</v>
      </c>
    </row>
    <row r="2784" spans="1:8">
      <c r="A2784" s="1">
        <f>HYPERLINK("https://cms.ls-nyc.org/matter/dynamic-profile/view/1867563","18-1867563")</f>
        <v>0</v>
      </c>
      <c r="B2784" t="s">
        <v>8</v>
      </c>
      <c r="D2784" t="s">
        <v>15</v>
      </c>
      <c r="E2784" t="s">
        <v>16</v>
      </c>
      <c r="H2784" t="s">
        <v>20</v>
      </c>
    </row>
    <row r="2785" spans="1:8">
      <c r="A2785" s="1">
        <f>HYPERLINK("https://cms.ls-nyc.org/matter/dynamic-profile/view/1863233","18-1863233")</f>
        <v>0</v>
      </c>
      <c r="B2785" t="s">
        <v>10</v>
      </c>
      <c r="D2785" t="s">
        <v>15</v>
      </c>
      <c r="E2785" t="s">
        <v>16</v>
      </c>
      <c r="H2785" t="s">
        <v>20</v>
      </c>
    </row>
    <row r="2786" spans="1:8">
      <c r="A2786" s="1">
        <f>HYPERLINK("https://cms.ls-nyc.org/matter/dynamic-profile/view/0822349","16-0822349")</f>
        <v>0</v>
      </c>
      <c r="B2786" t="s">
        <v>9</v>
      </c>
      <c r="D2786" t="s">
        <v>15</v>
      </c>
      <c r="E2786" t="s">
        <v>16</v>
      </c>
      <c r="H2786" t="s">
        <v>20</v>
      </c>
    </row>
    <row r="2787" spans="1:8">
      <c r="A2787" s="1">
        <f>HYPERLINK("https://cms.ls-nyc.org/matter/dynamic-profile/view/1895443","19-1895443")</f>
        <v>0</v>
      </c>
      <c r="B2787" t="s">
        <v>10</v>
      </c>
      <c r="D2787" t="s">
        <v>14</v>
      </c>
      <c r="F2787" t="s">
        <v>17</v>
      </c>
      <c r="H2787" t="s">
        <v>20</v>
      </c>
    </row>
    <row r="2788" spans="1:8">
      <c r="A2788" s="1">
        <f>HYPERLINK("https://cms.ls-nyc.org/matter/dynamic-profile/view/1863490","18-1863490")</f>
        <v>0</v>
      </c>
      <c r="B2788" t="s">
        <v>9</v>
      </c>
      <c r="F2788" t="s">
        <v>17</v>
      </c>
      <c r="H2788" t="s">
        <v>20</v>
      </c>
    </row>
    <row r="2789" spans="1:8">
      <c r="A2789" s="1">
        <f>HYPERLINK("https://cms.ls-nyc.org/matter/dynamic-profile/view/1889466","19-1889466")</f>
        <v>0</v>
      </c>
      <c r="B2789" t="s">
        <v>9</v>
      </c>
      <c r="H2789" t="s">
        <v>19</v>
      </c>
    </row>
    <row r="2790" spans="1:8">
      <c r="A2790" s="1">
        <f>HYPERLINK("https://cms.ls-nyc.org/matter/dynamic-profile/view/1899561","19-1899561")</f>
        <v>0</v>
      </c>
      <c r="B2790" t="s">
        <v>11</v>
      </c>
      <c r="C2790" t="s">
        <v>13</v>
      </c>
      <c r="D2790" t="s">
        <v>14</v>
      </c>
      <c r="E2790" t="s">
        <v>16</v>
      </c>
      <c r="H2790" t="s">
        <v>20</v>
      </c>
    </row>
    <row r="2791" spans="1:8">
      <c r="A2791" s="1">
        <f>HYPERLINK("https://cms.ls-nyc.org/matter/dynamic-profile/view/1859305","18-1859305")</f>
        <v>0</v>
      </c>
      <c r="B2791" t="s">
        <v>10</v>
      </c>
      <c r="D2791" t="s">
        <v>15</v>
      </c>
      <c r="E2791" t="s">
        <v>16</v>
      </c>
      <c r="H2791" t="s">
        <v>20</v>
      </c>
    </row>
    <row r="2792" spans="1:8">
      <c r="A2792" s="1">
        <f>HYPERLINK("https://cms.ls-nyc.org/matter/dynamic-profile/view/1888717","19-1888717")</f>
        <v>0</v>
      </c>
      <c r="B2792" t="s">
        <v>9</v>
      </c>
      <c r="C2792" t="s">
        <v>13</v>
      </c>
      <c r="E2792" t="s">
        <v>16</v>
      </c>
      <c r="H2792" t="s">
        <v>20</v>
      </c>
    </row>
    <row r="2793" spans="1:8">
      <c r="A2793" s="1">
        <f>HYPERLINK("https://cms.ls-nyc.org/matter/dynamic-profile/view/1877963","18-1877963")</f>
        <v>0</v>
      </c>
      <c r="B2793" t="s">
        <v>10</v>
      </c>
      <c r="D2793" t="s">
        <v>14</v>
      </c>
      <c r="F2793" t="s">
        <v>17</v>
      </c>
      <c r="H2793" t="s">
        <v>20</v>
      </c>
    </row>
    <row r="2794" spans="1:8">
      <c r="A2794" s="1">
        <f>HYPERLINK("https://cms.ls-nyc.org/matter/dynamic-profile/view/1887149","19-1887149")</f>
        <v>0</v>
      </c>
      <c r="B2794" t="s">
        <v>10</v>
      </c>
      <c r="C2794" t="s">
        <v>13</v>
      </c>
      <c r="D2794" t="s">
        <v>14</v>
      </c>
      <c r="E2794" t="s">
        <v>16</v>
      </c>
      <c r="F2794" t="s">
        <v>17</v>
      </c>
      <c r="H2794" t="s">
        <v>20</v>
      </c>
    </row>
    <row r="2795" spans="1:8">
      <c r="A2795" s="1">
        <f>HYPERLINK("https://cms.ls-nyc.org/matter/dynamic-profile/view/1871565","18-1871565")</f>
        <v>0</v>
      </c>
      <c r="B2795" t="s">
        <v>12</v>
      </c>
      <c r="F2795" t="s">
        <v>17</v>
      </c>
      <c r="H2795" t="s">
        <v>20</v>
      </c>
    </row>
    <row r="2796" spans="1:8">
      <c r="A2796" s="1">
        <f>HYPERLINK("https://cms.ls-nyc.org/matter/dynamic-profile/view/1873835","18-1873835")</f>
        <v>0</v>
      </c>
      <c r="B2796" t="s">
        <v>12</v>
      </c>
      <c r="H2796" t="s">
        <v>19</v>
      </c>
    </row>
    <row r="2797" spans="1:8">
      <c r="A2797" s="1">
        <f>HYPERLINK("https://cms.ls-nyc.org/matter/dynamic-profile/view/1892836","19-1892836")</f>
        <v>0</v>
      </c>
      <c r="B2797" t="s">
        <v>12</v>
      </c>
      <c r="H2797" t="s">
        <v>19</v>
      </c>
    </row>
    <row r="2798" spans="1:8">
      <c r="A2798" s="1">
        <f>HYPERLINK("https://cms.ls-nyc.org/matter/dynamic-profile/view/1872137","18-1872137")</f>
        <v>0</v>
      </c>
      <c r="B2798" t="s">
        <v>10</v>
      </c>
      <c r="D2798" t="s">
        <v>15</v>
      </c>
      <c r="E2798" t="s">
        <v>16</v>
      </c>
      <c r="H2798" t="s">
        <v>20</v>
      </c>
    </row>
    <row r="2799" spans="1:8">
      <c r="A2799" s="1">
        <f>HYPERLINK("https://cms.ls-nyc.org/matter/dynamic-profile/view/1864111","18-1864111")</f>
        <v>0</v>
      </c>
      <c r="B2799" t="s">
        <v>12</v>
      </c>
      <c r="D2799" t="s">
        <v>15</v>
      </c>
      <c r="F2799" t="s">
        <v>17</v>
      </c>
      <c r="H2799" t="s">
        <v>20</v>
      </c>
    </row>
    <row r="2800" spans="1:8">
      <c r="A2800" s="1">
        <f>HYPERLINK("https://cms.ls-nyc.org/matter/dynamic-profile/view/0792787","15-0792787")</f>
        <v>0</v>
      </c>
      <c r="B2800" t="s">
        <v>8</v>
      </c>
      <c r="D2800" t="s">
        <v>15</v>
      </c>
      <c r="E2800" t="s">
        <v>16</v>
      </c>
      <c r="H2800" t="s">
        <v>20</v>
      </c>
    </row>
    <row r="2801" spans="1:8">
      <c r="A2801" s="1">
        <f>HYPERLINK("https://cms.ls-nyc.org/matter/dynamic-profile/view/0792298","15-0792298")</f>
        <v>0</v>
      </c>
      <c r="B2801" t="s">
        <v>12</v>
      </c>
      <c r="C2801" t="s">
        <v>13</v>
      </c>
      <c r="D2801" t="s">
        <v>15</v>
      </c>
      <c r="E2801" t="s">
        <v>16</v>
      </c>
      <c r="H2801" t="s">
        <v>20</v>
      </c>
    </row>
    <row r="2802" spans="1:8">
      <c r="A2802" s="1">
        <f>HYPERLINK("https://cms.ls-nyc.org/matter/dynamic-profile/view/1900520","19-1900520")</f>
        <v>0</v>
      </c>
      <c r="B2802" t="s">
        <v>10</v>
      </c>
      <c r="D2802" t="s">
        <v>14</v>
      </c>
      <c r="H2802" t="s">
        <v>20</v>
      </c>
    </row>
    <row r="2803" spans="1:8">
      <c r="A2803" s="1">
        <f>HYPERLINK("https://cms.ls-nyc.org/matter/dynamic-profile/view/1896375","19-1896375")</f>
        <v>0</v>
      </c>
      <c r="B2803" t="s">
        <v>9</v>
      </c>
      <c r="H2803" t="s">
        <v>19</v>
      </c>
    </row>
    <row r="2804" spans="1:8">
      <c r="A2804" s="1">
        <f>HYPERLINK("https://cms.ls-nyc.org/matter/dynamic-profile/view/1868897","18-1868897")</f>
        <v>0</v>
      </c>
      <c r="B2804" t="s">
        <v>12</v>
      </c>
      <c r="C2804" t="s">
        <v>13</v>
      </c>
      <c r="D2804" t="s">
        <v>14</v>
      </c>
      <c r="E2804" t="s">
        <v>16</v>
      </c>
      <c r="G2804" t="s">
        <v>18</v>
      </c>
      <c r="H2804" t="s">
        <v>20</v>
      </c>
    </row>
    <row r="2805" spans="1:8">
      <c r="A2805" s="1">
        <f>HYPERLINK("https://cms.ls-nyc.org/matter/dynamic-profile/view/0827601","17-0827601")</f>
        <v>0</v>
      </c>
      <c r="B2805" t="s">
        <v>12</v>
      </c>
      <c r="D2805" t="s">
        <v>15</v>
      </c>
      <c r="E2805" t="s">
        <v>16</v>
      </c>
      <c r="H2805" t="s">
        <v>20</v>
      </c>
    </row>
    <row r="2806" spans="1:8">
      <c r="A2806" s="1">
        <f>HYPERLINK("https://cms.ls-nyc.org/matter/dynamic-profile/view/1895760","19-1895760")</f>
        <v>0</v>
      </c>
      <c r="B2806" t="s">
        <v>9</v>
      </c>
      <c r="H2806" t="s">
        <v>19</v>
      </c>
    </row>
    <row r="2807" spans="1:8">
      <c r="A2807" s="1">
        <f>HYPERLINK("https://cms.ls-nyc.org/matter/dynamic-profile/view/1891532","19-1891532")</f>
        <v>0</v>
      </c>
      <c r="B2807" t="s">
        <v>10</v>
      </c>
      <c r="C2807" t="s">
        <v>13</v>
      </c>
      <c r="D2807" t="s">
        <v>14</v>
      </c>
      <c r="E2807" t="s">
        <v>16</v>
      </c>
      <c r="G2807" t="s">
        <v>18</v>
      </c>
      <c r="H2807" t="s">
        <v>20</v>
      </c>
    </row>
    <row r="2808" spans="1:8">
      <c r="A2808" s="1">
        <f>HYPERLINK("https://cms.ls-nyc.org/matter/dynamic-profile/view/1899626","19-1899626")</f>
        <v>0</v>
      </c>
      <c r="B2808" t="s">
        <v>10</v>
      </c>
      <c r="D2808" t="s">
        <v>14</v>
      </c>
      <c r="H2808" t="s">
        <v>20</v>
      </c>
    </row>
    <row r="2809" spans="1:8">
      <c r="A2809" s="1">
        <f>HYPERLINK("https://cms.ls-nyc.org/matter/dynamic-profile/view/1891359","19-1891359")</f>
        <v>0</v>
      </c>
      <c r="B2809" t="s">
        <v>10</v>
      </c>
      <c r="H2809" t="s">
        <v>19</v>
      </c>
    </row>
    <row r="2810" spans="1:8">
      <c r="A2810" s="1">
        <f>HYPERLINK("https://cms.ls-nyc.org/matter/dynamic-profile/view/1891355","19-1891355")</f>
        <v>0</v>
      </c>
      <c r="B2810" t="s">
        <v>10</v>
      </c>
      <c r="H2810" t="s">
        <v>19</v>
      </c>
    </row>
    <row r="2811" spans="1:8">
      <c r="A2811" s="1">
        <f>HYPERLINK("https://cms.ls-nyc.org/matter/dynamic-profile/view/1862036","18-1862036")</f>
        <v>0</v>
      </c>
      <c r="B2811" t="s">
        <v>9</v>
      </c>
      <c r="C2811" t="s">
        <v>13</v>
      </c>
      <c r="D2811" t="s">
        <v>15</v>
      </c>
      <c r="E2811" t="s">
        <v>16</v>
      </c>
      <c r="H2811" t="s">
        <v>20</v>
      </c>
    </row>
    <row r="2812" spans="1:8">
      <c r="A2812" s="1">
        <f>HYPERLINK("https://cms.ls-nyc.org/matter/dynamic-profile/view/1849280","17-1849280")</f>
        <v>0</v>
      </c>
      <c r="B2812" t="s">
        <v>12</v>
      </c>
      <c r="D2812" t="s">
        <v>15</v>
      </c>
      <c r="E2812" t="s">
        <v>16</v>
      </c>
      <c r="F2812" t="s">
        <v>17</v>
      </c>
      <c r="G2812" t="s">
        <v>18</v>
      </c>
      <c r="H2812" t="s">
        <v>20</v>
      </c>
    </row>
    <row r="2813" spans="1:8">
      <c r="A2813" s="1">
        <f>HYPERLINK("https://cms.ls-nyc.org/matter/dynamic-profile/view/0826270","17-0826270")</f>
        <v>0</v>
      </c>
      <c r="B2813" t="s">
        <v>12</v>
      </c>
      <c r="D2813" t="s">
        <v>15</v>
      </c>
      <c r="E2813" t="s">
        <v>16</v>
      </c>
      <c r="H2813" t="s">
        <v>20</v>
      </c>
    </row>
    <row r="2814" spans="1:8">
      <c r="A2814" s="1">
        <f>HYPERLINK("https://cms.ls-nyc.org/matter/dynamic-profile/view/1875000","18-1875000")</f>
        <v>0</v>
      </c>
      <c r="B2814" t="s">
        <v>9</v>
      </c>
      <c r="C2814" t="s">
        <v>13</v>
      </c>
      <c r="D2814" t="s">
        <v>14</v>
      </c>
      <c r="E2814" t="s">
        <v>16</v>
      </c>
      <c r="F2814" t="s">
        <v>17</v>
      </c>
      <c r="H2814" t="s">
        <v>20</v>
      </c>
    </row>
    <row r="2815" spans="1:8">
      <c r="A2815" s="1">
        <f>HYPERLINK("https://cms.ls-nyc.org/matter/dynamic-profile/view/1891373","19-1891373")</f>
        <v>0</v>
      </c>
      <c r="B2815" t="s">
        <v>12</v>
      </c>
      <c r="H2815" t="s">
        <v>19</v>
      </c>
    </row>
    <row r="2816" spans="1:8">
      <c r="A2816" s="1">
        <f>HYPERLINK("https://cms.ls-nyc.org/matter/dynamic-profile/view/0798326","16-0798326")</f>
        <v>0</v>
      </c>
      <c r="B2816" t="s">
        <v>8</v>
      </c>
      <c r="D2816" t="s">
        <v>15</v>
      </c>
      <c r="E2816" t="s">
        <v>16</v>
      </c>
      <c r="H2816" t="s">
        <v>20</v>
      </c>
    </row>
    <row r="2817" spans="1:8">
      <c r="A2817" s="1">
        <f>HYPERLINK("https://cms.ls-nyc.org/matter/dynamic-profile/view/1900479","19-1900479")</f>
        <v>0</v>
      </c>
      <c r="B2817" t="s">
        <v>12</v>
      </c>
      <c r="D2817" t="s">
        <v>15</v>
      </c>
      <c r="H2817" t="s">
        <v>20</v>
      </c>
    </row>
    <row r="2818" spans="1:8">
      <c r="A2818" s="1">
        <f>HYPERLINK("https://cms.ls-nyc.org/matter/dynamic-profile/view/1889043","19-1889043")</f>
        <v>0</v>
      </c>
      <c r="B2818" t="s">
        <v>8</v>
      </c>
      <c r="H2818" t="s">
        <v>19</v>
      </c>
    </row>
    <row r="2819" spans="1:8">
      <c r="A2819" s="1">
        <f>HYPERLINK("https://cms.ls-nyc.org/matter/dynamic-profile/view/1900452","19-1900452")</f>
        <v>0</v>
      </c>
      <c r="B2819" t="s">
        <v>9</v>
      </c>
      <c r="E2819" t="s">
        <v>16</v>
      </c>
      <c r="G2819" t="s">
        <v>18</v>
      </c>
      <c r="H2819" t="s">
        <v>20</v>
      </c>
    </row>
    <row r="2820" spans="1:8">
      <c r="A2820" s="1">
        <f>HYPERLINK("https://cms.ls-nyc.org/matter/dynamic-profile/view/1893500","19-1893500")</f>
        <v>0</v>
      </c>
      <c r="B2820" t="s">
        <v>9</v>
      </c>
      <c r="C2820" t="s">
        <v>13</v>
      </c>
      <c r="D2820" t="s">
        <v>14</v>
      </c>
      <c r="E2820" t="s">
        <v>16</v>
      </c>
      <c r="F2820" t="s">
        <v>17</v>
      </c>
      <c r="G2820" t="s">
        <v>18</v>
      </c>
      <c r="H2820" t="s">
        <v>20</v>
      </c>
    </row>
    <row r="2821" spans="1:8">
      <c r="A2821" s="1">
        <f>HYPERLINK("https://cms.ls-nyc.org/matter/dynamic-profile/view/1894211","19-1894211")</f>
        <v>0</v>
      </c>
      <c r="B2821" t="s">
        <v>9</v>
      </c>
      <c r="H2821" t="s">
        <v>19</v>
      </c>
    </row>
    <row r="2822" spans="1:8">
      <c r="A2822" s="1">
        <f>HYPERLINK("https://cms.ls-nyc.org/matter/dynamic-profile/view/1900038","19-1900038")</f>
        <v>0</v>
      </c>
      <c r="B2822" t="s">
        <v>10</v>
      </c>
      <c r="D2822" t="s">
        <v>14</v>
      </c>
      <c r="E2822" t="s">
        <v>16</v>
      </c>
      <c r="H2822" t="s">
        <v>20</v>
      </c>
    </row>
    <row r="2823" spans="1:8">
      <c r="A2823" s="1">
        <f>HYPERLINK("https://cms.ls-nyc.org/matter/dynamic-profile/view/1900540","19-1900540")</f>
        <v>0</v>
      </c>
      <c r="B2823" t="s">
        <v>10</v>
      </c>
      <c r="D2823" t="s">
        <v>14</v>
      </c>
      <c r="H2823" t="s">
        <v>20</v>
      </c>
    </row>
    <row r="2824" spans="1:8">
      <c r="A2824" s="1">
        <f>HYPERLINK("https://cms.ls-nyc.org/matter/dynamic-profile/view/1891040","19-1891040")</f>
        <v>0</v>
      </c>
      <c r="B2824" t="s">
        <v>11</v>
      </c>
      <c r="C2824" t="s">
        <v>13</v>
      </c>
      <c r="D2824" t="s">
        <v>14</v>
      </c>
      <c r="E2824" t="s">
        <v>16</v>
      </c>
      <c r="G2824" t="s">
        <v>18</v>
      </c>
      <c r="H2824" t="s">
        <v>20</v>
      </c>
    </row>
    <row r="2825" spans="1:8">
      <c r="A2825" s="1">
        <f>HYPERLINK("https://cms.ls-nyc.org/matter/dynamic-profile/view/1901265","19-1901265")</f>
        <v>0</v>
      </c>
      <c r="B2825" t="s">
        <v>12</v>
      </c>
      <c r="F2825" t="s">
        <v>17</v>
      </c>
      <c r="H2825" t="s">
        <v>20</v>
      </c>
    </row>
    <row r="2826" spans="1:8">
      <c r="A2826" s="1">
        <f>HYPERLINK("https://cms.ls-nyc.org/matter/dynamic-profile/view/1889088","19-1889088")</f>
        <v>0</v>
      </c>
      <c r="B2826" t="s">
        <v>12</v>
      </c>
      <c r="H2826" t="s">
        <v>19</v>
      </c>
    </row>
    <row r="2827" spans="1:8">
      <c r="A2827" s="1">
        <f>HYPERLINK("https://cms.ls-nyc.org/matter/dynamic-profile/view/1889085","19-1889085")</f>
        <v>0</v>
      </c>
      <c r="B2827" t="s">
        <v>12</v>
      </c>
      <c r="H2827" t="s">
        <v>19</v>
      </c>
    </row>
    <row r="2828" spans="1:8">
      <c r="A2828" s="1">
        <f>HYPERLINK("https://cms.ls-nyc.org/matter/dynamic-profile/view/1839206","17-1839206")</f>
        <v>0</v>
      </c>
      <c r="B2828" t="s">
        <v>8</v>
      </c>
      <c r="D2828" t="s">
        <v>15</v>
      </c>
      <c r="E2828" t="s">
        <v>16</v>
      </c>
      <c r="H2828" t="s">
        <v>20</v>
      </c>
    </row>
    <row r="2829" spans="1:8">
      <c r="A2829" s="1">
        <f>HYPERLINK("https://cms.ls-nyc.org/matter/dynamic-profile/view/1868295","18-1868295")</f>
        <v>0</v>
      </c>
      <c r="B2829" t="s">
        <v>8</v>
      </c>
      <c r="D2829" t="s">
        <v>15</v>
      </c>
      <c r="H2829" t="s">
        <v>20</v>
      </c>
    </row>
    <row r="2830" spans="1:8">
      <c r="A2830" s="1">
        <f>HYPERLINK("https://cms.ls-nyc.org/matter/dynamic-profile/view/1876839","18-1876839")</f>
        <v>0</v>
      </c>
      <c r="B2830" t="s">
        <v>10</v>
      </c>
      <c r="H2830" t="s">
        <v>19</v>
      </c>
    </row>
    <row r="2831" spans="1:8">
      <c r="A2831" s="1">
        <f>HYPERLINK("https://cms.ls-nyc.org/matter/dynamic-profile/view/1886865","19-1886865")</f>
        <v>0</v>
      </c>
      <c r="B2831" t="s">
        <v>10</v>
      </c>
      <c r="H2831" t="s">
        <v>19</v>
      </c>
    </row>
    <row r="2832" spans="1:8">
      <c r="A2832" s="1">
        <f>HYPERLINK("https://cms.ls-nyc.org/matter/dynamic-profile/view/1876836","18-1876836")</f>
        <v>0</v>
      </c>
      <c r="B2832" t="s">
        <v>10</v>
      </c>
      <c r="H2832" t="s">
        <v>19</v>
      </c>
    </row>
    <row r="2833" spans="1:8">
      <c r="A2833" s="1">
        <f>HYPERLINK("https://cms.ls-nyc.org/matter/dynamic-profile/view/1842850","17-1842850")</f>
        <v>0</v>
      </c>
      <c r="B2833" t="s">
        <v>11</v>
      </c>
      <c r="D2833" t="s">
        <v>15</v>
      </c>
      <c r="E2833" t="s">
        <v>16</v>
      </c>
      <c r="H2833" t="s">
        <v>20</v>
      </c>
    </row>
    <row r="2834" spans="1:8">
      <c r="A2834" s="1">
        <f>HYPERLINK("https://cms.ls-nyc.org/matter/dynamic-profile/view/1859460","18-1859460")</f>
        <v>0</v>
      </c>
      <c r="B2834" t="s">
        <v>10</v>
      </c>
      <c r="D2834" t="s">
        <v>15</v>
      </c>
      <c r="E2834" t="s">
        <v>16</v>
      </c>
      <c r="H2834" t="s">
        <v>20</v>
      </c>
    </row>
    <row r="2835" spans="1:8">
      <c r="A2835" s="1">
        <f>HYPERLINK("https://cms.ls-nyc.org/matter/dynamic-profile/view/1838852","17-1838852")</f>
        <v>0</v>
      </c>
      <c r="B2835" t="s">
        <v>10</v>
      </c>
      <c r="D2835" t="s">
        <v>15</v>
      </c>
      <c r="E2835" t="s">
        <v>16</v>
      </c>
      <c r="F2835" t="s">
        <v>17</v>
      </c>
      <c r="H2835" t="s">
        <v>20</v>
      </c>
    </row>
    <row r="2836" spans="1:8">
      <c r="A2836" s="1">
        <f>HYPERLINK("https://cms.ls-nyc.org/matter/dynamic-profile/view/1845445","17-1845445")</f>
        <v>0</v>
      </c>
      <c r="B2836" t="s">
        <v>9</v>
      </c>
      <c r="C2836" t="s">
        <v>13</v>
      </c>
      <c r="D2836" t="s">
        <v>15</v>
      </c>
      <c r="E2836" t="s">
        <v>16</v>
      </c>
      <c r="F2836" t="s">
        <v>17</v>
      </c>
      <c r="H2836" t="s">
        <v>20</v>
      </c>
    </row>
    <row r="2837" spans="1:8">
      <c r="A2837" s="1">
        <f>HYPERLINK("https://cms.ls-nyc.org/matter/dynamic-profile/view/0830504","17-0830504")</f>
        <v>0</v>
      </c>
      <c r="B2837" t="s">
        <v>9</v>
      </c>
      <c r="D2837" t="s">
        <v>15</v>
      </c>
      <c r="E2837" t="s">
        <v>16</v>
      </c>
      <c r="F2837" t="s">
        <v>17</v>
      </c>
      <c r="H2837" t="s">
        <v>20</v>
      </c>
    </row>
    <row r="2838" spans="1:8">
      <c r="A2838" s="1">
        <f>HYPERLINK("https://cms.ls-nyc.org/matter/dynamic-profile/view/1894550","19-1894550")</f>
        <v>0</v>
      </c>
      <c r="B2838" t="s">
        <v>10</v>
      </c>
      <c r="H2838" t="s">
        <v>19</v>
      </c>
    </row>
    <row r="2839" spans="1:8">
      <c r="A2839" s="1">
        <f>HYPERLINK("https://cms.ls-nyc.org/matter/dynamic-profile/view/1877313","18-1877313")</f>
        <v>0</v>
      </c>
      <c r="B2839" t="s">
        <v>8</v>
      </c>
      <c r="H2839" t="s">
        <v>19</v>
      </c>
    </row>
    <row r="2840" spans="1:8">
      <c r="A2840" s="1">
        <f>HYPERLINK("https://cms.ls-nyc.org/matter/dynamic-profile/view/1872760","18-1872760")</f>
        <v>0</v>
      </c>
      <c r="B2840" t="s">
        <v>9</v>
      </c>
      <c r="C2840" t="s">
        <v>13</v>
      </c>
      <c r="D2840" t="s">
        <v>14</v>
      </c>
      <c r="E2840" t="s">
        <v>16</v>
      </c>
      <c r="G2840" t="s">
        <v>18</v>
      </c>
      <c r="H2840" t="s">
        <v>20</v>
      </c>
    </row>
    <row r="2841" spans="1:8">
      <c r="A2841" s="1">
        <f>HYPERLINK("https://cms.ls-nyc.org/matter/dynamic-profile/view/1881618","18-1881618")</f>
        <v>0</v>
      </c>
      <c r="B2841" t="s">
        <v>9</v>
      </c>
      <c r="H2841" t="s">
        <v>19</v>
      </c>
    </row>
    <row r="2842" spans="1:8">
      <c r="A2842" s="1">
        <f>HYPERLINK("https://cms.ls-nyc.org/matter/dynamic-profile/view/1866560","18-1866560")</f>
        <v>0</v>
      </c>
      <c r="B2842" t="s">
        <v>12</v>
      </c>
      <c r="D2842" t="s">
        <v>15</v>
      </c>
      <c r="E2842" t="s">
        <v>16</v>
      </c>
      <c r="H2842" t="s">
        <v>20</v>
      </c>
    </row>
    <row r="2843" spans="1:8">
      <c r="A2843" s="1">
        <f>HYPERLINK("https://cms.ls-nyc.org/matter/dynamic-profile/view/1880947","18-1880947")</f>
        <v>0</v>
      </c>
      <c r="B2843" t="s">
        <v>10</v>
      </c>
      <c r="H2843" t="s">
        <v>19</v>
      </c>
    </row>
    <row r="2844" spans="1:8">
      <c r="A2844" s="1">
        <f>HYPERLINK("https://cms.ls-nyc.org/matter/dynamic-profile/view/1836793","17-1836793")</f>
        <v>0</v>
      </c>
      <c r="B2844" t="s">
        <v>9</v>
      </c>
      <c r="D2844" t="s">
        <v>15</v>
      </c>
      <c r="E2844" t="s">
        <v>16</v>
      </c>
      <c r="H2844" t="s">
        <v>20</v>
      </c>
    </row>
    <row r="2845" spans="1:8">
      <c r="A2845" s="1">
        <f>HYPERLINK("https://cms.ls-nyc.org/matter/dynamic-profile/view/1839117","17-1839117")</f>
        <v>0</v>
      </c>
      <c r="B2845" t="s">
        <v>10</v>
      </c>
      <c r="D2845" t="s">
        <v>15</v>
      </c>
      <c r="E2845" t="s">
        <v>16</v>
      </c>
      <c r="H2845" t="s">
        <v>20</v>
      </c>
    </row>
    <row r="2846" spans="1:8">
      <c r="A2846" s="1">
        <f>HYPERLINK("https://cms.ls-nyc.org/matter/dynamic-profile/view/1837382","17-1837382")</f>
        <v>0</v>
      </c>
      <c r="B2846" t="s">
        <v>12</v>
      </c>
      <c r="D2846" t="s">
        <v>15</v>
      </c>
      <c r="E2846" t="s">
        <v>16</v>
      </c>
      <c r="H2846" t="s">
        <v>20</v>
      </c>
    </row>
    <row r="2847" spans="1:8">
      <c r="A2847" s="1">
        <f>HYPERLINK("https://cms.ls-nyc.org/matter/dynamic-profile/view/1887246","19-1887246")</f>
        <v>0</v>
      </c>
      <c r="B2847" t="s">
        <v>10</v>
      </c>
      <c r="H2847" t="s">
        <v>19</v>
      </c>
    </row>
    <row r="2848" spans="1:8">
      <c r="A2848" s="1">
        <f>HYPERLINK("https://cms.ls-nyc.org/matter/dynamic-profile/view/0799622","16-0799622")</f>
        <v>0</v>
      </c>
      <c r="B2848" t="s">
        <v>10</v>
      </c>
      <c r="D2848" t="s">
        <v>15</v>
      </c>
      <c r="E2848" t="s">
        <v>16</v>
      </c>
      <c r="H2848" t="s">
        <v>20</v>
      </c>
    </row>
    <row r="2849" spans="1:8">
      <c r="A2849" s="1">
        <f>HYPERLINK("https://cms.ls-nyc.org/matter/dynamic-profile/view/0816953","16-0816953")</f>
        <v>0</v>
      </c>
      <c r="B2849" t="s">
        <v>10</v>
      </c>
      <c r="D2849" t="s">
        <v>15</v>
      </c>
      <c r="E2849" t="s">
        <v>16</v>
      </c>
      <c r="H2849" t="s">
        <v>20</v>
      </c>
    </row>
    <row r="2850" spans="1:8">
      <c r="A2850" s="1">
        <f>HYPERLINK("https://cms.ls-nyc.org/matter/dynamic-profile/view/0822616","16-0822616")</f>
        <v>0</v>
      </c>
      <c r="B2850" t="s">
        <v>10</v>
      </c>
      <c r="D2850" t="s">
        <v>15</v>
      </c>
      <c r="E2850" t="s">
        <v>16</v>
      </c>
      <c r="H2850" t="s">
        <v>20</v>
      </c>
    </row>
    <row r="2851" spans="1:8">
      <c r="A2851" s="1">
        <f>HYPERLINK("https://cms.ls-nyc.org/matter/dynamic-profile/view/1885677","18-1885677")</f>
        <v>0</v>
      </c>
      <c r="B2851" t="s">
        <v>10</v>
      </c>
      <c r="H2851" t="s">
        <v>19</v>
      </c>
    </row>
    <row r="2852" spans="1:8">
      <c r="A2852" s="1">
        <f>HYPERLINK("https://cms.ls-nyc.org/matter/dynamic-profile/view/1850426","17-1850426")</f>
        <v>0</v>
      </c>
      <c r="B2852" t="s">
        <v>11</v>
      </c>
      <c r="D2852" t="s">
        <v>15</v>
      </c>
      <c r="E2852" t="s">
        <v>16</v>
      </c>
      <c r="H2852" t="s">
        <v>20</v>
      </c>
    </row>
    <row r="2853" spans="1:8">
      <c r="A2853" s="1">
        <f>HYPERLINK("https://cms.ls-nyc.org/matter/dynamic-profile/view/1900542","19-1900542")</f>
        <v>0</v>
      </c>
      <c r="B2853" t="s">
        <v>10</v>
      </c>
      <c r="D2853" t="s">
        <v>14</v>
      </c>
      <c r="F2853" t="s">
        <v>17</v>
      </c>
      <c r="H2853" t="s">
        <v>20</v>
      </c>
    </row>
    <row r="2854" spans="1:8">
      <c r="A2854" s="1">
        <f>HYPERLINK("https://cms.ls-nyc.org/matter/dynamic-profile/view/1878021","18-1878021")</f>
        <v>0</v>
      </c>
      <c r="B2854" t="s">
        <v>8</v>
      </c>
      <c r="H2854" t="s">
        <v>19</v>
      </c>
    </row>
    <row r="2855" spans="1:8">
      <c r="A2855" s="1">
        <f>HYPERLINK("https://cms.ls-nyc.org/matter/dynamic-profile/view/1864159","18-1864159")</f>
        <v>0</v>
      </c>
      <c r="B2855" t="s">
        <v>12</v>
      </c>
      <c r="D2855" t="s">
        <v>15</v>
      </c>
      <c r="H2855" t="s">
        <v>20</v>
      </c>
    </row>
    <row r="2856" spans="1:8">
      <c r="A2856" s="1">
        <f>HYPERLINK("https://cms.ls-nyc.org/matter/dynamic-profile/view/1857591","18-1857591")</f>
        <v>0</v>
      </c>
      <c r="B2856" t="s">
        <v>11</v>
      </c>
      <c r="D2856" t="s">
        <v>15</v>
      </c>
      <c r="E2856" t="s">
        <v>16</v>
      </c>
      <c r="H2856" t="s">
        <v>20</v>
      </c>
    </row>
    <row r="2857" spans="1:8">
      <c r="A2857" s="1">
        <f>HYPERLINK("https://cms.ls-nyc.org/matter/dynamic-profile/view/1895440","19-1895440")</f>
        <v>0</v>
      </c>
      <c r="B2857" t="s">
        <v>10</v>
      </c>
      <c r="H2857" t="s">
        <v>19</v>
      </c>
    </row>
    <row r="2858" spans="1:8">
      <c r="A2858" s="1">
        <f>HYPERLINK("https://cms.ls-nyc.org/matter/dynamic-profile/view/0783028","15-0783028")</f>
        <v>0</v>
      </c>
      <c r="B2858" t="s">
        <v>9</v>
      </c>
      <c r="C2858" t="s">
        <v>13</v>
      </c>
      <c r="D2858" t="s">
        <v>14</v>
      </c>
      <c r="E2858" t="s">
        <v>16</v>
      </c>
      <c r="F2858" t="s">
        <v>17</v>
      </c>
      <c r="H2858" t="s">
        <v>20</v>
      </c>
    </row>
    <row r="2859" spans="1:8">
      <c r="A2859" s="1">
        <f>HYPERLINK("https://cms.ls-nyc.org/matter/dynamic-profile/view/0826586","17-0826586")</f>
        <v>0</v>
      </c>
      <c r="B2859" t="s">
        <v>9</v>
      </c>
      <c r="C2859" t="s">
        <v>13</v>
      </c>
      <c r="D2859" t="s">
        <v>14</v>
      </c>
      <c r="E2859" t="s">
        <v>16</v>
      </c>
      <c r="H2859" t="s">
        <v>20</v>
      </c>
    </row>
    <row r="2860" spans="1:8">
      <c r="A2860" s="1">
        <f>HYPERLINK("https://cms.ls-nyc.org/matter/dynamic-profile/view/1841656","17-1841656")</f>
        <v>0</v>
      </c>
      <c r="B2860" t="s">
        <v>12</v>
      </c>
      <c r="D2860" t="s">
        <v>15</v>
      </c>
      <c r="E2860" t="s">
        <v>16</v>
      </c>
      <c r="H2860" t="s">
        <v>20</v>
      </c>
    </row>
    <row r="2861" spans="1:8">
      <c r="A2861" s="1">
        <f>HYPERLINK("https://cms.ls-nyc.org/matter/dynamic-profile/view/1878449","18-1878449")</f>
        <v>0</v>
      </c>
      <c r="B2861" t="s">
        <v>12</v>
      </c>
      <c r="H2861" t="s">
        <v>19</v>
      </c>
    </row>
    <row r="2862" spans="1:8">
      <c r="A2862" s="1">
        <f>HYPERLINK("https://cms.ls-nyc.org/matter/dynamic-profile/view/1833135","17-1833135")</f>
        <v>0</v>
      </c>
      <c r="B2862" t="s">
        <v>10</v>
      </c>
      <c r="D2862" t="s">
        <v>15</v>
      </c>
      <c r="E2862" t="s">
        <v>16</v>
      </c>
      <c r="H2862" t="s">
        <v>20</v>
      </c>
    </row>
    <row r="2863" spans="1:8">
      <c r="A2863" s="1">
        <f>HYPERLINK("https://cms.ls-nyc.org/matter/dynamic-profile/view/1893965","19-1893965")</f>
        <v>0</v>
      </c>
      <c r="B2863" t="s">
        <v>10</v>
      </c>
      <c r="H2863" t="s">
        <v>19</v>
      </c>
    </row>
    <row r="2864" spans="1:8">
      <c r="A2864" s="1">
        <f>HYPERLINK("https://cms.ls-nyc.org/matter/dynamic-profile/view/1861172","18-1861172")</f>
        <v>0</v>
      </c>
      <c r="B2864" t="s">
        <v>10</v>
      </c>
      <c r="D2864" t="s">
        <v>15</v>
      </c>
      <c r="E2864" t="s">
        <v>16</v>
      </c>
      <c r="H2864" t="s">
        <v>20</v>
      </c>
    </row>
    <row r="2865" spans="1:8">
      <c r="A2865" s="1">
        <f>HYPERLINK("https://cms.ls-nyc.org/matter/dynamic-profile/view/1882610","18-1882610")</f>
        <v>0</v>
      </c>
      <c r="B2865" t="s">
        <v>9</v>
      </c>
      <c r="E2865" t="s">
        <v>16</v>
      </c>
      <c r="H2865" t="s">
        <v>20</v>
      </c>
    </row>
    <row r="2866" spans="1:8">
      <c r="A2866" s="1">
        <f>HYPERLINK("https://cms.ls-nyc.org/matter/dynamic-profile/view/1876359","18-1876359")</f>
        <v>0</v>
      </c>
      <c r="B2866" t="s">
        <v>12</v>
      </c>
      <c r="C2866" t="s">
        <v>13</v>
      </c>
      <c r="D2866" t="s">
        <v>14</v>
      </c>
      <c r="E2866" t="s">
        <v>16</v>
      </c>
      <c r="G2866" t="s">
        <v>18</v>
      </c>
      <c r="H2866" t="s">
        <v>20</v>
      </c>
    </row>
    <row r="2867" spans="1:8">
      <c r="A2867" s="1">
        <f>HYPERLINK("https://cms.ls-nyc.org/matter/dynamic-profile/view/1886767","18-1886767")</f>
        <v>0</v>
      </c>
      <c r="B2867" t="s">
        <v>9</v>
      </c>
      <c r="H2867" t="s">
        <v>19</v>
      </c>
    </row>
    <row r="2868" spans="1:8">
      <c r="A2868" s="1">
        <f>HYPERLINK("https://cms.ls-nyc.org/matter/dynamic-profile/view/1883803","18-1883803")</f>
        <v>0</v>
      </c>
      <c r="B2868" t="s">
        <v>10</v>
      </c>
      <c r="H2868" t="s">
        <v>19</v>
      </c>
    </row>
    <row r="2869" spans="1:8">
      <c r="A2869" s="1">
        <f>HYPERLINK("https://cms.ls-nyc.org/matter/dynamic-profile/view/1886503","18-1886503")</f>
        <v>0</v>
      </c>
      <c r="B2869" t="s">
        <v>10</v>
      </c>
      <c r="H2869" t="s">
        <v>19</v>
      </c>
    </row>
    <row r="2870" spans="1:8">
      <c r="A2870" s="1">
        <f>HYPERLINK("https://cms.ls-nyc.org/matter/dynamic-profile/view/1885564","18-1885564")</f>
        <v>0</v>
      </c>
      <c r="B2870" t="s">
        <v>10</v>
      </c>
      <c r="H2870" t="s">
        <v>19</v>
      </c>
    </row>
    <row r="2871" spans="1:8">
      <c r="A2871" s="1">
        <f>HYPERLINK("https://cms.ls-nyc.org/matter/dynamic-profile/view/1890504","19-1890504")</f>
        <v>0</v>
      </c>
      <c r="B2871" t="s">
        <v>10</v>
      </c>
      <c r="H2871" t="s">
        <v>19</v>
      </c>
    </row>
    <row r="2872" spans="1:8">
      <c r="A2872" s="1">
        <f>HYPERLINK("https://cms.ls-nyc.org/matter/dynamic-profile/view/1890503","19-1890503")</f>
        <v>0</v>
      </c>
      <c r="B2872" t="s">
        <v>10</v>
      </c>
      <c r="H2872" t="s">
        <v>19</v>
      </c>
    </row>
    <row r="2873" spans="1:8">
      <c r="A2873" s="1">
        <f>HYPERLINK("https://cms.ls-nyc.org/matter/dynamic-profile/view/1890467","18-1890467")</f>
        <v>0</v>
      </c>
      <c r="B2873" t="s">
        <v>10</v>
      </c>
      <c r="D2873" t="s">
        <v>14</v>
      </c>
      <c r="H2873" t="s">
        <v>20</v>
      </c>
    </row>
    <row r="2874" spans="1:8">
      <c r="A2874" s="1">
        <f>HYPERLINK("https://cms.ls-nyc.org/matter/dynamic-profile/view/1871925","18-1871925")</f>
        <v>0</v>
      </c>
      <c r="B2874" t="s">
        <v>10</v>
      </c>
      <c r="H2874" t="s">
        <v>19</v>
      </c>
    </row>
    <row r="2875" spans="1:8">
      <c r="A2875" s="1">
        <f>HYPERLINK("https://cms.ls-nyc.org/matter/dynamic-profile/view/1870112","18-1870112")</f>
        <v>0</v>
      </c>
      <c r="B2875" t="s">
        <v>12</v>
      </c>
      <c r="E2875" t="s">
        <v>16</v>
      </c>
      <c r="H2875" t="s">
        <v>20</v>
      </c>
    </row>
    <row r="2876" spans="1:8">
      <c r="A2876" s="1">
        <f>HYPERLINK("https://cms.ls-nyc.org/matter/dynamic-profile/view/1870852","18-1870852")</f>
        <v>0</v>
      </c>
      <c r="B2876" t="s">
        <v>12</v>
      </c>
      <c r="D2876" t="s">
        <v>15</v>
      </c>
      <c r="E2876" t="s">
        <v>16</v>
      </c>
      <c r="H2876" t="s">
        <v>20</v>
      </c>
    </row>
    <row r="2877" spans="1:8">
      <c r="A2877" s="1">
        <f>HYPERLINK("https://cms.ls-nyc.org/matter/dynamic-profile/view/1838603","17-1838603")</f>
        <v>0</v>
      </c>
      <c r="B2877" t="s">
        <v>12</v>
      </c>
      <c r="D2877" t="s">
        <v>15</v>
      </c>
      <c r="E2877" t="s">
        <v>16</v>
      </c>
      <c r="H2877" t="s">
        <v>20</v>
      </c>
    </row>
    <row r="2878" spans="1:8">
      <c r="A2878" s="1">
        <f>HYPERLINK("https://cms.ls-nyc.org/matter/dynamic-profile/view/0830913","17-0830913")</f>
        <v>0</v>
      </c>
      <c r="B2878" t="s">
        <v>9</v>
      </c>
      <c r="D2878" t="s">
        <v>15</v>
      </c>
      <c r="E2878" t="s">
        <v>16</v>
      </c>
      <c r="H2878" t="s">
        <v>20</v>
      </c>
    </row>
    <row r="2879" spans="1:8">
      <c r="A2879" s="1">
        <f>HYPERLINK("https://cms.ls-nyc.org/matter/dynamic-profile/view/1857722","18-1857722")</f>
        <v>0</v>
      </c>
      <c r="B2879" t="s">
        <v>11</v>
      </c>
      <c r="D2879" t="s">
        <v>15</v>
      </c>
      <c r="E2879" t="s">
        <v>16</v>
      </c>
      <c r="H2879" t="s">
        <v>20</v>
      </c>
    </row>
    <row r="2880" spans="1:8">
      <c r="A2880" s="1">
        <f>HYPERLINK("https://cms.ls-nyc.org/matter/dynamic-profile/view/0793724","15-0793724")</f>
        <v>0</v>
      </c>
      <c r="B2880" t="s">
        <v>8</v>
      </c>
      <c r="D2880" t="s">
        <v>15</v>
      </c>
      <c r="E2880" t="s">
        <v>16</v>
      </c>
      <c r="H2880" t="s">
        <v>20</v>
      </c>
    </row>
    <row r="2881" spans="1:8">
      <c r="A2881" s="1">
        <f>HYPERLINK("https://cms.ls-nyc.org/matter/dynamic-profile/view/1892327","19-1892327")</f>
        <v>0</v>
      </c>
      <c r="B2881" t="s">
        <v>10</v>
      </c>
      <c r="C2881" t="s">
        <v>13</v>
      </c>
      <c r="D2881" t="s">
        <v>14</v>
      </c>
      <c r="E2881" t="s">
        <v>16</v>
      </c>
      <c r="H2881" t="s">
        <v>20</v>
      </c>
    </row>
    <row r="2882" spans="1:8">
      <c r="A2882" s="1">
        <f>HYPERLINK("https://cms.ls-nyc.org/matter/dynamic-profile/view/1865390","18-1865390")</f>
        <v>0</v>
      </c>
      <c r="B2882" t="s">
        <v>10</v>
      </c>
      <c r="D2882" t="s">
        <v>15</v>
      </c>
      <c r="E2882" t="s">
        <v>16</v>
      </c>
      <c r="H2882" t="s">
        <v>20</v>
      </c>
    </row>
    <row r="2883" spans="1:8">
      <c r="A2883" s="1">
        <f>HYPERLINK("https://cms.ls-nyc.org/matter/dynamic-profile/view/1867701","18-1867701")</f>
        <v>0</v>
      </c>
      <c r="B2883" t="s">
        <v>10</v>
      </c>
      <c r="D2883" t="s">
        <v>15</v>
      </c>
      <c r="E2883" t="s">
        <v>16</v>
      </c>
      <c r="H2883" t="s">
        <v>20</v>
      </c>
    </row>
    <row r="2884" spans="1:8">
      <c r="A2884" s="1">
        <f>HYPERLINK("https://cms.ls-nyc.org/matter/dynamic-profile/view/1865415","18-1865415")</f>
        <v>0</v>
      </c>
      <c r="B2884" t="s">
        <v>10</v>
      </c>
      <c r="D2884" t="s">
        <v>15</v>
      </c>
      <c r="E2884" t="s">
        <v>16</v>
      </c>
      <c r="H2884" t="s">
        <v>20</v>
      </c>
    </row>
    <row r="2885" spans="1:8">
      <c r="A2885" s="1">
        <f>HYPERLINK("https://cms.ls-nyc.org/matter/dynamic-profile/view/1864095","18-1864095")</f>
        <v>0</v>
      </c>
      <c r="B2885" t="s">
        <v>12</v>
      </c>
      <c r="D2885" t="s">
        <v>15</v>
      </c>
      <c r="E2885" t="s">
        <v>16</v>
      </c>
      <c r="F2885" t="s">
        <v>17</v>
      </c>
      <c r="H2885" t="s">
        <v>20</v>
      </c>
    </row>
    <row r="2886" spans="1:8">
      <c r="A2886" s="1">
        <f>HYPERLINK("https://cms.ls-nyc.org/matter/dynamic-profile/view/0820578","16-0820578")</f>
        <v>0</v>
      </c>
      <c r="B2886" t="s">
        <v>9</v>
      </c>
      <c r="D2886" t="s">
        <v>15</v>
      </c>
      <c r="E2886" t="s">
        <v>16</v>
      </c>
      <c r="H2886" t="s">
        <v>20</v>
      </c>
    </row>
    <row r="2887" spans="1:8">
      <c r="A2887" s="1">
        <f>HYPERLINK("https://cms.ls-nyc.org/matter/dynamic-profile/view/1863643","18-1863643")</f>
        <v>0</v>
      </c>
      <c r="B2887" t="s">
        <v>9</v>
      </c>
      <c r="H2887" t="s">
        <v>19</v>
      </c>
    </row>
    <row r="2888" spans="1:8">
      <c r="A2888" s="1">
        <f>HYPERLINK("https://cms.ls-nyc.org/matter/dynamic-profile/view/1878012","18-1878012")</f>
        <v>0</v>
      </c>
      <c r="B2888" t="s">
        <v>10</v>
      </c>
      <c r="H2888" t="s">
        <v>19</v>
      </c>
    </row>
    <row r="2889" spans="1:8">
      <c r="A2889" s="1">
        <f>HYPERLINK("https://cms.ls-nyc.org/matter/dynamic-profile/view/1861638","18-1861638")</f>
        <v>0</v>
      </c>
      <c r="B2889" t="s">
        <v>10</v>
      </c>
      <c r="D2889" t="s">
        <v>15</v>
      </c>
      <c r="E2889" t="s">
        <v>16</v>
      </c>
      <c r="H2889" t="s">
        <v>20</v>
      </c>
    </row>
    <row r="2890" spans="1:8">
      <c r="A2890" s="1">
        <f>HYPERLINK("https://cms.ls-nyc.org/matter/dynamic-profile/view/1889314","19-1889314")</f>
        <v>0</v>
      </c>
      <c r="B2890" t="s">
        <v>11</v>
      </c>
      <c r="H2890" t="s">
        <v>19</v>
      </c>
    </row>
    <row r="2891" spans="1:8">
      <c r="A2891" s="1">
        <f>HYPERLINK("https://cms.ls-nyc.org/matter/dynamic-profile/view/1895840","19-1895840")</f>
        <v>0</v>
      </c>
      <c r="B2891" t="s">
        <v>8</v>
      </c>
      <c r="H2891" t="s">
        <v>19</v>
      </c>
    </row>
    <row r="2892" spans="1:8">
      <c r="A2892" s="1">
        <f>HYPERLINK("https://cms.ls-nyc.org/matter/dynamic-profile/view/1895844","19-1895844")</f>
        <v>0</v>
      </c>
      <c r="B2892" t="s">
        <v>8</v>
      </c>
      <c r="H2892" t="s">
        <v>19</v>
      </c>
    </row>
    <row r="2893" spans="1:8">
      <c r="A2893" s="1">
        <f>HYPERLINK("https://cms.ls-nyc.org/matter/dynamic-profile/view/1851547","17-1851547")</f>
        <v>0</v>
      </c>
      <c r="B2893" t="s">
        <v>8</v>
      </c>
      <c r="D2893" t="s">
        <v>15</v>
      </c>
      <c r="E2893" t="s">
        <v>16</v>
      </c>
      <c r="H2893" t="s">
        <v>20</v>
      </c>
    </row>
    <row r="2894" spans="1:8">
      <c r="A2894" s="1">
        <f>HYPERLINK("https://cms.ls-nyc.org/matter/dynamic-profile/view/1853236","17-1853236")</f>
        <v>0</v>
      </c>
      <c r="B2894" t="s">
        <v>9</v>
      </c>
      <c r="D2894" t="s">
        <v>15</v>
      </c>
      <c r="E2894" t="s">
        <v>16</v>
      </c>
      <c r="H2894" t="s">
        <v>20</v>
      </c>
    </row>
    <row r="2895" spans="1:8">
      <c r="A2895" s="1">
        <f>HYPERLINK("https://cms.ls-nyc.org/matter/dynamic-profile/view/1837044","17-1837044")</f>
        <v>0</v>
      </c>
      <c r="B2895" t="s">
        <v>9</v>
      </c>
      <c r="D2895" t="s">
        <v>15</v>
      </c>
      <c r="E2895" t="s">
        <v>16</v>
      </c>
      <c r="H2895" t="s">
        <v>20</v>
      </c>
    </row>
    <row r="2896" spans="1:8">
      <c r="A2896" s="1">
        <f>HYPERLINK("https://cms.ls-nyc.org/matter/dynamic-profile/view/1846478","17-1846478")</f>
        <v>0</v>
      </c>
      <c r="B2896" t="s">
        <v>9</v>
      </c>
      <c r="D2896" t="s">
        <v>15</v>
      </c>
      <c r="E2896" t="s">
        <v>16</v>
      </c>
      <c r="H2896" t="s">
        <v>20</v>
      </c>
    </row>
    <row r="2897" spans="1:8">
      <c r="A2897" s="1">
        <f>HYPERLINK("https://cms.ls-nyc.org/matter/dynamic-profile/view/1859453","18-1859453")</f>
        <v>0</v>
      </c>
      <c r="B2897" t="s">
        <v>10</v>
      </c>
      <c r="D2897" t="s">
        <v>15</v>
      </c>
      <c r="E2897" t="s">
        <v>16</v>
      </c>
      <c r="H2897" t="s">
        <v>20</v>
      </c>
    </row>
    <row r="2898" spans="1:8">
      <c r="A2898" s="1">
        <f>HYPERLINK("https://cms.ls-nyc.org/matter/dynamic-profile/view/1833962","17-1833962")</f>
        <v>0</v>
      </c>
      <c r="B2898" t="s">
        <v>10</v>
      </c>
      <c r="D2898" t="s">
        <v>15</v>
      </c>
      <c r="E2898" t="s">
        <v>16</v>
      </c>
      <c r="H2898" t="s">
        <v>20</v>
      </c>
    </row>
    <row r="2899" spans="1:8">
      <c r="A2899" s="1">
        <f>HYPERLINK("https://cms.ls-nyc.org/matter/dynamic-profile/view/1869632","18-1869632")</f>
        <v>0</v>
      </c>
      <c r="B2899" t="s">
        <v>10</v>
      </c>
      <c r="D2899" t="s">
        <v>15</v>
      </c>
      <c r="E2899" t="s">
        <v>16</v>
      </c>
      <c r="H2899" t="s">
        <v>20</v>
      </c>
    </row>
    <row r="2900" spans="1:8">
      <c r="A2900" s="1">
        <f>HYPERLINK("https://cms.ls-nyc.org/matter/dynamic-profile/view/1891865","19-1891865")</f>
        <v>0</v>
      </c>
      <c r="B2900" t="s">
        <v>9</v>
      </c>
      <c r="E2900" t="s">
        <v>16</v>
      </c>
      <c r="F2900" t="s">
        <v>17</v>
      </c>
      <c r="H2900" t="s">
        <v>20</v>
      </c>
    </row>
    <row r="2901" spans="1:8">
      <c r="A2901" s="1">
        <f>HYPERLINK("https://cms.ls-nyc.org/matter/dynamic-profile/view/1861367","18-1861367")</f>
        <v>0</v>
      </c>
      <c r="B2901" t="s">
        <v>8</v>
      </c>
      <c r="D2901" t="s">
        <v>15</v>
      </c>
      <c r="E2901" t="s">
        <v>16</v>
      </c>
      <c r="H2901" t="s">
        <v>20</v>
      </c>
    </row>
    <row r="2902" spans="1:8">
      <c r="A2902" s="1">
        <f>HYPERLINK("https://cms.ls-nyc.org/matter/dynamic-profile/view/1861379","18-1861379")</f>
        <v>0</v>
      </c>
      <c r="B2902" t="s">
        <v>8</v>
      </c>
      <c r="D2902" t="s">
        <v>15</v>
      </c>
      <c r="E2902" t="s">
        <v>16</v>
      </c>
      <c r="H2902" t="s">
        <v>20</v>
      </c>
    </row>
    <row r="2903" spans="1:8">
      <c r="A2903" s="1">
        <f>HYPERLINK("https://cms.ls-nyc.org/matter/dynamic-profile/view/1900774","19-1900774")</f>
        <v>0</v>
      </c>
      <c r="B2903" t="s">
        <v>8</v>
      </c>
      <c r="D2903" t="s">
        <v>14</v>
      </c>
      <c r="H2903" t="s">
        <v>20</v>
      </c>
    </row>
    <row r="2904" spans="1:8">
      <c r="A2904" s="1">
        <f>HYPERLINK("https://cms.ls-nyc.org/matter/dynamic-profile/view/0799002","16-0799002")</f>
        <v>0</v>
      </c>
      <c r="B2904" t="s">
        <v>10</v>
      </c>
      <c r="D2904" t="s">
        <v>15</v>
      </c>
      <c r="E2904" t="s">
        <v>16</v>
      </c>
      <c r="H2904" t="s">
        <v>20</v>
      </c>
    </row>
    <row r="2905" spans="1:8">
      <c r="A2905" s="1">
        <f>HYPERLINK("https://cms.ls-nyc.org/matter/dynamic-profile/view/0817133","16-0817133")</f>
        <v>0</v>
      </c>
      <c r="B2905" t="s">
        <v>10</v>
      </c>
      <c r="D2905" t="s">
        <v>15</v>
      </c>
      <c r="E2905" t="s">
        <v>16</v>
      </c>
      <c r="H2905" t="s">
        <v>20</v>
      </c>
    </row>
    <row r="2906" spans="1:8">
      <c r="A2906" s="1">
        <f>HYPERLINK("https://cms.ls-nyc.org/matter/dynamic-profile/view/0822597","16-0822597")</f>
        <v>0</v>
      </c>
      <c r="B2906" t="s">
        <v>10</v>
      </c>
      <c r="D2906" t="s">
        <v>15</v>
      </c>
      <c r="E2906" t="s">
        <v>16</v>
      </c>
      <c r="H2906" t="s">
        <v>20</v>
      </c>
    </row>
    <row r="2907" spans="1:8">
      <c r="A2907" s="1">
        <f>HYPERLINK("https://cms.ls-nyc.org/matter/dynamic-profile/view/1884673","18-1884673")</f>
        <v>0</v>
      </c>
      <c r="B2907" t="s">
        <v>9</v>
      </c>
      <c r="H2907" t="s">
        <v>19</v>
      </c>
    </row>
    <row r="2908" spans="1:8">
      <c r="A2908" s="1">
        <f>HYPERLINK("https://cms.ls-nyc.org/matter/dynamic-profile/view/1884677","18-1884677")</f>
        <v>0</v>
      </c>
      <c r="B2908" t="s">
        <v>9</v>
      </c>
      <c r="H2908" t="s">
        <v>19</v>
      </c>
    </row>
    <row r="2909" spans="1:8">
      <c r="A2909" s="1">
        <f>HYPERLINK("https://cms.ls-nyc.org/matter/dynamic-profile/view/1897702","19-1897702")</f>
        <v>0</v>
      </c>
      <c r="B2909" t="s">
        <v>9</v>
      </c>
      <c r="E2909" t="s">
        <v>16</v>
      </c>
      <c r="F2909" t="s">
        <v>17</v>
      </c>
      <c r="H2909" t="s">
        <v>20</v>
      </c>
    </row>
    <row r="2910" spans="1:8">
      <c r="A2910" s="1">
        <f>HYPERLINK("https://cms.ls-nyc.org/matter/dynamic-profile/view/1897704","19-1897704")</f>
        <v>0</v>
      </c>
      <c r="B2910" t="s">
        <v>9</v>
      </c>
      <c r="E2910" t="s">
        <v>16</v>
      </c>
      <c r="F2910" t="s">
        <v>17</v>
      </c>
      <c r="H2910" t="s">
        <v>20</v>
      </c>
    </row>
    <row r="2911" spans="1:8">
      <c r="A2911" s="1">
        <f>HYPERLINK("https://cms.ls-nyc.org/matter/dynamic-profile/view/1889612","19-1889612")</f>
        <v>0</v>
      </c>
      <c r="B2911" t="s">
        <v>9</v>
      </c>
      <c r="H2911" t="s">
        <v>19</v>
      </c>
    </row>
    <row r="2912" spans="1:8">
      <c r="A2912" s="1">
        <f>HYPERLINK("https://cms.ls-nyc.org/matter/dynamic-profile/view/1869966","18-1869966")</f>
        <v>0</v>
      </c>
      <c r="B2912" t="s">
        <v>10</v>
      </c>
      <c r="D2912" t="s">
        <v>15</v>
      </c>
      <c r="E2912" t="s">
        <v>16</v>
      </c>
      <c r="H2912" t="s">
        <v>20</v>
      </c>
    </row>
    <row r="2913" spans="1:8">
      <c r="A2913" s="1">
        <f>HYPERLINK("https://cms.ls-nyc.org/matter/dynamic-profile/view/1899675","19-1899675")</f>
        <v>0</v>
      </c>
      <c r="B2913" t="s">
        <v>9</v>
      </c>
      <c r="E2913" t="s">
        <v>16</v>
      </c>
      <c r="H2913" t="s">
        <v>20</v>
      </c>
    </row>
    <row r="2914" spans="1:8">
      <c r="A2914" s="1">
        <f>HYPERLINK("https://cms.ls-nyc.org/matter/dynamic-profile/view/1887015","19-1887015")</f>
        <v>0</v>
      </c>
      <c r="B2914" t="s">
        <v>10</v>
      </c>
      <c r="H2914" t="s">
        <v>19</v>
      </c>
    </row>
    <row r="2915" spans="1:8">
      <c r="A2915" s="1">
        <f>HYPERLINK("https://cms.ls-nyc.org/matter/dynamic-profile/view/1863395","18-1863395")</f>
        <v>0</v>
      </c>
      <c r="B2915" t="s">
        <v>10</v>
      </c>
      <c r="D2915" t="s">
        <v>15</v>
      </c>
      <c r="E2915" t="s">
        <v>16</v>
      </c>
      <c r="H2915" t="s">
        <v>20</v>
      </c>
    </row>
    <row r="2916" spans="1:8">
      <c r="A2916" s="1">
        <f>HYPERLINK("https://cms.ls-nyc.org/matter/dynamic-profile/view/1898326","19-1898326")</f>
        <v>0</v>
      </c>
      <c r="B2916" t="s">
        <v>10</v>
      </c>
      <c r="D2916" t="s">
        <v>14</v>
      </c>
      <c r="H2916" t="s">
        <v>20</v>
      </c>
    </row>
    <row r="2917" spans="1:8">
      <c r="A2917" s="1">
        <f>HYPERLINK("https://cms.ls-nyc.org/matter/dynamic-profile/view/1854180","17-1854180")</f>
        <v>0</v>
      </c>
      <c r="B2917" t="s">
        <v>12</v>
      </c>
      <c r="D2917" t="s">
        <v>15</v>
      </c>
      <c r="E2917" t="s">
        <v>16</v>
      </c>
      <c r="H2917" t="s">
        <v>20</v>
      </c>
    </row>
    <row r="2918" spans="1:8">
      <c r="A2918" s="1">
        <f>HYPERLINK("https://cms.ls-nyc.org/matter/dynamic-profile/view/1840500","17-1840500")</f>
        <v>0</v>
      </c>
      <c r="B2918" t="s">
        <v>9</v>
      </c>
      <c r="D2918" t="s">
        <v>15</v>
      </c>
      <c r="H2918" t="s">
        <v>20</v>
      </c>
    </row>
    <row r="2919" spans="1:8">
      <c r="A2919" s="1">
        <f>HYPERLINK("https://cms.ls-nyc.org/matter/dynamic-profile/view/1852681","17-1852681")</f>
        <v>0</v>
      </c>
      <c r="B2919" t="s">
        <v>9</v>
      </c>
      <c r="C2919" t="s">
        <v>13</v>
      </c>
      <c r="D2919" t="s">
        <v>15</v>
      </c>
      <c r="E2919" t="s">
        <v>16</v>
      </c>
      <c r="H2919" t="s">
        <v>20</v>
      </c>
    </row>
    <row r="2920" spans="1:8">
      <c r="A2920" s="1">
        <f>HYPERLINK("https://cms.ls-nyc.org/matter/dynamic-profile/view/1845191","17-1845191")</f>
        <v>0</v>
      </c>
      <c r="B2920" t="s">
        <v>12</v>
      </c>
      <c r="D2920" t="s">
        <v>15</v>
      </c>
      <c r="H2920" t="s">
        <v>20</v>
      </c>
    </row>
    <row r="2921" spans="1:8">
      <c r="A2921" s="1">
        <f>HYPERLINK("https://cms.ls-nyc.org/matter/dynamic-profile/view/1890900","19-1890900")</f>
        <v>0</v>
      </c>
      <c r="B2921" t="s">
        <v>9</v>
      </c>
      <c r="F2921" t="s">
        <v>17</v>
      </c>
      <c r="H2921" t="s">
        <v>20</v>
      </c>
    </row>
    <row r="2922" spans="1:8">
      <c r="A2922" s="1">
        <f>HYPERLINK("https://cms.ls-nyc.org/matter/dynamic-profile/view/1845254","17-1845254")</f>
        <v>0</v>
      </c>
      <c r="B2922" t="s">
        <v>9</v>
      </c>
      <c r="D2922" t="s">
        <v>15</v>
      </c>
      <c r="E2922" t="s">
        <v>16</v>
      </c>
      <c r="H2922" t="s">
        <v>20</v>
      </c>
    </row>
    <row r="2923" spans="1:8">
      <c r="A2923" s="1">
        <f>HYPERLINK("https://cms.ls-nyc.org/matter/dynamic-profile/view/1885716","18-1885716")</f>
        <v>0</v>
      </c>
      <c r="B2923" t="s">
        <v>10</v>
      </c>
      <c r="F2923" t="s">
        <v>17</v>
      </c>
      <c r="H2923" t="s">
        <v>20</v>
      </c>
    </row>
    <row r="2924" spans="1:8">
      <c r="A2924" s="1">
        <f>HYPERLINK("https://cms.ls-nyc.org/matter/dynamic-profile/view/1876850","18-1876850")</f>
        <v>0</v>
      </c>
      <c r="B2924" t="s">
        <v>10</v>
      </c>
      <c r="H2924" t="s">
        <v>19</v>
      </c>
    </row>
    <row r="2925" spans="1:8">
      <c r="A2925" s="1">
        <f>HYPERLINK("https://cms.ls-nyc.org/matter/dynamic-profile/view/1860417","18-1860417")</f>
        <v>0</v>
      </c>
      <c r="B2925" t="s">
        <v>12</v>
      </c>
      <c r="D2925" t="s">
        <v>15</v>
      </c>
      <c r="H2925" t="s">
        <v>20</v>
      </c>
    </row>
    <row r="2926" spans="1:8">
      <c r="A2926" s="1">
        <f>HYPERLINK("https://cms.ls-nyc.org/matter/dynamic-profile/view/1884355","18-1884355")</f>
        <v>0</v>
      </c>
      <c r="B2926" t="s">
        <v>8</v>
      </c>
      <c r="H2926" t="s">
        <v>19</v>
      </c>
    </row>
    <row r="2927" spans="1:8">
      <c r="A2927" s="1">
        <f>HYPERLINK("https://cms.ls-nyc.org/matter/dynamic-profile/view/1896988","19-1896988")</f>
        <v>0</v>
      </c>
      <c r="B2927" t="s">
        <v>9</v>
      </c>
      <c r="H2927" t="s">
        <v>19</v>
      </c>
    </row>
    <row r="2928" spans="1:8">
      <c r="A2928" s="1">
        <f>HYPERLINK("https://cms.ls-nyc.org/matter/dynamic-profile/view/1900735","19-1900735")</f>
        <v>0</v>
      </c>
      <c r="B2928" t="s">
        <v>9</v>
      </c>
      <c r="E2928" t="s">
        <v>16</v>
      </c>
      <c r="H2928" t="s">
        <v>20</v>
      </c>
    </row>
    <row r="2929" spans="1:8">
      <c r="A2929" s="1">
        <f>HYPERLINK("https://cms.ls-nyc.org/matter/dynamic-profile/view/1895991","19-1895991")</f>
        <v>0</v>
      </c>
      <c r="B2929" t="s">
        <v>8</v>
      </c>
      <c r="H2929" t="s">
        <v>19</v>
      </c>
    </row>
    <row r="2930" spans="1:8">
      <c r="A2930" s="1">
        <f>HYPERLINK("https://cms.ls-nyc.org/matter/dynamic-profile/view/1882824","18-1882824")</f>
        <v>0</v>
      </c>
      <c r="B2930" t="s">
        <v>9</v>
      </c>
      <c r="H2930" t="s">
        <v>19</v>
      </c>
    </row>
    <row r="2931" spans="1:8">
      <c r="A2931" s="1">
        <f>HYPERLINK("https://cms.ls-nyc.org/matter/dynamic-profile/view/1901139","19-1901139")</f>
        <v>0</v>
      </c>
      <c r="B2931" t="s">
        <v>8</v>
      </c>
      <c r="C2931" t="s">
        <v>13</v>
      </c>
      <c r="D2931" t="s">
        <v>14</v>
      </c>
      <c r="E2931" t="s">
        <v>16</v>
      </c>
      <c r="H2931" t="s">
        <v>20</v>
      </c>
    </row>
    <row r="2932" spans="1:8">
      <c r="A2932" s="1">
        <f>HYPERLINK("https://cms.ls-nyc.org/matter/dynamic-profile/view/1895196","19-1895196")</f>
        <v>0</v>
      </c>
      <c r="B2932" t="s">
        <v>9</v>
      </c>
      <c r="H2932" t="s">
        <v>19</v>
      </c>
    </row>
    <row r="2933" spans="1:8">
      <c r="A2933" s="1">
        <f>HYPERLINK("https://cms.ls-nyc.org/matter/dynamic-profile/view/1882352","18-1882352")</f>
        <v>0</v>
      </c>
      <c r="B2933" t="s">
        <v>10</v>
      </c>
      <c r="C2933" t="s">
        <v>13</v>
      </c>
      <c r="D2933" t="s">
        <v>14</v>
      </c>
      <c r="E2933" t="s">
        <v>16</v>
      </c>
      <c r="H2933" t="s">
        <v>20</v>
      </c>
    </row>
    <row r="2934" spans="1:8">
      <c r="A2934" s="1">
        <f>HYPERLINK("https://cms.ls-nyc.org/matter/dynamic-profile/view/0805063","16-0805063")</f>
        <v>0</v>
      </c>
      <c r="B2934" t="s">
        <v>9</v>
      </c>
      <c r="C2934" t="s">
        <v>13</v>
      </c>
      <c r="D2934" t="s">
        <v>15</v>
      </c>
      <c r="E2934" t="s">
        <v>16</v>
      </c>
      <c r="H2934" t="s">
        <v>20</v>
      </c>
    </row>
    <row r="2935" spans="1:8">
      <c r="A2935" s="1">
        <f>HYPERLINK("https://cms.ls-nyc.org/matter/dynamic-profile/view/1893586","19-1893586")</f>
        <v>0</v>
      </c>
      <c r="B2935" t="s">
        <v>11</v>
      </c>
      <c r="H2935" t="s">
        <v>19</v>
      </c>
    </row>
    <row r="2936" spans="1:8">
      <c r="A2936" s="1">
        <f>HYPERLINK("https://cms.ls-nyc.org/matter/dynamic-profile/view/1894929","19-1894929")</f>
        <v>0</v>
      </c>
      <c r="B2936" t="s">
        <v>12</v>
      </c>
      <c r="F2936" t="s">
        <v>17</v>
      </c>
      <c r="H2936" t="s">
        <v>20</v>
      </c>
    </row>
    <row r="2937" spans="1:8">
      <c r="A2937" s="1">
        <f>HYPERLINK("https://cms.ls-nyc.org/matter/dynamic-profile/view/1871628","18-1871628")</f>
        <v>0</v>
      </c>
      <c r="B2937" t="s">
        <v>9</v>
      </c>
      <c r="D2937" t="s">
        <v>15</v>
      </c>
      <c r="E2937" t="s">
        <v>16</v>
      </c>
      <c r="H2937" t="s">
        <v>20</v>
      </c>
    </row>
    <row r="2938" spans="1:8">
      <c r="A2938" s="1">
        <f>HYPERLINK("https://cms.ls-nyc.org/matter/dynamic-profile/view/0816812","16-0816812")</f>
        <v>0</v>
      </c>
      <c r="B2938" t="s">
        <v>10</v>
      </c>
      <c r="D2938" t="s">
        <v>15</v>
      </c>
      <c r="E2938" t="s">
        <v>16</v>
      </c>
      <c r="H2938" t="s">
        <v>20</v>
      </c>
    </row>
    <row r="2939" spans="1:8">
      <c r="A2939" s="1">
        <f>HYPERLINK("https://cms.ls-nyc.org/matter/dynamic-profile/view/1851107","17-1851107")</f>
        <v>0</v>
      </c>
      <c r="B2939" t="s">
        <v>9</v>
      </c>
      <c r="D2939" t="s">
        <v>15</v>
      </c>
      <c r="H2939" t="s">
        <v>20</v>
      </c>
    </row>
    <row r="2940" spans="1:8">
      <c r="A2940" s="1">
        <f>HYPERLINK("https://cms.ls-nyc.org/matter/dynamic-profile/view/0789143","15-0789143")</f>
        <v>0</v>
      </c>
      <c r="B2940" t="s">
        <v>8</v>
      </c>
      <c r="D2940" t="s">
        <v>15</v>
      </c>
      <c r="E2940" t="s">
        <v>16</v>
      </c>
      <c r="H2940" t="s">
        <v>20</v>
      </c>
    </row>
    <row r="2941" spans="1:8">
      <c r="A2941" s="1">
        <f>HYPERLINK("https://cms.ls-nyc.org/matter/dynamic-profile/view/1894817","19-1894817")</f>
        <v>0</v>
      </c>
      <c r="B2941" t="s">
        <v>12</v>
      </c>
      <c r="H2941" t="s">
        <v>19</v>
      </c>
    </row>
    <row r="2942" spans="1:8">
      <c r="A2942" s="1">
        <f>HYPERLINK("https://cms.ls-nyc.org/matter/dynamic-profile/view/1863853","18-1863853")</f>
        <v>0</v>
      </c>
      <c r="B2942" t="s">
        <v>12</v>
      </c>
      <c r="D2942" t="s">
        <v>15</v>
      </c>
      <c r="H2942" t="s">
        <v>20</v>
      </c>
    </row>
    <row r="2943" spans="1:8">
      <c r="A2943" s="1">
        <f>HYPERLINK("https://cms.ls-nyc.org/matter/dynamic-profile/view/1892717","19-1892717")</f>
        <v>0</v>
      </c>
      <c r="B2943" t="s">
        <v>9</v>
      </c>
      <c r="H2943" t="s">
        <v>19</v>
      </c>
    </row>
    <row r="2944" spans="1:8">
      <c r="A2944" s="1">
        <f>HYPERLINK("https://cms.ls-nyc.org/matter/dynamic-profile/view/1898906","19-1898906")</f>
        <v>0</v>
      </c>
      <c r="B2944" t="s">
        <v>9</v>
      </c>
      <c r="H2944" t="s">
        <v>19</v>
      </c>
    </row>
    <row r="2945" spans="1:8">
      <c r="A2945" s="1">
        <f>HYPERLINK("https://cms.ls-nyc.org/matter/dynamic-profile/view/1883938","18-1883938")</f>
        <v>0</v>
      </c>
      <c r="B2945" t="s">
        <v>10</v>
      </c>
      <c r="C2945" t="s">
        <v>13</v>
      </c>
      <c r="D2945" t="s">
        <v>14</v>
      </c>
      <c r="H2945" t="s">
        <v>20</v>
      </c>
    </row>
    <row r="2946" spans="1:8">
      <c r="A2946" s="1">
        <f>HYPERLINK("https://cms.ls-nyc.org/matter/dynamic-profile/view/1863515","18-1863515")</f>
        <v>0</v>
      </c>
      <c r="B2946" t="s">
        <v>12</v>
      </c>
      <c r="D2946" t="s">
        <v>15</v>
      </c>
      <c r="H2946" t="s">
        <v>20</v>
      </c>
    </row>
    <row r="2947" spans="1:8">
      <c r="A2947" s="1">
        <f>HYPERLINK("https://cms.ls-nyc.org/matter/dynamic-profile/view/1838036","17-1838036")</f>
        <v>0</v>
      </c>
      <c r="B2947" t="s">
        <v>12</v>
      </c>
      <c r="D2947" t="s">
        <v>15</v>
      </c>
      <c r="E2947" t="s">
        <v>16</v>
      </c>
      <c r="H2947" t="s">
        <v>20</v>
      </c>
    </row>
    <row r="2948" spans="1:8">
      <c r="A2948" s="1">
        <f>HYPERLINK("https://cms.ls-nyc.org/matter/dynamic-profile/view/0822317","16-0822317")</f>
        <v>0</v>
      </c>
      <c r="B2948" t="s">
        <v>12</v>
      </c>
      <c r="D2948" t="s">
        <v>15</v>
      </c>
      <c r="E2948" t="s">
        <v>16</v>
      </c>
      <c r="H2948" t="s">
        <v>20</v>
      </c>
    </row>
    <row r="2949" spans="1:8">
      <c r="A2949" s="1">
        <f>HYPERLINK("https://cms.ls-nyc.org/matter/dynamic-profile/view/1843611","17-1843611")</f>
        <v>0</v>
      </c>
      <c r="B2949" t="s">
        <v>10</v>
      </c>
      <c r="D2949" t="s">
        <v>15</v>
      </c>
      <c r="E2949" t="s">
        <v>16</v>
      </c>
      <c r="F2949" t="s">
        <v>17</v>
      </c>
      <c r="H2949" t="s">
        <v>20</v>
      </c>
    </row>
    <row r="2950" spans="1:8">
      <c r="A2950" s="1">
        <f>HYPERLINK("https://cms.ls-nyc.org/matter/dynamic-profile/view/0795237","15-0795237")</f>
        <v>0</v>
      </c>
      <c r="B2950" t="s">
        <v>8</v>
      </c>
      <c r="D2950" t="s">
        <v>15</v>
      </c>
      <c r="E2950" t="s">
        <v>16</v>
      </c>
      <c r="H2950" t="s">
        <v>20</v>
      </c>
    </row>
    <row r="2951" spans="1:8">
      <c r="A2951" s="1">
        <f>HYPERLINK("https://cms.ls-nyc.org/matter/dynamic-profile/view/0780213","15-0780213")</f>
        <v>0</v>
      </c>
      <c r="B2951" t="s">
        <v>9</v>
      </c>
      <c r="D2951" t="s">
        <v>15</v>
      </c>
      <c r="E2951" t="s">
        <v>16</v>
      </c>
      <c r="H2951" t="s">
        <v>20</v>
      </c>
    </row>
    <row r="2952" spans="1:8">
      <c r="A2952" s="1">
        <f>HYPERLINK("https://cms.ls-nyc.org/matter/dynamic-profile/view/0795748","16-0795748")</f>
        <v>0</v>
      </c>
      <c r="B2952" t="s">
        <v>8</v>
      </c>
      <c r="C2952" t="s">
        <v>13</v>
      </c>
      <c r="D2952" t="s">
        <v>15</v>
      </c>
      <c r="E2952" t="s">
        <v>16</v>
      </c>
      <c r="H2952" t="s">
        <v>20</v>
      </c>
    </row>
    <row r="2953" spans="1:8">
      <c r="A2953" s="1">
        <f>HYPERLINK("https://cms.ls-nyc.org/matter/dynamic-profile/view/0793991","15-0793991")</f>
        <v>0</v>
      </c>
      <c r="B2953" t="s">
        <v>10</v>
      </c>
      <c r="D2953" t="s">
        <v>15</v>
      </c>
      <c r="E2953" t="s">
        <v>16</v>
      </c>
      <c r="H2953" t="s">
        <v>20</v>
      </c>
    </row>
    <row r="2954" spans="1:8">
      <c r="A2954" s="1">
        <f>HYPERLINK("https://cms.ls-nyc.org/matter/dynamic-profile/view/1882953","18-1882953")</f>
        <v>0</v>
      </c>
      <c r="B2954" t="s">
        <v>10</v>
      </c>
      <c r="H2954" t="s">
        <v>19</v>
      </c>
    </row>
    <row r="2955" spans="1:8">
      <c r="A2955" s="1">
        <f>HYPERLINK("https://cms.ls-nyc.org/matter/dynamic-profile/view/1882757","18-1882757")</f>
        <v>0</v>
      </c>
      <c r="B2955" t="s">
        <v>10</v>
      </c>
      <c r="H2955" t="s">
        <v>19</v>
      </c>
    </row>
    <row r="2956" spans="1:8">
      <c r="A2956" s="1">
        <f>HYPERLINK("https://cms.ls-nyc.org/matter/dynamic-profile/view/1856576","18-1856576")</f>
        <v>0</v>
      </c>
      <c r="B2956" t="s">
        <v>8</v>
      </c>
      <c r="D2956" t="s">
        <v>15</v>
      </c>
      <c r="E2956" t="s">
        <v>16</v>
      </c>
      <c r="H2956" t="s">
        <v>20</v>
      </c>
    </row>
    <row r="2957" spans="1:8">
      <c r="A2957" s="1">
        <f>HYPERLINK("https://cms.ls-nyc.org/matter/dynamic-profile/view/1856852","18-1856852")</f>
        <v>0</v>
      </c>
      <c r="B2957" t="s">
        <v>12</v>
      </c>
      <c r="D2957" t="s">
        <v>15</v>
      </c>
      <c r="E2957" t="s">
        <v>16</v>
      </c>
      <c r="H2957" t="s">
        <v>20</v>
      </c>
    </row>
    <row r="2958" spans="1:8">
      <c r="A2958" s="1">
        <f>HYPERLINK("https://cms.ls-nyc.org/matter/dynamic-profile/view/0796572","16-0796572")</f>
        <v>0</v>
      </c>
      <c r="B2958" t="s">
        <v>10</v>
      </c>
      <c r="D2958" t="s">
        <v>15</v>
      </c>
      <c r="E2958" t="s">
        <v>16</v>
      </c>
      <c r="H2958" t="s">
        <v>20</v>
      </c>
    </row>
    <row r="2959" spans="1:8">
      <c r="A2959" s="1">
        <f>HYPERLINK("https://cms.ls-nyc.org/matter/dynamic-profile/view/1897450","19-1897450")</f>
        <v>0</v>
      </c>
      <c r="B2959" t="s">
        <v>9</v>
      </c>
      <c r="C2959" t="s">
        <v>13</v>
      </c>
      <c r="D2959" t="s">
        <v>14</v>
      </c>
      <c r="E2959" t="s">
        <v>16</v>
      </c>
      <c r="G2959" t="s">
        <v>18</v>
      </c>
      <c r="H2959" t="s">
        <v>20</v>
      </c>
    </row>
    <row r="2960" spans="1:8">
      <c r="A2960" s="1">
        <f>HYPERLINK("https://cms.ls-nyc.org/matter/dynamic-profile/view/1880305","18-1880305")</f>
        <v>0</v>
      </c>
      <c r="B2960" t="s">
        <v>9</v>
      </c>
      <c r="H2960" t="s">
        <v>19</v>
      </c>
    </row>
    <row r="2961" spans="1:8">
      <c r="A2961" s="1">
        <f>HYPERLINK("https://cms.ls-nyc.org/matter/dynamic-profile/view/1895340","19-1895340")</f>
        <v>0</v>
      </c>
      <c r="B2961" t="s">
        <v>9</v>
      </c>
      <c r="H2961" t="s">
        <v>19</v>
      </c>
    </row>
    <row r="2962" spans="1:8">
      <c r="A2962" s="1">
        <f>HYPERLINK("https://cms.ls-nyc.org/matter/dynamic-profile/view/1880351","18-1880351")</f>
        <v>0</v>
      </c>
      <c r="B2962" t="s">
        <v>12</v>
      </c>
      <c r="H2962" t="s">
        <v>19</v>
      </c>
    </row>
    <row r="2963" spans="1:8">
      <c r="A2963" s="1">
        <f>HYPERLINK("https://cms.ls-nyc.org/matter/dynamic-profile/view/1878790","18-1878790")</f>
        <v>0</v>
      </c>
      <c r="B2963" t="s">
        <v>10</v>
      </c>
      <c r="H2963" t="s">
        <v>19</v>
      </c>
    </row>
    <row r="2964" spans="1:8">
      <c r="A2964" s="1">
        <f>HYPERLINK("https://cms.ls-nyc.org/matter/dynamic-profile/view/1890177","19-1890177")</f>
        <v>0</v>
      </c>
      <c r="B2964" t="s">
        <v>9</v>
      </c>
      <c r="H2964" t="s">
        <v>19</v>
      </c>
    </row>
    <row r="2965" spans="1:8">
      <c r="A2965" s="1">
        <f>HYPERLINK("https://cms.ls-nyc.org/matter/dynamic-profile/view/1891460","19-1891460")</f>
        <v>0</v>
      </c>
      <c r="B2965" t="s">
        <v>9</v>
      </c>
      <c r="E2965" t="s">
        <v>16</v>
      </c>
      <c r="H2965" t="s">
        <v>20</v>
      </c>
    </row>
    <row r="2966" spans="1:8">
      <c r="A2966" s="1">
        <f>HYPERLINK("https://cms.ls-nyc.org/matter/dynamic-profile/view/1886991","19-1886991")</f>
        <v>0</v>
      </c>
      <c r="B2966" t="s">
        <v>10</v>
      </c>
      <c r="D2966" t="s">
        <v>14</v>
      </c>
      <c r="H2966" t="s">
        <v>20</v>
      </c>
    </row>
    <row r="2967" spans="1:8">
      <c r="A2967" s="1">
        <f>HYPERLINK("https://cms.ls-nyc.org/matter/dynamic-profile/view/0804753","16-0804753")</f>
        <v>0</v>
      </c>
      <c r="B2967" t="s">
        <v>8</v>
      </c>
      <c r="D2967" t="s">
        <v>14</v>
      </c>
      <c r="E2967" t="s">
        <v>16</v>
      </c>
      <c r="H2967" t="s">
        <v>20</v>
      </c>
    </row>
    <row r="2968" spans="1:8">
      <c r="A2968" s="1">
        <f>HYPERLINK("https://cms.ls-nyc.org/matter/dynamic-profile/view/1875659","18-1875659")</f>
        <v>0</v>
      </c>
      <c r="B2968" t="s">
        <v>9</v>
      </c>
      <c r="H2968" t="s">
        <v>19</v>
      </c>
    </row>
    <row r="2969" spans="1:8">
      <c r="A2969" s="1">
        <f>HYPERLINK("https://cms.ls-nyc.org/matter/dynamic-profile/view/1863779","18-1863779")</f>
        <v>0</v>
      </c>
      <c r="B2969" t="s">
        <v>12</v>
      </c>
      <c r="D2969" t="s">
        <v>15</v>
      </c>
      <c r="E2969" t="s">
        <v>16</v>
      </c>
      <c r="H2969" t="s">
        <v>20</v>
      </c>
    </row>
    <row r="2970" spans="1:8">
      <c r="A2970" s="1">
        <f>HYPERLINK("https://cms.ls-nyc.org/matter/dynamic-profile/view/1863909","18-1863909")</f>
        <v>0</v>
      </c>
      <c r="B2970" t="s">
        <v>12</v>
      </c>
      <c r="D2970" t="s">
        <v>15</v>
      </c>
      <c r="H2970" t="s">
        <v>20</v>
      </c>
    </row>
    <row r="2971" spans="1:8">
      <c r="A2971" s="1">
        <f>HYPERLINK("https://cms.ls-nyc.org/matter/dynamic-profile/view/1867388","18-1867388")</f>
        <v>0</v>
      </c>
      <c r="B2971" t="s">
        <v>8</v>
      </c>
      <c r="D2971" t="s">
        <v>15</v>
      </c>
      <c r="E2971" t="s">
        <v>16</v>
      </c>
      <c r="H2971" t="s">
        <v>20</v>
      </c>
    </row>
    <row r="2972" spans="1:8">
      <c r="A2972" s="1">
        <f>HYPERLINK("https://cms.ls-nyc.org/matter/dynamic-profile/view/1895274","19-1895274")</f>
        <v>0</v>
      </c>
      <c r="B2972" t="s">
        <v>9</v>
      </c>
      <c r="H2972" t="s">
        <v>19</v>
      </c>
    </row>
    <row r="2973" spans="1:8">
      <c r="A2973" s="1">
        <f>HYPERLINK("https://cms.ls-nyc.org/matter/dynamic-profile/view/1891216","19-1891216")</f>
        <v>0</v>
      </c>
      <c r="B2973" t="s">
        <v>9</v>
      </c>
      <c r="H2973" t="s">
        <v>19</v>
      </c>
    </row>
    <row r="2974" spans="1:8">
      <c r="A2974" s="1">
        <f>HYPERLINK("https://cms.ls-nyc.org/matter/dynamic-profile/view/1889748","19-1889748")</f>
        <v>0</v>
      </c>
      <c r="B2974" t="s">
        <v>11</v>
      </c>
      <c r="D2974" t="s">
        <v>14</v>
      </c>
      <c r="G2974" t="s">
        <v>18</v>
      </c>
      <c r="H2974" t="s">
        <v>20</v>
      </c>
    </row>
    <row r="2975" spans="1:8">
      <c r="A2975" s="1">
        <f>HYPERLINK("https://cms.ls-nyc.org/matter/dynamic-profile/view/1890366","19-1890366")</f>
        <v>0</v>
      </c>
      <c r="B2975" t="s">
        <v>10</v>
      </c>
      <c r="H2975" t="s">
        <v>19</v>
      </c>
    </row>
    <row r="2976" spans="1:8">
      <c r="A2976" s="1">
        <f>HYPERLINK("https://cms.ls-nyc.org/matter/dynamic-profile/view/1891115","19-1891115")</f>
        <v>0</v>
      </c>
      <c r="B2976" t="s">
        <v>11</v>
      </c>
      <c r="C2976" t="s">
        <v>13</v>
      </c>
      <c r="D2976" t="s">
        <v>14</v>
      </c>
      <c r="E2976" t="s">
        <v>16</v>
      </c>
      <c r="G2976" t="s">
        <v>18</v>
      </c>
      <c r="H2976" t="s">
        <v>20</v>
      </c>
    </row>
    <row r="2977" spans="1:8">
      <c r="A2977" s="1">
        <f>HYPERLINK("https://cms.ls-nyc.org/matter/dynamic-profile/view/1857389","18-1857389")</f>
        <v>0</v>
      </c>
      <c r="B2977" t="s">
        <v>10</v>
      </c>
      <c r="D2977" t="s">
        <v>15</v>
      </c>
      <c r="E2977" t="s">
        <v>16</v>
      </c>
      <c r="H2977" t="s">
        <v>20</v>
      </c>
    </row>
    <row r="2978" spans="1:8">
      <c r="A2978" s="1">
        <f>HYPERLINK("https://cms.ls-nyc.org/matter/dynamic-profile/view/1869858","18-1869858")</f>
        <v>0</v>
      </c>
      <c r="B2978" t="s">
        <v>12</v>
      </c>
      <c r="D2978" t="s">
        <v>15</v>
      </c>
      <c r="E2978" t="s">
        <v>16</v>
      </c>
      <c r="F2978" t="s">
        <v>17</v>
      </c>
      <c r="H2978" t="s">
        <v>20</v>
      </c>
    </row>
    <row r="2979" spans="1:8">
      <c r="A2979" s="1">
        <f>HYPERLINK("https://cms.ls-nyc.org/matter/dynamic-profile/view/1864440","18-1864440")</f>
        <v>0</v>
      </c>
      <c r="B2979" t="s">
        <v>12</v>
      </c>
      <c r="D2979" t="s">
        <v>15</v>
      </c>
      <c r="F2979" t="s">
        <v>17</v>
      </c>
      <c r="H2979" t="s">
        <v>20</v>
      </c>
    </row>
    <row r="2980" spans="1:8">
      <c r="A2980" s="1">
        <f>HYPERLINK("https://cms.ls-nyc.org/matter/dynamic-profile/view/1898822","19-1898822")</f>
        <v>0</v>
      </c>
      <c r="B2980" t="s">
        <v>12</v>
      </c>
      <c r="H2980" t="s">
        <v>19</v>
      </c>
    </row>
    <row r="2981" spans="1:8">
      <c r="A2981" s="1">
        <f>HYPERLINK("https://cms.ls-nyc.org/matter/dynamic-profile/view/1853679","17-1853679")</f>
        <v>0</v>
      </c>
      <c r="B2981" t="s">
        <v>10</v>
      </c>
      <c r="D2981" t="s">
        <v>15</v>
      </c>
      <c r="H2981" t="s">
        <v>20</v>
      </c>
    </row>
    <row r="2982" spans="1:8">
      <c r="A2982" s="1">
        <f>HYPERLINK("https://cms.ls-nyc.org/matter/dynamic-profile/view/1876956","18-1876956")</f>
        <v>0</v>
      </c>
      <c r="B2982" t="s">
        <v>10</v>
      </c>
      <c r="H2982" t="s">
        <v>19</v>
      </c>
    </row>
    <row r="2983" spans="1:8">
      <c r="A2983" s="1">
        <f>HYPERLINK("https://cms.ls-nyc.org/matter/dynamic-profile/view/0804515","16-0804515")</f>
        <v>0</v>
      </c>
      <c r="B2983" t="s">
        <v>8</v>
      </c>
      <c r="D2983" t="s">
        <v>15</v>
      </c>
      <c r="E2983" t="s">
        <v>16</v>
      </c>
      <c r="H2983" t="s">
        <v>20</v>
      </c>
    </row>
    <row r="2984" spans="1:8">
      <c r="A2984" s="1">
        <f>HYPERLINK("https://cms.ls-nyc.org/matter/dynamic-profile/view/1849148","17-1849148")</f>
        <v>0</v>
      </c>
      <c r="B2984" t="s">
        <v>12</v>
      </c>
      <c r="D2984" t="s">
        <v>15</v>
      </c>
      <c r="E2984" t="s">
        <v>16</v>
      </c>
      <c r="H2984" t="s">
        <v>20</v>
      </c>
    </row>
    <row r="2985" spans="1:8">
      <c r="A2985" s="1">
        <f>HYPERLINK("https://cms.ls-nyc.org/matter/dynamic-profile/view/1884410","18-1884410")</f>
        <v>0</v>
      </c>
      <c r="B2985" t="s">
        <v>9</v>
      </c>
      <c r="C2985" t="s">
        <v>13</v>
      </c>
      <c r="D2985" t="s">
        <v>14</v>
      </c>
      <c r="E2985" t="s">
        <v>16</v>
      </c>
      <c r="G2985" t="s">
        <v>18</v>
      </c>
      <c r="H2985" t="s">
        <v>20</v>
      </c>
    </row>
    <row r="2986" spans="1:8">
      <c r="A2986" s="1">
        <f>HYPERLINK("https://cms.ls-nyc.org/matter/dynamic-profile/view/1894012","19-1894012")</f>
        <v>0</v>
      </c>
      <c r="B2986" t="s">
        <v>10</v>
      </c>
      <c r="D2986" t="s">
        <v>14</v>
      </c>
      <c r="F2986" t="s">
        <v>17</v>
      </c>
      <c r="H2986" t="s">
        <v>20</v>
      </c>
    </row>
    <row r="2987" spans="1:8">
      <c r="A2987" s="1">
        <f>HYPERLINK("https://cms.ls-nyc.org/matter/dynamic-profile/view/0777425","15-0777425")</f>
        <v>0</v>
      </c>
      <c r="B2987" t="s">
        <v>9</v>
      </c>
      <c r="C2987" t="s">
        <v>13</v>
      </c>
      <c r="D2987" t="s">
        <v>15</v>
      </c>
      <c r="E2987" t="s">
        <v>16</v>
      </c>
      <c r="H2987" t="s">
        <v>20</v>
      </c>
    </row>
    <row r="2988" spans="1:8">
      <c r="A2988" s="1">
        <f>HYPERLINK("https://cms.ls-nyc.org/matter/dynamic-profile/view/1885512","18-1885512")</f>
        <v>0</v>
      </c>
      <c r="B2988" t="s">
        <v>10</v>
      </c>
      <c r="F2988" t="s">
        <v>17</v>
      </c>
      <c r="H2988" t="s">
        <v>20</v>
      </c>
    </row>
    <row r="2989" spans="1:8">
      <c r="A2989" s="1">
        <f>HYPERLINK("https://cms.ls-nyc.org/matter/dynamic-profile/view/1900576","19-1900576")</f>
        <v>0</v>
      </c>
      <c r="B2989" t="s">
        <v>9</v>
      </c>
      <c r="H2989" t="s">
        <v>19</v>
      </c>
    </row>
    <row r="2990" spans="1:8">
      <c r="A2990" s="1">
        <f>HYPERLINK("https://cms.ls-nyc.org/matter/dynamic-profile/view/0820602","16-0820602")</f>
        <v>0</v>
      </c>
      <c r="B2990" t="s">
        <v>10</v>
      </c>
      <c r="D2990" t="s">
        <v>15</v>
      </c>
      <c r="E2990" t="s">
        <v>16</v>
      </c>
      <c r="H2990" t="s">
        <v>20</v>
      </c>
    </row>
    <row r="2991" spans="1:8">
      <c r="A2991" s="1">
        <f>HYPERLINK("https://cms.ls-nyc.org/matter/dynamic-profile/view/1857358","18-1857358")</f>
        <v>0</v>
      </c>
      <c r="B2991" t="s">
        <v>9</v>
      </c>
      <c r="D2991" t="s">
        <v>15</v>
      </c>
      <c r="E2991" t="s">
        <v>16</v>
      </c>
      <c r="G2991" t="s">
        <v>18</v>
      </c>
      <c r="H2991" t="s">
        <v>20</v>
      </c>
    </row>
    <row r="2992" spans="1:8">
      <c r="A2992" s="1">
        <f>HYPERLINK("https://cms.ls-nyc.org/matter/dynamic-profile/view/1886287","18-1886287")</f>
        <v>0</v>
      </c>
      <c r="B2992" t="s">
        <v>8</v>
      </c>
      <c r="D2992" t="s">
        <v>14</v>
      </c>
      <c r="G2992" t="s">
        <v>18</v>
      </c>
      <c r="H2992" t="s">
        <v>20</v>
      </c>
    </row>
    <row r="2993" spans="1:8">
      <c r="A2993" s="1">
        <f>HYPERLINK("https://cms.ls-nyc.org/matter/dynamic-profile/view/1896717","19-1896717")</f>
        <v>0</v>
      </c>
      <c r="B2993" t="s">
        <v>9</v>
      </c>
      <c r="F2993" t="s">
        <v>17</v>
      </c>
      <c r="H2993" t="s">
        <v>20</v>
      </c>
    </row>
    <row r="2994" spans="1:8">
      <c r="A2994" s="1">
        <f>HYPERLINK("https://cms.ls-nyc.org/matter/dynamic-profile/view/1893854","19-1893854")</f>
        <v>0</v>
      </c>
      <c r="B2994" t="s">
        <v>9</v>
      </c>
      <c r="H2994" t="s">
        <v>19</v>
      </c>
    </row>
    <row r="2995" spans="1:8">
      <c r="A2995" s="1">
        <f>HYPERLINK("https://cms.ls-nyc.org/matter/dynamic-profile/view/0826416","17-0826416")</f>
        <v>0</v>
      </c>
      <c r="B2995" t="s">
        <v>9</v>
      </c>
      <c r="D2995" t="s">
        <v>14</v>
      </c>
      <c r="E2995" t="s">
        <v>16</v>
      </c>
      <c r="H2995" t="s">
        <v>20</v>
      </c>
    </row>
    <row r="2996" spans="1:8">
      <c r="A2996" s="1">
        <f>HYPERLINK("https://cms.ls-nyc.org/matter/dynamic-profile/view/1898384","19-1898384")</f>
        <v>0</v>
      </c>
      <c r="B2996" t="s">
        <v>12</v>
      </c>
      <c r="H2996" t="s">
        <v>19</v>
      </c>
    </row>
    <row r="2997" spans="1:8">
      <c r="A2997" s="1">
        <f>HYPERLINK("https://cms.ls-nyc.org/matter/dynamic-profile/view/0823541","16-0823541")</f>
        <v>0</v>
      </c>
      <c r="B2997" t="s">
        <v>10</v>
      </c>
      <c r="D2997" t="s">
        <v>15</v>
      </c>
      <c r="E2997" t="s">
        <v>16</v>
      </c>
      <c r="H2997" t="s">
        <v>20</v>
      </c>
    </row>
    <row r="2998" spans="1:8">
      <c r="A2998" s="1">
        <f>HYPERLINK("https://cms.ls-nyc.org/matter/dynamic-profile/view/1892227","19-1892227")</f>
        <v>0</v>
      </c>
      <c r="B2998" t="s">
        <v>10</v>
      </c>
      <c r="H2998" t="s">
        <v>19</v>
      </c>
    </row>
    <row r="2999" spans="1:8">
      <c r="A2999" s="1">
        <f>HYPERLINK("https://cms.ls-nyc.org/matter/dynamic-profile/view/1900613","19-1900613")</f>
        <v>0</v>
      </c>
      <c r="B2999" t="s">
        <v>10</v>
      </c>
      <c r="D2999" t="s">
        <v>14</v>
      </c>
      <c r="F2999" t="s">
        <v>17</v>
      </c>
      <c r="H2999" t="s">
        <v>20</v>
      </c>
    </row>
    <row r="3000" spans="1:8">
      <c r="A3000" s="1">
        <f>HYPERLINK("https://cms.ls-nyc.org/matter/dynamic-profile/view/1898820","19-1898820")</f>
        <v>0</v>
      </c>
      <c r="B3000" t="s">
        <v>9</v>
      </c>
      <c r="D3000" t="s">
        <v>15</v>
      </c>
      <c r="H3000" t="s">
        <v>20</v>
      </c>
    </row>
    <row r="3001" spans="1:8">
      <c r="A3001" s="1">
        <f>HYPERLINK("https://cms.ls-nyc.org/matter/dynamic-profile/view/0823982","17-0823982")</f>
        <v>0</v>
      </c>
      <c r="B3001" t="s">
        <v>12</v>
      </c>
      <c r="D3001" t="s">
        <v>15</v>
      </c>
      <c r="E3001" t="s">
        <v>16</v>
      </c>
      <c r="H3001" t="s">
        <v>20</v>
      </c>
    </row>
    <row r="3002" spans="1:8">
      <c r="A3002" s="1">
        <f>HYPERLINK("https://cms.ls-nyc.org/matter/dynamic-profile/view/1884826","18-1884826")</f>
        <v>0</v>
      </c>
      <c r="B3002" t="s">
        <v>9</v>
      </c>
      <c r="H3002" t="s">
        <v>19</v>
      </c>
    </row>
    <row r="3003" spans="1:8">
      <c r="A3003" s="1">
        <f>HYPERLINK("https://cms.ls-nyc.org/matter/dynamic-profile/view/1897121","19-1897121")</f>
        <v>0</v>
      </c>
      <c r="B3003" t="s">
        <v>8</v>
      </c>
      <c r="H3003" t="s">
        <v>19</v>
      </c>
    </row>
    <row r="3004" spans="1:8">
      <c r="A3004" s="1">
        <f>HYPERLINK("https://cms.ls-nyc.org/matter/dynamic-profile/view/1855152","18-1855152")</f>
        <v>0</v>
      </c>
      <c r="B3004" t="s">
        <v>12</v>
      </c>
      <c r="D3004" t="s">
        <v>15</v>
      </c>
      <c r="E3004" t="s">
        <v>16</v>
      </c>
      <c r="H3004" t="s">
        <v>20</v>
      </c>
    </row>
    <row r="3005" spans="1:8">
      <c r="A3005" s="1">
        <f>HYPERLINK("https://cms.ls-nyc.org/matter/dynamic-profile/view/1875703","18-1875703")</f>
        <v>0</v>
      </c>
      <c r="B3005" t="s">
        <v>8</v>
      </c>
      <c r="H3005" t="s">
        <v>19</v>
      </c>
    </row>
    <row r="3006" spans="1:8">
      <c r="A3006" s="1">
        <f>HYPERLINK("https://cms.ls-nyc.org/matter/dynamic-profile/view/1879082","18-1879082")</f>
        <v>0</v>
      </c>
      <c r="B3006" t="s">
        <v>9</v>
      </c>
      <c r="H3006" t="s">
        <v>19</v>
      </c>
    </row>
    <row r="3007" spans="1:8">
      <c r="A3007" s="1">
        <f>HYPERLINK("https://cms.ls-nyc.org/matter/dynamic-profile/view/1879085","18-1879085")</f>
        <v>0</v>
      </c>
      <c r="B3007" t="s">
        <v>9</v>
      </c>
      <c r="H3007" t="s">
        <v>19</v>
      </c>
    </row>
    <row r="3008" spans="1:8">
      <c r="A3008" s="1">
        <f>HYPERLINK("https://cms.ls-nyc.org/matter/dynamic-profile/view/1879855","18-1879855")</f>
        <v>0</v>
      </c>
      <c r="B3008" t="s">
        <v>10</v>
      </c>
      <c r="H3008" t="s">
        <v>19</v>
      </c>
    </row>
    <row r="3009" spans="1:8">
      <c r="A3009" s="1">
        <f>HYPERLINK("https://cms.ls-nyc.org/matter/dynamic-profile/view/0782387","15-0782387")</f>
        <v>0</v>
      </c>
      <c r="B3009" t="s">
        <v>10</v>
      </c>
      <c r="D3009" t="s">
        <v>15</v>
      </c>
      <c r="E3009" t="s">
        <v>16</v>
      </c>
      <c r="H3009" t="s">
        <v>20</v>
      </c>
    </row>
    <row r="3010" spans="1:8">
      <c r="A3010" s="1">
        <f>HYPERLINK("https://cms.ls-nyc.org/matter/dynamic-profile/view/1885279","18-1885279")</f>
        <v>0</v>
      </c>
      <c r="B3010" t="s">
        <v>12</v>
      </c>
      <c r="H3010" t="s">
        <v>19</v>
      </c>
    </row>
    <row r="3011" spans="1:8">
      <c r="A3011" s="1">
        <f>HYPERLINK("https://cms.ls-nyc.org/matter/dynamic-profile/view/1866450","18-1866450")</f>
        <v>0</v>
      </c>
      <c r="B3011" t="s">
        <v>11</v>
      </c>
      <c r="D3011" t="s">
        <v>15</v>
      </c>
      <c r="H3011" t="s">
        <v>20</v>
      </c>
    </row>
    <row r="3012" spans="1:8">
      <c r="A3012" s="1">
        <f>HYPERLINK("https://cms.ls-nyc.org/matter/dynamic-profile/view/1891213","19-1891213")</f>
        <v>0</v>
      </c>
      <c r="B3012" t="s">
        <v>12</v>
      </c>
      <c r="H3012" t="s">
        <v>19</v>
      </c>
    </row>
    <row r="3013" spans="1:8">
      <c r="A3013" s="1">
        <f>HYPERLINK("https://cms.ls-nyc.org/matter/dynamic-profile/view/1882435","18-1882435")</f>
        <v>0</v>
      </c>
      <c r="B3013" t="s">
        <v>8</v>
      </c>
      <c r="H3013" t="s">
        <v>19</v>
      </c>
    </row>
    <row r="3014" spans="1:8">
      <c r="A3014" s="1">
        <f>HYPERLINK("https://cms.ls-nyc.org/matter/dynamic-profile/view/0781269","15-0781269")</f>
        <v>0</v>
      </c>
      <c r="B3014" t="s">
        <v>9</v>
      </c>
      <c r="D3014" t="s">
        <v>14</v>
      </c>
      <c r="E3014" t="s">
        <v>16</v>
      </c>
      <c r="H3014" t="s">
        <v>20</v>
      </c>
    </row>
    <row r="3015" spans="1:8">
      <c r="A3015" s="1">
        <f>HYPERLINK("https://cms.ls-nyc.org/matter/dynamic-profile/view/1855925","18-1855925")</f>
        <v>0</v>
      </c>
      <c r="B3015" t="s">
        <v>8</v>
      </c>
      <c r="C3015" t="s">
        <v>13</v>
      </c>
      <c r="D3015" t="s">
        <v>14</v>
      </c>
      <c r="E3015" t="s">
        <v>16</v>
      </c>
      <c r="G3015" t="s">
        <v>18</v>
      </c>
      <c r="H3015" t="s">
        <v>20</v>
      </c>
    </row>
    <row r="3016" spans="1:8">
      <c r="A3016" s="1">
        <f>HYPERLINK("https://cms.ls-nyc.org/matter/dynamic-profile/view/1888023","19-1888023")</f>
        <v>0</v>
      </c>
      <c r="B3016" t="s">
        <v>10</v>
      </c>
      <c r="C3016" t="s">
        <v>13</v>
      </c>
      <c r="D3016" t="s">
        <v>14</v>
      </c>
      <c r="E3016" t="s">
        <v>16</v>
      </c>
      <c r="H3016" t="s">
        <v>20</v>
      </c>
    </row>
    <row r="3017" spans="1:8">
      <c r="A3017" s="1">
        <f>HYPERLINK("https://cms.ls-nyc.org/matter/dynamic-profile/view/1894371","19-1894371")</f>
        <v>0</v>
      </c>
      <c r="B3017" t="s">
        <v>11</v>
      </c>
      <c r="H3017" t="s">
        <v>19</v>
      </c>
    </row>
    <row r="3018" spans="1:8">
      <c r="A3018" s="1">
        <f>HYPERLINK("https://cms.ls-nyc.org/matter/dynamic-profile/view/1900309","19-1900309")</f>
        <v>0</v>
      </c>
      <c r="B3018" t="s">
        <v>8</v>
      </c>
      <c r="H3018" t="s">
        <v>19</v>
      </c>
    </row>
    <row r="3019" spans="1:8">
      <c r="A3019" s="1">
        <f>HYPERLINK("https://cms.ls-nyc.org/matter/dynamic-profile/view/1849048","17-1849048")</f>
        <v>0</v>
      </c>
      <c r="B3019" t="s">
        <v>11</v>
      </c>
      <c r="D3019" t="s">
        <v>15</v>
      </c>
      <c r="E3019" t="s">
        <v>16</v>
      </c>
      <c r="H3019" t="s">
        <v>20</v>
      </c>
    </row>
    <row r="3020" spans="1:8">
      <c r="A3020" s="1">
        <f>HYPERLINK("https://cms.ls-nyc.org/matter/dynamic-profile/view/1879421","18-1879421")</f>
        <v>0</v>
      </c>
      <c r="B3020" t="s">
        <v>10</v>
      </c>
      <c r="H3020" t="s">
        <v>19</v>
      </c>
    </row>
    <row r="3021" spans="1:8">
      <c r="A3021" s="1">
        <f>HYPERLINK("https://cms.ls-nyc.org/matter/dynamic-profile/view/0792807","15-0792807")</f>
        <v>0</v>
      </c>
      <c r="B3021" t="s">
        <v>8</v>
      </c>
      <c r="D3021" t="s">
        <v>15</v>
      </c>
      <c r="E3021" t="s">
        <v>16</v>
      </c>
      <c r="F3021" t="s">
        <v>17</v>
      </c>
      <c r="H3021" t="s">
        <v>20</v>
      </c>
    </row>
    <row r="3022" spans="1:8">
      <c r="A3022" s="1">
        <f>HYPERLINK("https://cms.ls-nyc.org/matter/dynamic-profile/view/0806801","16-0806801")</f>
        <v>0</v>
      </c>
      <c r="B3022" t="s">
        <v>9</v>
      </c>
      <c r="D3022" t="s">
        <v>15</v>
      </c>
      <c r="E3022" t="s">
        <v>16</v>
      </c>
      <c r="H3022" t="s">
        <v>20</v>
      </c>
    </row>
    <row r="3023" spans="1:8">
      <c r="A3023" s="1">
        <f>HYPERLINK("https://cms.ls-nyc.org/matter/dynamic-profile/view/1847547","17-1847547")</f>
        <v>0</v>
      </c>
      <c r="B3023" t="s">
        <v>10</v>
      </c>
      <c r="D3023" t="s">
        <v>15</v>
      </c>
      <c r="E3023" t="s">
        <v>16</v>
      </c>
      <c r="H3023" t="s">
        <v>20</v>
      </c>
    </row>
    <row r="3024" spans="1:8">
      <c r="A3024" s="1">
        <f>HYPERLINK("https://cms.ls-nyc.org/matter/dynamic-profile/view/1898185","19-1898185")</f>
        <v>0</v>
      </c>
      <c r="B3024" t="s">
        <v>10</v>
      </c>
      <c r="H3024" t="s">
        <v>19</v>
      </c>
    </row>
    <row r="3025" spans="1:8">
      <c r="A3025" s="1">
        <f>HYPERLINK("https://cms.ls-nyc.org/matter/dynamic-profile/view/1889678","19-1889678")</f>
        <v>0</v>
      </c>
      <c r="B3025" t="s">
        <v>10</v>
      </c>
      <c r="H3025" t="s">
        <v>19</v>
      </c>
    </row>
    <row r="3026" spans="1:8">
      <c r="A3026" s="1">
        <f>HYPERLINK("https://cms.ls-nyc.org/matter/dynamic-profile/view/1888941","19-1888941")</f>
        <v>0</v>
      </c>
      <c r="B3026" t="s">
        <v>10</v>
      </c>
      <c r="D3026" t="s">
        <v>14</v>
      </c>
      <c r="H3026" t="s">
        <v>20</v>
      </c>
    </row>
    <row r="3027" spans="1:8">
      <c r="A3027" s="1">
        <f>HYPERLINK("https://cms.ls-nyc.org/matter/dynamic-profile/view/1896178","19-1896178")</f>
        <v>0</v>
      </c>
      <c r="B3027" t="s">
        <v>11</v>
      </c>
      <c r="D3027" t="s">
        <v>14</v>
      </c>
      <c r="E3027" t="s">
        <v>16</v>
      </c>
      <c r="H3027" t="s">
        <v>20</v>
      </c>
    </row>
    <row r="3028" spans="1:8">
      <c r="A3028" s="1">
        <f>HYPERLINK("https://cms.ls-nyc.org/matter/dynamic-profile/view/1901242","19-1901242")</f>
        <v>0</v>
      </c>
      <c r="B3028" t="s">
        <v>12</v>
      </c>
      <c r="H3028" t="s">
        <v>19</v>
      </c>
    </row>
    <row r="3029" spans="1:8">
      <c r="A3029" s="1">
        <f>HYPERLINK("https://cms.ls-nyc.org/matter/dynamic-profile/view/1882351","18-1882351")</f>
        <v>0</v>
      </c>
      <c r="B3029" t="s">
        <v>10</v>
      </c>
      <c r="D3029" t="s">
        <v>14</v>
      </c>
      <c r="F3029" t="s">
        <v>17</v>
      </c>
      <c r="H3029" t="s">
        <v>20</v>
      </c>
    </row>
    <row r="3030" spans="1:8">
      <c r="A3030" s="1">
        <f>HYPERLINK("https://cms.ls-nyc.org/matter/dynamic-profile/view/1887264","19-1887264")</f>
        <v>0</v>
      </c>
      <c r="B3030" t="s">
        <v>10</v>
      </c>
      <c r="C3030" t="s">
        <v>13</v>
      </c>
      <c r="D3030" t="s">
        <v>14</v>
      </c>
      <c r="E3030" t="s">
        <v>16</v>
      </c>
      <c r="F3030" t="s">
        <v>17</v>
      </c>
      <c r="H3030" t="s">
        <v>20</v>
      </c>
    </row>
    <row r="3031" spans="1:8">
      <c r="A3031" s="1">
        <f>HYPERLINK("https://cms.ls-nyc.org/matter/dynamic-profile/view/1888492","19-1888492")</f>
        <v>0</v>
      </c>
      <c r="B3031" t="s">
        <v>10</v>
      </c>
      <c r="H3031" t="s">
        <v>19</v>
      </c>
    </row>
    <row r="3032" spans="1:8">
      <c r="A3032" s="1">
        <f>HYPERLINK("https://cms.ls-nyc.org/matter/dynamic-profile/view/1851112","17-1851112")</f>
        <v>0</v>
      </c>
      <c r="B3032" t="s">
        <v>9</v>
      </c>
      <c r="D3032" t="s">
        <v>15</v>
      </c>
      <c r="E3032" t="s">
        <v>16</v>
      </c>
      <c r="H3032" t="s">
        <v>20</v>
      </c>
    </row>
    <row r="3033" spans="1:8">
      <c r="A3033" s="1">
        <f>HYPERLINK("https://cms.ls-nyc.org/matter/dynamic-profile/view/1836770","17-1836770")</f>
        <v>0</v>
      </c>
      <c r="B3033" t="s">
        <v>12</v>
      </c>
      <c r="D3033" t="s">
        <v>15</v>
      </c>
      <c r="E3033" t="s">
        <v>16</v>
      </c>
      <c r="H3033" t="s">
        <v>20</v>
      </c>
    </row>
    <row r="3034" spans="1:8">
      <c r="A3034" s="1">
        <f>HYPERLINK("https://cms.ls-nyc.org/matter/dynamic-profile/view/1877820","18-1877820")</f>
        <v>0</v>
      </c>
      <c r="B3034" t="s">
        <v>9</v>
      </c>
      <c r="C3034" t="s">
        <v>13</v>
      </c>
      <c r="D3034" t="s">
        <v>14</v>
      </c>
      <c r="E3034" t="s">
        <v>16</v>
      </c>
      <c r="G3034" t="s">
        <v>18</v>
      </c>
      <c r="H3034" t="s">
        <v>20</v>
      </c>
    </row>
    <row r="3035" spans="1:8">
      <c r="A3035" s="1">
        <f>HYPERLINK("https://cms.ls-nyc.org/matter/dynamic-profile/view/1872017","18-1872017")</f>
        <v>0</v>
      </c>
      <c r="B3035" t="s">
        <v>8</v>
      </c>
      <c r="H3035" t="s">
        <v>19</v>
      </c>
    </row>
    <row r="3036" spans="1:8">
      <c r="A3036" s="1">
        <f>HYPERLINK("https://cms.ls-nyc.org/matter/dynamic-profile/view/1888613","19-1888613")</f>
        <v>0</v>
      </c>
      <c r="B3036" t="s">
        <v>9</v>
      </c>
      <c r="H3036" t="s">
        <v>19</v>
      </c>
    </row>
    <row r="3037" spans="1:8">
      <c r="A3037" s="1">
        <f>HYPERLINK("https://cms.ls-nyc.org/matter/dynamic-profile/view/1884862","18-1884862")</f>
        <v>0</v>
      </c>
      <c r="B3037" t="s">
        <v>9</v>
      </c>
      <c r="H3037" t="s">
        <v>19</v>
      </c>
    </row>
    <row r="3038" spans="1:8">
      <c r="A3038" s="1">
        <f>HYPERLINK("https://cms.ls-nyc.org/matter/dynamic-profile/view/1847161","17-1847161")</f>
        <v>0</v>
      </c>
      <c r="B3038" t="s">
        <v>12</v>
      </c>
      <c r="D3038" t="s">
        <v>15</v>
      </c>
      <c r="E3038" t="s">
        <v>16</v>
      </c>
      <c r="H3038" t="s">
        <v>20</v>
      </c>
    </row>
    <row r="3039" spans="1:8">
      <c r="A3039" s="1">
        <f>HYPERLINK("https://cms.ls-nyc.org/matter/dynamic-profile/view/0831337","17-0831337")</f>
        <v>0</v>
      </c>
      <c r="B3039" t="s">
        <v>12</v>
      </c>
      <c r="D3039" t="s">
        <v>15</v>
      </c>
      <c r="E3039" t="s">
        <v>16</v>
      </c>
      <c r="H3039" t="s">
        <v>20</v>
      </c>
    </row>
    <row r="3040" spans="1:8">
      <c r="A3040" s="1">
        <f>HYPERLINK("https://cms.ls-nyc.org/matter/dynamic-profile/view/1890794","19-1890794")</f>
        <v>0</v>
      </c>
      <c r="B3040" t="s">
        <v>12</v>
      </c>
      <c r="H3040" t="s">
        <v>19</v>
      </c>
    </row>
    <row r="3041" spans="1:8">
      <c r="A3041" s="1">
        <f>HYPERLINK("https://cms.ls-nyc.org/matter/dynamic-profile/view/1842886","17-1842886")</f>
        <v>0</v>
      </c>
      <c r="B3041" t="s">
        <v>11</v>
      </c>
      <c r="D3041" t="s">
        <v>15</v>
      </c>
      <c r="E3041" t="s">
        <v>16</v>
      </c>
      <c r="H3041" t="s">
        <v>20</v>
      </c>
    </row>
    <row r="3042" spans="1:8">
      <c r="A3042" s="1">
        <f>HYPERLINK("https://cms.ls-nyc.org/matter/dynamic-profile/view/1861962","18-1861962")</f>
        <v>0</v>
      </c>
      <c r="B3042" t="s">
        <v>10</v>
      </c>
      <c r="D3042" t="s">
        <v>15</v>
      </c>
      <c r="H3042" t="s">
        <v>20</v>
      </c>
    </row>
    <row r="3043" spans="1:8">
      <c r="A3043" s="1">
        <f>HYPERLINK("https://cms.ls-nyc.org/matter/dynamic-profile/view/1887296","19-1887296")</f>
        <v>0</v>
      </c>
      <c r="B3043" t="s">
        <v>11</v>
      </c>
      <c r="C3043" t="s">
        <v>13</v>
      </c>
      <c r="D3043" t="s">
        <v>14</v>
      </c>
      <c r="H3043" t="s">
        <v>20</v>
      </c>
    </row>
    <row r="3044" spans="1:8">
      <c r="A3044" s="1">
        <f>HYPERLINK("https://cms.ls-nyc.org/matter/dynamic-profile/view/1888825","19-1888825")</f>
        <v>0</v>
      </c>
      <c r="B3044" t="s">
        <v>9</v>
      </c>
      <c r="H3044" t="s">
        <v>19</v>
      </c>
    </row>
    <row r="3045" spans="1:8">
      <c r="A3045" s="1">
        <f>HYPERLINK("https://cms.ls-nyc.org/matter/dynamic-profile/view/1887051","19-1887051")</f>
        <v>0</v>
      </c>
      <c r="B3045" t="s">
        <v>10</v>
      </c>
      <c r="H3045" t="s">
        <v>19</v>
      </c>
    </row>
    <row r="3046" spans="1:8">
      <c r="A3046" s="1">
        <f>HYPERLINK("https://cms.ls-nyc.org/matter/dynamic-profile/view/1887071","19-1887071")</f>
        <v>0</v>
      </c>
      <c r="B3046" t="s">
        <v>10</v>
      </c>
      <c r="H3046" t="s">
        <v>19</v>
      </c>
    </row>
    <row r="3047" spans="1:8">
      <c r="A3047" s="1">
        <f>HYPERLINK("https://cms.ls-nyc.org/matter/dynamic-profile/view/1877546","18-1877546")</f>
        <v>0</v>
      </c>
      <c r="B3047" t="s">
        <v>8</v>
      </c>
      <c r="H3047" t="s">
        <v>19</v>
      </c>
    </row>
    <row r="3048" spans="1:8">
      <c r="A3048" s="1">
        <f>HYPERLINK("https://cms.ls-nyc.org/matter/dynamic-profile/view/1876323","18-1876323")</f>
        <v>0</v>
      </c>
      <c r="B3048" t="s">
        <v>9</v>
      </c>
      <c r="C3048" t="s">
        <v>13</v>
      </c>
      <c r="D3048" t="s">
        <v>14</v>
      </c>
      <c r="E3048" t="s">
        <v>16</v>
      </c>
      <c r="G3048" t="s">
        <v>18</v>
      </c>
      <c r="H3048" t="s">
        <v>20</v>
      </c>
    </row>
    <row r="3049" spans="1:8">
      <c r="A3049" s="1">
        <f>HYPERLINK("https://cms.ls-nyc.org/matter/dynamic-profile/view/0799735","16-0799735")</f>
        <v>0</v>
      </c>
      <c r="B3049" t="s">
        <v>12</v>
      </c>
      <c r="D3049" t="s">
        <v>15</v>
      </c>
      <c r="E3049" t="s">
        <v>16</v>
      </c>
      <c r="H3049" t="s">
        <v>20</v>
      </c>
    </row>
    <row r="3050" spans="1:8">
      <c r="A3050" s="1">
        <f>HYPERLINK("https://cms.ls-nyc.org/matter/dynamic-profile/view/1897956","19-1897956")</f>
        <v>0</v>
      </c>
      <c r="B3050" t="s">
        <v>9</v>
      </c>
      <c r="C3050" t="s">
        <v>13</v>
      </c>
      <c r="E3050" t="s">
        <v>16</v>
      </c>
      <c r="H3050" t="s">
        <v>20</v>
      </c>
    </row>
    <row r="3051" spans="1:8">
      <c r="A3051" s="1">
        <f>HYPERLINK("https://cms.ls-nyc.org/matter/dynamic-profile/view/1897972","19-1897972")</f>
        <v>0</v>
      </c>
      <c r="B3051" t="s">
        <v>9</v>
      </c>
      <c r="G3051" t="s">
        <v>18</v>
      </c>
      <c r="H3051" t="s">
        <v>20</v>
      </c>
    </row>
    <row r="3052" spans="1:8">
      <c r="A3052" s="1">
        <f>HYPERLINK("https://cms.ls-nyc.org/matter/dynamic-profile/view/1887798","19-1887798")</f>
        <v>0</v>
      </c>
      <c r="B3052" t="s">
        <v>9</v>
      </c>
      <c r="H3052" t="s">
        <v>19</v>
      </c>
    </row>
    <row r="3053" spans="1:8">
      <c r="A3053" s="1">
        <f>HYPERLINK("https://cms.ls-nyc.org/matter/dynamic-profile/view/1895730","19-1895730")</f>
        <v>0</v>
      </c>
      <c r="B3053" t="s">
        <v>8</v>
      </c>
      <c r="H3053" t="s">
        <v>19</v>
      </c>
    </row>
    <row r="3054" spans="1:8">
      <c r="A3054" s="1">
        <f>HYPERLINK("https://cms.ls-nyc.org/matter/dynamic-profile/view/1863816","18-1863816")</f>
        <v>0</v>
      </c>
      <c r="B3054" t="s">
        <v>12</v>
      </c>
      <c r="D3054" t="s">
        <v>15</v>
      </c>
      <c r="H3054" t="s">
        <v>20</v>
      </c>
    </row>
    <row r="3055" spans="1:8">
      <c r="A3055" s="1">
        <f>HYPERLINK("https://cms.ls-nyc.org/matter/dynamic-profile/view/1863990","18-1863990")</f>
        <v>0</v>
      </c>
      <c r="B3055" t="s">
        <v>12</v>
      </c>
      <c r="D3055" t="s">
        <v>15</v>
      </c>
      <c r="H3055" t="s">
        <v>20</v>
      </c>
    </row>
    <row r="3056" spans="1:8">
      <c r="A3056" s="1">
        <f>HYPERLINK("https://cms.ls-nyc.org/matter/dynamic-profile/view/1885990","18-1885990")</f>
        <v>0</v>
      </c>
      <c r="B3056" t="s">
        <v>8</v>
      </c>
      <c r="H3056" t="s">
        <v>19</v>
      </c>
    </row>
    <row r="3057" spans="1:8">
      <c r="A3057" s="1">
        <f>HYPERLINK("https://cms.ls-nyc.org/matter/dynamic-profile/view/1880616","18-1880616")</f>
        <v>0</v>
      </c>
      <c r="B3057" t="s">
        <v>10</v>
      </c>
      <c r="H3057" t="s">
        <v>19</v>
      </c>
    </row>
    <row r="3058" spans="1:8">
      <c r="A3058" s="1">
        <f>HYPERLINK("https://cms.ls-nyc.org/matter/dynamic-profile/view/0820503","16-0820503")</f>
        <v>0</v>
      </c>
      <c r="B3058" t="s">
        <v>10</v>
      </c>
      <c r="D3058" t="s">
        <v>15</v>
      </c>
      <c r="E3058" t="s">
        <v>16</v>
      </c>
      <c r="H3058" t="s">
        <v>20</v>
      </c>
    </row>
    <row r="3059" spans="1:8">
      <c r="A3059" s="1">
        <f>HYPERLINK("https://cms.ls-nyc.org/matter/dynamic-profile/view/1892316","19-1892316")</f>
        <v>0</v>
      </c>
      <c r="B3059" t="s">
        <v>10</v>
      </c>
      <c r="F3059" t="s">
        <v>17</v>
      </c>
      <c r="H3059" t="s">
        <v>20</v>
      </c>
    </row>
    <row r="3060" spans="1:8">
      <c r="A3060" s="1">
        <f>HYPERLINK("https://cms.ls-nyc.org/matter/dynamic-profile/view/1891850","19-1891850")</f>
        <v>0</v>
      </c>
      <c r="B3060" t="s">
        <v>10</v>
      </c>
      <c r="F3060" t="s">
        <v>17</v>
      </c>
      <c r="H3060" t="s">
        <v>20</v>
      </c>
    </row>
    <row r="3061" spans="1:8">
      <c r="A3061" s="1">
        <f>HYPERLINK("https://cms.ls-nyc.org/matter/dynamic-profile/view/1899145","19-1899145")</f>
        <v>0</v>
      </c>
      <c r="B3061" t="s">
        <v>10</v>
      </c>
      <c r="H3061" t="s">
        <v>19</v>
      </c>
    </row>
    <row r="3062" spans="1:8">
      <c r="A3062" s="1">
        <f>HYPERLINK("https://cms.ls-nyc.org/matter/dynamic-profile/view/0826234","17-0826234")</f>
        <v>0</v>
      </c>
      <c r="B3062" t="s">
        <v>12</v>
      </c>
      <c r="D3062" t="s">
        <v>15</v>
      </c>
      <c r="E3062" t="s">
        <v>16</v>
      </c>
      <c r="H3062" t="s">
        <v>20</v>
      </c>
    </row>
    <row r="3063" spans="1:8">
      <c r="A3063" s="1">
        <f>HYPERLINK("https://cms.ls-nyc.org/matter/dynamic-profile/view/0821880","16-0821880")</f>
        <v>0</v>
      </c>
      <c r="B3063" t="s">
        <v>12</v>
      </c>
      <c r="C3063" t="s">
        <v>13</v>
      </c>
      <c r="D3063" t="s">
        <v>15</v>
      </c>
      <c r="E3063" t="s">
        <v>16</v>
      </c>
      <c r="H3063" t="s">
        <v>20</v>
      </c>
    </row>
    <row r="3064" spans="1:8">
      <c r="A3064" s="1">
        <f>HYPERLINK("https://cms.ls-nyc.org/matter/dynamic-profile/view/1900463","19-1900463")</f>
        <v>0</v>
      </c>
      <c r="B3064" t="s">
        <v>12</v>
      </c>
      <c r="H3064" t="s">
        <v>19</v>
      </c>
    </row>
    <row r="3065" spans="1:8">
      <c r="A3065" s="1">
        <f>HYPERLINK("https://cms.ls-nyc.org/matter/dynamic-profile/view/1891939","19-1891939")</f>
        <v>0</v>
      </c>
      <c r="B3065" t="s">
        <v>8</v>
      </c>
      <c r="H3065" t="s">
        <v>19</v>
      </c>
    </row>
    <row r="3066" spans="1:8">
      <c r="A3066" s="1">
        <f>HYPERLINK("https://cms.ls-nyc.org/matter/dynamic-profile/view/1854883","17-1854883")</f>
        <v>0</v>
      </c>
      <c r="B3066" t="s">
        <v>10</v>
      </c>
      <c r="D3066" t="s">
        <v>15</v>
      </c>
      <c r="E3066" t="s">
        <v>16</v>
      </c>
      <c r="H3066" t="s">
        <v>20</v>
      </c>
    </row>
    <row r="3067" spans="1:8">
      <c r="A3067" s="1">
        <f>HYPERLINK("https://cms.ls-nyc.org/matter/dynamic-profile/view/1855239","18-1855239")</f>
        <v>0</v>
      </c>
      <c r="B3067" t="s">
        <v>10</v>
      </c>
      <c r="D3067" t="s">
        <v>15</v>
      </c>
      <c r="E3067" t="s">
        <v>16</v>
      </c>
      <c r="H3067" t="s">
        <v>20</v>
      </c>
    </row>
    <row r="3068" spans="1:8">
      <c r="A3068" s="1">
        <f>HYPERLINK("https://cms.ls-nyc.org/matter/dynamic-profile/view/1860067","18-1860067")</f>
        <v>0</v>
      </c>
      <c r="B3068" t="s">
        <v>10</v>
      </c>
      <c r="D3068" t="s">
        <v>15</v>
      </c>
      <c r="E3068" t="s">
        <v>16</v>
      </c>
      <c r="H3068" t="s">
        <v>20</v>
      </c>
    </row>
    <row r="3069" spans="1:8">
      <c r="A3069" s="1">
        <f>HYPERLINK("https://cms.ls-nyc.org/matter/dynamic-profile/view/1834670","17-1834670")</f>
        <v>0</v>
      </c>
      <c r="B3069" t="s">
        <v>12</v>
      </c>
      <c r="D3069" t="s">
        <v>15</v>
      </c>
      <c r="H3069" t="s">
        <v>20</v>
      </c>
    </row>
    <row r="3070" spans="1:8">
      <c r="A3070" s="1">
        <f>HYPERLINK("https://cms.ls-nyc.org/matter/dynamic-profile/view/1883131","18-1883131")</f>
        <v>0</v>
      </c>
      <c r="B3070" t="s">
        <v>9</v>
      </c>
      <c r="H3070" t="s">
        <v>19</v>
      </c>
    </row>
    <row r="3071" spans="1:8">
      <c r="A3071" s="1">
        <f>HYPERLINK("https://cms.ls-nyc.org/matter/dynamic-profile/view/1891182","19-1891182")</f>
        <v>0</v>
      </c>
      <c r="B3071" t="s">
        <v>12</v>
      </c>
      <c r="H3071" t="s">
        <v>19</v>
      </c>
    </row>
    <row r="3072" spans="1:8">
      <c r="A3072" s="1">
        <f>HYPERLINK("https://cms.ls-nyc.org/matter/dynamic-profile/view/1865344","18-1865344")</f>
        <v>0</v>
      </c>
      <c r="B3072" t="s">
        <v>10</v>
      </c>
      <c r="D3072" t="s">
        <v>15</v>
      </c>
      <c r="E3072" t="s">
        <v>16</v>
      </c>
      <c r="H3072" t="s">
        <v>20</v>
      </c>
    </row>
    <row r="3073" spans="1:8">
      <c r="A3073" s="1">
        <f>HYPERLINK("https://cms.ls-nyc.org/matter/dynamic-profile/view/1867669","18-1867669")</f>
        <v>0</v>
      </c>
      <c r="B3073" t="s">
        <v>10</v>
      </c>
      <c r="D3073" t="s">
        <v>15</v>
      </c>
      <c r="E3073" t="s">
        <v>16</v>
      </c>
      <c r="H3073" t="s">
        <v>20</v>
      </c>
    </row>
    <row r="3074" spans="1:8">
      <c r="A3074" s="1">
        <f>HYPERLINK("https://cms.ls-nyc.org/matter/dynamic-profile/view/1860896","18-1860896")</f>
        <v>0</v>
      </c>
      <c r="B3074" t="s">
        <v>10</v>
      </c>
      <c r="D3074" t="s">
        <v>15</v>
      </c>
      <c r="E3074" t="s">
        <v>16</v>
      </c>
      <c r="H3074" t="s">
        <v>20</v>
      </c>
    </row>
    <row r="3075" spans="1:8">
      <c r="A3075" s="1">
        <f>HYPERLINK("https://cms.ls-nyc.org/matter/dynamic-profile/view/1895966","19-1895966")</f>
        <v>0</v>
      </c>
      <c r="B3075" t="s">
        <v>8</v>
      </c>
      <c r="H3075" t="s">
        <v>19</v>
      </c>
    </row>
    <row r="3076" spans="1:8">
      <c r="A3076" s="1">
        <f>HYPERLINK("https://cms.ls-nyc.org/matter/dynamic-profile/view/1896160","19-1896160")</f>
        <v>0</v>
      </c>
      <c r="B3076" t="s">
        <v>8</v>
      </c>
      <c r="H3076" t="s">
        <v>19</v>
      </c>
    </row>
    <row r="3077" spans="1:8">
      <c r="A3077" s="1">
        <f>HYPERLINK("https://cms.ls-nyc.org/matter/dynamic-profile/view/1896172","19-1896172")</f>
        <v>0</v>
      </c>
      <c r="B3077" t="s">
        <v>8</v>
      </c>
      <c r="H3077" t="s">
        <v>19</v>
      </c>
    </row>
    <row r="3078" spans="1:8">
      <c r="A3078" s="1">
        <f>HYPERLINK("https://cms.ls-nyc.org/matter/dynamic-profile/view/1880916","18-1880916")</f>
        <v>0</v>
      </c>
      <c r="B3078" t="s">
        <v>10</v>
      </c>
      <c r="H3078" t="s">
        <v>19</v>
      </c>
    </row>
    <row r="3079" spans="1:8">
      <c r="A3079" s="1">
        <f>HYPERLINK("https://cms.ls-nyc.org/matter/dynamic-profile/view/1859560","18-1859560")</f>
        <v>0</v>
      </c>
      <c r="B3079" t="s">
        <v>10</v>
      </c>
      <c r="D3079" t="s">
        <v>15</v>
      </c>
      <c r="E3079" t="s">
        <v>16</v>
      </c>
      <c r="H3079" t="s">
        <v>20</v>
      </c>
    </row>
    <row r="3080" spans="1:8">
      <c r="A3080" s="1">
        <f>HYPERLINK("https://cms.ls-nyc.org/matter/dynamic-profile/view/1865606","18-1865606")</f>
        <v>0</v>
      </c>
      <c r="B3080" t="s">
        <v>9</v>
      </c>
      <c r="D3080" t="s">
        <v>15</v>
      </c>
      <c r="E3080" t="s">
        <v>16</v>
      </c>
      <c r="H3080" t="s">
        <v>20</v>
      </c>
    </row>
    <row r="3081" spans="1:8">
      <c r="A3081" s="1">
        <f>HYPERLINK("https://cms.ls-nyc.org/matter/dynamic-profile/view/1900930","19-1900930")</f>
        <v>0</v>
      </c>
      <c r="B3081" t="s">
        <v>8</v>
      </c>
      <c r="F3081" t="s">
        <v>17</v>
      </c>
      <c r="H3081" t="s">
        <v>20</v>
      </c>
    </row>
    <row r="3082" spans="1:8">
      <c r="A3082" s="1">
        <f>HYPERLINK("https://cms.ls-nyc.org/matter/dynamic-profile/view/1883827","18-1883827")</f>
        <v>0</v>
      </c>
      <c r="B3082" t="s">
        <v>12</v>
      </c>
      <c r="E3082" t="s">
        <v>16</v>
      </c>
      <c r="H3082" t="s">
        <v>20</v>
      </c>
    </row>
    <row r="3083" spans="1:8">
      <c r="A3083" s="1">
        <f>HYPERLINK("https://cms.ls-nyc.org/matter/dynamic-profile/view/1889819","19-1889819")</f>
        <v>0</v>
      </c>
      <c r="B3083" t="s">
        <v>10</v>
      </c>
      <c r="D3083" t="s">
        <v>14</v>
      </c>
      <c r="H3083" t="s">
        <v>20</v>
      </c>
    </row>
    <row r="3084" spans="1:8">
      <c r="A3084" s="1">
        <f>HYPERLINK("https://cms.ls-nyc.org/matter/dynamic-profile/view/1864302","18-1864302")</f>
        <v>0</v>
      </c>
      <c r="B3084" t="s">
        <v>10</v>
      </c>
      <c r="D3084" t="s">
        <v>15</v>
      </c>
      <c r="E3084" t="s">
        <v>16</v>
      </c>
      <c r="H3084" t="s">
        <v>20</v>
      </c>
    </row>
    <row r="3085" spans="1:8">
      <c r="A3085" s="1">
        <f>HYPERLINK("https://cms.ls-nyc.org/matter/dynamic-profile/view/1866205","18-1866205")</f>
        <v>0</v>
      </c>
      <c r="B3085" t="s">
        <v>12</v>
      </c>
      <c r="D3085" t="s">
        <v>15</v>
      </c>
      <c r="H3085" t="s">
        <v>20</v>
      </c>
    </row>
    <row r="3086" spans="1:8">
      <c r="A3086" s="1">
        <f>HYPERLINK("https://cms.ls-nyc.org/matter/dynamic-profile/view/1850144","17-1850144")</f>
        <v>0</v>
      </c>
      <c r="B3086" t="s">
        <v>12</v>
      </c>
      <c r="D3086" t="s">
        <v>15</v>
      </c>
      <c r="E3086" t="s">
        <v>16</v>
      </c>
      <c r="H3086" t="s">
        <v>20</v>
      </c>
    </row>
    <row r="3087" spans="1:8">
      <c r="A3087" s="1">
        <f>HYPERLINK("https://cms.ls-nyc.org/matter/dynamic-profile/view/1878495","18-1878495")</f>
        <v>0</v>
      </c>
      <c r="B3087" t="s">
        <v>12</v>
      </c>
      <c r="H3087" t="s">
        <v>19</v>
      </c>
    </row>
    <row r="3088" spans="1:8">
      <c r="A3088" s="1">
        <f>HYPERLINK("https://cms.ls-nyc.org/matter/dynamic-profile/view/1834320","17-1834320")</f>
        <v>0</v>
      </c>
      <c r="B3088" t="s">
        <v>9</v>
      </c>
      <c r="D3088" t="s">
        <v>15</v>
      </c>
      <c r="E3088" t="s">
        <v>16</v>
      </c>
      <c r="H3088" t="s">
        <v>20</v>
      </c>
    </row>
    <row r="3089" spans="1:8">
      <c r="A3089" s="1">
        <f>HYPERLINK("https://cms.ls-nyc.org/matter/dynamic-profile/view/1836725","17-1836725")</f>
        <v>0</v>
      </c>
      <c r="B3089" t="s">
        <v>9</v>
      </c>
      <c r="D3089" t="s">
        <v>15</v>
      </c>
      <c r="E3089" t="s">
        <v>16</v>
      </c>
      <c r="H3089" t="s">
        <v>20</v>
      </c>
    </row>
    <row r="3090" spans="1:8">
      <c r="A3090" s="1">
        <f>HYPERLINK("https://cms.ls-nyc.org/matter/dynamic-profile/view/1833789","17-1833789")</f>
        <v>0</v>
      </c>
      <c r="B3090" t="s">
        <v>12</v>
      </c>
      <c r="D3090" t="s">
        <v>15</v>
      </c>
      <c r="E3090" t="s">
        <v>16</v>
      </c>
      <c r="H3090" t="s">
        <v>20</v>
      </c>
    </row>
    <row r="3091" spans="1:8">
      <c r="A3091" s="1">
        <f>HYPERLINK("https://cms.ls-nyc.org/matter/dynamic-profile/view/1897516","19-1897516")</f>
        <v>0</v>
      </c>
      <c r="B3091" t="s">
        <v>9</v>
      </c>
      <c r="E3091" t="s">
        <v>16</v>
      </c>
      <c r="F3091" t="s">
        <v>17</v>
      </c>
      <c r="H3091" t="s">
        <v>20</v>
      </c>
    </row>
    <row r="3092" spans="1:8">
      <c r="A3092" s="1">
        <f>HYPERLINK("https://cms.ls-nyc.org/matter/dynamic-profile/view/1897517","19-1897517")</f>
        <v>0</v>
      </c>
      <c r="B3092" t="s">
        <v>9</v>
      </c>
      <c r="E3092" t="s">
        <v>16</v>
      </c>
      <c r="F3092" t="s">
        <v>17</v>
      </c>
      <c r="H3092" t="s">
        <v>20</v>
      </c>
    </row>
    <row r="3093" spans="1:8">
      <c r="A3093" s="1">
        <f>HYPERLINK("https://cms.ls-nyc.org/matter/dynamic-profile/view/1852418","17-1852418")</f>
        <v>0</v>
      </c>
      <c r="B3093" t="s">
        <v>10</v>
      </c>
      <c r="D3093" t="s">
        <v>15</v>
      </c>
      <c r="E3093" t="s">
        <v>16</v>
      </c>
      <c r="H3093" t="s">
        <v>20</v>
      </c>
    </row>
    <row r="3094" spans="1:8">
      <c r="A3094" s="1">
        <f>HYPERLINK("https://cms.ls-nyc.org/matter/dynamic-profile/view/1873786","18-1873786")</f>
        <v>0</v>
      </c>
      <c r="B3094" t="s">
        <v>12</v>
      </c>
      <c r="H3094" t="s">
        <v>19</v>
      </c>
    </row>
    <row r="3095" spans="1:8">
      <c r="A3095" s="1">
        <f>HYPERLINK("https://cms.ls-nyc.org/matter/dynamic-profile/view/1875981","18-1875981")</f>
        <v>0</v>
      </c>
      <c r="B3095" t="s">
        <v>10</v>
      </c>
      <c r="H3095" t="s">
        <v>19</v>
      </c>
    </row>
    <row r="3096" spans="1:8">
      <c r="A3096" s="1">
        <f>HYPERLINK("https://cms.ls-nyc.org/matter/dynamic-profile/view/1880612","18-1880612")</f>
        <v>0</v>
      </c>
      <c r="B3096" t="s">
        <v>10</v>
      </c>
      <c r="H3096" t="s">
        <v>19</v>
      </c>
    </row>
    <row r="3097" spans="1:8">
      <c r="A3097" s="1">
        <f>HYPERLINK("https://cms.ls-nyc.org/matter/dynamic-profile/view/1845341","17-1845341")</f>
        <v>0</v>
      </c>
      <c r="B3097" t="s">
        <v>9</v>
      </c>
      <c r="D3097" t="s">
        <v>15</v>
      </c>
      <c r="E3097" t="s">
        <v>16</v>
      </c>
      <c r="F3097" t="s">
        <v>17</v>
      </c>
      <c r="H3097" t="s">
        <v>20</v>
      </c>
    </row>
    <row r="3098" spans="1:8">
      <c r="A3098" s="1">
        <f>HYPERLINK("https://cms.ls-nyc.org/matter/dynamic-profile/view/1842928","17-1842928")</f>
        <v>0</v>
      </c>
      <c r="B3098" t="s">
        <v>11</v>
      </c>
      <c r="D3098" t="s">
        <v>15</v>
      </c>
      <c r="E3098" t="s">
        <v>16</v>
      </c>
      <c r="H3098" t="s">
        <v>20</v>
      </c>
    </row>
    <row r="3099" spans="1:8">
      <c r="A3099" s="1">
        <f>HYPERLINK("https://cms.ls-nyc.org/matter/dynamic-profile/view/1870607","18-1870607")</f>
        <v>0</v>
      </c>
      <c r="B3099" t="s">
        <v>12</v>
      </c>
      <c r="D3099" t="s">
        <v>15</v>
      </c>
      <c r="E3099" t="s">
        <v>16</v>
      </c>
      <c r="H3099" t="s">
        <v>20</v>
      </c>
    </row>
    <row r="3100" spans="1:8">
      <c r="A3100" s="1">
        <f>HYPERLINK("https://cms.ls-nyc.org/matter/dynamic-profile/view/0824533","17-0824533")</f>
        <v>0</v>
      </c>
      <c r="B3100" t="s">
        <v>9</v>
      </c>
      <c r="D3100" t="s">
        <v>15</v>
      </c>
      <c r="E3100" t="s">
        <v>16</v>
      </c>
      <c r="H3100" t="s">
        <v>20</v>
      </c>
    </row>
    <row r="3101" spans="1:8">
      <c r="A3101" s="1">
        <f>HYPERLINK("https://cms.ls-nyc.org/matter/dynamic-profile/view/1897232","19-1897232")</f>
        <v>0</v>
      </c>
      <c r="B3101" t="s">
        <v>8</v>
      </c>
      <c r="H3101" t="s">
        <v>19</v>
      </c>
    </row>
    <row r="3102" spans="1:8">
      <c r="A3102" s="1">
        <f>HYPERLINK("https://cms.ls-nyc.org/matter/dynamic-profile/view/1897235","19-1897235")</f>
        <v>0</v>
      </c>
      <c r="B3102" t="s">
        <v>8</v>
      </c>
      <c r="H3102" t="s">
        <v>19</v>
      </c>
    </row>
    <row r="3103" spans="1:8">
      <c r="A3103" s="1">
        <f>HYPERLINK("https://cms.ls-nyc.org/matter/dynamic-profile/view/1895973","19-1895973")</f>
        <v>0</v>
      </c>
      <c r="B3103" t="s">
        <v>9</v>
      </c>
      <c r="H3103" t="s">
        <v>19</v>
      </c>
    </row>
    <row r="3104" spans="1:8">
      <c r="A3104" s="1">
        <f>HYPERLINK("https://cms.ls-nyc.org/matter/dynamic-profile/view/1894712","19-1894712")</f>
        <v>0</v>
      </c>
      <c r="B3104" t="s">
        <v>9</v>
      </c>
      <c r="C3104" t="s">
        <v>13</v>
      </c>
      <c r="D3104" t="s">
        <v>14</v>
      </c>
      <c r="E3104" t="s">
        <v>16</v>
      </c>
      <c r="G3104" t="s">
        <v>18</v>
      </c>
      <c r="H3104" t="s">
        <v>20</v>
      </c>
    </row>
    <row r="3105" spans="1:8">
      <c r="A3105" s="1">
        <f>HYPERLINK("https://cms.ls-nyc.org/matter/dynamic-profile/view/1899812","19-1899812")</f>
        <v>0</v>
      </c>
      <c r="B3105" t="s">
        <v>10</v>
      </c>
      <c r="D3105" t="s">
        <v>14</v>
      </c>
      <c r="H3105" t="s">
        <v>20</v>
      </c>
    </row>
    <row r="3106" spans="1:8">
      <c r="A3106" s="1">
        <f>HYPERLINK("https://cms.ls-nyc.org/matter/dynamic-profile/view/1892391","19-1892391")</f>
        <v>0</v>
      </c>
      <c r="B3106" t="s">
        <v>10</v>
      </c>
      <c r="H3106" t="s">
        <v>19</v>
      </c>
    </row>
    <row r="3107" spans="1:8">
      <c r="A3107" s="1">
        <f>HYPERLINK("https://cms.ls-nyc.org/matter/dynamic-profile/view/1893923","19-1893923")</f>
        <v>0</v>
      </c>
      <c r="B3107" t="s">
        <v>10</v>
      </c>
      <c r="H3107" t="s">
        <v>19</v>
      </c>
    </row>
    <row r="3108" spans="1:8">
      <c r="A3108" s="1">
        <f>HYPERLINK("https://cms.ls-nyc.org/matter/dynamic-profile/view/1900547","19-1900547")</f>
        <v>0</v>
      </c>
      <c r="B3108" t="s">
        <v>12</v>
      </c>
      <c r="D3108" t="s">
        <v>14</v>
      </c>
      <c r="H3108" t="s">
        <v>20</v>
      </c>
    </row>
    <row r="3109" spans="1:8">
      <c r="A3109" s="1">
        <f>HYPERLINK("https://cms.ls-nyc.org/matter/dynamic-profile/view/1896429","19-1896429")</f>
        <v>0</v>
      </c>
      <c r="B3109" t="s">
        <v>12</v>
      </c>
      <c r="C3109" t="s">
        <v>13</v>
      </c>
      <c r="D3109" t="s">
        <v>14</v>
      </c>
      <c r="E3109" t="s">
        <v>16</v>
      </c>
      <c r="G3109" t="s">
        <v>18</v>
      </c>
      <c r="H3109" t="s">
        <v>20</v>
      </c>
    </row>
    <row r="3110" spans="1:8">
      <c r="A3110" s="1">
        <f>HYPERLINK("https://cms.ls-nyc.org/matter/dynamic-profile/view/1896374","19-1896374")</f>
        <v>0</v>
      </c>
      <c r="B3110" t="s">
        <v>12</v>
      </c>
      <c r="C3110" t="s">
        <v>13</v>
      </c>
      <c r="D3110" t="s">
        <v>14</v>
      </c>
      <c r="E3110" t="s">
        <v>16</v>
      </c>
      <c r="G3110" t="s">
        <v>18</v>
      </c>
      <c r="H3110" t="s">
        <v>20</v>
      </c>
    </row>
    <row r="3111" spans="1:8">
      <c r="A3111" s="1">
        <f>HYPERLINK("https://cms.ls-nyc.org/matter/dynamic-profile/view/1872672","18-1872672")</f>
        <v>0</v>
      </c>
      <c r="B3111" t="s">
        <v>9</v>
      </c>
      <c r="C3111" t="s">
        <v>13</v>
      </c>
      <c r="D3111" t="s">
        <v>14</v>
      </c>
      <c r="E3111" t="s">
        <v>16</v>
      </c>
      <c r="G3111" t="s">
        <v>18</v>
      </c>
      <c r="H3111" t="s">
        <v>20</v>
      </c>
    </row>
    <row r="3112" spans="1:8">
      <c r="A3112" s="1">
        <f>HYPERLINK("https://cms.ls-nyc.org/matter/dynamic-profile/view/1870514","18-1870514")</f>
        <v>0</v>
      </c>
      <c r="B3112" t="s">
        <v>10</v>
      </c>
      <c r="D3112" t="s">
        <v>15</v>
      </c>
      <c r="E3112" t="s">
        <v>16</v>
      </c>
      <c r="H3112" t="s">
        <v>20</v>
      </c>
    </row>
    <row r="3113" spans="1:8">
      <c r="A3113" s="1">
        <f>HYPERLINK("https://cms.ls-nyc.org/matter/dynamic-profile/view/1886111","18-1886111")</f>
        <v>0</v>
      </c>
      <c r="B3113" t="s">
        <v>10</v>
      </c>
      <c r="H3113" t="s">
        <v>19</v>
      </c>
    </row>
    <row r="3114" spans="1:8">
      <c r="A3114" s="1">
        <f>HYPERLINK("https://cms.ls-nyc.org/matter/dynamic-profile/view/1870509","18-1870509")</f>
        <v>0</v>
      </c>
      <c r="B3114" t="s">
        <v>10</v>
      </c>
      <c r="D3114" t="s">
        <v>15</v>
      </c>
      <c r="E3114" t="s">
        <v>16</v>
      </c>
      <c r="H3114" t="s">
        <v>20</v>
      </c>
    </row>
    <row r="3115" spans="1:8">
      <c r="A3115" s="1">
        <f>HYPERLINK("https://cms.ls-nyc.org/matter/dynamic-profile/view/1883429","18-1883429")</f>
        <v>0</v>
      </c>
      <c r="B3115" t="s">
        <v>10</v>
      </c>
      <c r="H3115" t="s">
        <v>19</v>
      </c>
    </row>
    <row r="3116" spans="1:8">
      <c r="A3116" s="1">
        <f>HYPERLINK("https://cms.ls-nyc.org/matter/dynamic-profile/view/1878909","18-1878909")</f>
        <v>0</v>
      </c>
      <c r="B3116" t="s">
        <v>12</v>
      </c>
      <c r="F3116" t="s">
        <v>17</v>
      </c>
      <c r="H3116" t="s">
        <v>20</v>
      </c>
    </row>
    <row r="3117" spans="1:8">
      <c r="A3117" s="1">
        <f>HYPERLINK("https://cms.ls-nyc.org/matter/dynamic-profile/view/1885138","18-1885138")</f>
        <v>0</v>
      </c>
      <c r="B3117" t="s">
        <v>12</v>
      </c>
      <c r="H3117" t="s">
        <v>19</v>
      </c>
    </row>
    <row r="3118" spans="1:8">
      <c r="A3118" s="1">
        <f>HYPERLINK("https://cms.ls-nyc.org/matter/dynamic-profile/view/1851636","17-1851636")</f>
        <v>0</v>
      </c>
      <c r="B3118" t="s">
        <v>9</v>
      </c>
      <c r="D3118" t="s">
        <v>15</v>
      </c>
      <c r="E3118" t="s">
        <v>16</v>
      </c>
      <c r="H3118" t="s">
        <v>20</v>
      </c>
    </row>
    <row r="3119" spans="1:8">
      <c r="A3119" s="1">
        <f>HYPERLINK("https://cms.ls-nyc.org/matter/dynamic-profile/view/1871418","18-1871418")</f>
        <v>0</v>
      </c>
      <c r="B3119" t="s">
        <v>9</v>
      </c>
      <c r="D3119" t="s">
        <v>15</v>
      </c>
      <c r="H3119" t="s">
        <v>20</v>
      </c>
    </row>
    <row r="3120" spans="1:8">
      <c r="A3120" s="1">
        <f>HYPERLINK("https://cms.ls-nyc.org/matter/dynamic-profile/view/1841463","17-1841463")</f>
        <v>0</v>
      </c>
      <c r="B3120" t="s">
        <v>12</v>
      </c>
      <c r="D3120" t="s">
        <v>15</v>
      </c>
      <c r="H3120" t="s">
        <v>20</v>
      </c>
    </row>
    <row r="3121" spans="1:8">
      <c r="A3121" s="1">
        <f>HYPERLINK("https://cms.ls-nyc.org/matter/dynamic-profile/view/1893494","19-1893494")</f>
        <v>0</v>
      </c>
      <c r="B3121" t="s">
        <v>12</v>
      </c>
      <c r="H3121" t="s">
        <v>19</v>
      </c>
    </row>
    <row r="3122" spans="1:8">
      <c r="A3122" s="1">
        <f>HYPERLINK("https://cms.ls-nyc.org/matter/dynamic-profile/view/0810298","16-0810298")</f>
        <v>0</v>
      </c>
      <c r="B3122" t="s">
        <v>12</v>
      </c>
      <c r="D3122" t="s">
        <v>15</v>
      </c>
      <c r="E3122" t="s">
        <v>16</v>
      </c>
      <c r="H3122" t="s">
        <v>20</v>
      </c>
    </row>
    <row r="3123" spans="1:8">
      <c r="A3123" s="1">
        <f>HYPERLINK("https://cms.ls-nyc.org/matter/dynamic-profile/view/1896441","19-1896441")</f>
        <v>0</v>
      </c>
      <c r="B3123" t="s">
        <v>9</v>
      </c>
      <c r="C3123" t="s">
        <v>13</v>
      </c>
      <c r="E3123" t="s">
        <v>16</v>
      </c>
      <c r="G3123" t="s">
        <v>18</v>
      </c>
      <c r="H3123" t="s">
        <v>20</v>
      </c>
    </row>
    <row r="3124" spans="1:8">
      <c r="A3124" s="1">
        <f>HYPERLINK("https://cms.ls-nyc.org/matter/dynamic-profile/view/1896450","19-1896450")</f>
        <v>0</v>
      </c>
      <c r="B3124" t="s">
        <v>9</v>
      </c>
      <c r="C3124" t="s">
        <v>13</v>
      </c>
      <c r="E3124" t="s">
        <v>16</v>
      </c>
      <c r="G3124" t="s">
        <v>18</v>
      </c>
      <c r="H3124" t="s">
        <v>20</v>
      </c>
    </row>
    <row r="3125" spans="1:8">
      <c r="A3125" s="1">
        <f>HYPERLINK("https://cms.ls-nyc.org/matter/dynamic-profile/view/1845273","17-1845273")</f>
        <v>0</v>
      </c>
      <c r="B3125" t="s">
        <v>9</v>
      </c>
      <c r="D3125" t="s">
        <v>15</v>
      </c>
      <c r="E3125" t="s">
        <v>16</v>
      </c>
      <c r="F3125" t="s">
        <v>17</v>
      </c>
      <c r="H3125" t="s">
        <v>20</v>
      </c>
    </row>
    <row r="3126" spans="1:8">
      <c r="A3126" s="1">
        <f>HYPERLINK("https://cms.ls-nyc.org/matter/dynamic-profile/view/0830285","17-0830285")</f>
        <v>0</v>
      </c>
      <c r="B3126" t="s">
        <v>9</v>
      </c>
      <c r="D3126" t="s">
        <v>15</v>
      </c>
      <c r="E3126" t="s">
        <v>16</v>
      </c>
      <c r="F3126" t="s">
        <v>17</v>
      </c>
      <c r="H3126" t="s">
        <v>20</v>
      </c>
    </row>
    <row r="3127" spans="1:8">
      <c r="A3127" s="1">
        <f>HYPERLINK("https://cms.ls-nyc.org/matter/dynamic-profile/view/1889400","19-1889400")</f>
        <v>0</v>
      </c>
      <c r="B3127" t="s">
        <v>8</v>
      </c>
      <c r="H3127" t="s">
        <v>19</v>
      </c>
    </row>
    <row r="3128" spans="1:8">
      <c r="A3128" s="1">
        <f>HYPERLINK("https://cms.ls-nyc.org/matter/dynamic-profile/view/1898325","19-1898325")</f>
        <v>0</v>
      </c>
      <c r="B3128" t="s">
        <v>9</v>
      </c>
      <c r="H3128" t="s">
        <v>19</v>
      </c>
    </row>
    <row r="3129" spans="1:8">
      <c r="A3129" s="1">
        <f>HYPERLINK("https://cms.ls-nyc.org/matter/dynamic-profile/view/1895591","19-1895591")</f>
        <v>0</v>
      </c>
      <c r="B3129" t="s">
        <v>9</v>
      </c>
      <c r="C3129" t="s">
        <v>13</v>
      </c>
      <c r="D3129" t="s">
        <v>14</v>
      </c>
      <c r="E3129" t="s">
        <v>16</v>
      </c>
      <c r="H3129" t="s">
        <v>20</v>
      </c>
    </row>
    <row r="3130" spans="1:8">
      <c r="A3130" s="1">
        <f>HYPERLINK("https://cms.ls-nyc.org/matter/dynamic-profile/view/1898941","19-1898941")</f>
        <v>0</v>
      </c>
      <c r="B3130" t="s">
        <v>10</v>
      </c>
      <c r="D3130" t="s">
        <v>14</v>
      </c>
      <c r="H3130" t="s">
        <v>20</v>
      </c>
    </row>
    <row r="3131" spans="1:8">
      <c r="A3131" s="1">
        <f>HYPERLINK("https://cms.ls-nyc.org/matter/dynamic-profile/view/1895757","19-1895757")</f>
        <v>0</v>
      </c>
      <c r="B3131" t="s">
        <v>11</v>
      </c>
      <c r="C3131" t="s">
        <v>13</v>
      </c>
      <c r="D3131" t="s">
        <v>14</v>
      </c>
      <c r="E3131" t="s">
        <v>16</v>
      </c>
      <c r="G3131" t="s">
        <v>18</v>
      </c>
      <c r="H3131" t="s">
        <v>20</v>
      </c>
    </row>
    <row r="3132" spans="1:8">
      <c r="A3132" s="1">
        <f>HYPERLINK("https://cms.ls-nyc.org/matter/dynamic-profile/view/1876097","18-1876097")</f>
        <v>0</v>
      </c>
      <c r="B3132" t="s">
        <v>9</v>
      </c>
      <c r="C3132" t="s">
        <v>13</v>
      </c>
      <c r="D3132" t="s">
        <v>14</v>
      </c>
      <c r="E3132" t="s">
        <v>16</v>
      </c>
      <c r="H3132" t="s">
        <v>20</v>
      </c>
    </row>
    <row r="3133" spans="1:8">
      <c r="A3133" s="1">
        <f>HYPERLINK("https://cms.ls-nyc.org/matter/dynamic-profile/view/1872259","18-1872259")</f>
        <v>0</v>
      </c>
      <c r="B3133" t="s">
        <v>9</v>
      </c>
      <c r="H3133" t="s">
        <v>19</v>
      </c>
    </row>
    <row r="3134" spans="1:8">
      <c r="A3134" s="1">
        <f>HYPERLINK("https://cms.ls-nyc.org/matter/dynamic-profile/view/1887980","19-1887980")</f>
        <v>0</v>
      </c>
      <c r="B3134" t="s">
        <v>9</v>
      </c>
      <c r="F3134" t="s">
        <v>17</v>
      </c>
      <c r="H3134" t="s">
        <v>20</v>
      </c>
    </row>
    <row r="3135" spans="1:8">
      <c r="A3135" s="1">
        <f>HYPERLINK("https://cms.ls-nyc.org/matter/dynamic-profile/view/1884536","18-1884536")</f>
        <v>0</v>
      </c>
      <c r="B3135" t="s">
        <v>10</v>
      </c>
      <c r="F3135" t="s">
        <v>17</v>
      </c>
      <c r="H3135" t="s">
        <v>20</v>
      </c>
    </row>
    <row r="3136" spans="1:8">
      <c r="A3136" s="1">
        <f>HYPERLINK("https://cms.ls-nyc.org/matter/dynamic-profile/view/1891897","19-1891897")</f>
        <v>0</v>
      </c>
      <c r="B3136" t="s">
        <v>10</v>
      </c>
      <c r="H3136" t="s">
        <v>19</v>
      </c>
    </row>
    <row r="3137" spans="1:8">
      <c r="A3137" s="1">
        <f>HYPERLINK("https://cms.ls-nyc.org/matter/dynamic-profile/view/1897690","19-1897690")</f>
        <v>0</v>
      </c>
      <c r="B3137" t="s">
        <v>12</v>
      </c>
      <c r="H3137" t="s">
        <v>19</v>
      </c>
    </row>
    <row r="3138" spans="1:8">
      <c r="A3138" s="1">
        <f>HYPERLINK("https://cms.ls-nyc.org/matter/dynamic-profile/view/1837263","17-1837263")</f>
        <v>0</v>
      </c>
      <c r="B3138" t="s">
        <v>8</v>
      </c>
      <c r="C3138" t="s">
        <v>13</v>
      </c>
      <c r="D3138" t="s">
        <v>15</v>
      </c>
      <c r="E3138" t="s">
        <v>16</v>
      </c>
      <c r="H3138" t="s">
        <v>20</v>
      </c>
    </row>
    <row r="3139" spans="1:8">
      <c r="A3139" s="1">
        <f>HYPERLINK("https://cms.ls-nyc.org/matter/dynamic-profile/view/1854142","17-1854142")</f>
        <v>0</v>
      </c>
      <c r="B3139" t="s">
        <v>10</v>
      </c>
      <c r="D3139" t="s">
        <v>15</v>
      </c>
      <c r="E3139" t="s">
        <v>16</v>
      </c>
      <c r="H3139" t="s">
        <v>20</v>
      </c>
    </row>
    <row r="3140" spans="1:8">
      <c r="A3140" s="1">
        <f>HYPERLINK("https://cms.ls-nyc.org/matter/dynamic-profile/view/1900603","19-1900603")</f>
        <v>0</v>
      </c>
      <c r="B3140" t="s">
        <v>10</v>
      </c>
      <c r="D3140" t="s">
        <v>14</v>
      </c>
      <c r="F3140" t="s">
        <v>17</v>
      </c>
      <c r="H3140" t="s">
        <v>20</v>
      </c>
    </row>
    <row r="3141" spans="1:8">
      <c r="A3141" s="1">
        <f>HYPERLINK("https://cms.ls-nyc.org/matter/dynamic-profile/view/0805850","16-0805850")</f>
        <v>0</v>
      </c>
      <c r="B3141" t="s">
        <v>9</v>
      </c>
      <c r="D3141" t="s">
        <v>15</v>
      </c>
      <c r="E3141" t="s">
        <v>16</v>
      </c>
      <c r="H3141" t="s">
        <v>20</v>
      </c>
    </row>
    <row r="3142" spans="1:8">
      <c r="A3142" s="1">
        <f>HYPERLINK("https://cms.ls-nyc.org/matter/dynamic-profile/view/0808632","16-0808632")</f>
        <v>0</v>
      </c>
      <c r="B3142" t="s">
        <v>12</v>
      </c>
      <c r="D3142" t="s">
        <v>15</v>
      </c>
      <c r="E3142" t="s">
        <v>16</v>
      </c>
      <c r="H3142" t="s">
        <v>20</v>
      </c>
    </row>
    <row r="3143" spans="1:8">
      <c r="A3143" s="1">
        <f>HYPERLINK("https://cms.ls-nyc.org/matter/dynamic-profile/view/0802567","16-0802567")</f>
        <v>0</v>
      </c>
      <c r="B3143" t="s">
        <v>10</v>
      </c>
      <c r="D3143" t="s">
        <v>15</v>
      </c>
      <c r="E3143" t="s">
        <v>16</v>
      </c>
      <c r="H3143" t="s">
        <v>20</v>
      </c>
    </row>
    <row r="3144" spans="1:8">
      <c r="A3144" s="1">
        <f>HYPERLINK("https://cms.ls-nyc.org/matter/dynamic-profile/view/1896719","19-1896719")</f>
        <v>0</v>
      </c>
      <c r="B3144" t="s">
        <v>8</v>
      </c>
      <c r="D3144" t="s">
        <v>14</v>
      </c>
      <c r="H3144" t="s">
        <v>20</v>
      </c>
    </row>
    <row r="3145" spans="1:8">
      <c r="A3145" s="1">
        <f>HYPERLINK("https://cms.ls-nyc.org/matter/dynamic-profile/view/1896462","19-1896462")</f>
        <v>0</v>
      </c>
      <c r="B3145" t="s">
        <v>9</v>
      </c>
      <c r="H3145" t="s">
        <v>19</v>
      </c>
    </row>
    <row r="3146" spans="1:8">
      <c r="A3146" s="1">
        <f>HYPERLINK("https://cms.ls-nyc.org/matter/dynamic-profile/view/1896368","19-1896368")</f>
        <v>0</v>
      </c>
      <c r="B3146" t="s">
        <v>10</v>
      </c>
      <c r="D3146" t="s">
        <v>14</v>
      </c>
      <c r="G3146" t="s">
        <v>18</v>
      </c>
      <c r="H3146" t="s">
        <v>20</v>
      </c>
    </row>
    <row r="3147" spans="1:8">
      <c r="A3147" s="1">
        <f>HYPERLINK("https://cms.ls-nyc.org/matter/dynamic-profile/view/1889777","19-1889777")</f>
        <v>0</v>
      </c>
      <c r="B3147" t="s">
        <v>10</v>
      </c>
      <c r="H3147" t="s">
        <v>19</v>
      </c>
    </row>
    <row r="3148" spans="1:8">
      <c r="A3148" s="1">
        <f>HYPERLINK("https://cms.ls-nyc.org/matter/dynamic-profile/view/1899494","19-1899494")</f>
        <v>0</v>
      </c>
      <c r="B3148" t="s">
        <v>11</v>
      </c>
      <c r="D3148" t="s">
        <v>14</v>
      </c>
      <c r="G3148" t="s">
        <v>18</v>
      </c>
      <c r="H3148" t="s">
        <v>20</v>
      </c>
    </row>
    <row r="3149" spans="1:8">
      <c r="A3149" s="1">
        <f>HYPERLINK("https://cms.ls-nyc.org/matter/dynamic-profile/view/1880006","18-1880006")</f>
        <v>0</v>
      </c>
      <c r="B3149" t="s">
        <v>9</v>
      </c>
      <c r="H3149" t="s">
        <v>19</v>
      </c>
    </row>
    <row r="3150" spans="1:8">
      <c r="A3150" s="1">
        <f>HYPERLINK("https://cms.ls-nyc.org/matter/dynamic-profile/view/1852984","17-1852984")</f>
        <v>0</v>
      </c>
      <c r="B3150" t="s">
        <v>8</v>
      </c>
      <c r="D3150" t="s">
        <v>15</v>
      </c>
      <c r="E3150" t="s">
        <v>16</v>
      </c>
      <c r="H3150" t="s">
        <v>20</v>
      </c>
    </row>
    <row r="3151" spans="1:8">
      <c r="A3151" s="1">
        <f>HYPERLINK("https://cms.ls-nyc.org/matter/dynamic-profile/view/0797705","16-0797705")</f>
        <v>0</v>
      </c>
      <c r="B3151" t="s">
        <v>10</v>
      </c>
      <c r="D3151" t="s">
        <v>15</v>
      </c>
      <c r="E3151" t="s">
        <v>16</v>
      </c>
      <c r="H3151" t="s">
        <v>20</v>
      </c>
    </row>
    <row r="3152" spans="1:8">
      <c r="A3152" s="1">
        <f>HYPERLINK("https://cms.ls-nyc.org/matter/dynamic-profile/view/1888987","19-1888987")</f>
        <v>0</v>
      </c>
      <c r="B3152" t="s">
        <v>9</v>
      </c>
      <c r="H3152" t="s">
        <v>19</v>
      </c>
    </row>
    <row r="3153" spans="1:8">
      <c r="A3153" s="1">
        <f>HYPERLINK("https://cms.ls-nyc.org/matter/dynamic-profile/view/1876234","18-1876234")</f>
        <v>0</v>
      </c>
      <c r="B3153" t="s">
        <v>12</v>
      </c>
      <c r="H3153" t="s">
        <v>19</v>
      </c>
    </row>
    <row r="3154" spans="1:8">
      <c r="A3154" s="1">
        <f>HYPERLINK("https://cms.ls-nyc.org/matter/dynamic-profile/view/1884060","18-1884060")</f>
        <v>0</v>
      </c>
      <c r="B3154" t="s">
        <v>9</v>
      </c>
      <c r="H3154" t="s">
        <v>19</v>
      </c>
    </row>
    <row r="3155" spans="1:8">
      <c r="A3155" s="1">
        <f>HYPERLINK("https://cms.ls-nyc.org/matter/dynamic-profile/view/1900986","19-1900986")</f>
        <v>0</v>
      </c>
      <c r="B3155" t="s">
        <v>10</v>
      </c>
      <c r="D3155" t="s">
        <v>14</v>
      </c>
      <c r="E3155" t="s">
        <v>16</v>
      </c>
      <c r="F3155" t="s">
        <v>17</v>
      </c>
      <c r="H3155" t="s">
        <v>20</v>
      </c>
    </row>
    <row r="3156" spans="1:8">
      <c r="A3156" s="1">
        <f>HYPERLINK("https://cms.ls-nyc.org/matter/dynamic-profile/view/1895764","19-1895764")</f>
        <v>0</v>
      </c>
      <c r="B3156" t="s">
        <v>11</v>
      </c>
      <c r="H3156" t="s">
        <v>19</v>
      </c>
    </row>
    <row r="3157" spans="1:8">
      <c r="A3157" s="1">
        <f>HYPERLINK("https://cms.ls-nyc.org/matter/dynamic-profile/view/0820114","16-0820114")</f>
        <v>0</v>
      </c>
      <c r="B3157" t="s">
        <v>8</v>
      </c>
      <c r="D3157" t="s">
        <v>15</v>
      </c>
      <c r="H3157" t="s">
        <v>20</v>
      </c>
    </row>
    <row r="3158" spans="1:8">
      <c r="A3158" s="1">
        <f>HYPERLINK("https://cms.ls-nyc.org/matter/dynamic-profile/view/1891966","19-1891966")</f>
        <v>0</v>
      </c>
      <c r="B3158" t="s">
        <v>8</v>
      </c>
      <c r="H3158" t="s">
        <v>19</v>
      </c>
    </row>
    <row r="3159" spans="1:8">
      <c r="A3159" s="1">
        <f>HYPERLINK("https://cms.ls-nyc.org/matter/dynamic-profile/view/1899599","19-1899599")</f>
        <v>0</v>
      </c>
      <c r="B3159" t="s">
        <v>9</v>
      </c>
      <c r="H3159" t="s">
        <v>19</v>
      </c>
    </row>
    <row r="3160" spans="1:8">
      <c r="A3160" s="1">
        <f>HYPERLINK("https://cms.ls-nyc.org/matter/dynamic-profile/view/1898230","19-1898230")</f>
        <v>0</v>
      </c>
      <c r="B3160" t="s">
        <v>10</v>
      </c>
      <c r="D3160" t="s">
        <v>14</v>
      </c>
      <c r="F3160" t="s">
        <v>17</v>
      </c>
      <c r="G3160" t="s">
        <v>18</v>
      </c>
      <c r="H3160" t="s">
        <v>20</v>
      </c>
    </row>
    <row r="3161" spans="1:8">
      <c r="A3161" s="1">
        <f>HYPERLINK("https://cms.ls-nyc.org/matter/dynamic-profile/view/1898314","19-1898314")</f>
        <v>0</v>
      </c>
      <c r="B3161" t="s">
        <v>10</v>
      </c>
      <c r="D3161" t="s">
        <v>14</v>
      </c>
      <c r="F3161" t="s">
        <v>17</v>
      </c>
      <c r="H3161" t="s">
        <v>20</v>
      </c>
    </row>
    <row r="3162" spans="1:8">
      <c r="A3162" s="1">
        <f>HYPERLINK("https://cms.ls-nyc.org/matter/dynamic-profile/view/1898099","19-1898099")</f>
        <v>0</v>
      </c>
      <c r="B3162" t="s">
        <v>10</v>
      </c>
      <c r="D3162" t="s">
        <v>14</v>
      </c>
      <c r="F3162" t="s">
        <v>17</v>
      </c>
      <c r="H3162" t="s">
        <v>20</v>
      </c>
    </row>
    <row r="3163" spans="1:8">
      <c r="A3163" s="1">
        <f>HYPERLINK("https://cms.ls-nyc.org/matter/dynamic-profile/view/1861031","18-1861031")</f>
        <v>0</v>
      </c>
      <c r="B3163" t="s">
        <v>8</v>
      </c>
      <c r="D3163" t="s">
        <v>15</v>
      </c>
      <c r="E3163" t="s">
        <v>16</v>
      </c>
      <c r="H3163" t="s">
        <v>20</v>
      </c>
    </row>
    <row r="3164" spans="1:8">
      <c r="A3164" s="1">
        <f>HYPERLINK("https://cms.ls-nyc.org/matter/dynamic-profile/view/1899912","19-1899912")</f>
        <v>0</v>
      </c>
      <c r="B3164" t="s">
        <v>9</v>
      </c>
      <c r="H3164" t="s">
        <v>19</v>
      </c>
    </row>
    <row r="3165" spans="1:8">
      <c r="A3165" s="1">
        <f>HYPERLINK("https://cms.ls-nyc.org/matter/dynamic-profile/view/1895338","19-1895338")</f>
        <v>0</v>
      </c>
      <c r="B3165" t="s">
        <v>9</v>
      </c>
      <c r="H3165" t="s">
        <v>19</v>
      </c>
    </row>
    <row r="3166" spans="1:8">
      <c r="A3166" s="1">
        <f>HYPERLINK("https://cms.ls-nyc.org/matter/dynamic-profile/view/1864513","18-1864513")</f>
        <v>0</v>
      </c>
      <c r="B3166" t="s">
        <v>12</v>
      </c>
      <c r="D3166" t="s">
        <v>15</v>
      </c>
      <c r="F3166" t="s">
        <v>17</v>
      </c>
      <c r="H3166" t="s">
        <v>20</v>
      </c>
    </row>
    <row r="3167" spans="1:8">
      <c r="A3167" s="1">
        <f>HYPERLINK("https://cms.ls-nyc.org/matter/dynamic-profile/view/1882895","18-1882895")</f>
        <v>0</v>
      </c>
      <c r="B3167" t="s">
        <v>9</v>
      </c>
      <c r="C3167" t="s">
        <v>13</v>
      </c>
      <c r="D3167" t="s">
        <v>14</v>
      </c>
      <c r="E3167" t="s">
        <v>16</v>
      </c>
      <c r="G3167" t="s">
        <v>18</v>
      </c>
      <c r="H3167" t="s">
        <v>20</v>
      </c>
    </row>
    <row r="3168" spans="1:8">
      <c r="A3168" s="1">
        <f>HYPERLINK("https://cms.ls-nyc.org/matter/dynamic-profile/view/1885569","18-1885569")</f>
        <v>0</v>
      </c>
      <c r="B3168" t="s">
        <v>10</v>
      </c>
      <c r="H3168" t="s">
        <v>19</v>
      </c>
    </row>
    <row r="3169" spans="1:8">
      <c r="A3169" s="1">
        <f>HYPERLINK("https://cms.ls-nyc.org/matter/dynamic-profile/view/1895986","19-1895986")</f>
        <v>0</v>
      </c>
      <c r="B3169" t="s">
        <v>10</v>
      </c>
      <c r="D3169" t="s">
        <v>14</v>
      </c>
      <c r="H3169" t="s">
        <v>20</v>
      </c>
    </row>
    <row r="3170" spans="1:8">
      <c r="A3170" s="1">
        <f>HYPERLINK("https://cms.ls-nyc.org/matter/dynamic-profile/view/1882686","18-1882686")</f>
        <v>0</v>
      </c>
      <c r="B3170" t="s">
        <v>10</v>
      </c>
      <c r="H3170" t="s">
        <v>19</v>
      </c>
    </row>
    <row r="3171" spans="1:8">
      <c r="A3171" s="1">
        <f>HYPERLINK("https://cms.ls-nyc.org/matter/dynamic-profile/view/1882685","18-1882685")</f>
        <v>0</v>
      </c>
      <c r="B3171" t="s">
        <v>10</v>
      </c>
      <c r="H3171" t="s">
        <v>19</v>
      </c>
    </row>
    <row r="3172" spans="1:8">
      <c r="A3172" s="1">
        <f>HYPERLINK("https://cms.ls-nyc.org/matter/dynamic-profile/view/1891971","19-1891971")</f>
        <v>0</v>
      </c>
      <c r="B3172" t="s">
        <v>10</v>
      </c>
      <c r="H3172" t="s">
        <v>19</v>
      </c>
    </row>
    <row r="3173" spans="1:8">
      <c r="A3173" s="1">
        <f>HYPERLINK("https://cms.ls-nyc.org/matter/dynamic-profile/view/1881794","18-1881794")</f>
        <v>0</v>
      </c>
      <c r="B3173" t="s">
        <v>10</v>
      </c>
      <c r="H3173" t="s">
        <v>19</v>
      </c>
    </row>
    <row r="3174" spans="1:8">
      <c r="A3174" s="1">
        <f>HYPERLINK("https://cms.ls-nyc.org/matter/dynamic-profile/view/0802559","16-0802559")</f>
        <v>0</v>
      </c>
      <c r="B3174" t="s">
        <v>10</v>
      </c>
      <c r="D3174" t="s">
        <v>15</v>
      </c>
      <c r="E3174" t="s">
        <v>16</v>
      </c>
      <c r="H3174" t="s">
        <v>20</v>
      </c>
    </row>
    <row r="3175" spans="1:8">
      <c r="A3175" s="1">
        <f>HYPERLINK("https://cms.ls-nyc.org/matter/dynamic-profile/view/0795231","15-0795231")</f>
        <v>0</v>
      </c>
      <c r="B3175" t="s">
        <v>8</v>
      </c>
      <c r="D3175" t="s">
        <v>15</v>
      </c>
      <c r="E3175" t="s">
        <v>16</v>
      </c>
      <c r="H3175" t="s">
        <v>20</v>
      </c>
    </row>
    <row r="3176" spans="1:8">
      <c r="A3176" s="1">
        <f>HYPERLINK("https://cms.ls-nyc.org/matter/dynamic-profile/view/0795241","15-0795241")</f>
        <v>0</v>
      </c>
      <c r="B3176" t="s">
        <v>8</v>
      </c>
      <c r="D3176" t="s">
        <v>15</v>
      </c>
      <c r="E3176" t="s">
        <v>16</v>
      </c>
      <c r="H3176" t="s">
        <v>20</v>
      </c>
    </row>
    <row r="3177" spans="1:8">
      <c r="A3177" s="1">
        <f>HYPERLINK("https://cms.ls-nyc.org/matter/dynamic-profile/view/0828020","17-0828020")</f>
        <v>0</v>
      </c>
      <c r="B3177" t="s">
        <v>12</v>
      </c>
      <c r="D3177" t="s">
        <v>15</v>
      </c>
      <c r="E3177" t="s">
        <v>16</v>
      </c>
      <c r="H3177" t="s">
        <v>20</v>
      </c>
    </row>
    <row r="3178" spans="1:8">
      <c r="A3178" s="1">
        <f>HYPERLINK("https://cms.ls-nyc.org/matter/dynamic-profile/view/1900664","19-1900664")</f>
        <v>0</v>
      </c>
      <c r="B3178" t="s">
        <v>8</v>
      </c>
      <c r="E3178" t="s">
        <v>16</v>
      </c>
      <c r="H3178" t="s">
        <v>20</v>
      </c>
    </row>
    <row r="3179" spans="1:8">
      <c r="A3179" s="1">
        <f>HYPERLINK("https://cms.ls-nyc.org/matter/dynamic-profile/view/1891880","19-1891880")</f>
        <v>0</v>
      </c>
      <c r="B3179" t="s">
        <v>10</v>
      </c>
      <c r="F3179" t="s">
        <v>17</v>
      </c>
      <c r="H3179" t="s">
        <v>20</v>
      </c>
    </row>
    <row r="3180" spans="1:8">
      <c r="A3180" s="1">
        <f>HYPERLINK("https://cms.ls-nyc.org/matter/dynamic-profile/view/1892727","19-1892727")</f>
        <v>0</v>
      </c>
      <c r="B3180" t="s">
        <v>10</v>
      </c>
      <c r="F3180" t="s">
        <v>17</v>
      </c>
      <c r="H3180" t="s">
        <v>20</v>
      </c>
    </row>
    <row r="3181" spans="1:8">
      <c r="A3181" s="1">
        <f>HYPERLINK("https://cms.ls-nyc.org/matter/dynamic-profile/view/1869128","18-1869128")</f>
        <v>0</v>
      </c>
      <c r="B3181" t="s">
        <v>9</v>
      </c>
      <c r="D3181" t="s">
        <v>15</v>
      </c>
      <c r="E3181" t="s">
        <v>16</v>
      </c>
      <c r="H3181" t="s">
        <v>20</v>
      </c>
    </row>
    <row r="3182" spans="1:8">
      <c r="A3182" s="1">
        <f>HYPERLINK("https://cms.ls-nyc.org/matter/dynamic-profile/view/1844544","17-1844544")</f>
        <v>0</v>
      </c>
      <c r="B3182" t="s">
        <v>10</v>
      </c>
      <c r="D3182" t="s">
        <v>15</v>
      </c>
      <c r="E3182" t="s">
        <v>16</v>
      </c>
      <c r="H3182" t="s">
        <v>20</v>
      </c>
    </row>
    <row r="3183" spans="1:8">
      <c r="A3183" s="1">
        <f>HYPERLINK("https://cms.ls-nyc.org/matter/dynamic-profile/view/1839720","17-1839720")</f>
        <v>0</v>
      </c>
      <c r="B3183" t="s">
        <v>12</v>
      </c>
      <c r="D3183" t="s">
        <v>15</v>
      </c>
      <c r="E3183" t="s">
        <v>16</v>
      </c>
      <c r="H3183" t="s">
        <v>20</v>
      </c>
    </row>
    <row r="3184" spans="1:8">
      <c r="A3184" s="1">
        <f>HYPERLINK("https://cms.ls-nyc.org/matter/dynamic-profile/view/1860080","18-1860080")</f>
        <v>0</v>
      </c>
      <c r="B3184" t="s">
        <v>12</v>
      </c>
      <c r="C3184" t="s">
        <v>13</v>
      </c>
      <c r="D3184" t="s">
        <v>14</v>
      </c>
      <c r="E3184" t="s">
        <v>16</v>
      </c>
      <c r="G3184" t="s">
        <v>18</v>
      </c>
      <c r="H3184" t="s">
        <v>20</v>
      </c>
    </row>
    <row r="3185" spans="1:8">
      <c r="A3185" s="1">
        <f>HYPERLINK("https://cms.ls-nyc.org/matter/dynamic-profile/view/0795212","15-0795212")</f>
        <v>0</v>
      </c>
      <c r="B3185" t="s">
        <v>8</v>
      </c>
      <c r="D3185" t="s">
        <v>15</v>
      </c>
      <c r="E3185" t="s">
        <v>16</v>
      </c>
      <c r="H3185" t="s">
        <v>20</v>
      </c>
    </row>
    <row r="3186" spans="1:8">
      <c r="A3186" s="1">
        <f>HYPERLINK("https://cms.ls-nyc.org/matter/dynamic-profile/view/1898702","19-1898702")</f>
        <v>0</v>
      </c>
      <c r="B3186" t="s">
        <v>9</v>
      </c>
      <c r="D3186" t="s">
        <v>14</v>
      </c>
      <c r="F3186" t="s">
        <v>17</v>
      </c>
      <c r="G3186" t="s">
        <v>18</v>
      </c>
      <c r="H3186" t="s">
        <v>20</v>
      </c>
    </row>
    <row r="3187" spans="1:8">
      <c r="A3187" s="1">
        <f>HYPERLINK("https://cms.ls-nyc.org/matter/dynamic-profile/view/1892349","19-1892349")</f>
        <v>0</v>
      </c>
      <c r="B3187" t="s">
        <v>9</v>
      </c>
      <c r="H3187" t="s">
        <v>19</v>
      </c>
    </row>
    <row r="3188" spans="1:8">
      <c r="A3188" s="1">
        <f>HYPERLINK("https://cms.ls-nyc.org/matter/dynamic-profile/view/1892345","19-1892345")</f>
        <v>0</v>
      </c>
      <c r="B3188" t="s">
        <v>9</v>
      </c>
      <c r="H3188" t="s">
        <v>19</v>
      </c>
    </row>
    <row r="3189" spans="1:8">
      <c r="A3189" s="1">
        <f>HYPERLINK("https://cms.ls-nyc.org/matter/dynamic-profile/view/1892341","19-1892341")</f>
        <v>0</v>
      </c>
      <c r="B3189" t="s">
        <v>9</v>
      </c>
      <c r="H3189" t="s">
        <v>19</v>
      </c>
    </row>
    <row r="3190" spans="1:8">
      <c r="A3190" s="1">
        <f>HYPERLINK("https://cms.ls-nyc.org/matter/dynamic-profile/view/1852010","17-1852010")</f>
        <v>0</v>
      </c>
      <c r="B3190" t="s">
        <v>12</v>
      </c>
      <c r="D3190" t="s">
        <v>15</v>
      </c>
      <c r="E3190" t="s">
        <v>16</v>
      </c>
      <c r="H3190" t="s">
        <v>20</v>
      </c>
    </row>
    <row r="3191" spans="1:8">
      <c r="A3191" s="1">
        <f>HYPERLINK("https://cms.ls-nyc.org/matter/dynamic-profile/view/1899947","19-1899947")</f>
        <v>0</v>
      </c>
      <c r="B3191" t="s">
        <v>10</v>
      </c>
      <c r="D3191" t="s">
        <v>14</v>
      </c>
      <c r="E3191" t="s">
        <v>16</v>
      </c>
      <c r="H3191" t="s">
        <v>20</v>
      </c>
    </row>
    <row r="3192" spans="1:8">
      <c r="A3192" s="1">
        <f>HYPERLINK("https://cms.ls-nyc.org/matter/dynamic-profile/view/1879989","18-1879989")</f>
        <v>0</v>
      </c>
      <c r="B3192" t="s">
        <v>11</v>
      </c>
      <c r="H3192" t="s">
        <v>19</v>
      </c>
    </row>
    <row r="3193" spans="1:8">
      <c r="A3193" s="1">
        <f>HYPERLINK("https://cms.ls-nyc.org/matter/dynamic-profile/view/1864054","18-1864054")</f>
        <v>0</v>
      </c>
      <c r="B3193" t="s">
        <v>12</v>
      </c>
      <c r="D3193" t="s">
        <v>15</v>
      </c>
      <c r="E3193" t="s">
        <v>16</v>
      </c>
      <c r="H3193" t="s">
        <v>20</v>
      </c>
    </row>
    <row r="3194" spans="1:8">
      <c r="A3194" s="1">
        <f>HYPERLINK("https://cms.ls-nyc.org/matter/dynamic-profile/view/1892301","19-1892301")</f>
        <v>0</v>
      </c>
      <c r="B3194" t="s">
        <v>9</v>
      </c>
      <c r="H3194" t="s">
        <v>19</v>
      </c>
    </row>
    <row r="3195" spans="1:8">
      <c r="A3195" s="1">
        <f>HYPERLINK("https://cms.ls-nyc.org/matter/dynamic-profile/view/1892734","19-1892734")</f>
        <v>0</v>
      </c>
      <c r="B3195" t="s">
        <v>9</v>
      </c>
      <c r="H3195" t="s">
        <v>19</v>
      </c>
    </row>
    <row r="3196" spans="1:8">
      <c r="A3196" s="1">
        <f>HYPERLINK("https://cms.ls-nyc.org/matter/dynamic-profile/view/1895292","19-1895292")</f>
        <v>0</v>
      </c>
      <c r="B3196" t="s">
        <v>9</v>
      </c>
      <c r="C3196" t="s">
        <v>13</v>
      </c>
      <c r="D3196" t="s">
        <v>14</v>
      </c>
      <c r="E3196" t="s">
        <v>16</v>
      </c>
      <c r="F3196" t="s">
        <v>17</v>
      </c>
      <c r="G3196" t="s">
        <v>18</v>
      </c>
      <c r="H3196" t="s">
        <v>20</v>
      </c>
    </row>
    <row r="3197" spans="1:8">
      <c r="A3197" s="1">
        <f>HYPERLINK("https://cms.ls-nyc.org/matter/dynamic-profile/view/1899382","19-1899382")</f>
        <v>0</v>
      </c>
      <c r="B3197" t="s">
        <v>11</v>
      </c>
      <c r="D3197" t="s">
        <v>14</v>
      </c>
      <c r="G3197" t="s">
        <v>18</v>
      </c>
      <c r="H3197" t="s">
        <v>20</v>
      </c>
    </row>
    <row r="3198" spans="1:8">
      <c r="A3198" s="1">
        <f>HYPERLINK("https://cms.ls-nyc.org/matter/dynamic-profile/view/1885744","18-1885744")</f>
        <v>0</v>
      </c>
      <c r="B3198" t="s">
        <v>10</v>
      </c>
      <c r="F3198" t="s">
        <v>17</v>
      </c>
      <c r="H3198" t="s">
        <v>20</v>
      </c>
    </row>
    <row r="3199" spans="1:8">
      <c r="A3199" s="1">
        <f>HYPERLINK("https://cms.ls-nyc.org/matter/dynamic-profile/view/1883833","18-1883833")</f>
        <v>0</v>
      </c>
      <c r="B3199" t="s">
        <v>9</v>
      </c>
      <c r="H3199" t="s">
        <v>19</v>
      </c>
    </row>
    <row r="3200" spans="1:8">
      <c r="A3200" s="1">
        <f>HYPERLINK("https://cms.ls-nyc.org/matter/dynamic-profile/view/1872229","18-1872229")</f>
        <v>0</v>
      </c>
      <c r="B3200" t="s">
        <v>12</v>
      </c>
      <c r="H3200" t="s">
        <v>19</v>
      </c>
    </row>
    <row r="3201" spans="1:8">
      <c r="A3201" s="1">
        <f>HYPERLINK("https://cms.ls-nyc.org/matter/dynamic-profile/view/1872745","18-1872745")</f>
        <v>0</v>
      </c>
      <c r="B3201" t="s">
        <v>9</v>
      </c>
      <c r="F3201" t="s">
        <v>17</v>
      </c>
      <c r="H3201" t="s">
        <v>20</v>
      </c>
    </row>
    <row r="3202" spans="1:8">
      <c r="A3202" s="1">
        <f>HYPERLINK("https://cms.ls-nyc.org/matter/dynamic-profile/view/1893742","19-1893742")</f>
        <v>0</v>
      </c>
      <c r="B3202" t="s">
        <v>9</v>
      </c>
      <c r="H3202" t="s">
        <v>19</v>
      </c>
    </row>
    <row r="3203" spans="1:8">
      <c r="A3203" s="1">
        <f>HYPERLINK("https://cms.ls-nyc.org/matter/dynamic-profile/view/0802902","16-0802902")</f>
        <v>0</v>
      </c>
      <c r="B3203" t="s">
        <v>9</v>
      </c>
      <c r="D3203" t="s">
        <v>15</v>
      </c>
      <c r="E3203" t="s">
        <v>16</v>
      </c>
      <c r="H3203" t="s">
        <v>20</v>
      </c>
    </row>
    <row r="3204" spans="1:8">
      <c r="A3204" s="1">
        <f>HYPERLINK("https://cms.ls-nyc.org/matter/dynamic-profile/view/0787372","15-0787372")</f>
        <v>0</v>
      </c>
      <c r="B3204" t="s">
        <v>9</v>
      </c>
      <c r="C3204" t="s">
        <v>13</v>
      </c>
      <c r="D3204" t="s">
        <v>15</v>
      </c>
      <c r="E3204" t="s">
        <v>16</v>
      </c>
      <c r="H3204" t="s">
        <v>20</v>
      </c>
    </row>
    <row r="3205" spans="1:8">
      <c r="A3205" s="1">
        <f>HYPERLINK("https://cms.ls-nyc.org/matter/dynamic-profile/view/1895320","19-1895320")</f>
        <v>0</v>
      </c>
      <c r="B3205" t="s">
        <v>9</v>
      </c>
      <c r="C3205" t="s">
        <v>13</v>
      </c>
      <c r="E3205" t="s">
        <v>16</v>
      </c>
      <c r="H3205" t="s">
        <v>20</v>
      </c>
    </row>
    <row r="3206" spans="1:8">
      <c r="A3206" s="1">
        <f>HYPERLINK("https://cms.ls-nyc.org/matter/dynamic-profile/view/1895735","19-1895735")</f>
        <v>0</v>
      </c>
      <c r="B3206" t="s">
        <v>9</v>
      </c>
      <c r="H3206" t="s">
        <v>19</v>
      </c>
    </row>
    <row r="3207" spans="1:8">
      <c r="A3207" s="1">
        <f>HYPERLINK("https://cms.ls-nyc.org/matter/dynamic-profile/view/0821898","16-0821898")</f>
        <v>0</v>
      </c>
      <c r="B3207" t="s">
        <v>12</v>
      </c>
      <c r="D3207" t="s">
        <v>15</v>
      </c>
      <c r="E3207" t="s">
        <v>16</v>
      </c>
      <c r="H3207" t="s">
        <v>20</v>
      </c>
    </row>
    <row r="3208" spans="1:8">
      <c r="A3208" s="1">
        <f>HYPERLINK("https://cms.ls-nyc.org/matter/dynamic-profile/view/1857072","18-1857072")</f>
        <v>0</v>
      </c>
      <c r="B3208" t="s">
        <v>10</v>
      </c>
      <c r="D3208" t="s">
        <v>15</v>
      </c>
      <c r="E3208" t="s">
        <v>16</v>
      </c>
      <c r="H3208" t="s">
        <v>20</v>
      </c>
    </row>
    <row r="3209" spans="1:8">
      <c r="A3209" s="1">
        <f>HYPERLINK("https://cms.ls-nyc.org/matter/dynamic-profile/view/1857547","18-1857547")</f>
        <v>0</v>
      </c>
      <c r="B3209" t="s">
        <v>10</v>
      </c>
      <c r="D3209" t="s">
        <v>15</v>
      </c>
      <c r="E3209" t="s">
        <v>16</v>
      </c>
      <c r="H3209" t="s">
        <v>20</v>
      </c>
    </row>
    <row r="3210" spans="1:8">
      <c r="A3210" s="1">
        <f>HYPERLINK("https://cms.ls-nyc.org/matter/dynamic-profile/view/1836404","17-1836404")</f>
        <v>0</v>
      </c>
      <c r="B3210" t="s">
        <v>12</v>
      </c>
      <c r="D3210" t="s">
        <v>15</v>
      </c>
      <c r="E3210" t="s">
        <v>16</v>
      </c>
      <c r="H3210" t="s">
        <v>20</v>
      </c>
    </row>
    <row r="3211" spans="1:8">
      <c r="A3211" s="1">
        <f>HYPERLINK("https://cms.ls-nyc.org/matter/dynamic-profile/view/1867127","18-1867127")</f>
        <v>0</v>
      </c>
      <c r="B3211" t="s">
        <v>12</v>
      </c>
      <c r="D3211" t="s">
        <v>15</v>
      </c>
      <c r="E3211" t="s">
        <v>16</v>
      </c>
      <c r="H3211" t="s">
        <v>20</v>
      </c>
    </row>
    <row r="3212" spans="1:8">
      <c r="A3212" s="1">
        <f>HYPERLINK("https://cms.ls-nyc.org/matter/dynamic-profile/view/1896443","19-1896443")</f>
        <v>0</v>
      </c>
      <c r="B3212" t="s">
        <v>12</v>
      </c>
      <c r="C3212" t="s">
        <v>13</v>
      </c>
      <c r="D3212" t="s">
        <v>14</v>
      </c>
      <c r="E3212" t="s">
        <v>16</v>
      </c>
      <c r="G3212" t="s">
        <v>18</v>
      </c>
      <c r="H3212" t="s">
        <v>20</v>
      </c>
    </row>
    <row r="3213" spans="1:8">
      <c r="A3213" s="1">
        <f>HYPERLINK("https://cms.ls-nyc.org/matter/dynamic-profile/view/0821525","16-0821525")</f>
        <v>0</v>
      </c>
      <c r="B3213" t="s">
        <v>10</v>
      </c>
      <c r="D3213" t="s">
        <v>15</v>
      </c>
      <c r="E3213" t="s">
        <v>16</v>
      </c>
      <c r="H3213" t="s">
        <v>20</v>
      </c>
    </row>
    <row r="3214" spans="1:8">
      <c r="A3214" s="1">
        <f>HYPERLINK("https://cms.ls-nyc.org/matter/dynamic-profile/view/1886148","18-1886148")</f>
        <v>0</v>
      </c>
      <c r="B3214" t="s">
        <v>10</v>
      </c>
      <c r="H3214" t="s">
        <v>19</v>
      </c>
    </row>
    <row r="3215" spans="1:8">
      <c r="A3215" s="1">
        <f>HYPERLINK("https://cms.ls-nyc.org/matter/dynamic-profile/view/1877384","18-1877384")</f>
        <v>0</v>
      </c>
      <c r="B3215" t="s">
        <v>9</v>
      </c>
      <c r="H3215" t="s">
        <v>19</v>
      </c>
    </row>
    <row r="3216" spans="1:8">
      <c r="A3216" s="1">
        <f>HYPERLINK("https://cms.ls-nyc.org/matter/dynamic-profile/view/1886979","19-1886979")</f>
        <v>0</v>
      </c>
      <c r="B3216" t="s">
        <v>10</v>
      </c>
      <c r="D3216" t="s">
        <v>14</v>
      </c>
      <c r="F3216" t="s">
        <v>17</v>
      </c>
      <c r="H3216" t="s">
        <v>20</v>
      </c>
    </row>
    <row r="3217" spans="1:8">
      <c r="A3217" s="1">
        <f>HYPERLINK("https://cms.ls-nyc.org/matter/dynamic-profile/view/1882962","18-1882962")</f>
        <v>0</v>
      </c>
      <c r="B3217" t="s">
        <v>10</v>
      </c>
      <c r="H3217" t="s">
        <v>19</v>
      </c>
    </row>
    <row r="3218" spans="1:8">
      <c r="A3218" s="1">
        <f>HYPERLINK("https://cms.ls-nyc.org/matter/dynamic-profile/view/1882956","18-1882956")</f>
        <v>0</v>
      </c>
      <c r="B3218" t="s">
        <v>10</v>
      </c>
      <c r="H3218" t="s">
        <v>19</v>
      </c>
    </row>
    <row r="3219" spans="1:8">
      <c r="A3219" s="1">
        <f>HYPERLINK("https://cms.ls-nyc.org/matter/dynamic-profile/view/1878647","18-1878647")</f>
        <v>0</v>
      </c>
      <c r="B3219" t="s">
        <v>9</v>
      </c>
      <c r="H3219" t="s">
        <v>19</v>
      </c>
    </row>
    <row r="3220" spans="1:8">
      <c r="A3220" s="1">
        <f>HYPERLINK("https://cms.ls-nyc.org/matter/dynamic-profile/view/1878651","18-1878651")</f>
        <v>0</v>
      </c>
      <c r="B3220" t="s">
        <v>9</v>
      </c>
      <c r="H3220" t="s">
        <v>19</v>
      </c>
    </row>
    <row r="3221" spans="1:8">
      <c r="A3221" s="1">
        <f>HYPERLINK("https://cms.ls-nyc.org/matter/dynamic-profile/view/0795228","15-0795228")</f>
        <v>0</v>
      </c>
      <c r="B3221" t="s">
        <v>8</v>
      </c>
      <c r="D3221" t="s">
        <v>15</v>
      </c>
      <c r="E3221" t="s">
        <v>16</v>
      </c>
      <c r="H3221" t="s">
        <v>20</v>
      </c>
    </row>
    <row r="3222" spans="1:8">
      <c r="A3222" s="1">
        <f>HYPERLINK("https://cms.ls-nyc.org/matter/dynamic-profile/view/1892458","19-1892458")</f>
        <v>0</v>
      </c>
      <c r="B3222" t="s">
        <v>10</v>
      </c>
      <c r="F3222" t="s">
        <v>17</v>
      </c>
      <c r="H3222" t="s">
        <v>20</v>
      </c>
    </row>
    <row r="3223" spans="1:8">
      <c r="A3223" s="1">
        <f>HYPERLINK("https://cms.ls-nyc.org/matter/dynamic-profile/view/1879356","18-1879356")</f>
        <v>0</v>
      </c>
      <c r="B3223" t="s">
        <v>12</v>
      </c>
      <c r="C3223" t="s">
        <v>13</v>
      </c>
      <c r="D3223" t="s">
        <v>14</v>
      </c>
      <c r="E3223" t="s">
        <v>16</v>
      </c>
      <c r="H3223" t="s">
        <v>20</v>
      </c>
    </row>
    <row r="3224" spans="1:8">
      <c r="A3224" s="1">
        <f>HYPERLINK("https://cms.ls-nyc.org/matter/dynamic-profile/view/1838865","17-1838865")</f>
        <v>0</v>
      </c>
      <c r="B3224" t="s">
        <v>10</v>
      </c>
      <c r="D3224" t="s">
        <v>15</v>
      </c>
      <c r="E3224" t="s">
        <v>16</v>
      </c>
      <c r="H3224" t="s">
        <v>20</v>
      </c>
    </row>
    <row r="3225" spans="1:8">
      <c r="A3225" s="1">
        <f>HYPERLINK("https://cms.ls-nyc.org/matter/dynamic-profile/view/0818505","16-0818505")</f>
        <v>0</v>
      </c>
      <c r="B3225" t="s">
        <v>12</v>
      </c>
      <c r="C3225" t="s">
        <v>13</v>
      </c>
      <c r="D3225" t="s">
        <v>15</v>
      </c>
      <c r="E3225" t="s">
        <v>16</v>
      </c>
      <c r="H3225" t="s">
        <v>20</v>
      </c>
    </row>
    <row r="3226" spans="1:8">
      <c r="A3226" s="1">
        <f>HYPERLINK("https://cms.ls-nyc.org/matter/dynamic-profile/view/1872562","18-1872562")</f>
        <v>0</v>
      </c>
      <c r="B3226" t="s">
        <v>12</v>
      </c>
      <c r="H3226" t="s">
        <v>19</v>
      </c>
    </row>
    <row r="3227" spans="1:8">
      <c r="A3227" s="1">
        <f>HYPERLINK("https://cms.ls-nyc.org/matter/dynamic-profile/view/1860121","18-1860121")</f>
        <v>0</v>
      </c>
      <c r="B3227" t="s">
        <v>9</v>
      </c>
      <c r="C3227" t="s">
        <v>13</v>
      </c>
      <c r="D3227" t="s">
        <v>14</v>
      </c>
      <c r="E3227" t="s">
        <v>16</v>
      </c>
      <c r="G3227" t="s">
        <v>18</v>
      </c>
      <c r="H3227" t="s">
        <v>20</v>
      </c>
    </row>
    <row r="3228" spans="1:8">
      <c r="A3228" s="1">
        <f>HYPERLINK("https://cms.ls-nyc.org/matter/dynamic-profile/view/1900604","19-1900604")</f>
        <v>0</v>
      </c>
      <c r="B3228" t="s">
        <v>10</v>
      </c>
      <c r="D3228" t="s">
        <v>14</v>
      </c>
      <c r="H3228" t="s">
        <v>20</v>
      </c>
    </row>
    <row r="3229" spans="1:8">
      <c r="A3229" s="1">
        <f>HYPERLINK("https://cms.ls-nyc.org/matter/dynamic-profile/view/1889928","19-1889928")</f>
        <v>0</v>
      </c>
      <c r="B3229" t="s">
        <v>10</v>
      </c>
      <c r="C3229" t="s">
        <v>13</v>
      </c>
      <c r="D3229" t="s">
        <v>14</v>
      </c>
      <c r="E3229" t="s">
        <v>16</v>
      </c>
      <c r="H3229" t="s">
        <v>20</v>
      </c>
    </row>
    <row r="3230" spans="1:8">
      <c r="A3230" s="1">
        <f>HYPERLINK("https://cms.ls-nyc.org/matter/dynamic-profile/view/1876949","18-1876949")</f>
        <v>0</v>
      </c>
      <c r="B3230" t="s">
        <v>9</v>
      </c>
      <c r="E3230" t="s">
        <v>16</v>
      </c>
      <c r="H3230" t="s">
        <v>20</v>
      </c>
    </row>
    <row r="3231" spans="1:8">
      <c r="A3231" s="1">
        <f>HYPERLINK("https://cms.ls-nyc.org/matter/dynamic-profile/view/1900090","19-1900090")</f>
        <v>0</v>
      </c>
      <c r="B3231" t="s">
        <v>9</v>
      </c>
      <c r="C3231" t="s">
        <v>13</v>
      </c>
      <c r="D3231" t="s">
        <v>14</v>
      </c>
      <c r="E3231" t="s">
        <v>16</v>
      </c>
      <c r="H3231" t="s">
        <v>20</v>
      </c>
    </row>
    <row r="3232" spans="1:8">
      <c r="A3232" s="1">
        <f>HYPERLINK("https://cms.ls-nyc.org/matter/dynamic-profile/view/1899221","19-1899221")</f>
        <v>0</v>
      </c>
      <c r="B3232" t="s">
        <v>10</v>
      </c>
      <c r="D3232" t="s">
        <v>14</v>
      </c>
      <c r="G3232" t="s">
        <v>18</v>
      </c>
      <c r="H3232" t="s">
        <v>20</v>
      </c>
    </row>
    <row r="3233" spans="1:8">
      <c r="A3233" s="1">
        <f>HYPERLINK("https://cms.ls-nyc.org/matter/dynamic-profile/view/1894446","19-1894446")</f>
        <v>0</v>
      </c>
      <c r="B3233" t="s">
        <v>9</v>
      </c>
      <c r="H3233" t="s">
        <v>19</v>
      </c>
    </row>
    <row r="3234" spans="1:8">
      <c r="A3234" s="1">
        <f>HYPERLINK("https://cms.ls-nyc.org/matter/dynamic-profile/view/1895234","19-1895234")</f>
        <v>0</v>
      </c>
      <c r="B3234" t="s">
        <v>8</v>
      </c>
      <c r="C3234" t="s">
        <v>13</v>
      </c>
      <c r="D3234" t="s">
        <v>14</v>
      </c>
      <c r="E3234" t="s">
        <v>16</v>
      </c>
      <c r="H3234" t="s">
        <v>20</v>
      </c>
    </row>
    <row r="3235" spans="1:8">
      <c r="A3235" s="1">
        <f>HYPERLINK("https://cms.ls-nyc.org/matter/dynamic-profile/view/1891325","19-1891325")</f>
        <v>0</v>
      </c>
      <c r="B3235" t="s">
        <v>10</v>
      </c>
      <c r="F3235" t="s">
        <v>17</v>
      </c>
      <c r="H3235" t="s">
        <v>20</v>
      </c>
    </row>
    <row r="3236" spans="1:8">
      <c r="A3236" s="1">
        <f>HYPERLINK("https://cms.ls-nyc.org/matter/dynamic-profile/view/1891294","19-1891294")</f>
        <v>0</v>
      </c>
      <c r="B3236" t="s">
        <v>10</v>
      </c>
      <c r="F3236" t="s">
        <v>17</v>
      </c>
      <c r="H3236" t="s">
        <v>20</v>
      </c>
    </row>
    <row r="3237" spans="1:8">
      <c r="A3237" s="1">
        <f>HYPERLINK("https://cms.ls-nyc.org/matter/dynamic-profile/view/1894534","19-1894534")</f>
        <v>0</v>
      </c>
      <c r="B3237" t="s">
        <v>10</v>
      </c>
      <c r="F3237" t="s">
        <v>17</v>
      </c>
      <c r="H3237" t="s">
        <v>20</v>
      </c>
    </row>
    <row r="3238" spans="1:8">
      <c r="A3238" s="1">
        <f>HYPERLINK("https://cms.ls-nyc.org/matter/dynamic-profile/view/1893253","19-1893253")</f>
        <v>0</v>
      </c>
      <c r="B3238" t="s">
        <v>11</v>
      </c>
      <c r="H3238" t="s">
        <v>19</v>
      </c>
    </row>
    <row r="3239" spans="1:8">
      <c r="A3239" s="1">
        <f>HYPERLINK("https://cms.ls-nyc.org/matter/dynamic-profile/view/1892541","19-1892541")</f>
        <v>0</v>
      </c>
      <c r="B3239" t="s">
        <v>12</v>
      </c>
      <c r="H3239" t="s">
        <v>19</v>
      </c>
    </row>
    <row r="3240" spans="1:8">
      <c r="A3240" s="1">
        <f>HYPERLINK("https://cms.ls-nyc.org/matter/dynamic-profile/view/1894028","19-1894028")</f>
        <v>0</v>
      </c>
      <c r="B3240" t="s">
        <v>10</v>
      </c>
      <c r="F3240" t="s">
        <v>17</v>
      </c>
      <c r="H3240" t="s">
        <v>20</v>
      </c>
    </row>
    <row r="3241" spans="1:8">
      <c r="A3241" s="1">
        <f>HYPERLINK("https://cms.ls-nyc.org/matter/dynamic-profile/view/1862582","18-1862582")</f>
        <v>0</v>
      </c>
      <c r="B3241" t="s">
        <v>10</v>
      </c>
      <c r="D3241" t="s">
        <v>15</v>
      </c>
      <c r="E3241" t="s">
        <v>16</v>
      </c>
      <c r="H3241" t="s">
        <v>20</v>
      </c>
    </row>
    <row r="3242" spans="1:8">
      <c r="A3242" s="1">
        <f>HYPERLINK("https://cms.ls-nyc.org/matter/dynamic-profile/view/1868767","18-1868767")</f>
        <v>0</v>
      </c>
      <c r="B3242" t="s">
        <v>10</v>
      </c>
      <c r="D3242" t="s">
        <v>15</v>
      </c>
      <c r="E3242" t="s">
        <v>16</v>
      </c>
      <c r="H3242" t="s">
        <v>20</v>
      </c>
    </row>
    <row r="3243" spans="1:8">
      <c r="A3243" s="1">
        <f>HYPERLINK("https://cms.ls-nyc.org/matter/dynamic-profile/view/1901604","19-1901604")</f>
        <v>0</v>
      </c>
      <c r="B3243" t="s">
        <v>10</v>
      </c>
      <c r="D3243" t="s">
        <v>14</v>
      </c>
      <c r="H3243" t="s">
        <v>20</v>
      </c>
    </row>
    <row r="3244" spans="1:8">
      <c r="A3244" s="1">
        <f>HYPERLINK("https://cms.ls-nyc.org/matter/dynamic-profile/view/1885956","18-1885956")</f>
        <v>0</v>
      </c>
      <c r="B3244" t="s">
        <v>10</v>
      </c>
      <c r="H3244" t="s">
        <v>19</v>
      </c>
    </row>
    <row r="3245" spans="1:8">
      <c r="A3245" s="1">
        <f>HYPERLINK("https://cms.ls-nyc.org/matter/dynamic-profile/view/1885982","18-1885982")</f>
        <v>0</v>
      </c>
      <c r="B3245" t="s">
        <v>8</v>
      </c>
      <c r="H3245" t="s">
        <v>19</v>
      </c>
    </row>
    <row r="3246" spans="1:8">
      <c r="A3246" s="1">
        <f>HYPERLINK("https://cms.ls-nyc.org/matter/dynamic-profile/view/1880078","18-1880078")</f>
        <v>0</v>
      </c>
      <c r="B3246" t="s">
        <v>9</v>
      </c>
      <c r="D3246" t="s">
        <v>14</v>
      </c>
      <c r="G3246" t="s">
        <v>18</v>
      </c>
      <c r="H3246" t="s">
        <v>20</v>
      </c>
    </row>
    <row r="3247" spans="1:8">
      <c r="A3247" s="1">
        <f>HYPERLINK("https://cms.ls-nyc.org/matter/dynamic-profile/view/1862035","18-1862035")</f>
        <v>0</v>
      </c>
      <c r="B3247" t="s">
        <v>12</v>
      </c>
      <c r="D3247" t="s">
        <v>15</v>
      </c>
      <c r="E3247" t="s">
        <v>16</v>
      </c>
      <c r="H3247" t="s">
        <v>20</v>
      </c>
    </row>
    <row r="3248" spans="1:8">
      <c r="A3248" s="1">
        <f>HYPERLINK("https://cms.ls-nyc.org/matter/dynamic-profile/view/1851072","17-1851072")</f>
        <v>0</v>
      </c>
      <c r="B3248" t="s">
        <v>9</v>
      </c>
      <c r="D3248" t="s">
        <v>15</v>
      </c>
      <c r="H3248" t="s">
        <v>20</v>
      </c>
    </row>
    <row r="3249" spans="1:8">
      <c r="A3249" s="1">
        <f>HYPERLINK("https://cms.ls-nyc.org/matter/dynamic-profile/view/0796758","16-0796758")</f>
        <v>0</v>
      </c>
      <c r="B3249" t="s">
        <v>10</v>
      </c>
      <c r="D3249" t="s">
        <v>15</v>
      </c>
      <c r="E3249" t="s">
        <v>16</v>
      </c>
      <c r="H3249" t="s">
        <v>20</v>
      </c>
    </row>
    <row r="3250" spans="1:8">
      <c r="A3250" s="1">
        <f>HYPERLINK("https://cms.ls-nyc.org/matter/dynamic-profile/view/0804124","16-0804124")</f>
        <v>0</v>
      </c>
      <c r="B3250" t="s">
        <v>9</v>
      </c>
      <c r="D3250" t="s">
        <v>15</v>
      </c>
      <c r="E3250" t="s">
        <v>16</v>
      </c>
      <c r="H3250" t="s">
        <v>20</v>
      </c>
    </row>
    <row r="3251" spans="1:8">
      <c r="A3251" s="1">
        <f>HYPERLINK("https://cms.ls-nyc.org/matter/dynamic-profile/view/0823836","17-0823836")</f>
        <v>0</v>
      </c>
      <c r="B3251" t="s">
        <v>9</v>
      </c>
      <c r="D3251" t="s">
        <v>15</v>
      </c>
      <c r="E3251" t="s">
        <v>16</v>
      </c>
      <c r="H3251" t="s">
        <v>20</v>
      </c>
    </row>
    <row r="3252" spans="1:8">
      <c r="A3252" s="1">
        <f>HYPERLINK("https://cms.ls-nyc.org/matter/dynamic-profile/view/0821363","16-0821363")</f>
        <v>0</v>
      </c>
      <c r="B3252" t="s">
        <v>10</v>
      </c>
      <c r="D3252" t="s">
        <v>15</v>
      </c>
      <c r="E3252" t="s">
        <v>16</v>
      </c>
      <c r="H3252" t="s">
        <v>20</v>
      </c>
    </row>
    <row r="3253" spans="1:8">
      <c r="A3253" s="1">
        <f>HYPERLINK("https://cms.ls-nyc.org/matter/dynamic-profile/view/1879052","18-1879052")</f>
        <v>0</v>
      </c>
      <c r="B3253" t="s">
        <v>9</v>
      </c>
      <c r="H3253" t="s">
        <v>19</v>
      </c>
    </row>
    <row r="3254" spans="1:8">
      <c r="A3254" s="1">
        <f>HYPERLINK("https://cms.ls-nyc.org/matter/dynamic-profile/view/1879051","18-1879051")</f>
        <v>0</v>
      </c>
      <c r="B3254" t="s">
        <v>9</v>
      </c>
      <c r="H3254" t="s">
        <v>19</v>
      </c>
    </row>
    <row r="3255" spans="1:8">
      <c r="A3255" s="1">
        <f>HYPERLINK("https://cms.ls-nyc.org/matter/dynamic-profile/view/0831758","17-0831758")</f>
        <v>0</v>
      </c>
      <c r="B3255" t="s">
        <v>9</v>
      </c>
      <c r="D3255" t="s">
        <v>15</v>
      </c>
      <c r="E3255" t="s">
        <v>16</v>
      </c>
      <c r="H3255" t="s">
        <v>20</v>
      </c>
    </row>
    <row r="3256" spans="1:8">
      <c r="A3256" s="1">
        <f>HYPERLINK("https://cms.ls-nyc.org/matter/dynamic-profile/view/1836723","17-1836723")</f>
        <v>0</v>
      </c>
      <c r="B3256" t="s">
        <v>9</v>
      </c>
      <c r="D3256" t="s">
        <v>14</v>
      </c>
      <c r="H3256" t="s">
        <v>20</v>
      </c>
    </row>
    <row r="3257" spans="1:8">
      <c r="A3257" s="1">
        <f>HYPERLINK("https://cms.ls-nyc.org/matter/dynamic-profile/view/1867797","18-1867797")</f>
        <v>0</v>
      </c>
      <c r="B3257" t="s">
        <v>9</v>
      </c>
      <c r="C3257" t="s">
        <v>13</v>
      </c>
      <c r="D3257" t="s">
        <v>14</v>
      </c>
      <c r="E3257" t="s">
        <v>16</v>
      </c>
      <c r="G3257" t="s">
        <v>18</v>
      </c>
      <c r="H3257" t="s">
        <v>20</v>
      </c>
    </row>
    <row r="3258" spans="1:8">
      <c r="A3258" s="1">
        <f>HYPERLINK("https://cms.ls-nyc.org/matter/dynamic-profile/view/1893501","19-1893501")</f>
        <v>0</v>
      </c>
      <c r="B3258" t="s">
        <v>11</v>
      </c>
      <c r="C3258" t="s">
        <v>13</v>
      </c>
      <c r="D3258" t="s">
        <v>14</v>
      </c>
      <c r="E3258" t="s">
        <v>16</v>
      </c>
      <c r="G3258" t="s">
        <v>18</v>
      </c>
      <c r="H3258" t="s">
        <v>20</v>
      </c>
    </row>
    <row r="3259" spans="1:8">
      <c r="A3259" s="1">
        <f>HYPERLINK("https://cms.ls-nyc.org/matter/dynamic-profile/view/1883259","18-1883259")</f>
        <v>0</v>
      </c>
      <c r="B3259" t="s">
        <v>12</v>
      </c>
      <c r="H3259" t="s">
        <v>19</v>
      </c>
    </row>
    <row r="3260" spans="1:8">
      <c r="A3260" s="1">
        <f>HYPERLINK("https://cms.ls-nyc.org/matter/dynamic-profile/view/1893990","19-1893990")</f>
        <v>0</v>
      </c>
      <c r="B3260" t="s">
        <v>8</v>
      </c>
      <c r="H3260" t="s">
        <v>19</v>
      </c>
    </row>
    <row r="3261" spans="1:8">
      <c r="A3261" s="1">
        <f>HYPERLINK("https://cms.ls-nyc.org/matter/dynamic-profile/view/1888687","19-1888687")</f>
        <v>0</v>
      </c>
      <c r="B3261" t="s">
        <v>9</v>
      </c>
      <c r="H3261" t="s">
        <v>19</v>
      </c>
    </row>
    <row r="3262" spans="1:8">
      <c r="A3262" s="1">
        <f>HYPERLINK("https://cms.ls-nyc.org/matter/dynamic-profile/view/1898591","19-1898591")</f>
        <v>0</v>
      </c>
      <c r="B3262" t="s">
        <v>9</v>
      </c>
      <c r="H3262" t="s">
        <v>19</v>
      </c>
    </row>
    <row r="3263" spans="1:8">
      <c r="A3263" s="1">
        <f>HYPERLINK("https://cms.ls-nyc.org/matter/dynamic-profile/view/1889161","19-1889161")</f>
        <v>0</v>
      </c>
      <c r="B3263" t="s">
        <v>12</v>
      </c>
      <c r="H3263" t="s">
        <v>19</v>
      </c>
    </row>
    <row r="3264" spans="1:8">
      <c r="A3264" s="1">
        <f>HYPERLINK("https://cms.ls-nyc.org/matter/dynamic-profile/view/1893820","19-1893820")</f>
        <v>0</v>
      </c>
      <c r="B3264" t="s">
        <v>10</v>
      </c>
      <c r="H3264" t="s">
        <v>19</v>
      </c>
    </row>
    <row r="3265" spans="1:8">
      <c r="A3265" s="1">
        <f>HYPERLINK("https://cms.ls-nyc.org/matter/dynamic-profile/view/1882939","18-1882939")</f>
        <v>0</v>
      </c>
      <c r="B3265" t="s">
        <v>12</v>
      </c>
      <c r="H3265" t="s">
        <v>19</v>
      </c>
    </row>
    <row r="3266" spans="1:8">
      <c r="A3266" s="1">
        <f>HYPERLINK("https://cms.ls-nyc.org/matter/dynamic-profile/view/1900382","19-1900382")</f>
        <v>0</v>
      </c>
      <c r="B3266" t="s">
        <v>9</v>
      </c>
      <c r="H3266" t="s">
        <v>19</v>
      </c>
    </row>
    <row r="3267" spans="1:8">
      <c r="A3267" s="1">
        <f>HYPERLINK("https://cms.ls-nyc.org/matter/dynamic-profile/view/0831773","17-0831773")</f>
        <v>0</v>
      </c>
      <c r="B3267" t="s">
        <v>12</v>
      </c>
      <c r="D3267" t="s">
        <v>15</v>
      </c>
      <c r="E3267" t="s">
        <v>16</v>
      </c>
      <c r="H3267" t="s">
        <v>20</v>
      </c>
    </row>
    <row r="3268" spans="1:8">
      <c r="A3268" s="1">
        <f>HYPERLINK("https://cms.ls-nyc.org/matter/dynamic-profile/view/1900064","19-1900064")</f>
        <v>0</v>
      </c>
      <c r="B3268" t="s">
        <v>9</v>
      </c>
      <c r="C3268" t="s">
        <v>13</v>
      </c>
      <c r="D3268" t="s">
        <v>14</v>
      </c>
      <c r="E3268" t="s">
        <v>16</v>
      </c>
      <c r="F3268" t="s">
        <v>17</v>
      </c>
      <c r="G3268" t="s">
        <v>18</v>
      </c>
      <c r="H3268" t="s">
        <v>20</v>
      </c>
    </row>
    <row r="3269" spans="1:8">
      <c r="A3269" s="1">
        <f>HYPERLINK("https://cms.ls-nyc.org/matter/dynamic-profile/view/1865879","18-1865879")</f>
        <v>0</v>
      </c>
      <c r="B3269" t="s">
        <v>12</v>
      </c>
      <c r="D3269" t="s">
        <v>15</v>
      </c>
      <c r="E3269" t="s">
        <v>16</v>
      </c>
      <c r="H3269" t="s">
        <v>20</v>
      </c>
    </row>
    <row r="3270" spans="1:8">
      <c r="A3270" s="1">
        <f>HYPERLINK("https://cms.ls-nyc.org/matter/dynamic-profile/view/1889089","19-1889089")</f>
        <v>0</v>
      </c>
      <c r="B3270" t="s">
        <v>9</v>
      </c>
      <c r="H3270" t="s">
        <v>19</v>
      </c>
    </row>
    <row r="3271" spans="1:8">
      <c r="A3271" s="1">
        <f>HYPERLINK("https://cms.ls-nyc.org/matter/dynamic-profile/view/1841882","17-1841882")</f>
        <v>0</v>
      </c>
      <c r="B3271" t="s">
        <v>10</v>
      </c>
      <c r="D3271" t="s">
        <v>15</v>
      </c>
      <c r="E3271" t="s">
        <v>16</v>
      </c>
      <c r="H3271" t="s">
        <v>20</v>
      </c>
    </row>
    <row r="3272" spans="1:8">
      <c r="A3272" s="1">
        <f>HYPERLINK("https://cms.ls-nyc.org/matter/dynamic-profile/view/1870466","18-1870466")</f>
        <v>0</v>
      </c>
      <c r="B3272" t="s">
        <v>12</v>
      </c>
      <c r="D3272" t="s">
        <v>15</v>
      </c>
      <c r="E3272" t="s">
        <v>16</v>
      </c>
      <c r="F3272" t="s">
        <v>17</v>
      </c>
      <c r="H3272" t="s">
        <v>20</v>
      </c>
    </row>
    <row r="3273" spans="1:8">
      <c r="A3273" s="1">
        <f>HYPERLINK("https://cms.ls-nyc.org/matter/dynamic-profile/view/1880462","18-1880462")</f>
        <v>0</v>
      </c>
      <c r="B3273" t="s">
        <v>9</v>
      </c>
      <c r="H3273" t="s">
        <v>19</v>
      </c>
    </row>
    <row r="3274" spans="1:8">
      <c r="A3274" s="1">
        <f>HYPERLINK("https://cms.ls-nyc.org/matter/dynamic-profile/view/1845386","17-1845386")</f>
        <v>0</v>
      </c>
      <c r="B3274" t="s">
        <v>10</v>
      </c>
      <c r="D3274" t="s">
        <v>15</v>
      </c>
      <c r="E3274" t="s">
        <v>16</v>
      </c>
      <c r="H3274" t="s">
        <v>20</v>
      </c>
    </row>
    <row r="3275" spans="1:8">
      <c r="A3275" s="1">
        <f>HYPERLINK("https://cms.ls-nyc.org/matter/dynamic-profile/view/1836438","17-1836438")</f>
        <v>0</v>
      </c>
      <c r="B3275" t="s">
        <v>12</v>
      </c>
      <c r="D3275" t="s">
        <v>15</v>
      </c>
      <c r="H3275" t="s">
        <v>20</v>
      </c>
    </row>
    <row r="3276" spans="1:8">
      <c r="A3276" s="1">
        <f>HYPERLINK("https://cms.ls-nyc.org/matter/dynamic-profile/view/0822008","16-0822008")</f>
        <v>0</v>
      </c>
      <c r="B3276" t="s">
        <v>10</v>
      </c>
      <c r="D3276" t="s">
        <v>15</v>
      </c>
      <c r="E3276" t="s">
        <v>16</v>
      </c>
      <c r="H3276" t="s">
        <v>20</v>
      </c>
    </row>
    <row r="3277" spans="1:8">
      <c r="A3277" s="1">
        <f>HYPERLINK("https://cms.ls-nyc.org/matter/dynamic-profile/view/1885747","18-1885747")</f>
        <v>0</v>
      </c>
      <c r="B3277" t="s">
        <v>10</v>
      </c>
      <c r="H3277" t="s">
        <v>19</v>
      </c>
    </row>
    <row r="3278" spans="1:8">
      <c r="A3278" s="1">
        <f>HYPERLINK("https://cms.ls-nyc.org/matter/dynamic-profile/view/1865729","18-1865729")</f>
        <v>0</v>
      </c>
      <c r="B3278" t="s">
        <v>9</v>
      </c>
      <c r="D3278" t="s">
        <v>15</v>
      </c>
      <c r="H3278" t="s">
        <v>20</v>
      </c>
    </row>
    <row r="3279" spans="1:8">
      <c r="A3279" s="1">
        <f>HYPERLINK("https://cms.ls-nyc.org/matter/dynamic-profile/view/1833015","17-1833015")</f>
        <v>0</v>
      </c>
      <c r="B3279" t="s">
        <v>10</v>
      </c>
      <c r="D3279" t="s">
        <v>15</v>
      </c>
      <c r="E3279" t="s">
        <v>16</v>
      </c>
      <c r="F3279" t="s">
        <v>17</v>
      </c>
      <c r="H3279" t="s">
        <v>20</v>
      </c>
    </row>
    <row r="3280" spans="1:8">
      <c r="A3280" s="1">
        <f>HYPERLINK("https://cms.ls-nyc.org/matter/dynamic-profile/view/1897899","19-1897899")</f>
        <v>0</v>
      </c>
      <c r="B3280" t="s">
        <v>9</v>
      </c>
      <c r="H3280" t="s">
        <v>19</v>
      </c>
    </row>
    <row r="3281" spans="1:8">
      <c r="A3281" s="1">
        <f>HYPERLINK("https://cms.ls-nyc.org/matter/dynamic-profile/view/1862267","18-1862267")</f>
        <v>0</v>
      </c>
      <c r="B3281" t="s">
        <v>9</v>
      </c>
      <c r="C3281" t="s">
        <v>13</v>
      </c>
      <c r="D3281" t="s">
        <v>15</v>
      </c>
      <c r="E3281" t="s">
        <v>16</v>
      </c>
      <c r="H3281" t="s">
        <v>20</v>
      </c>
    </row>
    <row r="3282" spans="1:8">
      <c r="A3282" s="1">
        <f>HYPERLINK("https://cms.ls-nyc.org/matter/dynamic-profile/view/1875242","18-1875242")</f>
        <v>0</v>
      </c>
      <c r="B3282" t="s">
        <v>9</v>
      </c>
      <c r="C3282" t="s">
        <v>13</v>
      </c>
      <c r="D3282" t="s">
        <v>14</v>
      </c>
      <c r="E3282" t="s">
        <v>16</v>
      </c>
      <c r="G3282" t="s">
        <v>18</v>
      </c>
      <c r="H3282" t="s">
        <v>20</v>
      </c>
    </row>
    <row r="3283" spans="1:8">
      <c r="A3283" s="1">
        <f>HYPERLINK("https://cms.ls-nyc.org/matter/dynamic-profile/view/1870938","18-1870938")</f>
        <v>0</v>
      </c>
      <c r="B3283" t="s">
        <v>9</v>
      </c>
      <c r="H3283" t="s">
        <v>19</v>
      </c>
    </row>
    <row r="3284" spans="1:8">
      <c r="A3284" s="1">
        <f>HYPERLINK("https://cms.ls-nyc.org/matter/dynamic-profile/view/1871808","18-1871808")</f>
        <v>0</v>
      </c>
      <c r="B3284" t="s">
        <v>9</v>
      </c>
      <c r="F3284" t="s">
        <v>17</v>
      </c>
      <c r="H3284" t="s">
        <v>20</v>
      </c>
    </row>
    <row r="3285" spans="1:8">
      <c r="A3285" s="1">
        <f>HYPERLINK("https://cms.ls-nyc.org/matter/dynamic-profile/view/1882682","18-1882682")</f>
        <v>0</v>
      </c>
      <c r="B3285" t="s">
        <v>10</v>
      </c>
      <c r="H3285" t="s">
        <v>19</v>
      </c>
    </row>
    <row r="3286" spans="1:8">
      <c r="A3286" s="1">
        <f>HYPERLINK("https://cms.ls-nyc.org/matter/dynamic-profile/view/1882659","18-1882659")</f>
        <v>0</v>
      </c>
      <c r="B3286" t="s">
        <v>10</v>
      </c>
      <c r="H3286" t="s">
        <v>19</v>
      </c>
    </row>
    <row r="3287" spans="1:8">
      <c r="A3287" s="1">
        <f>HYPERLINK("https://cms.ls-nyc.org/matter/dynamic-profile/view/1864865","18-1864865")</f>
        <v>0</v>
      </c>
      <c r="B3287" t="s">
        <v>10</v>
      </c>
      <c r="D3287" t="s">
        <v>15</v>
      </c>
      <c r="E3287" t="s">
        <v>16</v>
      </c>
      <c r="H3287" t="s">
        <v>20</v>
      </c>
    </row>
    <row r="3288" spans="1:8">
      <c r="A3288" s="1">
        <f>HYPERLINK("https://cms.ls-nyc.org/matter/dynamic-profile/view/1865111","18-1865111")</f>
        <v>0</v>
      </c>
      <c r="B3288" t="s">
        <v>10</v>
      </c>
      <c r="D3288" t="s">
        <v>15</v>
      </c>
      <c r="E3288" t="s">
        <v>16</v>
      </c>
      <c r="H3288" t="s">
        <v>20</v>
      </c>
    </row>
    <row r="3289" spans="1:8">
      <c r="A3289" s="1">
        <f>HYPERLINK("https://cms.ls-nyc.org/matter/dynamic-profile/view/1882299","18-1882299")</f>
        <v>0</v>
      </c>
      <c r="B3289" t="s">
        <v>10</v>
      </c>
      <c r="H3289" t="s">
        <v>19</v>
      </c>
    </row>
    <row r="3290" spans="1:8">
      <c r="A3290" s="1">
        <f>HYPERLINK("https://cms.ls-nyc.org/matter/dynamic-profile/view/1887937","19-1887937")</f>
        <v>0</v>
      </c>
      <c r="B3290" t="s">
        <v>12</v>
      </c>
      <c r="H3290" t="s">
        <v>19</v>
      </c>
    </row>
    <row r="3291" spans="1:8">
      <c r="A3291" s="1">
        <f>HYPERLINK("https://cms.ls-nyc.org/matter/dynamic-profile/view/1878781","18-1878781")</f>
        <v>0</v>
      </c>
      <c r="B3291" t="s">
        <v>12</v>
      </c>
      <c r="H3291" t="s">
        <v>19</v>
      </c>
    </row>
    <row r="3292" spans="1:8">
      <c r="A3292" s="1">
        <f>HYPERLINK("https://cms.ls-nyc.org/matter/dynamic-profile/view/0823675","17-0823675")</f>
        <v>0</v>
      </c>
      <c r="B3292" t="s">
        <v>9</v>
      </c>
      <c r="C3292" t="s">
        <v>13</v>
      </c>
      <c r="D3292" t="s">
        <v>15</v>
      </c>
      <c r="E3292" t="s">
        <v>16</v>
      </c>
      <c r="H3292" t="s">
        <v>20</v>
      </c>
    </row>
    <row r="3293" spans="1:8">
      <c r="A3293" s="1">
        <f>HYPERLINK("https://cms.ls-nyc.org/matter/dynamic-profile/view/1882936","18-1882936")</f>
        <v>0</v>
      </c>
      <c r="B3293" t="s">
        <v>9</v>
      </c>
      <c r="H3293" t="s">
        <v>19</v>
      </c>
    </row>
    <row r="3294" spans="1:8">
      <c r="A3294" s="1">
        <f>HYPERLINK("https://cms.ls-nyc.org/matter/dynamic-profile/view/1872368","18-1872368")</f>
        <v>0</v>
      </c>
      <c r="B3294" t="s">
        <v>9</v>
      </c>
      <c r="C3294" t="s">
        <v>13</v>
      </c>
      <c r="D3294" t="s">
        <v>14</v>
      </c>
      <c r="E3294" t="s">
        <v>16</v>
      </c>
      <c r="H3294" t="s">
        <v>20</v>
      </c>
    </row>
    <row r="3295" spans="1:8">
      <c r="A3295" s="1">
        <f>HYPERLINK("https://cms.ls-nyc.org/matter/dynamic-profile/view/1845320","17-1845320")</f>
        <v>0</v>
      </c>
      <c r="B3295" t="s">
        <v>9</v>
      </c>
      <c r="D3295" t="s">
        <v>15</v>
      </c>
      <c r="E3295" t="s">
        <v>16</v>
      </c>
      <c r="F3295" t="s">
        <v>17</v>
      </c>
      <c r="H3295" t="s">
        <v>20</v>
      </c>
    </row>
    <row r="3296" spans="1:8">
      <c r="A3296" s="1">
        <f>HYPERLINK("https://cms.ls-nyc.org/matter/dynamic-profile/view/1900440","19-1900440")</f>
        <v>0</v>
      </c>
      <c r="B3296" t="s">
        <v>9</v>
      </c>
      <c r="E3296" t="s">
        <v>16</v>
      </c>
      <c r="G3296" t="s">
        <v>18</v>
      </c>
      <c r="H3296" t="s">
        <v>20</v>
      </c>
    </row>
    <row r="3297" spans="1:8">
      <c r="A3297" s="1">
        <f>HYPERLINK("https://cms.ls-nyc.org/matter/dynamic-profile/view/0832076","17-0832076")</f>
        <v>0</v>
      </c>
      <c r="B3297" t="s">
        <v>10</v>
      </c>
      <c r="D3297" t="s">
        <v>15</v>
      </c>
      <c r="E3297" t="s">
        <v>16</v>
      </c>
      <c r="F3297" t="s">
        <v>17</v>
      </c>
      <c r="H3297" t="s">
        <v>20</v>
      </c>
    </row>
    <row r="3298" spans="1:8">
      <c r="A3298" s="1">
        <f>HYPERLINK("https://cms.ls-nyc.org/matter/dynamic-profile/view/1899225","19-1899225")</f>
        <v>0</v>
      </c>
      <c r="B3298" t="s">
        <v>10</v>
      </c>
      <c r="D3298" t="s">
        <v>14</v>
      </c>
      <c r="E3298" t="s">
        <v>16</v>
      </c>
      <c r="H3298" t="s">
        <v>20</v>
      </c>
    </row>
    <row r="3299" spans="1:8">
      <c r="A3299" s="1">
        <f>HYPERLINK("https://cms.ls-nyc.org/matter/dynamic-profile/view/1896402","19-1896402")</f>
        <v>0</v>
      </c>
      <c r="B3299" t="s">
        <v>8</v>
      </c>
      <c r="D3299" t="s">
        <v>14</v>
      </c>
      <c r="H3299" t="s">
        <v>20</v>
      </c>
    </row>
    <row r="3300" spans="1:8">
      <c r="A3300" s="1">
        <f>HYPERLINK("https://cms.ls-nyc.org/matter/dynamic-profile/view/1896408","19-1896408")</f>
        <v>0</v>
      </c>
      <c r="B3300" t="s">
        <v>8</v>
      </c>
      <c r="H3300" t="s">
        <v>19</v>
      </c>
    </row>
    <row r="3301" spans="1:8">
      <c r="A3301" s="1">
        <f>HYPERLINK("https://cms.ls-nyc.org/matter/dynamic-profile/view/1883510","18-1883510")</f>
        <v>0</v>
      </c>
      <c r="B3301" t="s">
        <v>9</v>
      </c>
      <c r="C3301" t="s">
        <v>13</v>
      </c>
      <c r="H3301" t="s">
        <v>20</v>
      </c>
    </row>
    <row r="3302" spans="1:8">
      <c r="A3302" s="1">
        <f>HYPERLINK("https://cms.ls-nyc.org/matter/dynamic-profile/view/1867681","18-1867681")</f>
        <v>0</v>
      </c>
      <c r="B3302" t="s">
        <v>10</v>
      </c>
      <c r="D3302" t="s">
        <v>15</v>
      </c>
      <c r="E3302" t="s">
        <v>16</v>
      </c>
      <c r="F3302" t="s">
        <v>17</v>
      </c>
      <c r="H3302" t="s">
        <v>20</v>
      </c>
    </row>
    <row r="3303" spans="1:8">
      <c r="A3303" s="1">
        <f>HYPERLINK("https://cms.ls-nyc.org/matter/dynamic-profile/view/1876496","18-1876496")</f>
        <v>0</v>
      </c>
      <c r="B3303" t="s">
        <v>9</v>
      </c>
      <c r="C3303" t="s">
        <v>13</v>
      </c>
      <c r="D3303" t="s">
        <v>14</v>
      </c>
      <c r="E3303" t="s">
        <v>16</v>
      </c>
      <c r="G3303" t="s">
        <v>18</v>
      </c>
      <c r="H3303" t="s">
        <v>20</v>
      </c>
    </row>
    <row r="3304" spans="1:8">
      <c r="A3304" s="1">
        <f>HYPERLINK("https://cms.ls-nyc.org/matter/dynamic-profile/view/1876401","18-1876401")</f>
        <v>0</v>
      </c>
      <c r="B3304" t="s">
        <v>9</v>
      </c>
      <c r="E3304" t="s">
        <v>16</v>
      </c>
      <c r="H3304" t="s">
        <v>20</v>
      </c>
    </row>
    <row r="3305" spans="1:8">
      <c r="A3305" s="1">
        <f>HYPERLINK("https://cms.ls-nyc.org/matter/dynamic-profile/view/1842921","17-1842921")</f>
        <v>0</v>
      </c>
      <c r="B3305" t="s">
        <v>11</v>
      </c>
      <c r="D3305" t="s">
        <v>15</v>
      </c>
      <c r="E3305" t="s">
        <v>16</v>
      </c>
      <c r="H3305" t="s">
        <v>20</v>
      </c>
    </row>
    <row r="3306" spans="1:8">
      <c r="A3306" s="1">
        <f>HYPERLINK("https://cms.ls-nyc.org/matter/dynamic-profile/view/1869020","18-1869020")</f>
        <v>0</v>
      </c>
      <c r="B3306" t="s">
        <v>12</v>
      </c>
      <c r="D3306" t="s">
        <v>15</v>
      </c>
      <c r="E3306" t="s">
        <v>16</v>
      </c>
      <c r="H3306" t="s">
        <v>20</v>
      </c>
    </row>
    <row r="3307" spans="1:8">
      <c r="A3307" s="1">
        <f>HYPERLINK("https://cms.ls-nyc.org/matter/dynamic-profile/view/1869025","18-1869025")</f>
        <v>0</v>
      </c>
      <c r="B3307" t="s">
        <v>12</v>
      </c>
      <c r="D3307" t="s">
        <v>15</v>
      </c>
      <c r="E3307" t="s">
        <v>16</v>
      </c>
      <c r="H3307" t="s">
        <v>20</v>
      </c>
    </row>
    <row r="3308" spans="1:8">
      <c r="A3308" s="1">
        <f>HYPERLINK("https://cms.ls-nyc.org/matter/dynamic-profile/view/1879536","18-1879536")</f>
        <v>0</v>
      </c>
      <c r="B3308" t="s">
        <v>8</v>
      </c>
      <c r="H3308" t="s">
        <v>19</v>
      </c>
    </row>
    <row r="3309" spans="1:8">
      <c r="A3309" s="1">
        <f>HYPERLINK("https://cms.ls-nyc.org/matter/dynamic-profile/view/1890585","19-1890585")</f>
        <v>0</v>
      </c>
      <c r="B3309" t="s">
        <v>9</v>
      </c>
      <c r="E3309" t="s">
        <v>16</v>
      </c>
      <c r="F3309" t="s">
        <v>17</v>
      </c>
      <c r="H3309" t="s">
        <v>20</v>
      </c>
    </row>
    <row r="3310" spans="1:8">
      <c r="A3310" s="1">
        <f>HYPERLINK("https://cms.ls-nyc.org/matter/dynamic-profile/view/1891605","19-1891605")</f>
        <v>0</v>
      </c>
      <c r="B3310" t="s">
        <v>9</v>
      </c>
      <c r="E3310" t="s">
        <v>16</v>
      </c>
      <c r="F3310" t="s">
        <v>17</v>
      </c>
      <c r="H3310" t="s">
        <v>20</v>
      </c>
    </row>
    <row r="3311" spans="1:8">
      <c r="A3311" s="1">
        <f>HYPERLINK("https://cms.ls-nyc.org/matter/dynamic-profile/view/1884099","18-1884099")</f>
        <v>0</v>
      </c>
      <c r="B3311" t="s">
        <v>9</v>
      </c>
      <c r="H3311" t="s">
        <v>19</v>
      </c>
    </row>
    <row r="3312" spans="1:8">
      <c r="A3312" s="1">
        <f>HYPERLINK("https://cms.ls-nyc.org/matter/dynamic-profile/view/1840931","17-1840931")</f>
        <v>0</v>
      </c>
      <c r="B3312" t="s">
        <v>9</v>
      </c>
      <c r="D3312" t="s">
        <v>15</v>
      </c>
      <c r="E3312" t="s">
        <v>16</v>
      </c>
      <c r="H3312" t="s">
        <v>20</v>
      </c>
    </row>
    <row r="3313" spans="1:8">
      <c r="A3313" s="1">
        <f>HYPERLINK("https://cms.ls-nyc.org/matter/dynamic-profile/view/1847473","17-1847473")</f>
        <v>0</v>
      </c>
      <c r="B3313" t="s">
        <v>10</v>
      </c>
      <c r="D3313" t="s">
        <v>15</v>
      </c>
      <c r="E3313" t="s">
        <v>16</v>
      </c>
      <c r="H3313" t="s">
        <v>20</v>
      </c>
    </row>
    <row r="3314" spans="1:8">
      <c r="A3314" s="1">
        <f>HYPERLINK("https://cms.ls-nyc.org/matter/dynamic-profile/view/1898383","19-1898383")</f>
        <v>0</v>
      </c>
      <c r="B3314" t="s">
        <v>9</v>
      </c>
      <c r="E3314" t="s">
        <v>16</v>
      </c>
      <c r="F3314" t="s">
        <v>17</v>
      </c>
      <c r="H3314" t="s">
        <v>20</v>
      </c>
    </row>
    <row r="3315" spans="1:8">
      <c r="A3315" s="1">
        <f>HYPERLINK("https://cms.ls-nyc.org/matter/dynamic-profile/view/1898386","19-1898386")</f>
        <v>0</v>
      </c>
      <c r="B3315" t="s">
        <v>9</v>
      </c>
      <c r="E3315" t="s">
        <v>16</v>
      </c>
      <c r="F3315" t="s">
        <v>17</v>
      </c>
      <c r="H3315" t="s">
        <v>20</v>
      </c>
    </row>
    <row r="3316" spans="1:8">
      <c r="A3316" s="1">
        <f>HYPERLINK("https://cms.ls-nyc.org/matter/dynamic-profile/view/1897413","19-1897413")</f>
        <v>0</v>
      </c>
      <c r="B3316" t="s">
        <v>10</v>
      </c>
      <c r="H3316" t="s">
        <v>19</v>
      </c>
    </row>
    <row r="3317" spans="1:8">
      <c r="A3317" s="1">
        <f>HYPERLINK("https://cms.ls-nyc.org/matter/dynamic-profile/view/1897816","19-1897816")</f>
        <v>0</v>
      </c>
      <c r="B3317" t="s">
        <v>12</v>
      </c>
      <c r="F3317" t="s">
        <v>17</v>
      </c>
      <c r="H3317" t="s">
        <v>20</v>
      </c>
    </row>
    <row r="3318" spans="1:8">
      <c r="A3318" s="1">
        <f>HYPERLINK("https://cms.ls-nyc.org/matter/dynamic-profile/view/1901004","19-1901004")</f>
        <v>0</v>
      </c>
      <c r="B3318" t="s">
        <v>12</v>
      </c>
      <c r="H3318" t="s">
        <v>19</v>
      </c>
    </row>
    <row r="3319" spans="1:8">
      <c r="A3319" s="1">
        <f>HYPERLINK("https://cms.ls-nyc.org/matter/dynamic-profile/view/1901211","19-1901211")</f>
        <v>0</v>
      </c>
      <c r="B3319" t="s">
        <v>12</v>
      </c>
      <c r="H3319" t="s">
        <v>19</v>
      </c>
    </row>
    <row r="3320" spans="1:8">
      <c r="A3320" s="1">
        <f>HYPERLINK("https://cms.ls-nyc.org/matter/dynamic-profile/view/1864066","18-1864066")</f>
        <v>0</v>
      </c>
      <c r="B3320" t="s">
        <v>12</v>
      </c>
      <c r="D3320" t="s">
        <v>15</v>
      </c>
      <c r="H3320" t="s">
        <v>20</v>
      </c>
    </row>
    <row r="3321" spans="1:8">
      <c r="A3321" s="1">
        <f>HYPERLINK("https://cms.ls-nyc.org/matter/dynamic-profile/view/1866236","18-1866236")</f>
        <v>0</v>
      </c>
      <c r="B3321" t="s">
        <v>8</v>
      </c>
      <c r="D3321" t="s">
        <v>15</v>
      </c>
      <c r="E3321" t="s">
        <v>16</v>
      </c>
      <c r="H3321" t="s">
        <v>20</v>
      </c>
    </row>
    <row r="3322" spans="1:8">
      <c r="A3322" s="1">
        <f>HYPERLINK("https://cms.ls-nyc.org/matter/dynamic-profile/view/1871618","18-1871618")</f>
        <v>0</v>
      </c>
      <c r="B3322" t="s">
        <v>9</v>
      </c>
      <c r="D3322" t="s">
        <v>15</v>
      </c>
      <c r="E3322" t="s">
        <v>16</v>
      </c>
      <c r="H3322" t="s">
        <v>20</v>
      </c>
    </row>
    <row r="3323" spans="1:8">
      <c r="A3323" s="1">
        <f>HYPERLINK("https://cms.ls-nyc.org/matter/dynamic-profile/view/1867073","18-1867073")</f>
        <v>0</v>
      </c>
      <c r="B3323" t="s">
        <v>9</v>
      </c>
      <c r="D3323" t="s">
        <v>15</v>
      </c>
      <c r="E3323" t="s">
        <v>16</v>
      </c>
      <c r="H3323" t="s">
        <v>20</v>
      </c>
    </row>
    <row r="3324" spans="1:8">
      <c r="A3324" s="1">
        <f>HYPERLINK("https://cms.ls-nyc.org/matter/dynamic-profile/view/1888518","19-1888518")</f>
        <v>0</v>
      </c>
      <c r="B3324" t="s">
        <v>10</v>
      </c>
      <c r="H3324" t="s">
        <v>19</v>
      </c>
    </row>
    <row r="3325" spans="1:8">
      <c r="A3325" s="1">
        <f>HYPERLINK("https://cms.ls-nyc.org/matter/dynamic-profile/view/1860300","18-1860300")</f>
        <v>0</v>
      </c>
      <c r="B3325" t="s">
        <v>9</v>
      </c>
      <c r="C3325" t="s">
        <v>13</v>
      </c>
      <c r="D3325" t="s">
        <v>15</v>
      </c>
      <c r="E3325" t="s">
        <v>16</v>
      </c>
      <c r="F3325" t="s">
        <v>17</v>
      </c>
      <c r="H3325" t="s">
        <v>20</v>
      </c>
    </row>
    <row r="3326" spans="1:8">
      <c r="A3326" s="1">
        <f>HYPERLINK("https://cms.ls-nyc.org/matter/dynamic-profile/view/0832574","17-0832574")</f>
        <v>0</v>
      </c>
      <c r="B3326" t="s">
        <v>12</v>
      </c>
      <c r="D3326" t="s">
        <v>15</v>
      </c>
      <c r="E3326" t="s">
        <v>16</v>
      </c>
      <c r="H3326" t="s">
        <v>20</v>
      </c>
    </row>
    <row r="3327" spans="1:8">
      <c r="A3327" s="1">
        <f>HYPERLINK("https://cms.ls-nyc.org/matter/dynamic-profile/view/1892166","19-1892166")</f>
        <v>0</v>
      </c>
      <c r="B3327" t="s">
        <v>10</v>
      </c>
      <c r="D3327" t="s">
        <v>14</v>
      </c>
      <c r="H3327" t="s">
        <v>20</v>
      </c>
    </row>
    <row r="3328" spans="1:8">
      <c r="A3328" s="1">
        <f>HYPERLINK("https://cms.ls-nyc.org/matter/dynamic-profile/view/1891986","19-1891986")</f>
        <v>0</v>
      </c>
      <c r="B3328" t="s">
        <v>10</v>
      </c>
      <c r="H3328" t="s">
        <v>19</v>
      </c>
    </row>
    <row r="3329" spans="1:8">
      <c r="A3329" s="1">
        <f>HYPERLINK("https://cms.ls-nyc.org/matter/dynamic-profile/view/1862088","18-1862088")</f>
        <v>0</v>
      </c>
      <c r="B3329" t="s">
        <v>12</v>
      </c>
      <c r="D3329" t="s">
        <v>14</v>
      </c>
      <c r="E3329" t="s">
        <v>16</v>
      </c>
      <c r="H3329" t="s">
        <v>20</v>
      </c>
    </row>
    <row r="3330" spans="1:8">
      <c r="A3330" s="1">
        <f>HYPERLINK("https://cms.ls-nyc.org/matter/dynamic-profile/view/1890948","19-1890948")</f>
        <v>0</v>
      </c>
      <c r="B3330" t="s">
        <v>10</v>
      </c>
      <c r="H3330" t="s">
        <v>19</v>
      </c>
    </row>
    <row r="3331" spans="1:8">
      <c r="A3331" s="1">
        <f>HYPERLINK("https://cms.ls-nyc.org/matter/dynamic-profile/view/1890943","19-1890943")</f>
        <v>0</v>
      </c>
      <c r="B3331" t="s">
        <v>10</v>
      </c>
      <c r="H3331" t="s">
        <v>19</v>
      </c>
    </row>
    <row r="3332" spans="1:8">
      <c r="A3332" s="1">
        <f>HYPERLINK("https://cms.ls-nyc.org/matter/dynamic-profile/view/1890939","19-1890939")</f>
        <v>0</v>
      </c>
      <c r="B3332" t="s">
        <v>10</v>
      </c>
      <c r="H3332" t="s">
        <v>19</v>
      </c>
    </row>
    <row r="3333" spans="1:8">
      <c r="A3333" s="1">
        <f>HYPERLINK("https://cms.ls-nyc.org/matter/dynamic-profile/view/1889730","19-1889730")</f>
        <v>0</v>
      </c>
      <c r="B3333" t="s">
        <v>10</v>
      </c>
      <c r="C3333" t="s">
        <v>13</v>
      </c>
      <c r="D3333" t="s">
        <v>14</v>
      </c>
      <c r="E3333" t="s">
        <v>16</v>
      </c>
      <c r="H3333" t="s">
        <v>20</v>
      </c>
    </row>
    <row r="3334" spans="1:8">
      <c r="A3334" s="1">
        <f>HYPERLINK("https://cms.ls-nyc.org/matter/dynamic-profile/view/1884147","18-1884147")</f>
        <v>0</v>
      </c>
      <c r="B3334" t="s">
        <v>9</v>
      </c>
      <c r="H3334" t="s">
        <v>19</v>
      </c>
    </row>
    <row r="3335" spans="1:8">
      <c r="A3335" s="1">
        <f>HYPERLINK("https://cms.ls-nyc.org/matter/dynamic-profile/view/0830161","17-0830161")</f>
        <v>0</v>
      </c>
      <c r="B3335" t="s">
        <v>9</v>
      </c>
      <c r="D3335" t="s">
        <v>15</v>
      </c>
      <c r="E3335" t="s">
        <v>16</v>
      </c>
      <c r="H3335" t="s">
        <v>20</v>
      </c>
    </row>
    <row r="3336" spans="1:8">
      <c r="A3336" s="1">
        <f>HYPERLINK("https://cms.ls-nyc.org/matter/dynamic-profile/view/1842703","17-1842703")</f>
        <v>0</v>
      </c>
      <c r="B3336" t="s">
        <v>10</v>
      </c>
      <c r="D3336" t="s">
        <v>15</v>
      </c>
      <c r="E3336" t="s">
        <v>16</v>
      </c>
      <c r="H3336" t="s">
        <v>20</v>
      </c>
    </row>
    <row r="3337" spans="1:8">
      <c r="A3337" s="1">
        <f>HYPERLINK("https://cms.ls-nyc.org/matter/dynamic-profile/view/1855004","18-1855004")</f>
        <v>0</v>
      </c>
      <c r="B3337" t="s">
        <v>10</v>
      </c>
      <c r="C3337" t="s">
        <v>13</v>
      </c>
      <c r="D3337" t="s">
        <v>14</v>
      </c>
      <c r="E3337" t="s">
        <v>16</v>
      </c>
      <c r="G3337" t="s">
        <v>18</v>
      </c>
      <c r="H3337" t="s">
        <v>20</v>
      </c>
    </row>
    <row r="3338" spans="1:8">
      <c r="A3338" s="1">
        <f>HYPERLINK("https://cms.ls-nyc.org/matter/dynamic-profile/view/1857311","18-1857311")</f>
        <v>0</v>
      </c>
      <c r="B3338" t="s">
        <v>9</v>
      </c>
      <c r="D3338" t="s">
        <v>15</v>
      </c>
      <c r="E3338" t="s">
        <v>16</v>
      </c>
      <c r="H3338" t="s">
        <v>20</v>
      </c>
    </row>
    <row r="3339" spans="1:8">
      <c r="A3339" s="1">
        <f>HYPERLINK("https://cms.ls-nyc.org/matter/dynamic-profile/view/1877510","18-1877510")</f>
        <v>0</v>
      </c>
      <c r="B3339" t="s">
        <v>8</v>
      </c>
      <c r="H3339" t="s">
        <v>19</v>
      </c>
    </row>
    <row r="3340" spans="1:8">
      <c r="A3340" s="1">
        <f>HYPERLINK("https://cms.ls-nyc.org/matter/dynamic-profile/view/1900420","19-1900420")</f>
        <v>0</v>
      </c>
      <c r="B3340" t="s">
        <v>9</v>
      </c>
      <c r="E3340" t="s">
        <v>16</v>
      </c>
      <c r="H3340" t="s">
        <v>20</v>
      </c>
    </row>
    <row r="3341" spans="1:8">
      <c r="A3341" s="1">
        <f>HYPERLINK("https://cms.ls-nyc.org/matter/dynamic-profile/view/0825788","17-0825788")</f>
        <v>0</v>
      </c>
      <c r="B3341" t="s">
        <v>10</v>
      </c>
      <c r="D3341" t="s">
        <v>15</v>
      </c>
      <c r="E3341" t="s">
        <v>16</v>
      </c>
      <c r="H3341" t="s">
        <v>20</v>
      </c>
    </row>
    <row r="3342" spans="1:8">
      <c r="A3342" s="1">
        <f>HYPERLINK("https://cms.ls-nyc.org/matter/dynamic-profile/view/1838729","17-1838729")</f>
        <v>0</v>
      </c>
      <c r="B3342" t="s">
        <v>10</v>
      </c>
      <c r="D3342" t="s">
        <v>15</v>
      </c>
      <c r="E3342" t="s">
        <v>16</v>
      </c>
      <c r="H3342" t="s">
        <v>20</v>
      </c>
    </row>
    <row r="3343" spans="1:8">
      <c r="A3343" s="1">
        <f>HYPERLINK("https://cms.ls-nyc.org/matter/dynamic-profile/view/1862565","18-1862565")</f>
        <v>0</v>
      </c>
      <c r="B3343" t="s">
        <v>8</v>
      </c>
      <c r="D3343" t="s">
        <v>15</v>
      </c>
      <c r="E3343" t="s">
        <v>16</v>
      </c>
      <c r="H3343" t="s">
        <v>20</v>
      </c>
    </row>
    <row r="3344" spans="1:8">
      <c r="A3344" s="1">
        <f>HYPERLINK("https://cms.ls-nyc.org/matter/dynamic-profile/view/1862573","18-1862573")</f>
        <v>0</v>
      </c>
      <c r="B3344" t="s">
        <v>8</v>
      </c>
      <c r="D3344" t="s">
        <v>15</v>
      </c>
      <c r="E3344" t="s">
        <v>16</v>
      </c>
      <c r="H3344" t="s">
        <v>20</v>
      </c>
    </row>
    <row r="3345" spans="1:8">
      <c r="A3345" s="1">
        <f>HYPERLINK("https://cms.ls-nyc.org/matter/dynamic-profile/view/1868846","18-1868846")</f>
        <v>0</v>
      </c>
      <c r="B3345" t="s">
        <v>10</v>
      </c>
      <c r="D3345" t="s">
        <v>15</v>
      </c>
      <c r="H3345" t="s">
        <v>20</v>
      </c>
    </row>
    <row r="3346" spans="1:8">
      <c r="A3346" s="1">
        <f>HYPERLINK("https://cms.ls-nyc.org/matter/dynamic-profile/view/1879905","18-1879905")</f>
        <v>0</v>
      </c>
      <c r="B3346" t="s">
        <v>12</v>
      </c>
      <c r="E3346" t="s">
        <v>16</v>
      </c>
      <c r="F3346" t="s">
        <v>17</v>
      </c>
      <c r="H3346" t="s">
        <v>20</v>
      </c>
    </row>
    <row r="3347" spans="1:8">
      <c r="A3347" s="1">
        <f>HYPERLINK("https://cms.ls-nyc.org/matter/dynamic-profile/view/1864044","18-1864044")</f>
        <v>0</v>
      </c>
      <c r="B3347" t="s">
        <v>12</v>
      </c>
      <c r="D3347" t="s">
        <v>15</v>
      </c>
      <c r="E3347" t="s">
        <v>16</v>
      </c>
      <c r="H3347" t="s">
        <v>20</v>
      </c>
    </row>
    <row r="3348" spans="1:8">
      <c r="A3348" s="1">
        <f>HYPERLINK("https://cms.ls-nyc.org/matter/dynamic-profile/view/1900722","19-1900722")</f>
        <v>0</v>
      </c>
      <c r="B3348" t="s">
        <v>9</v>
      </c>
      <c r="H3348" t="s">
        <v>19</v>
      </c>
    </row>
    <row r="3349" spans="1:8">
      <c r="A3349" s="1">
        <f>HYPERLINK("https://cms.ls-nyc.org/matter/dynamic-profile/view/1889877","19-1889877")</f>
        <v>0</v>
      </c>
      <c r="B3349" t="s">
        <v>10</v>
      </c>
      <c r="C3349" t="s">
        <v>13</v>
      </c>
      <c r="D3349" t="s">
        <v>14</v>
      </c>
      <c r="E3349" t="s">
        <v>16</v>
      </c>
      <c r="H3349" t="s">
        <v>20</v>
      </c>
    </row>
    <row r="3350" spans="1:8">
      <c r="A3350" s="1">
        <f>HYPERLINK("https://cms.ls-nyc.org/matter/dynamic-profile/view/1896423","19-1896423")</f>
        <v>0</v>
      </c>
      <c r="B3350" t="s">
        <v>12</v>
      </c>
      <c r="C3350" t="s">
        <v>13</v>
      </c>
      <c r="D3350" t="s">
        <v>14</v>
      </c>
      <c r="E3350" t="s">
        <v>16</v>
      </c>
      <c r="G3350" t="s">
        <v>18</v>
      </c>
      <c r="H3350" t="s">
        <v>20</v>
      </c>
    </row>
    <row r="3351" spans="1:8">
      <c r="A3351" s="1">
        <f>HYPERLINK("https://cms.ls-nyc.org/matter/dynamic-profile/view/1895811","19-1895811")</f>
        <v>0</v>
      </c>
      <c r="B3351" t="s">
        <v>8</v>
      </c>
      <c r="H3351" t="s">
        <v>19</v>
      </c>
    </row>
    <row r="3352" spans="1:8">
      <c r="A3352" s="1">
        <f>HYPERLINK("https://cms.ls-nyc.org/matter/dynamic-profile/view/1895817","19-1895817")</f>
        <v>0</v>
      </c>
      <c r="B3352" t="s">
        <v>8</v>
      </c>
      <c r="H3352" t="s">
        <v>19</v>
      </c>
    </row>
    <row r="3353" spans="1:8">
      <c r="A3353" s="1">
        <f>HYPERLINK("https://cms.ls-nyc.org/matter/dynamic-profile/view/1898780","19-1898780")</f>
        <v>0</v>
      </c>
      <c r="B3353" t="s">
        <v>9</v>
      </c>
      <c r="C3353" t="s">
        <v>13</v>
      </c>
      <c r="E3353" t="s">
        <v>16</v>
      </c>
      <c r="G3353" t="s">
        <v>18</v>
      </c>
      <c r="H3353" t="s">
        <v>20</v>
      </c>
    </row>
    <row r="3354" spans="1:8">
      <c r="A3354" s="1">
        <f>HYPERLINK("https://cms.ls-nyc.org/matter/dynamic-profile/view/1885062","18-1885062")</f>
        <v>0</v>
      </c>
      <c r="B3354" t="s">
        <v>9</v>
      </c>
      <c r="F3354" t="s">
        <v>17</v>
      </c>
      <c r="H3354" t="s">
        <v>20</v>
      </c>
    </row>
    <row r="3355" spans="1:8">
      <c r="A3355" s="1">
        <f>HYPERLINK("https://cms.ls-nyc.org/matter/dynamic-profile/view/1868764","18-1868764")</f>
        <v>0</v>
      </c>
      <c r="B3355" t="s">
        <v>10</v>
      </c>
      <c r="D3355" t="s">
        <v>15</v>
      </c>
      <c r="E3355" t="s">
        <v>16</v>
      </c>
      <c r="H3355" t="s">
        <v>20</v>
      </c>
    </row>
    <row r="3356" spans="1:8">
      <c r="A3356" s="1">
        <f>HYPERLINK("https://cms.ls-nyc.org/matter/dynamic-profile/view/1891823","19-1891823")</f>
        <v>0</v>
      </c>
      <c r="B3356" t="s">
        <v>11</v>
      </c>
      <c r="H3356" t="s">
        <v>19</v>
      </c>
    </row>
    <row r="3357" spans="1:8">
      <c r="A3357" s="1">
        <f>HYPERLINK("https://cms.ls-nyc.org/matter/dynamic-profile/view/1869551","18-1869551")</f>
        <v>0</v>
      </c>
      <c r="B3357" t="s">
        <v>10</v>
      </c>
      <c r="H3357" t="s">
        <v>19</v>
      </c>
    </row>
    <row r="3358" spans="1:8">
      <c r="A3358" s="1">
        <f>HYPERLINK("https://cms.ls-nyc.org/matter/dynamic-profile/view/1839006","17-1839006")</f>
        <v>0</v>
      </c>
      <c r="B3358" t="s">
        <v>10</v>
      </c>
      <c r="D3358" t="s">
        <v>15</v>
      </c>
      <c r="E3358" t="s">
        <v>16</v>
      </c>
      <c r="H3358" t="s">
        <v>20</v>
      </c>
    </row>
    <row r="3359" spans="1:8">
      <c r="A3359" s="1">
        <f>HYPERLINK("https://cms.ls-nyc.org/matter/dynamic-profile/view/1899588","19-1899588")</f>
        <v>0</v>
      </c>
      <c r="B3359" t="s">
        <v>10</v>
      </c>
      <c r="D3359" t="s">
        <v>14</v>
      </c>
      <c r="H3359" t="s">
        <v>20</v>
      </c>
    </row>
    <row r="3360" spans="1:8">
      <c r="A3360" s="1">
        <f>HYPERLINK("https://cms.ls-nyc.org/matter/dynamic-profile/view/1881226","18-1881226")</f>
        <v>0</v>
      </c>
      <c r="B3360" t="s">
        <v>12</v>
      </c>
      <c r="F3360" t="s">
        <v>17</v>
      </c>
      <c r="H3360" t="s">
        <v>20</v>
      </c>
    </row>
    <row r="3361" spans="1:8">
      <c r="A3361" s="1">
        <f>HYPERLINK("https://cms.ls-nyc.org/matter/dynamic-profile/view/0828600","17-0828600")</f>
        <v>0</v>
      </c>
      <c r="B3361" t="s">
        <v>9</v>
      </c>
      <c r="D3361" t="s">
        <v>15</v>
      </c>
      <c r="E3361" t="s">
        <v>16</v>
      </c>
      <c r="H3361" t="s">
        <v>20</v>
      </c>
    </row>
    <row r="3362" spans="1:8">
      <c r="A3362" s="1">
        <f>HYPERLINK("https://cms.ls-nyc.org/matter/dynamic-profile/view/1880682","18-1880682")</f>
        <v>0</v>
      </c>
      <c r="B3362" t="s">
        <v>9</v>
      </c>
      <c r="H3362" t="s">
        <v>19</v>
      </c>
    </row>
    <row r="3363" spans="1:8">
      <c r="A3363" s="1">
        <f>HYPERLINK("https://cms.ls-nyc.org/matter/dynamic-profile/view/1899297","19-1899297")</f>
        <v>0</v>
      </c>
      <c r="B3363" t="s">
        <v>8</v>
      </c>
      <c r="H3363" t="s">
        <v>19</v>
      </c>
    </row>
    <row r="3364" spans="1:8">
      <c r="A3364" s="1">
        <f>HYPERLINK("https://cms.ls-nyc.org/matter/dynamic-profile/view/1893027","19-1893027")</f>
        <v>0</v>
      </c>
      <c r="B3364" t="s">
        <v>10</v>
      </c>
      <c r="D3364" t="s">
        <v>14</v>
      </c>
      <c r="G3364" t="s">
        <v>18</v>
      </c>
      <c r="H3364" t="s">
        <v>20</v>
      </c>
    </row>
    <row r="3365" spans="1:8">
      <c r="A3365" s="1">
        <f>HYPERLINK("https://cms.ls-nyc.org/matter/dynamic-profile/view/1889697","19-1889697")</f>
        <v>0</v>
      </c>
      <c r="B3365" t="s">
        <v>10</v>
      </c>
      <c r="H3365" t="s">
        <v>19</v>
      </c>
    </row>
    <row r="3366" spans="1:8">
      <c r="A3366" s="1">
        <f>HYPERLINK("https://cms.ls-nyc.org/matter/dynamic-profile/view/1889816","19-1889816")</f>
        <v>0</v>
      </c>
      <c r="B3366" t="s">
        <v>11</v>
      </c>
      <c r="H3366" t="s">
        <v>19</v>
      </c>
    </row>
    <row r="3367" spans="1:8">
      <c r="A3367" s="1">
        <f>HYPERLINK("https://cms.ls-nyc.org/matter/dynamic-profile/view/1870636","18-1870636")</f>
        <v>0</v>
      </c>
      <c r="B3367" t="s">
        <v>12</v>
      </c>
      <c r="D3367" t="s">
        <v>15</v>
      </c>
      <c r="E3367" t="s">
        <v>16</v>
      </c>
      <c r="H3367" t="s">
        <v>20</v>
      </c>
    </row>
    <row r="3368" spans="1:8">
      <c r="A3368" s="1">
        <f>HYPERLINK("https://cms.ls-nyc.org/matter/dynamic-profile/view/0795225","15-0795225")</f>
        <v>0</v>
      </c>
      <c r="B3368" t="s">
        <v>8</v>
      </c>
      <c r="D3368" t="s">
        <v>15</v>
      </c>
      <c r="E3368" t="s">
        <v>16</v>
      </c>
      <c r="H3368" t="s">
        <v>20</v>
      </c>
    </row>
    <row r="3369" spans="1:8">
      <c r="A3369" s="1">
        <f>HYPERLINK("https://cms.ls-nyc.org/matter/dynamic-profile/view/1885588","18-1885588")</f>
        <v>0</v>
      </c>
      <c r="B3369" t="s">
        <v>10</v>
      </c>
      <c r="H3369" t="s">
        <v>19</v>
      </c>
    </row>
    <row r="3370" spans="1:8">
      <c r="A3370" s="1">
        <f>HYPERLINK("https://cms.ls-nyc.org/matter/dynamic-profile/view/1887430","19-1887430")</f>
        <v>0</v>
      </c>
      <c r="B3370" t="s">
        <v>10</v>
      </c>
      <c r="H3370" t="s">
        <v>19</v>
      </c>
    </row>
    <row r="3371" spans="1:8">
      <c r="A3371" s="1">
        <f>HYPERLINK("https://cms.ls-nyc.org/matter/dynamic-profile/view/1878536","18-1878536")</f>
        <v>0</v>
      </c>
      <c r="B3371" t="s">
        <v>9</v>
      </c>
      <c r="F3371" t="s">
        <v>17</v>
      </c>
      <c r="H3371" t="s">
        <v>20</v>
      </c>
    </row>
    <row r="3372" spans="1:8">
      <c r="A3372" s="1">
        <f>HYPERLINK("https://cms.ls-nyc.org/matter/dynamic-profile/view/1886099","18-1886099")</f>
        <v>0</v>
      </c>
      <c r="B3372" t="s">
        <v>10</v>
      </c>
      <c r="D3372" t="s">
        <v>14</v>
      </c>
      <c r="H3372" t="s">
        <v>20</v>
      </c>
    </row>
    <row r="3373" spans="1:8">
      <c r="A3373" s="1">
        <f>HYPERLINK("https://cms.ls-nyc.org/matter/dynamic-profile/view/1888303","19-1888303")</f>
        <v>0</v>
      </c>
      <c r="B3373" t="s">
        <v>10</v>
      </c>
      <c r="H3373" t="s">
        <v>19</v>
      </c>
    </row>
    <row r="3374" spans="1:8">
      <c r="A3374" s="1">
        <f>HYPERLINK("https://cms.ls-nyc.org/matter/dynamic-profile/view/1854705","17-1854705")</f>
        <v>0</v>
      </c>
      <c r="B3374" t="s">
        <v>10</v>
      </c>
      <c r="D3374" t="s">
        <v>15</v>
      </c>
      <c r="E3374" t="s">
        <v>16</v>
      </c>
      <c r="H3374" t="s">
        <v>20</v>
      </c>
    </row>
    <row r="3375" spans="1:8">
      <c r="A3375" s="1">
        <f>HYPERLINK("https://cms.ls-nyc.org/matter/dynamic-profile/view/1858589","18-1858589")</f>
        <v>0</v>
      </c>
      <c r="B3375" t="s">
        <v>9</v>
      </c>
      <c r="C3375" t="s">
        <v>13</v>
      </c>
      <c r="D3375" t="s">
        <v>15</v>
      </c>
      <c r="E3375" t="s">
        <v>16</v>
      </c>
      <c r="H3375" t="s">
        <v>20</v>
      </c>
    </row>
    <row r="3376" spans="1:8">
      <c r="A3376" s="1">
        <f>HYPERLINK("https://cms.ls-nyc.org/matter/dynamic-profile/view/1853335","17-1853335")</f>
        <v>0</v>
      </c>
      <c r="B3376" t="s">
        <v>10</v>
      </c>
      <c r="D3376" t="s">
        <v>15</v>
      </c>
      <c r="E3376" t="s">
        <v>16</v>
      </c>
      <c r="H3376" t="s">
        <v>20</v>
      </c>
    </row>
    <row r="3377" spans="1:8">
      <c r="A3377" s="1">
        <f>HYPERLINK("https://cms.ls-nyc.org/matter/dynamic-profile/view/1857395","18-1857395")</f>
        <v>0</v>
      </c>
      <c r="B3377" t="s">
        <v>10</v>
      </c>
      <c r="D3377" t="s">
        <v>15</v>
      </c>
      <c r="E3377" t="s">
        <v>16</v>
      </c>
      <c r="H3377" t="s">
        <v>20</v>
      </c>
    </row>
    <row r="3378" spans="1:8">
      <c r="A3378" s="1">
        <f>HYPERLINK("https://cms.ls-nyc.org/matter/dynamic-profile/view/1897797","19-1897797")</f>
        <v>0</v>
      </c>
      <c r="B3378" t="s">
        <v>12</v>
      </c>
      <c r="H3378" t="s">
        <v>19</v>
      </c>
    </row>
    <row r="3379" spans="1:8">
      <c r="A3379" s="1">
        <f>HYPERLINK("https://cms.ls-nyc.org/matter/dynamic-profile/view/1857623","18-1857623")</f>
        <v>0</v>
      </c>
      <c r="B3379" t="s">
        <v>11</v>
      </c>
      <c r="D3379" t="s">
        <v>15</v>
      </c>
      <c r="E3379" t="s">
        <v>16</v>
      </c>
      <c r="H3379" t="s">
        <v>20</v>
      </c>
    </row>
    <row r="3380" spans="1:8">
      <c r="A3380" s="1">
        <f>HYPERLINK("https://cms.ls-nyc.org/matter/dynamic-profile/view/1895312","19-1895312")</f>
        <v>0</v>
      </c>
      <c r="B3380" t="s">
        <v>9</v>
      </c>
      <c r="H3380" t="s">
        <v>19</v>
      </c>
    </row>
    <row r="3381" spans="1:8">
      <c r="A3381" s="1">
        <f>HYPERLINK("https://cms.ls-nyc.org/matter/dynamic-profile/view/1893970","19-1893970")</f>
        <v>0</v>
      </c>
      <c r="B3381" t="s">
        <v>12</v>
      </c>
      <c r="C3381" t="s">
        <v>13</v>
      </c>
      <c r="D3381" t="s">
        <v>14</v>
      </c>
      <c r="E3381" t="s">
        <v>16</v>
      </c>
      <c r="H3381" t="s">
        <v>20</v>
      </c>
    </row>
    <row r="3382" spans="1:8">
      <c r="A3382" s="1">
        <f>HYPERLINK("https://cms.ls-nyc.org/matter/dynamic-profile/view/1900670","19-1900670")</f>
        <v>0</v>
      </c>
      <c r="B3382" t="s">
        <v>8</v>
      </c>
      <c r="E3382" t="s">
        <v>16</v>
      </c>
      <c r="H3382" t="s">
        <v>20</v>
      </c>
    </row>
    <row r="3383" spans="1:8">
      <c r="A3383" s="1">
        <f>HYPERLINK("https://cms.ls-nyc.org/matter/dynamic-profile/view/1841364","17-1841364")</f>
        <v>0</v>
      </c>
      <c r="B3383" t="s">
        <v>9</v>
      </c>
      <c r="D3383" t="s">
        <v>15</v>
      </c>
      <c r="E3383" t="s">
        <v>16</v>
      </c>
      <c r="F3383" t="s">
        <v>17</v>
      </c>
      <c r="H3383" t="s">
        <v>20</v>
      </c>
    </row>
    <row r="3384" spans="1:8">
      <c r="A3384" s="1">
        <f>HYPERLINK("https://cms.ls-nyc.org/matter/dynamic-profile/view/1841525","17-1841525")</f>
        <v>0</v>
      </c>
      <c r="B3384" t="s">
        <v>10</v>
      </c>
      <c r="D3384" t="s">
        <v>15</v>
      </c>
      <c r="E3384" t="s">
        <v>16</v>
      </c>
      <c r="H3384" t="s">
        <v>20</v>
      </c>
    </row>
    <row r="3385" spans="1:8">
      <c r="A3385" s="1">
        <f>HYPERLINK("https://cms.ls-nyc.org/matter/dynamic-profile/view/1841251","17-1841251")</f>
        <v>0</v>
      </c>
      <c r="B3385" t="s">
        <v>10</v>
      </c>
      <c r="D3385" t="s">
        <v>15</v>
      </c>
      <c r="E3385" t="s">
        <v>16</v>
      </c>
      <c r="H3385" t="s">
        <v>20</v>
      </c>
    </row>
    <row r="3386" spans="1:8">
      <c r="A3386" s="1">
        <f>HYPERLINK("https://cms.ls-nyc.org/matter/dynamic-profile/view/1881235","18-1881235")</f>
        <v>0</v>
      </c>
      <c r="B3386" t="s">
        <v>12</v>
      </c>
      <c r="H3386" t="s">
        <v>19</v>
      </c>
    </row>
    <row r="3387" spans="1:8">
      <c r="A3387" s="1">
        <f>HYPERLINK("https://cms.ls-nyc.org/matter/dynamic-profile/view/1895385","19-1895385")</f>
        <v>0</v>
      </c>
      <c r="B3387" t="s">
        <v>9</v>
      </c>
      <c r="C3387" t="s">
        <v>13</v>
      </c>
      <c r="E3387" t="s">
        <v>16</v>
      </c>
      <c r="H3387" t="s">
        <v>20</v>
      </c>
    </row>
    <row r="3388" spans="1:8">
      <c r="A3388" s="1">
        <f>HYPERLINK("https://cms.ls-nyc.org/matter/dynamic-profile/view/1900567","19-1900567")</f>
        <v>0</v>
      </c>
      <c r="B3388" t="s">
        <v>9</v>
      </c>
      <c r="D3388" t="s">
        <v>14</v>
      </c>
      <c r="H3388" t="s">
        <v>20</v>
      </c>
    </row>
    <row r="3389" spans="1:8">
      <c r="A3389" s="1">
        <f>HYPERLINK("https://cms.ls-nyc.org/matter/dynamic-profile/view/1890689","19-1890689")</f>
        <v>0</v>
      </c>
      <c r="B3389" t="s">
        <v>12</v>
      </c>
      <c r="H3389" t="s">
        <v>19</v>
      </c>
    </row>
    <row r="3390" spans="1:8">
      <c r="A3390" s="1">
        <f>HYPERLINK("https://cms.ls-nyc.org/matter/dynamic-profile/view/1836315","17-1836315")</f>
        <v>0</v>
      </c>
      <c r="B3390" t="s">
        <v>10</v>
      </c>
      <c r="D3390" t="s">
        <v>15</v>
      </c>
      <c r="E3390" t="s">
        <v>16</v>
      </c>
      <c r="H3390" t="s">
        <v>20</v>
      </c>
    </row>
    <row r="3391" spans="1:8">
      <c r="A3391" s="1">
        <f>HYPERLINK("https://cms.ls-nyc.org/matter/dynamic-profile/view/1836325","17-1836325")</f>
        <v>0</v>
      </c>
      <c r="B3391" t="s">
        <v>10</v>
      </c>
      <c r="D3391" t="s">
        <v>15</v>
      </c>
      <c r="E3391" t="s">
        <v>16</v>
      </c>
      <c r="H3391" t="s">
        <v>20</v>
      </c>
    </row>
    <row r="3392" spans="1:8">
      <c r="A3392" s="1">
        <f>HYPERLINK("https://cms.ls-nyc.org/matter/dynamic-profile/view/1836298","17-1836298")</f>
        <v>0</v>
      </c>
      <c r="B3392" t="s">
        <v>10</v>
      </c>
      <c r="D3392" t="s">
        <v>15</v>
      </c>
      <c r="E3392" t="s">
        <v>16</v>
      </c>
      <c r="H3392" t="s">
        <v>20</v>
      </c>
    </row>
    <row r="3393" spans="1:8">
      <c r="A3393" s="1">
        <f>HYPERLINK("https://cms.ls-nyc.org/matter/dynamic-profile/view/1836321","17-1836321")</f>
        <v>0</v>
      </c>
      <c r="B3393" t="s">
        <v>10</v>
      </c>
      <c r="D3393" t="s">
        <v>15</v>
      </c>
      <c r="E3393" t="s">
        <v>16</v>
      </c>
      <c r="H3393" t="s">
        <v>20</v>
      </c>
    </row>
    <row r="3394" spans="1:8">
      <c r="A3394" s="1">
        <f>HYPERLINK("https://cms.ls-nyc.org/matter/dynamic-profile/view/1890637","19-1890637")</f>
        <v>0</v>
      </c>
      <c r="B3394" t="s">
        <v>9</v>
      </c>
      <c r="E3394" t="s">
        <v>16</v>
      </c>
      <c r="F3394" t="s">
        <v>17</v>
      </c>
      <c r="H3394" t="s">
        <v>20</v>
      </c>
    </row>
    <row r="3395" spans="1:8">
      <c r="A3395" s="1">
        <f>HYPERLINK("https://cms.ls-nyc.org/matter/dynamic-profile/view/1891624","19-1891624")</f>
        <v>0</v>
      </c>
      <c r="B3395" t="s">
        <v>9</v>
      </c>
      <c r="E3395" t="s">
        <v>16</v>
      </c>
      <c r="F3395" t="s">
        <v>17</v>
      </c>
      <c r="H3395" t="s">
        <v>20</v>
      </c>
    </row>
    <row r="3396" spans="1:8">
      <c r="A3396" s="1">
        <f>HYPERLINK("https://cms.ls-nyc.org/matter/dynamic-profile/view/1895803","19-1895803")</f>
        <v>0</v>
      </c>
      <c r="B3396" t="s">
        <v>8</v>
      </c>
      <c r="H3396" t="s">
        <v>19</v>
      </c>
    </row>
    <row r="3397" spans="1:8">
      <c r="A3397" s="1">
        <f>HYPERLINK("https://cms.ls-nyc.org/matter/dynamic-profile/view/1895808","19-1895808")</f>
        <v>0</v>
      </c>
      <c r="B3397" t="s">
        <v>8</v>
      </c>
      <c r="H3397" t="s">
        <v>19</v>
      </c>
    </row>
    <row r="3398" spans="1:8">
      <c r="A3398" s="1">
        <f>HYPERLINK("https://cms.ls-nyc.org/matter/dynamic-profile/view/0831483","17-0831483")</f>
        <v>0</v>
      </c>
      <c r="B3398" t="s">
        <v>12</v>
      </c>
      <c r="C3398" t="s">
        <v>13</v>
      </c>
      <c r="D3398" t="s">
        <v>15</v>
      </c>
      <c r="E3398" t="s">
        <v>16</v>
      </c>
      <c r="F3398" t="s">
        <v>17</v>
      </c>
      <c r="H3398" t="s">
        <v>20</v>
      </c>
    </row>
    <row r="3399" spans="1:8">
      <c r="A3399" s="1">
        <f>HYPERLINK("https://cms.ls-nyc.org/matter/dynamic-profile/view/0831484","17-0831484")</f>
        <v>0</v>
      </c>
      <c r="B3399" t="s">
        <v>12</v>
      </c>
      <c r="C3399" t="s">
        <v>13</v>
      </c>
      <c r="D3399" t="s">
        <v>15</v>
      </c>
      <c r="E3399" t="s">
        <v>16</v>
      </c>
      <c r="F3399" t="s">
        <v>17</v>
      </c>
      <c r="H3399" t="s">
        <v>20</v>
      </c>
    </row>
    <row r="3400" spans="1:8">
      <c r="A3400" s="1">
        <f>HYPERLINK("https://cms.ls-nyc.org/matter/dynamic-profile/view/1892495","19-1892495")</f>
        <v>0</v>
      </c>
      <c r="B3400" t="s">
        <v>9</v>
      </c>
      <c r="F3400" t="s">
        <v>17</v>
      </c>
      <c r="H3400" t="s">
        <v>20</v>
      </c>
    </row>
    <row r="3401" spans="1:8">
      <c r="A3401" s="1">
        <f>HYPERLINK("https://cms.ls-nyc.org/matter/dynamic-profile/view/0832882","17-0832882")</f>
        <v>0</v>
      </c>
      <c r="B3401" t="s">
        <v>12</v>
      </c>
      <c r="D3401" t="s">
        <v>15</v>
      </c>
      <c r="E3401" t="s">
        <v>16</v>
      </c>
      <c r="H3401" t="s">
        <v>20</v>
      </c>
    </row>
    <row r="3402" spans="1:8">
      <c r="A3402" s="1">
        <f>HYPERLINK("https://cms.ls-nyc.org/matter/dynamic-profile/view/1897550","19-1897550")</f>
        <v>0</v>
      </c>
      <c r="B3402" t="s">
        <v>12</v>
      </c>
      <c r="H3402" t="s">
        <v>19</v>
      </c>
    </row>
    <row r="3403" spans="1:8">
      <c r="A3403" s="1">
        <f>HYPERLINK("https://cms.ls-nyc.org/matter/dynamic-profile/view/1867816","18-1867816")</f>
        <v>0</v>
      </c>
      <c r="B3403" t="s">
        <v>12</v>
      </c>
      <c r="D3403" t="s">
        <v>15</v>
      </c>
      <c r="H3403" t="s">
        <v>20</v>
      </c>
    </row>
    <row r="3404" spans="1:8">
      <c r="A3404" s="1">
        <f>HYPERLINK("https://cms.ls-nyc.org/matter/dynamic-profile/view/1888147","19-1888147")</f>
        <v>0</v>
      </c>
      <c r="B3404" t="s">
        <v>8</v>
      </c>
      <c r="C3404" t="s">
        <v>13</v>
      </c>
      <c r="D3404" t="s">
        <v>14</v>
      </c>
      <c r="H3404" t="s">
        <v>20</v>
      </c>
    </row>
    <row r="3405" spans="1:8">
      <c r="A3405" s="1">
        <f>HYPERLINK("https://cms.ls-nyc.org/matter/dynamic-profile/view/0799258","16-0799258")</f>
        <v>0</v>
      </c>
      <c r="B3405" t="s">
        <v>10</v>
      </c>
      <c r="D3405" t="s">
        <v>15</v>
      </c>
      <c r="E3405" t="s">
        <v>16</v>
      </c>
      <c r="H3405" t="s">
        <v>20</v>
      </c>
    </row>
    <row r="3406" spans="1:8">
      <c r="A3406" s="1">
        <f>HYPERLINK("https://cms.ls-nyc.org/matter/dynamic-profile/view/0816978","16-0816978")</f>
        <v>0</v>
      </c>
      <c r="B3406" t="s">
        <v>10</v>
      </c>
      <c r="D3406" t="s">
        <v>15</v>
      </c>
      <c r="E3406" t="s">
        <v>16</v>
      </c>
      <c r="H3406" t="s">
        <v>20</v>
      </c>
    </row>
    <row r="3407" spans="1:8">
      <c r="A3407" s="1">
        <f>HYPERLINK("https://cms.ls-nyc.org/matter/dynamic-profile/view/0822575","16-0822575")</f>
        <v>0</v>
      </c>
      <c r="B3407" t="s">
        <v>10</v>
      </c>
      <c r="D3407" t="s">
        <v>15</v>
      </c>
      <c r="E3407" t="s">
        <v>16</v>
      </c>
      <c r="H3407" t="s">
        <v>20</v>
      </c>
    </row>
    <row r="3408" spans="1:8">
      <c r="A3408" s="1">
        <f>HYPERLINK("https://cms.ls-nyc.org/matter/dynamic-profile/view/1890618","19-1890618")</f>
        <v>0</v>
      </c>
      <c r="B3408" t="s">
        <v>10</v>
      </c>
      <c r="C3408" t="s">
        <v>13</v>
      </c>
      <c r="D3408" t="s">
        <v>14</v>
      </c>
      <c r="E3408" t="s">
        <v>16</v>
      </c>
      <c r="G3408" t="s">
        <v>18</v>
      </c>
      <c r="H3408" t="s">
        <v>20</v>
      </c>
    </row>
    <row r="3409" spans="1:8">
      <c r="A3409" s="1">
        <f>HYPERLINK("https://cms.ls-nyc.org/matter/dynamic-profile/view/1895463","19-1895463")</f>
        <v>0</v>
      </c>
      <c r="B3409" t="s">
        <v>9</v>
      </c>
      <c r="H3409" t="s">
        <v>19</v>
      </c>
    </row>
    <row r="3410" spans="1:8">
      <c r="A3410" s="1">
        <f>HYPERLINK("https://cms.ls-nyc.org/matter/dynamic-profile/view/1895477","19-1895477")</f>
        <v>0</v>
      </c>
      <c r="B3410" t="s">
        <v>9</v>
      </c>
      <c r="H3410" t="s">
        <v>19</v>
      </c>
    </row>
    <row r="3411" spans="1:8">
      <c r="A3411" s="1">
        <f>HYPERLINK("https://cms.ls-nyc.org/matter/dynamic-profile/view/0823540","16-0823540")</f>
        <v>0</v>
      </c>
      <c r="B3411" t="s">
        <v>10</v>
      </c>
      <c r="D3411" t="s">
        <v>15</v>
      </c>
      <c r="E3411" t="s">
        <v>16</v>
      </c>
      <c r="H3411" t="s">
        <v>20</v>
      </c>
    </row>
    <row r="3412" spans="1:8">
      <c r="A3412" s="1">
        <f>HYPERLINK("https://cms.ls-nyc.org/matter/dynamic-profile/view/1859923","18-1859923")</f>
        <v>0</v>
      </c>
      <c r="B3412" t="s">
        <v>8</v>
      </c>
      <c r="D3412" t="s">
        <v>15</v>
      </c>
      <c r="E3412" t="s">
        <v>16</v>
      </c>
      <c r="H3412" t="s">
        <v>20</v>
      </c>
    </row>
    <row r="3413" spans="1:8">
      <c r="A3413" s="1">
        <f>HYPERLINK("https://cms.ls-nyc.org/matter/dynamic-profile/view/1854384","17-1854384")</f>
        <v>0</v>
      </c>
      <c r="B3413" t="s">
        <v>12</v>
      </c>
      <c r="D3413" t="s">
        <v>15</v>
      </c>
      <c r="H3413" t="s">
        <v>20</v>
      </c>
    </row>
    <row r="3414" spans="1:8">
      <c r="A3414" s="1">
        <f>HYPERLINK("https://cms.ls-nyc.org/matter/dynamic-profile/view/1882015","18-1882015")</f>
        <v>0</v>
      </c>
      <c r="B3414" t="s">
        <v>12</v>
      </c>
      <c r="H3414" t="s">
        <v>19</v>
      </c>
    </row>
    <row r="3415" spans="1:8">
      <c r="A3415" s="1">
        <f>HYPERLINK("https://cms.ls-nyc.org/matter/dynamic-profile/view/1876512","18-1876512")</f>
        <v>0</v>
      </c>
      <c r="B3415" t="s">
        <v>9</v>
      </c>
      <c r="H3415" t="s">
        <v>19</v>
      </c>
    </row>
    <row r="3416" spans="1:8">
      <c r="A3416" s="1">
        <f>HYPERLINK("https://cms.ls-nyc.org/matter/dynamic-profile/view/1864843","18-1864843")</f>
        <v>0</v>
      </c>
      <c r="B3416" t="s">
        <v>9</v>
      </c>
      <c r="D3416" t="s">
        <v>15</v>
      </c>
      <c r="H3416" t="s">
        <v>20</v>
      </c>
    </row>
    <row r="3417" spans="1:8">
      <c r="A3417" s="1">
        <f>HYPERLINK("https://cms.ls-nyc.org/matter/dynamic-profile/view/1884560","18-1884560")</f>
        <v>0</v>
      </c>
      <c r="B3417" t="s">
        <v>10</v>
      </c>
      <c r="H3417" t="s">
        <v>19</v>
      </c>
    </row>
    <row r="3418" spans="1:8">
      <c r="A3418" s="1">
        <f>HYPERLINK("https://cms.ls-nyc.org/matter/dynamic-profile/view/1899161","19-1899161")</f>
        <v>0</v>
      </c>
      <c r="B3418" t="s">
        <v>10</v>
      </c>
      <c r="D3418" t="s">
        <v>14</v>
      </c>
      <c r="G3418" t="s">
        <v>18</v>
      </c>
      <c r="H3418" t="s">
        <v>20</v>
      </c>
    </row>
    <row r="3419" spans="1:8">
      <c r="A3419" s="1">
        <f>HYPERLINK("https://cms.ls-nyc.org/matter/dynamic-profile/view/0781142","15-0781142")</f>
        <v>0</v>
      </c>
      <c r="B3419" t="s">
        <v>10</v>
      </c>
      <c r="D3419" t="s">
        <v>15</v>
      </c>
      <c r="E3419" t="s">
        <v>16</v>
      </c>
      <c r="H3419" t="s">
        <v>20</v>
      </c>
    </row>
    <row r="3420" spans="1:8">
      <c r="A3420" s="1">
        <f>HYPERLINK("https://cms.ls-nyc.org/matter/dynamic-profile/view/1854343","17-1854343")</f>
        <v>0</v>
      </c>
      <c r="B3420" t="s">
        <v>10</v>
      </c>
      <c r="D3420" t="s">
        <v>15</v>
      </c>
      <c r="E3420" t="s">
        <v>16</v>
      </c>
      <c r="H3420" t="s">
        <v>20</v>
      </c>
    </row>
    <row r="3421" spans="1:8">
      <c r="A3421" s="1">
        <f>HYPERLINK("https://cms.ls-nyc.org/matter/dynamic-profile/view/1894159","19-1894159")</f>
        <v>0</v>
      </c>
      <c r="B3421" t="s">
        <v>10</v>
      </c>
      <c r="H3421" t="s">
        <v>19</v>
      </c>
    </row>
    <row r="3422" spans="1:8">
      <c r="A3422" s="1">
        <f>HYPERLINK("https://cms.ls-nyc.org/matter/dynamic-profile/view/1891682","19-1891682")</f>
        <v>0</v>
      </c>
      <c r="B3422" t="s">
        <v>10</v>
      </c>
      <c r="H3422" t="s">
        <v>19</v>
      </c>
    </row>
    <row r="3423" spans="1:8">
      <c r="A3423" s="1">
        <f>HYPERLINK("https://cms.ls-nyc.org/matter/dynamic-profile/view/1848780","17-1848780")</f>
        <v>0</v>
      </c>
      <c r="B3423" t="s">
        <v>12</v>
      </c>
      <c r="D3423" t="s">
        <v>15</v>
      </c>
      <c r="E3423" t="s">
        <v>16</v>
      </c>
      <c r="H3423" t="s">
        <v>20</v>
      </c>
    </row>
    <row r="3424" spans="1:8">
      <c r="A3424" s="1">
        <f>HYPERLINK("https://cms.ls-nyc.org/matter/dynamic-profile/view/1870023","18-1870023")</f>
        <v>0</v>
      </c>
      <c r="B3424" t="s">
        <v>10</v>
      </c>
      <c r="D3424" t="s">
        <v>15</v>
      </c>
      <c r="E3424" t="s">
        <v>16</v>
      </c>
      <c r="H3424" t="s">
        <v>20</v>
      </c>
    </row>
    <row r="3425" spans="1:8">
      <c r="A3425" s="1">
        <f>HYPERLINK("https://cms.ls-nyc.org/matter/dynamic-profile/view/1897503","19-1897503")</f>
        <v>0</v>
      </c>
      <c r="B3425" t="s">
        <v>8</v>
      </c>
      <c r="D3425" t="s">
        <v>14</v>
      </c>
      <c r="H3425" t="s">
        <v>20</v>
      </c>
    </row>
    <row r="3426" spans="1:8">
      <c r="A3426" s="1">
        <f>HYPERLINK("https://cms.ls-nyc.org/matter/dynamic-profile/view/1891715","19-1891715")</f>
        <v>0</v>
      </c>
      <c r="B3426" t="s">
        <v>9</v>
      </c>
      <c r="H3426" t="s">
        <v>19</v>
      </c>
    </row>
    <row r="3427" spans="1:8">
      <c r="A3427" s="1">
        <f>HYPERLINK("https://cms.ls-nyc.org/matter/dynamic-profile/view/1876857","18-1876857")</f>
        <v>0</v>
      </c>
      <c r="B3427" t="s">
        <v>10</v>
      </c>
      <c r="H3427" t="s">
        <v>19</v>
      </c>
    </row>
    <row r="3428" spans="1:8">
      <c r="A3428" s="1">
        <f>HYPERLINK("https://cms.ls-nyc.org/matter/dynamic-profile/view/1860883","18-1860883")</f>
        <v>0</v>
      </c>
      <c r="B3428" t="s">
        <v>10</v>
      </c>
      <c r="D3428" t="s">
        <v>15</v>
      </c>
      <c r="E3428" t="s">
        <v>16</v>
      </c>
      <c r="H3428" t="s">
        <v>20</v>
      </c>
    </row>
    <row r="3429" spans="1:8">
      <c r="A3429" s="1">
        <f>HYPERLINK("https://cms.ls-nyc.org/matter/dynamic-profile/view/1864402","18-1864402")</f>
        <v>0</v>
      </c>
      <c r="B3429" t="s">
        <v>12</v>
      </c>
      <c r="D3429" t="s">
        <v>15</v>
      </c>
      <c r="F3429" t="s">
        <v>17</v>
      </c>
      <c r="H3429" t="s">
        <v>20</v>
      </c>
    </row>
    <row r="3430" spans="1:8">
      <c r="A3430" s="1">
        <f>HYPERLINK("https://cms.ls-nyc.org/matter/dynamic-profile/view/1885189","18-1885189")</f>
        <v>0</v>
      </c>
      <c r="B3430" t="s">
        <v>9</v>
      </c>
      <c r="C3430" t="s">
        <v>13</v>
      </c>
      <c r="D3430" t="s">
        <v>14</v>
      </c>
      <c r="E3430" t="s">
        <v>16</v>
      </c>
      <c r="G3430" t="s">
        <v>18</v>
      </c>
      <c r="H3430" t="s">
        <v>20</v>
      </c>
    </row>
    <row r="3431" spans="1:8">
      <c r="A3431" s="1">
        <f>HYPERLINK("https://cms.ls-nyc.org/matter/dynamic-profile/view/0805337","16-0805337")</f>
        <v>0</v>
      </c>
      <c r="B3431" t="s">
        <v>10</v>
      </c>
      <c r="D3431" t="s">
        <v>15</v>
      </c>
      <c r="E3431" t="s">
        <v>16</v>
      </c>
      <c r="H3431" t="s">
        <v>20</v>
      </c>
    </row>
    <row r="3432" spans="1:8">
      <c r="A3432" s="1">
        <f>HYPERLINK("https://cms.ls-nyc.org/matter/dynamic-profile/view/1898032","19-1898032")</f>
        <v>0</v>
      </c>
      <c r="B3432" t="s">
        <v>9</v>
      </c>
      <c r="D3432" t="s">
        <v>14</v>
      </c>
      <c r="G3432" t="s">
        <v>18</v>
      </c>
      <c r="H3432" t="s">
        <v>20</v>
      </c>
    </row>
    <row r="3433" spans="1:8">
      <c r="A3433" s="1">
        <f>HYPERLINK("https://cms.ls-nyc.org/matter/dynamic-profile/view/1899773","19-1899773")</f>
        <v>0</v>
      </c>
      <c r="B3433" t="s">
        <v>11</v>
      </c>
      <c r="C3433" t="s">
        <v>13</v>
      </c>
      <c r="D3433" t="s">
        <v>14</v>
      </c>
      <c r="E3433" t="s">
        <v>16</v>
      </c>
      <c r="G3433" t="s">
        <v>18</v>
      </c>
      <c r="H3433" t="s">
        <v>20</v>
      </c>
    </row>
    <row r="3434" spans="1:8">
      <c r="A3434" s="1">
        <f>HYPERLINK("https://cms.ls-nyc.org/matter/dynamic-profile/view/1841131","17-1841131")</f>
        <v>0</v>
      </c>
      <c r="B3434" t="s">
        <v>12</v>
      </c>
      <c r="D3434" t="s">
        <v>15</v>
      </c>
      <c r="H3434" t="s">
        <v>20</v>
      </c>
    </row>
    <row r="3435" spans="1:8">
      <c r="A3435" s="1">
        <f>HYPERLINK("https://cms.ls-nyc.org/matter/dynamic-profile/view/1881708","18-1881708")</f>
        <v>0</v>
      </c>
      <c r="B3435" t="s">
        <v>8</v>
      </c>
      <c r="H3435" t="s">
        <v>19</v>
      </c>
    </row>
    <row r="3436" spans="1:8">
      <c r="A3436" s="1">
        <f>HYPERLINK("https://cms.ls-nyc.org/matter/dynamic-profile/view/1891688","19-1891688")</f>
        <v>0</v>
      </c>
      <c r="B3436" t="s">
        <v>10</v>
      </c>
      <c r="H3436" t="s">
        <v>19</v>
      </c>
    </row>
    <row r="3437" spans="1:8">
      <c r="A3437" s="1">
        <f>HYPERLINK("https://cms.ls-nyc.org/matter/dynamic-profile/view/1884940","18-1884940")</f>
        <v>0</v>
      </c>
      <c r="B3437" t="s">
        <v>10</v>
      </c>
      <c r="H3437" t="s">
        <v>19</v>
      </c>
    </row>
    <row r="3438" spans="1:8">
      <c r="A3438" s="1">
        <f>HYPERLINK("https://cms.ls-nyc.org/matter/dynamic-profile/view/1847345","17-1847345")</f>
        <v>0</v>
      </c>
      <c r="B3438" t="s">
        <v>10</v>
      </c>
      <c r="D3438" t="s">
        <v>15</v>
      </c>
      <c r="E3438" t="s">
        <v>16</v>
      </c>
      <c r="H3438" t="s">
        <v>20</v>
      </c>
    </row>
    <row r="3439" spans="1:8">
      <c r="A3439" s="1">
        <f>HYPERLINK("https://cms.ls-nyc.org/matter/dynamic-profile/view/0795218","15-0795218")</f>
        <v>0</v>
      </c>
      <c r="B3439" t="s">
        <v>8</v>
      </c>
      <c r="D3439" t="s">
        <v>15</v>
      </c>
      <c r="E3439" t="s">
        <v>16</v>
      </c>
      <c r="H3439" t="s">
        <v>20</v>
      </c>
    </row>
    <row r="3440" spans="1:8">
      <c r="A3440" s="1">
        <f>HYPERLINK("https://cms.ls-nyc.org/matter/dynamic-profile/view/0824169","17-0824169")</f>
        <v>0</v>
      </c>
      <c r="B3440" t="s">
        <v>10</v>
      </c>
      <c r="D3440" t="s">
        <v>15</v>
      </c>
      <c r="E3440" t="s">
        <v>16</v>
      </c>
      <c r="H3440" t="s">
        <v>20</v>
      </c>
    </row>
    <row r="3441" spans="1:8">
      <c r="A3441" s="1">
        <f>HYPERLINK("https://cms.ls-nyc.org/matter/dynamic-profile/view/1881710","18-1881710")</f>
        <v>0</v>
      </c>
      <c r="B3441" t="s">
        <v>10</v>
      </c>
      <c r="F3441" t="s">
        <v>17</v>
      </c>
      <c r="H3441" t="s">
        <v>20</v>
      </c>
    </row>
    <row r="3442" spans="1:8">
      <c r="A3442" s="1">
        <f>HYPERLINK("https://cms.ls-nyc.org/matter/dynamic-profile/view/1880593","18-1880593")</f>
        <v>0</v>
      </c>
      <c r="B3442" t="s">
        <v>10</v>
      </c>
      <c r="H3442" t="s">
        <v>19</v>
      </c>
    </row>
    <row r="3443" spans="1:8">
      <c r="A3443" s="1">
        <f>HYPERLINK("https://cms.ls-nyc.org/matter/dynamic-profile/view/1890363","19-1890363")</f>
        <v>0</v>
      </c>
      <c r="B3443" t="s">
        <v>12</v>
      </c>
      <c r="H3443" t="s">
        <v>19</v>
      </c>
    </row>
    <row r="3444" spans="1:8">
      <c r="A3444" s="1">
        <f>HYPERLINK("https://cms.ls-nyc.org/matter/dynamic-profile/view/1870969","18-1870969")</f>
        <v>0</v>
      </c>
      <c r="B3444" t="s">
        <v>12</v>
      </c>
      <c r="D3444" t="s">
        <v>15</v>
      </c>
      <c r="E3444" t="s">
        <v>16</v>
      </c>
      <c r="H3444" t="s">
        <v>20</v>
      </c>
    </row>
    <row r="3445" spans="1:8">
      <c r="A3445" s="1">
        <f>HYPERLINK("https://cms.ls-nyc.org/matter/dynamic-profile/view/1893044","19-1893044")</f>
        <v>0</v>
      </c>
      <c r="B3445" t="s">
        <v>9</v>
      </c>
      <c r="H3445" t="s">
        <v>19</v>
      </c>
    </row>
    <row r="3446" spans="1:8">
      <c r="A3446" s="1">
        <f>HYPERLINK("https://cms.ls-nyc.org/matter/dynamic-profile/view/1894799","19-1894799")</f>
        <v>0</v>
      </c>
      <c r="B3446" t="s">
        <v>9</v>
      </c>
      <c r="H3446" t="s">
        <v>19</v>
      </c>
    </row>
    <row r="3447" spans="1:8">
      <c r="A3447" s="1">
        <f>HYPERLINK("https://cms.ls-nyc.org/matter/dynamic-profile/view/0797188","16-0797188")</f>
        <v>0</v>
      </c>
      <c r="B3447" t="s">
        <v>10</v>
      </c>
      <c r="D3447" t="s">
        <v>15</v>
      </c>
      <c r="E3447" t="s">
        <v>16</v>
      </c>
      <c r="H3447" t="s">
        <v>20</v>
      </c>
    </row>
    <row r="3448" spans="1:8">
      <c r="A3448" s="1">
        <f>HYPERLINK("https://cms.ls-nyc.org/matter/dynamic-profile/view/1890376","19-1890376")</f>
        <v>0</v>
      </c>
      <c r="B3448" t="s">
        <v>11</v>
      </c>
      <c r="H3448" t="s">
        <v>19</v>
      </c>
    </row>
    <row r="3449" spans="1:8">
      <c r="A3449" s="1">
        <f>HYPERLINK("https://cms.ls-nyc.org/matter/dynamic-profile/view/1842917","17-1842917")</f>
        <v>0</v>
      </c>
      <c r="B3449" t="s">
        <v>11</v>
      </c>
      <c r="D3449" t="s">
        <v>15</v>
      </c>
      <c r="E3449" t="s">
        <v>16</v>
      </c>
      <c r="H3449" t="s">
        <v>20</v>
      </c>
    </row>
    <row r="3450" spans="1:8">
      <c r="A3450" s="1">
        <f>HYPERLINK("https://cms.ls-nyc.org/matter/dynamic-profile/view/1891718","19-1891718")</f>
        <v>0</v>
      </c>
      <c r="B3450" t="s">
        <v>9</v>
      </c>
      <c r="H3450" t="s">
        <v>19</v>
      </c>
    </row>
    <row r="3451" spans="1:8">
      <c r="A3451" s="1">
        <f>HYPERLINK("https://cms.ls-nyc.org/matter/dynamic-profile/view/1895928","19-1895928")</f>
        <v>0</v>
      </c>
      <c r="B3451" t="s">
        <v>10</v>
      </c>
      <c r="D3451" t="s">
        <v>14</v>
      </c>
      <c r="F3451" t="s">
        <v>17</v>
      </c>
      <c r="H3451" t="s">
        <v>20</v>
      </c>
    </row>
    <row r="3452" spans="1:8">
      <c r="A3452" s="1">
        <f>HYPERLINK("https://cms.ls-nyc.org/matter/dynamic-profile/view/1901186","19-1901186")</f>
        <v>0</v>
      </c>
      <c r="B3452" t="s">
        <v>12</v>
      </c>
      <c r="H3452" t="s">
        <v>19</v>
      </c>
    </row>
    <row r="3453" spans="1:8">
      <c r="A3453" s="1">
        <f>HYPERLINK("https://cms.ls-nyc.org/matter/dynamic-profile/view/0795319","16-0795319")</f>
        <v>0</v>
      </c>
      <c r="B3453" t="s">
        <v>12</v>
      </c>
      <c r="D3453" t="s">
        <v>15</v>
      </c>
      <c r="E3453" t="s">
        <v>16</v>
      </c>
      <c r="F3453" t="s">
        <v>17</v>
      </c>
      <c r="H3453" t="s">
        <v>20</v>
      </c>
    </row>
    <row r="3454" spans="1:8">
      <c r="A3454" s="1">
        <f>HYPERLINK("https://cms.ls-nyc.org/matter/dynamic-profile/view/1899923","19-1899923")</f>
        <v>0</v>
      </c>
      <c r="B3454" t="s">
        <v>10</v>
      </c>
      <c r="D3454" t="s">
        <v>14</v>
      </c>
      <c r="H3454" t="s">
        <v>20</v>
      </c>
    </row>
    <row r="3455" spans="1:8">
      <c r="A3455" s="1">
        <f>HYPERLINK("https://cms.ls-nyc.org/matter/dynamic-profile/view/1893585","19-1893585")</f>
        <v>0</v>
      </c>
      <c r="B3455" t="s">
        <v>10</v>
      </c>
      <c r="D3455" t="s">
        <v>14</v>
      </c>
      <c r="G3455" t="s">
        <v>18</v>
      </c>
      <c r="H3455" t="s">
        <v>20</v>
      </c>
    </row>
    <row r="3456" spans="1:8">
      <c r="A3456" s="1">
        <f>HYPERLINK("https://cms.ls-nyc.org/matter/dynamic-profile/view/1833998","17-1833998")</f>
        <v>0</v>
      </c>
      <c r="B3456" t="s">
        <v>10</v>
      </c>
      <c r="D3456" t="s">
        <v>15</v>
      </c>
      <c r="E3456" t="s">
        <v>16</v>
      </c>
      <c r="H3456" t="s">
        <v>20</v>
      </c>
    </row>
    <row r="3457" spans="1:8">
      <c r="A3457" s="1">
        <f>HYPERLINK("https://cms.ls-nyc.org/matter/dynamic-profile/view/1857139","18-1857139")</f>
        <v>0</v>
      </c>
      <c r="B3457" t="s">
        <v>10</v>
      </c>
      <c r="D3457" t="s">
        <v>15</v>
      </c>
      <c r="E3457" t="s">
        <v>16</v>
      </c>
      <c r="F3457" t="s">
        <v>17</v>
      </c>
      <c r="H3457" t="s">
        <v>20</v>
      </c>
    </row>
    <row r="3458" spans="1:8">
      <c r="A3458" s="1">
        <f>HYPERLINK("https://cms.ls-nyc.org/matter/dynamic-profile/view/1834690","17-1834690")</f>
        <v>0</v>
      </c>
      <c r="B3458" t="s">
        <v>10</v>
      </c>
      <c r="D3458" t="s">
        <v>15</v>
      </c>
      <c r="E3458" t="s">
        <v>16</v>
      </c>
      <c r="H3458" t="s">
        <v>20</v>
      </c>
    </row>
    <row r="3459" spans="1:8">
      <c r="A3459" s="1">
        <f>HYPERLINK("https://cms.ls-nyc.org/matter/dynamic-profile/view/1882960","18-1882960")</f>
        <v>0</v>
      </c>
      <c r="B3459" t="s">
        <v>10</v>
      </c>
      <c r="D3459" t="s">
        <v>14</v>
      </c>
      <c r="F3459" t="s">
        <v>17</v>
      </c>
      <c r="H3459" t="s">
        <v>20</v>
      </c>
    </row>
    <row r="3460" spans="1:8">
      <c r="A3460" s="1">
        <f>HYPERLINK("https://cms.ls-nyc.org/matter/dynamic-profile/view/1872758","18-1872758")</f>
        <v>0</v>
      </c>
      <c r="B3460" t="s">
        <v>10</v>
      </c>
      <c r="D3460" t="s">
        <v>15</v>
      </c>
      <c r="E3460" t="s">
        <v>16</v>
      </c>
      <c r="H3460" t="s">
        <v>20</v>
      </c>
    </row>
    <row r="3461" spans="1:8">
      <c r="A3461" s="1">
        <f>HYPERLINK("https://cms.ls-nyc.org/matter/dynamic-profile/view/1872761","18-1872761")</f>
        <v>0</v>
      </c>
      <c r="B3461" t="s">
        <v>10</v>
      </c>
      <c r="D3461" t="s">
        <v>15</v>
      </c>
      <c r="E3461" t="s">
        <v>16</v>
      </c>
      <c r="H3461" t="s">
        <v>20</v>
      </c>
    </row>
    <row r="3462" spans="1:8">
      <c r="A3462" s="1">
        <f>HYPERLINK("https://cms.ls-nyc.org/matter/dynamic-profile/view/1883662","18-1883662")</f>
        <v>0</v>
      </c>
      <c r="B3462" t="s">
        <v>10</v>
      </c>
      <c r="H3462" t="s">
        <v>19</v>
      </c>
    </row>
    <row r="3463" spans="1:8">
      <c r="A3463" s="1">
        <f>HYPERLINK("https://cms.ls-nyc.org/matter/dynamic-profile/view/1864141","18-1864141")</f>
        <v>0</v>
      </c>
      <c r="B3463" t="s">
        <v>12</v>
      </c>
      <c r="D3463" t="s">
        <v>15</v>
      </c>
      <c r="H3463" t="s">
        <v>20</v>
      </c>
    </row>
    <row r="3464" spans="1:8">
      <c r="A3464" s="1">
        <f>HYPERLINK("https://cms.ls-nyc.org/matter/dynamic-profile/view/0799619","16-0799619")</f>
        <v>0</v>
      </c>
      <c r="B3464" t="s">
        <v>10</v>
      </c>
      <c r="D3464" t="s">
        <v>15</v>
      </c>
      <c r="E3464" t="s">
        <v>16</v>
      </c>
      <c r="H3464" t="s">
        <v>20</v>
      </c>
    </row>
    <row r="3465" spans="1:8">
      <c r="A3465" s="1">
        <f>HYPERLINK("https://cms.ls-nyc.org/matter/dynamic-profile/view/0816936","16-0816936")</f>
        <v>0</v>
      </c>
      <c r="B3465" t="s">
        <v>10</v>
      </c>
      <c r="D3465" t="s">
        <v>15</v>
      </c>
      <c r="E3465" t="s">
        <v>16</v>
      </c>
      <c r="H3465" t="s">
        <v>20</v>
      </c>
    </row>
    <row r="3466" spans="1:8">
      <c r="A3466" s="1">
        <f>HYPERLINK("https://cms.ls-nyc.org/matter/dynamic-profile/view/0822724","16-0822724")</f>
        <v>0</v>
      </c>
      <c r="B3466" t="s">
        <v>10</v>
      </c>
      <c r="D3466" t="s">
        <v>15</v>
      </c>
      <c r="E3466" t="s">
        <v>16</v>
      </c>
      <c r="H3466" t="s">
        <v>20</v>
      </c>
    </row>
    <row r="3467" spans="1:8">
      <c r="A3467" s="1">
        <f>HYPERLINK("https://cms.ls-nyc.org/matter/dynamic-profile/view/1857270","18-1857270")</f>
        <v>0</v>
      </c>
      <c r="B3467" t="s">
        <v>12</v>
      </c>
      <c r="D3467" t="s">
        <v>15</v>
      </c>
      <c r="E3467" t="s">
        <v>16</v>
      </c>
      <c r="H3467" t="s">
        <v>20</v>
      </c>
    </row>
    <row r="3468" spans="1:8">
      <c r="A3468" s="1">
        <f>HYPERLINK("https://cms.ls-nyc.org/matter/dynamic-profile/view/1836768","17-1836768")</f>
        <v>0</v>
      </c>
      <c r="B3468" t="s">
        <v>12</v>
      </c>
      <c r="D3468" t="s">
        <v>15</v>
      </c>
      <c r="E3468" t="s">
        <v>16</v>
      </c>
      <c r="H3468" t="s">
        <v>20</v>
      </c>
    </row>
    <row r="3469" spans="1:8">
      <c r="A3469" s="1">
        <f>HYPERLINK("https://cms.ls-nyc.org/matter/dynamic-profile/view/1890333","19-1890333")</f>
        <v>0</v>
      </c>
      <c r="B3469" t="s">
        <v>10</v>
      </c>
      <c r="F3469" t="s">
        <v>17</v>
      </c>
      <c r="H3469" t="s">
        <v>20</v>
      </c>
    </row>
    <row r="3470" spans="1:8">
      <c r="A3470" s="1">
        <f>HYPERLINK("https://cms.ls-nyc.org/matter/dynamic-profile/view/1897445","19-1897445")</f>
        <v>0</v>
      </c>
      <c r="B3470" t="s">
        <v>11</v>
      </c>
      <c r="H3470" t="s">
        <v>19</v>
      </c>
    </row>
    <row r="3471" spans="1:8">
      <c r="A3471" s="1">
        <f>HYPERLINK("https://cms.ls-nyc.org/matter/dynamic-profile/view/1898568","19-1898568")</f>
        <v>0</v>
      </c>
      <c r="B3471" t="s">
        <v>12</v>
      </c>
      <c r="H3471" t="s">
        <v>19</v>
      </c>
    </row>
    <row r="3472" spans="1:8">
      <c r="A3472" s="1">
        <f>HYPERLINK("https://cms.ls-nyc.org/matter/dynamic-profile/view/1838002","17-1838002")</f>
        <v>0</v>
      </c>
      <c r="B3472" t="s">
        <v>8</v>
      </c>
      <c r="D3472" t="s">
        <v>15</v>
      </c>
      <c r="E3472" t="s">
        <v>16</v>
      </c>
      <c r="H3472" t="s">
        <v>20</v>
      </c>
    </row>
    <row r="3473" spans="1:8">
      <c r="A3473" s="1">
        <f>HYPERLINK("https://cms.ls-nyc.org/matter/dynamic-profile/view/1835565","17-1835565")</f>
        <v>0</v>
      </c>
      <c r="B3473" t="s">
        <v>8</v>
      </c>
      <c r="D3473" t="s">
        <v>15</v>
      </c>
      <c r="E3473" t="s">
        <v>16</v>
      </c>
      <c r="H3473" t="s">
        <v>20</v>
      </c>
    </row>
    <row r="3474" spans="1:8">
      <c r="A3474" s="1">
        <f>HYPERLINK("https://cms.ls-nyc.org/matter/dynamic-profile/view/1836131","17-1836131")</f>
        <v>0</v>
      </c>
      <c r="B3474" t="s">
        <v>12</v>
      </c>
      <c r="C3474" t="s">
        <v>13</v>
      </c>
      <c r="D3474" t="s">
        <v>15</v>
      </c>
      <c r="E3474" t="s">
        <v>16</v>
      </c>
      <c r="H3474" t="s">
        <v>20</v>
      </c>
    </row>
    <row r="3475" spans="1:8">
      <c r="A3475" s="1">
        <f>HYPERLINK("https://cms.ls-nyc.org/matter/dynamic-profile/view/1895988","19-1895988")</f>
        <v>0</v>
      </c>
      <c r="B3475" t="s">
        <v>9</v>
      </c>
      <c r="F3475" t="s">
        <v>17</v>
      </c>
      <c r="H3475" t="s">
        <v>20</v>
      </c>
    </row>
    <row r="3476" spans="1:8">
      <c r="A3476" s="1">
        <f>HYPERLINK("https://cms.ls-nyc.org/matter/dynamic-profile/view/0799269","16-0799269")</f>
        <v>0</v>
      </c>
      <c r="B3476" t="s">
        <v>10</v>
      </c>
      <c r="D3476" t="s">
        <v>15</v>
      </c>
      <c r="E3476" t="s">
        <v>16</v>
      </c>
      <c r="H3476" t="s">
        <v>20</v>
      </c>
    </row>
    <row r="3477" spans="1:8">
      <c r="A3477" s="1">
        <f>HYPERLINK("https://cms.ls-nyc.org/matter/dynamic-profile/view/1892124","19-1892124")</f>
        <v>0</v>
      </c>
      <c r="B3477" t="s">
        <v>9</v>
      </c>
      <c r="C3477" t="s">
        <v>13</v>
      </c>
      <c r="D3477" t="s">
        <v>14</v>
      </c>
      <c r="H3477" t="s">
        <v>20</v>
      </c>
    </row>
    <row r="3478" spans="1:8">
      <c r="A3478" s="1">
        <f>HYPERLINK("https://cms.ls-nyc.org/matter/dynamic-profile/view/1857034","18-1857034")</f>
        <v>0</v>
      </c>
      <c r="B3478" t="s">
        <v>10</v>
      </c>
      <c r="H3478" t="s">
        <v>19</v>
      </c>
    </row>
    <row r="3479" spans="1:8">
      <c r="A3479" s="1">
        <f>HYPERLINK("https://cms.ls-nyc.org/matter/dynamic-profile/view/1857490","18-1857490")</f>
        <v>0</v>
      </c>
      <c r="B3479" t="s">
        <v>10</v>
      </c>
      <c r="D3479" t="s">
        <v>15</v>
      </c>
      <c r="E3479" t="s">
        <v>16</v>
      </c>
      <c r="H3479" t="s">
        <v>20</v>
      </c>
    </row>
    <row r="3480" spans="1:8">
      <c r="A3480" s="1">
        <f>HYPERLINK("https://cms.ls-nyc.org/matter/dynamic-profile/view/1880702","18-1880702")</f>
        <v>0</v>
      </c>
      <c r="B3480" t="s">
        <v>8</v>
      </c>
      <c r="H3480" t="s">
        <v>19</v>
      </c>
    </row>
    <row r="3481" spans="1:8">
      <c r="A3481" s="1">
        <f>HYPERLINK("https://cms.ls-nyc.org/matter/dynamic-profile/view/1863782","18-1863782")</f>
        <v>0</v>
      </c>
      <c r="B3481" t="s">
        <v>9</v>
      </c>
      <c r="F3481" t="s">
        <v>17</v>
      </c>
      <c r="H3481" t="s">
        <v>20</v>
      </c>
    </row>
    <row r="3482" spans="1:8">
      <c r="A3482" s="1">
        <f>HYPERLINK("https://cms.ls-nyc.org/matter/dynamic-profile/view/1864898","18-1864898")</f>
        <v>0</v>
      </c>
      <c r="B3482" t="s">
        <v>9</v>
      </c>
      <c r="F3482" t="s">
        <v>17</v>
      </c>
      <c r="H3482" t="s">
        <v>20</v>
      </c>
    </row>
    <row r="3483" spans="1:8">
      <c r="A3483" s="1">
        <f>HYPERLINK("https://cms.ls-nyc.org/matter/dynamic-profile/view/1871226","18-1871226")</f>
        <v>0</v>
      </c>
      <c r="B3483" t="s">
        <v>9</v>
      </c>
      <c r="D3483" t="s">
        <v>15</v>
      </c>
      <c r="H3483" t="s">
        <v>20</v>
      </c>
    </row>
    <row r="3484" spans="1:8">
      <c r="A3484" s="1">
        <f>HYPERLINK("https://cms.ls-nyc.org/matter/dynamic-profile/view/1875998","18-1875998")</f>
        <v>0</v>
      </c>
      <c r="B3484" t="s">
        <v>9</v>
      </c>
      <c r="D3484" t="s">
        <v>15</v>
      </c>
      <c r="H3484" t="s">
        <v>20</v>
      </c>
    </row>
    <row r="3485" spans="1:8">
      <c r="A3485" s="1">
        <f>HYPERLINK("https://cms.ls-nyc.org/matter/dynamic-profile/view/1876008","18-1876008")</f>
        <v>0</v>
      </c>
      <c r="B3485" t="s">
        <v>9</v>
      </c>
      <c r="H3485" t="s">
        <v>19</v>
      </c>
    </row>
    <row r="3486" spans="1:8">
      <c r="A3486" s="1">
        <f>HYPERLINK("https://cms.ls-nyc.org/matter/dynamic-profile/view/1884939","18-1884939")</f>
        <v>0</v>
      </c>
      <c r="B3486" t="s">
        <v>10</v>
      </c>
      <c r="H3486" t="s">
        <v>19</v>
      </c>
    </row>
    <row r="3487" spans="1:8">
      <c r="A3487" s="1">
        <f>HYPERLINK("https://cms.ls-nyc.org/matter/dynamic-profile/view/1869473","18-1869473")</f>
        <v>0</v>
      </c>
      <c r="B3487" t="s">
        <v>10</v>
      </c>
      <c r="D3487" t="s">
        <v>15</v>
      </c>
      <c r="H3487" t="s">
        <v>20</v>
      </c>
    </row>
    <row r="3488" spans="1:8">
      <c r="A3488" s="1">
        <f>HYPERLINK("https://cms.ls-nyc.org/matter/dynamic-profile/view/1866313","18-1866313")</f>
        <v>0</v>
      </c>
      <c r="B3488" t="s">
        <v>10</v>
      </c>
      <c r="D3488" t="s">
        <v>15</v>
      </c>
      <c r="E3488" t="s">
        <v>16</v>
      </c>
      <c r="H3488" t="s">
        <v>20</v>
      </c>
    </row>
    <row r="3489" spans="1:8">
      <c r="A3489" s="1">
        <f>HYPERLINK("https://cms.ls-nyc.org/matter/dynamic-profile/view/1873550","18-1873550")</f>
        <v>0</v>
      </c>
      <c r="B3489" t="s">
        <v>10</v>
      </c>
      <c r="H3489" t="s">
        <v>19</v>
      </c>
    </row>
    <row r="3490" spans="1:8">
      <c r="A3490" s="1">
        <f>HYPERLINK("https://cms.ls-nyc.org/matter/dynamic-profile/view/1861191","18-1861191")</f>
        <v>0</v>
      </c>
      <c r="B3490" t="s">
        <v>10</v>
      </c>
      <c r="D3490" t="s">
        <v>15</v>
      </c>
      <c r="H3490" t="s">
        <v>20</v>
      </c>
    </row>
    <row r="3491" spans="1:8">
      <c r="A3491" s="1">
        <f>HYPERLINK("https://cms.ls-nyc.org/matter/dynamic-profile/view/1892505","19-1892505")</f>
        <v>0</v>
      </c>
      <c r="B3491" t="s">
        <v>9</v>
      </c>
      <c r="E3491" t="s">
        <v>16</v>
      </c>
      <c r="F3491" t="s">
        <v>17</v>
      </c>
      <c r="H3491" t="s">
        <v>20</v>
      </c>
    </row>
    <row r="3492" spans="1:8">
      <c r="A3492" s="1">
        <f>HYPERLINK("https://cms.ls-nyc.org/matter/dynamic-profile/view/1892508","19-1892508")</f>
        <v>0</v>
      </c>
      <c r="B3492" t="s">
        <v>9</v>
      </c>
      <c r="E3492" t="s">
        <v>16</v>
      </c>
      <c r="F3492" t="s">
        <v>17</v>
      </c>
      <c r="H3492" t="s">
        <v>20</v>
      </c>
    </row>
    <row r="3493" spans="1:8">
      <c r="A3493" s="1">
        <f>HYPERLINK("https://cms.ls-nyc.org/matter/dynamic-profile/view/1900602","19-1900602")</f>
        <v>0</v>
      </c>
      <c r="B3493" t="s">
        <v>8</v>
      </c>
      <c r="E3493" t="s">
        <v>16</v>
      </c>
      <c r="H3493" t="s">
        <v>20</v>
      </c>
    </row>
    <row r="3494" spans="1:8">
      <c r="A3494" s="1">
        <f>HYPERLINK("https://cms.ls-nyc.org/matter/dynamic-profile/view/1838338","17-1838338")</f>
        <v>0</v>
      </c>
      <c r="B3494" t="s">
        <v>10</v>
      </c>
      <c r="D3494" t="s">
        <v>15</v>
      </c>
      <c r="E3494" t="s">
        <v>16</v>
      </c>
      <c r="H3494" t="s">
        <v>20</v>
      </c>
    </row>
    <row r="3495" spans="1:8">
      <c r="A3495" s="1">
        <f>HYPERLINK("https://cms.ls-nyc.org/matter/dynamic-profile/view/1887994","19-1887994")</f>
        <v>0</v>
      </c>
      <c r="B3495" t="s">
        <v>10</v>
      </c>
      <c r="D3495" t="s">
        <v>14</v>
      </c>
      <c r="H3495" t="s">
        <v>20</v>
      </c>
    </row>
    <row r="3496" spans="1:8">
      <c r="A3496" s="1">
        <f>HYPERLINK("https://cms.ls-nyc.org/matter/dynamic-profile/view/0823697","17-0823697")</f>
        <v>0</v>
      </c>
      <c r="B3496" t="s">
        <v>10</v>
      </c>
      <c r="D3496" t="s">
        <v>15</v>
      </c>
      <c r="H3496" t="s">
        <v>20</v>
      </c>
    </row>
    <row r="3497" spans="1:8">
      <c r="A3497" s="1">
        <f>HYPERLINK("https://cms.ls-nyc.org/matter/dynamic-profile/view/1839153","17-1839153")</f>
        <v>0</v>
      </c>
      <c r="B3497" t="s">
        <v>10</v>
      </c>
      <c r="D3497" t="s">
        <v>15</v>
      </c>
      <c r="E3497" t="s">
        <v>16</v>
      </c>
      <c r="H3497" t="s">
        <v>20</v>
      </c>
    </row>
    <row r="3498" spans="1:8">
      <c r="A3498" s="1">
        <f>HYPERLINK("https://cms.ls-nyc.org/matter/dynamic-profile/view/1853774","17-1853774")</f>
        <v>0</v>
      </c>
      <c r="B3498" t="s">
        <v>10</v>
      </c>
      <c r="D3498" t="s">
        <v>15</v>
      </c>
      <c r="E3498" t="s">
        <v>16</v>
      </c>
      <c r="H3498" t="s">
        <v>20</v>
      </c>
    </row>
    <row r="3499" spans="1:8">
      <c r="A3499" s="1">
        <f>HYPERLINK("https://cms.ls-nyc.org/matter/dynamic-profile/view/1854350","17-1854350")</f>
        <v>0</v>
      </c>
      <c r="B3499" t="s">
        <v>10</v>
      </c>
      <c r="D3499" t="s">
        <v>15</v>
      </c>
      <c r="E3499" t="s">
        <v>16</v>
      </c>
      <c r="H3499" t="s">
        <v>20</v>
      </c>
    </row>
    <row r="3500" spans="1:8">
      <c r="A3500" s="1">
        <f>HYPERLINK("https://cms.ls-nyc.org/matter/dynamic-profile/view/0831668","17-0831668")</f>
        <v>0</v>
      </c>
      <c r="B3500" t="s">
        <v>12</v>
      </c>
      <c r="D3500" t="s">
        <v>15</v>
      </c>
      <c r="E3500" t="s">
        <v>16</v>
      </c>
      <c r="H3500" t="s">
        <v>20</v>
      </c>
    </row>
    <row r="3501" spans="1:8">
      <c r="A3501" s="1">
        <f>HYPERLINK("https://cms.ls-nyc.org/matter/dynamic-profile/view/0832892","17-0832892")</f>
        <v>0</v>
      </c>
      <c r="B3501" t="s">
        <v>12</v>
      </c>
      <c r="D3501" t="s">
        <v>15</v>
      </c>
      <c r="E3501" t="s">
        <v>16</v>
      </c>
      <c r="H3501" t="s">
        <v>20</v>
      </c>
    </row>
    <row r="3502" spans="1:8">
      <c r="A3502" s="1">
        <f>HYPERLINK("https://cms.ls-nyc.org/matter/dynamic-profile/view/0829999","17-0829999")</f>
        <v>0</v>
      </c>
      <c r="B3502" t="s">
        <v>12</v>
      </c>
      <c r="D3502" t="s">
        <v>15</v>
      </c>
      <c r="E3502" t="s">
        <v>16</v>
      </c>
      <c r="H3502" t="s">
        <v>20</v>
      </c>
    </row>
    <row r="3503" spans="1:8">
      <c r="A3503" s="1">
        <f>HYPERLINK("https://cms.ls-nyc.org/matter/dynamic-profile/view/1879944","18-1879944")</f>
        <v>0</v>
      </c>
      <c r="B3503" t="s">
        <v>9</v>
      </c>
      <c r="F3503" t="s">
        <v>17</v>
      </c>
      <c r="H3503" t="s">
        <v>20</v>
      </c>
    </row>
    <row r="3504" spans="1:8">
      <c r="A3504" s="1">
        <f>HYPERLINK("https://cms.ls-nyc.org/matter/dynamic-profile/view/1882209","18-1882209")</f>
        <v>0</v>
      </c>
      <c r="B3504" t="s">
        <v>9</v>
      </c>
      <c r="D3504" t="s">
        <v>15</v>
      </c>
      <c r="E3504" t="s">
        <v>16</v>
      </c>
      <c r="H3504" t="s">
        <v>20</v>
      </c>
    </row>
    <row r="3505" spans="1:8">
      <c r="A3505" s="1">
        <f>HYPERLINK("https://cms.ls-nyc.org/matter/dynamic-profile/view/0820614","16-0820614")</f>
        <v>0</v>
      </c>
      <c r="B3505" t="s">
        <v>10</v>
      </c>
      <c r="D3505" t="s">
        <v>15</v>
      </c>
      <c r="E3505" t="s">
        <v>16</v>
      </c>
      <c r="H3505" t="s">
        <v>20</v>
      </c>
    </row>
    <row r="3506" spans="1:8">
      <c r="A3506" s="1">
        <f>HYPERLINK("https://cms.ls-nyc.org/matter/dynamic-profile/view/1852367","17-1852367")</f>
        <v>0</v>
      </c>
      <c r="B3506" t="s">
        <v>10</v>
      </c>
      <c r="D3506" t="s">
        <v>15</v>
      </c>
      <c r="E3506" t="s">
        <v>16</v>
      </c>
      <c r="H3506" t="s">
        <v>20</v>
      </c>
    </row>
    <row r="3507" spans="1:8">
      <c r="A3507" s="1">
        <f>HYPERLINK("https://cms.ls-nyc.org/matter/dynamic-profile/view/1895258","19-1895258")</f>
        <v>0</v>
      </c>
      <c r="B3507" t="s">
        <v>8</v>
      </c>
      <c r="H3507" t="s">
        <v>19</v>
      </c>
    </row>
    <row r="3508" spans="1:8">
      <c r="A3508" s="1">
        <f>HYPERLINK("https://cms.ls-nyc.org/matter/dynamic-profile/view/1895629","19-1895629")</f>
        <v>0</v>
      </c>
      <c r="B3508" t="s">
        <v>9</v>
      </c>
      <c r="F3508" t="s">
        <v>17</v>
      </c>
      <c r="H3508" t="s">
        <v>20</v>
      </c>
    </row>
    <row r="3509" spans="1:8">
      <c r="A3509" s="1">
        <f>HYPERLINK("https://cms.ls-nyc.org/matter/dynamic-profile/view/1900103","19-1900103")</f>
        <v>0</v>
      </c>
      <c r="B3509" t="s">
        <v>9</v>
      </c>
      <c r="F3509" t="s">
        <v>17</v>
      </c>
      <c r="H3509" t="s">
        <v>20</v>
      </c>
    </row>
    <row r="3510" spans="1:8">
      <c r="A3510" s="1">
        <f>HYPERLINK("https://cms.ls-nyc.org/matter/dynamic-profile/view/1900984","19-1900984")</f>
        <v>0</v>
      </c>
      <c r="B3510" t="s">
        <v>9</v>
      </c>
      <c r="F3510" t="s">
        <v>17</v>
      </c>
      <c r="H3510" t="s">
        <v>20</v>
      </c>
    </row>
    <row r="3511" spans="1:8">
      <c r="A3511" s="1">
        <f>HYPERLINK("https://cms.ls-nyc.org/matter/dynamic-profile/view/1886536","18-1886536")</f>
        <v>0</v>
      </c>
      <c r="B3511" t="s">
        <v>9</v>
      </c>
      <c r="H3511" t="s">
        <v>19</v>
      </c>
    </row>
    <row r="3512" spans="1:8">
      <c r="A3512" s="1">
        <f>HYPERLINK("https://cms.ls-nyc.org/matter/dynamic-profile/view/1886444","18-1886444")</f>
        <v>0</v>
      </c>
      <c r="B3512" t="s">
        <v>9</v>
      </c>
      <c r="H3512" t="s">
        <v>19</v>
      </c>
    </row>
    <row r="3513" spans="1:8">
      <c r="A3513" s="1">
        <f>HYPERLINK("https://cms.ls-nyc.org/matter/dynamic-profile/view/1860636","18-1860636")</f>
        <v>0</v>
      </c>
      <c r="B3513" t="s">
        <v>12</v>
      </c>
      <c r="D3513" t="s">
        <v>15</v>
      </c>
      <c r="H3513" t="s">
        <v>20</v>
      </c>
    </row>
    <row r="3514" spans="1:8">
      <c r="A3514" s="1">
        <f>HYPERLINK("https://cms.ls-nyc.org/matter/dynamic-profile/view/1860281","18-1860281")</f>
        <v>0</v>
      </c>
      <c r="B3514" t="s">
        <v>9</v>
      </c>
      <c r="D3514" t="s">
        <v>15</v>
      </c>
      <c r="H3514" t="s">
        <v>20</v>
      </c>
    </row>
    <row r="3515" spans="1:8">
      <c r="A3515" s="1">
        <f>HYPERLINK("https://cms.ls-nyc.org/matter/dynamic-profile/view/1860280","18-1860280")</f>
        <v>0</v>
      </c>
      <c r="B3515" t="s">
        <v>9</v>
      </c>
      <c r="D3515" t="s">
        <v>15</v>
      </c>
      <c r="H3515" t="s">
        <v>20</v>
      </c>
    </row>
    <row r="3516" spans="1:8">
      <c r="A3516" s="1">
        <f>HYPERLINK("https://cms.ls-nyc.org/matter/dynamic-profile/view/1861704","18-1861704")</f>
        <v>0</v>
      </c>
      <c r="B3516" t="s">
        <v>9</v>
      </c>
      <c r="C3516" t="s">
        <v>13</v>
      </c>
      <c r="D3516" t="s">
        <v>15</v>
      </c>
      <c r="E3516" t="s">
        <v>16</v>
      </c>
      <c r="H3516" t="s">
        <v>20</v>
      </c>
    </row>
    <row r="3517" spans="1:8">
      <c r="A3517" s="1">
        <f>HYPERLINK("https://cms.ls-nyc.org/matter/dynamic-profile/view/1842740","17-1842740")</f>
        <v>0</v>
      </c>
      <c r="B3517" t="s">
        <v>12</v>
      </c>
      <c r="C3517" t="s">
        <v>13</v>
      </c>
      <c r="D3517" t="s">
        <v>14</v>
      </c>
      <c r="E3517" t="s">
        <v>16</v>
      </c>
      <c r="H3517" t="s">
        <v>20</v>
      </c>
    </row>
    <row r="3518" spans="1:8">
      <c r="A3518" s="1">
        <f>HYPERLINK("https://cms.ls-nyc.org/matter/dynamic-profile/view/1901217","19-1901217")</f>
        <v>0</v>
      </c>
      <c r="B3518" t="s">
        <v>12</v>
      </c>
      <c r="H3518" t="s">
        <v>19</v>
      </c>
    </row>
    <row r="3519" spans="1:8">
      <c r="A3519" s="1">
        <f>HYPERLINK("https://cms.ls-nyc.org/matter/dynamic-profile/view/1887928","19-1887928")</f>
        <v>0</v>
      </c>
      <c r="B3519" t="s">
        <v>9</v>
      </c>
      <c r="H3519" t="s">
        <v>19</v>
      </c>
    </row>
    <row r="3520" spans="1:8">
      <c r="A3520" s="1">
        <f>HYPERLINK("https://cms.ls-nyc.org/matter/dynamic-profile/view/1836155","17-1836155")</f>
        <v>0</v>
      </c>
      <c r="B3520" t="s">
        <v>12</v>
      </c>
      <c r="D3520" t="s">
        <v>15</v>
      </c>
      <c r="E3520" t="s">
        <v>16</v>
      </c>
      <c r="H3520" t="s">
        <v>20</v>
      </c>
    </row>
    <row r="3521" spans="1:8">
      <c r="A3521" s="1">
        <f>HYPERLINK("https://cms.ls-nyc.org/matter/dynamic-profile/view/1845301","17-1845301")</f>
        <v>0</v>
      </c>
      <c r="B3521" t="s">
        <v>9</v>
      </c>
      <c r="D3521" t="s">
        <v>15</v>
      </c>
      <c r="E3521" t="s">
        <v>16</v>
      </c>
      <c r="F3521" t="s">
        <v>17</v>
      </c>
      <c r="H3521" t="s">
        <v>20</v>
      </c>
    </row>
    <row r="3522" spans="1:8">
      <c r="A3522" s="1">
        <f>HYPERLINK("https://cms.ls-nyc.org/matter/dynamic-profile/view/1887643","19-1887643")</f>
        <v>0</v>
      </c>
      <c r="B3522" t="s">
        <v>9</v>
      </c>
      <c r="H3522" t="s">
        <v>19</v>
      </c>
    </row>
    <row r="3523" spans="1:8">
      <c r="A3523" s="1">
        <f>HYPERLINK("https://cms.ls-nyc.org/matter/dynamic-profile/view/0830972","17-0830972")</f>
        <v>0</v>
      </c>
      <c r="B3523" t="s">
        <v>12</v>
      </c>
      <c r="C3523" t="s">
        <v>13</v>
      </c>
      <c r="D3523" t="s">
        <v>15</v>
      </c>
      <c r="E3523" t="s">
        <v>16</v>
      </c>
      <c r="H3523" t="s">
        <v>20</v>
      </c>
    </row>
    <row r="3524" spans="1:8">
      <c r="A3524" s="1">
        <f>HYPERLINK("https://cms.ls-nyc.org/matter/dynamic-profile/view/1842839","17-1842839")</f>
        <v>0</v>
      </c>
      <c r="B3524" t="s">
        <v>11</v>
      </c>
      <c r="D3524" t="s">
        <v>15</v>
      </c>
      <c r="E3524" t="s">
        <v>16</v>
      </c>
      <c r="H3524" t="s">
        <v>20</v>
      </c>
    </row>
    <row r="3525" spans="1:8">
      <c r="A3525" s="1">
        <f>HYPERLINK("https://cms.ls-nyc.org/matter/dynamic-profile/view/0789341","15-0789341")</f>
        <v>0</v>
      </c>
      <c r="B3525" t="s">
        <v>10</v>
      </c>
      <c r="C3525" t="s">
        <v>13</v>
      </c>
      <c r="D3525" t="s">
        <v>15</v>
      </c>
      <c r="E3525" t="s">
        <v>16</v>
      </c>
      <c r="H3525" t="s">
        <v>20</v>
      </c>
    </row>
    <row r="3526" spans="1:8">
      <c r="A3526" s="1">
        <f>HYPERLINK("https://cms.ls-nyc.org/matter/dynamic-profile/view/1849707","17-1849707")</f>
        <v>0</v>
      </c>
      <c r="B3526" t="s">
        <v>12</v>
      </c>
      <c r="D3526" t="s">
        <v>15</v>
      </c>
      <c r="E3526" t="s">
        <v>16</v>
      </c>
      <c r="H3526" t="s">
        <v>20</v>
      </c>
    </row>
    <row r="3527" spans="1:8">
      <c r="A3527" s="1">
        <f>HYPERLINK("https://cms.ls-nyc.org/matter/dynamic-profile/view/1862226","18-1862226")</f>
        <v>0</v>
      </c>
      <c r="B3527" t="s">
        <v>12</v>
      </c>
      <c r="D3527" t="s">
        <v>15</v>
      </c>
      <c r="E3527" t="s">
        <v>16</v>
      </c>
      <c r="H3527" t="s">
        <v>20</v>
      </c>
    </row>
    <row r="3528" spans="1:8">
      <c r="A3528" s="1">
        <f>HYPERLINK("https://cms.ls-nyc.org/matter/dynamic-profile/view/1895929","19-1895929")</f>
        <v>0</v>
      </c>
      <c r="B3528" t="s">
        <v>10</v>
      </c>
      <c r="H3528" t="s">
        <v>19</v>
      </c>
    </row>
    <row r="3529" spans="1:8">
      <c r="A3529" s="1">
        <f>HYPERLINK("https://cms.ls-nyc.org/matter/dynamic-profile/view/1887097","19-1887097")</f>
        <v>0</v>
      </c>
      <c r="B3529" t="s">
        <v>9</v>
      </c>
      <c r="H3529" t="s">
        <v>19</v>
      </c>
    </row>
    <row r="3530" spans="1:8">
      <c r="A3530" s="1">
        <f>HYPERLINK("https://cms.ls-nyc.org/matter/dynamic-profile/view/1853536","17-1853536")</f>
        <v>0</v>
      </c>
      <c r="B3530" t="s">
        <v>11</v>
      </c>
      <c r="D3530" t="s">
        <v>15</v>
      </c>
      <c r="E3530" t="s">
        <v>16</v>
      </c>
      <c r="H3530" t="s">
        <v>20</v>
      </c>
    </row>
    <row r="3531" spans="1:8">
      <c r="A3531" s="1">
        <f>HYPERLINK("https://cms.ls-nyc.org/matter/dynamic-profile/view/0798995","16-0798995")</f>
        <v>0</v>
      </c>
      <c r="B3531" t="s">
        <v>10</v>
      </c>
      <c r="D3531" t="s">
        <v>15</v>
      </c>
      <c r="E3531" t="s">
        <v>16</v>
      </c>
      <c r="H3531" t="s">
        <v>20</v>
      </c>
    </row>
    <row r="3532" spans="1:8">
      <c r="A3532" s="1">
        <f>HYPERLINK("https://cms.ls-nyc.org/matter/dynamic-profile/view/0816944","16-0816944")</f>
        <v>0</v>
      </c>
      <c r="B3532" t="s">
        <v>10</v>
      </c>
      <c r="D3532" t="s">
        <v>15</v>
      </c>
      <c r="E3532" t="s">
        <v>16</v>
      </c>
      <c r="H3532" t="s">
        <v>20</v>
      </c>
    </row>
    <row r="3533" spans="1:8">
      <c r="A3533" s="1">
        <f>HYPERLINK("https://cms.ls-nyc.org/matter/dynamic-profile/view/0822630","16-0822630")</f>
        <v>0</v>
      </c>
      <c r="B3533" t="s">
        <v>10</v>
      </c>
      <c r="D3533" t="s">
        <v>15</v>
      </c>
      <c r="E3533" t="s">
        <v>16</v>
      </c>
      <c r="H3533" t="s">
        <v>20</v>
      </c>
    </row>
    <row r="3534" spans="1:8">
      <c r="A3534" s="1">
        <f>HYPERLINK("https://cms.ls-nyc.org/matter/dynamic-profile/view/1850841","17-1850841")</f>
        <v>0</v>
      </c>
      <c r="B3534" t="s">
        <v>11</v>
      </c>
      <c r="D3534" t="s">
        <v>15</v>
      </c>
      <c r="E3534" t="s">
        <v>16</v>
      </c>
      <c r="H3534" t="s">
        <v>20</v>
      </c>
    </row>
    <row r="3535" spans="1:8">
      <c r="A3535" s="1">
        <f>HYPERLINK("https://cms.ls-nyc.org/matter/dynamic-profile/view/1882966","18-1882966")</f>
        <v>0</v>
      </c>
      <c r="B3535" t="s">
        <v>10</v>
      </c>
      <c r="D3535" t="s">
        <v>14</v>
      </c>
      <c r="F3535" t="s">
        <v>17</v>
      </c>
      <c r="H3535" t="s">
        <v>20</v>
      </c>
    </row>
    <row r="3536" spans="1:8">
      <c r="A3536" s="1">
        <f>HYPERLINK("https://cms.ls-nyc.org/matter/dynamic-profile/view/1900691","19-1900691")</f>
        <v>0</v>
      </c>
      <c r="B3536" t="s">
        <v>9</v>
      </c>
      <c r="H3536" t="s">
        <v>19</v>
      </c>
    </row>
    <row r="3537" spans="1:8">
      <c r="A3537" s="1">
        <f>HYPERLINK("https://cms.ls-nyc.org/matter/dynamic-profile/view/1886706","18-1886706")</f>
        <v>0</v>
      </c>
      <c r="B3537" t="s">
        <v>10</v>
      </c>
      <c r="H3537" t="s">
        <v>19</v>
      </c>
    </row>
    <row r="3538" spans="1:8">
      <c r="A3538" s="1">
        <f>HYPERLINK("https://cms.ls-nyc.org/matter/dynamic-profile/view/1865839","18-1865839")</f>
        <v>0</v>
      </c>
      <c r="B3538" t="s">
        <v>12</v>
      </c>
      <c r="D3538" t="s">
        <v>15</v>
      </c>
      <c r="H3538" t="s">
        <v>20</v>
      </c>
    </row>
    <row r="3539" spans="1:8">
      <c r="A3539" s="1">
        <f>HYPERLINK("https://cms.ls-nyc.org/matter/dynamic-profile/view/1871549","18-1871549")</f>
        <v>0</v>
      </c>
      <c r="B3539" t="s">
        <v>9</v>
      </c>
      <c r="D3539" t="s">
        <v>15</v>
      </c>
      <c r="H3539" t="s">
        <v>20</v>
      </c>
    </row>
    <row r="3540" spans="1:8">
      <c r="A3540" s="1">
        <f>HYPERLINK("https://cms.ls-nyc.org/matter/dynamic-profile/view/1867079","18-1867079")</f>
        <v>0</v>
      </c>
      <c r="B3540" t="s">
        <v>9</v>
      </c>
      <c r="D3540" t="s">
        <v>15</v>
      </c>
      <c r="E3540" t="s">
        <v>16</v>
      </c>
      <c r="H3540" t="s">
        <v>20</v>
      </c>
    </row>
    <row r="3541" spans="1:8">
      <c r="A3541" s="1">
        <f>HYPERLINK("https://cms.ls-nyc.org/matter/dynamic-profile/view/1896691","19-1896691")</f>
        <v>0</v>
      </c>
      <c r="B3541" t="s">
        <v>8</v>
      </c>
      <c r="H3541" t="s">
        <v>19</v>
      </c>
    </row>
    <row r="3542" spans="1:8">
      <c r="A3542" s="1">
        <f>HYPERLINK("https://cms.ls-nyc.org/matter/dynamic-profile/view/1897656","19-1897656")</f>
        <v>0</v>
      </c>
      <c r="B3542" t="s">
        <v>8</v>
      </c>
      <c r="H3542" t="s">
        <v>19</v>
      </c>
    </row>
    <row r="3543" spans="1:8">
      <c r="A3543" s="1">
        <f>HYPERLINK("https://cms.ls-nyc.org/matter/dynamic-profile/view/1890630","19-1890630")</f>
        <v>0</v>
      </c>
      <c r="B3543" t="s">
        <v>9</v>
      </c>
      <c r="E3543" t="s">
        <v>16</v>
      </c>
      <c r="F3543" t="s">
        <v>17</v>
      </c>
      <c r="H3543" t="s">
        <v>20</v>
      </c>
    </row>
    <row r="3544" spans="1:8">
      <c r="A3544" s="1">
        <f>HYPERLINK("https://cms.ls-nyc.org/matter/dynamic-profile/view/1891875","19-1891875")</f>
        <v>0</v>
      </c>
      <c r="B3544" t="s">
        <v>9</v>
      </c>
      <c r="E3544" t="s">
        <v>16</v>
      </c>
      <c r="F3544" t="s">
        <v>17</v>
      </c>
      <c r="H3544" t="s">
        <v>20</v>
      </c>
    </row>
    <row r="3545" spans="1:8">
      <c r="A3545" s="1">
        <f>HYPERLINK("https://cms.ls-nyc.org/matter/dynamic-profile/view/1854989","18-1854989")</f>
        <v>0</v>
      </c>
      <c r="B3545" t="s">
        <v>10</v>
      </c>
      <c r="D3545" t="s">
        <v>15</v>
      </c>
      <c r="E3545" t="s">
        <v>16</v>
      </c>
      <c r="H3545" t="s">
        <v>20</v>
      </c>
    </row>
    <row r="3546" spans="1:8">
      <c r="A3546" s="1">
        <f>HYPERLINK("https://cms.ls-nyc.org/matter/dynamic-profile/view/0803810","16-0803810")</f>
        <v>0</v>
      </c>
      <c r="B3546" t="s">
        <v>8</v>
      </c>
      <c r="C3546" t="s">
        <v>13</v>
      </c>
      <c r="D3546" t="s">
        <v>15</v>
      </c>
      <c r="E3546" t="s">
        <v>16</v>
      </c>
      <c r="H3546" t="s">
        <v>20</v>
      </c>
    </row>
    <row r="3547" spans="1:8">
      <c r="A3547" s="1">
        <f>HYPERLINK("https://cms.ls-nyc.org/matter/dynamic-profile/view/1873795","18-1873795")</f>
        <v>0</v>
      </c>
      <c r="B3547" t="s">
        <v>12</v>
      </c>
      <c r="H3547" t="s">
        <v>19</v>
      </c>
    </row>
    <row r="3548" spans="1:8">
      <c r="A3548" s="1">
        <f>HYPERLINK("https://cms.ls-nyc.org/matter/dynamic-profile/view/1868969","18-1868969")</f>
        <v>0</v>
      </c>
      <c r="B3548" t="s">
        <v>10</v>
      </c>
      <c r="D3548" t="s">
        <v>15</v>
      </c>
      <c r="E3548" t="s">
        <v>16</v>
      </c>
      <c r="H3548" t="s">
        <v>20</v>
      </c>
    </row>
    <row r="3549" spans="1:8">
      <c r="A3549" s="1">
        <f>HYPERLINK("https://cms.ls-nyc.org/matter/dynamic-profile/view/1899846","19-1899846")</f>
        <v>0</v>
      </c>
      <c r="B3549" t="s">
        <v>10</v>
      </c>
      <c r="D3549" t="s">
        <v>14</v>
      </c>
      <c r="H3549" t="s">
        <v>20</v>
      </c>
    </row>
    <row r="3550" spans="1:8">
      <c r="A3550" s="1">
        <f>HYPERLINK("https://cms.ls-nyc.org/matter/dynamic-profile/view/0822350","16-0822350")</f>
        <v>0</v>
      </c>
      <c r="B3550" t="s">
        <v>12</v>
      </c>
      <c r="D3550" t="s">
        <v>15</v>
      </c>
      <c r="E3550" t="s">
        <v>16</v>
      </c>
      <c r="H3550" t="s">
        <v>20</v>
      </c>
    </row>
    <row r="3551" spans="1:8">
      <c r="A3551" s="1">
        <f>HYPERLINK("https://cms.ls-nyc.org/matter/dynamic-profile/view/1896837","19-1896837")</f>
        <v>0</v>
      </c>
      <c r="B3551" t="s">
        <v>9</v>
      </c>
      <c r="D3551" t="s">
        <v>14</v>
      </c>
      <c r="H3551" t="s">
        <v>20</v>
      </c>
    </row>
    <row r="3552" spans="1:8">
      <c r="A3552" s="1">
        <f>HYPERLINK("https://cms.ls-nyc.org/matter/dynamic-profile/view/1867973","18-1867973")</f>
        <v>0</v>
      </c>
      <c r="B3552" t="s">
        <v>12</v>
      </c>
      <c r="D3552" t="s">
        <v>15</v>
      </c>
      <c r="E3552" t="s">
        <v>16</v>
      </c>
      <c r="H3552" t="s">
        <v>20</v>
      </c>
    </row>
    <row r="3553" spans="1:8">
      <c r="A3553" s="1">
        <f>HYPERLINK("https://cms.ls-nyc.org/matter/dynamic-profile/view/1873224","18-1873224")</f>
        <v>0</v>
      </c>
      <c r="B3553" t="s">
        <v>12</v>
      </c>
      <c r="H3553" t="s">
        <v>19</v>
      </c>
    </row>
    <row r="3554" spans="1:8">
      <c r="A3554" s="1">
        <f>HYPERLINK("https://cms.ls-nyc.org/matter/dynamic-profile/view/0820308","16-0820308")</f>
        <v>0</v>
      </c>
      <c r="B3554" t="s">
        <v>9</v>
      </c>
      <c r="D3554" t="s">
        <v>15</v>
      </c>
      <c r="E3554" t="s">
        <v>16</v>
      </c>
      <c r="H3554" t="s">
        <v>20</v>
      </c>
    </row>
    <row r="3555" spans="1:8">
      <c r="A3555" s="1">
        <f>HYPERLINK("https://cms.ls-nyc.org/matter/dynamic-profile/view/0793224","15-0793224")</f>
        <v>0</v>
      </c>
      <c r="B3555" t="s">
        <v>8</v>
      </c>
      <c r="D3555" t="s">
        <v>15</v>
      </c>
      <c r="E3555" t="s">
        <v>16</v>
      </c>
      <c r="H3555" t="s">
        <v>20</v>
      </c>
    </row>
    <row r="3556" spans="1:8">
      <c r="A3556" s="1">
        <f>HYPERLINK("https://cms.ls-nyc.org/matter/dynamic-profile/view/1886303","18-1886303")</f>
        <v>0</v>
      </c>
      <c r="B3556" t="s">
        <v>9</v>
      </c>
      <c r="C3556" t="s">
        <v>13</v>
      </c>
      <c r="D3556" t="s">
        <v>14</v>
      </c>
      <c r="E3556" t="s">
        <v>16</v>
      </c>
      <c r="G3556" t="s">
        <v>18</v>
      </c>
      <c r="H3556" t="s">
        <v>20</v>
      </c>
    </row>
    <row r="3557" spans="1:8">
      <c r="A3557" s="1">
        <f>HYPERLINK("https://cms.ls-nyc.org/matter/dynamic-profile/view/1896120","19-1896120")</f>
        <v>0</v>
      </c>
      <c r="B3557" t="s">
        <v>9</v>
      </c>
      <c r="H3557" t="s">
        <v>19</v>
      </c>
    </row>
    <row r="3558" spans="1:8">
      <c r="A3558" s="1">
        <f>HYPERLINK("https://cms.ls-nyc.org/matter/dynamic-profile/view/1894711","19-1894711")</f>
        <v>0</v>
      </c>
      <c r="B3558" t="s">
        <v>9</v>
      </c>
      <c r="H3558" t="s">
        <v>19</v>
      </c>
    </row>
    <row r="3559" spans="1:8">
      <c r="A3559" s="1">
        <f>HYPERLINK("https://cms.ls-nyc.org/matter/dynamic-profile/view/1879104","18-1879104")</f>
        <v>0</v>
      </c>
      <c r="B3559" t="s">
        <v>9</v>
      </c>
      <c r="D3559" t="s">
        <v>14</v>
      </c>
      <c r="E3559" t="s">
        <v>16</v>
      </c>
      <c r="H3559" t="s">
        <v>20</v>
      </c>
    </row>
    <row r="3560" spans="1:8">
      <c r="A3560" s="1">
        <f>HYPERLINK("https://cms.ls-nyc.org/matter/dynamic-profile/view/1860456","18-1860456")</f>
        <v>0</v>
      </c>
      <c r="B3560" t="s">
        <v>8</v>
      </c>
      <c r="D3560" t="s">
        <v>15</v>
      </c>
      <c r="E3560" t="s">
        <v>16</v>
      </c>
      <c r="H3560" t="s">
        <v>20</v>
      </c>
    </row>
    <row r="3561" spans="1:8">
      <c r="A3561" s="1">
        <f>HYPERLINK("https://cms.ls-nyc.org/matter/dynamic-profile/view/1860460","18-1860460")</f>
        <v>0</v>
      </c>
      <c r="B3561" t="s">
        <v>8</v>
      </c>
      <c r="D3561" t="s">
        <v>15</v>
      </c>
      <c r="E3561" t="s">
        <v>16</v>
      </c>
      <c r="H3561" t="s">
        <v>20</v>
      </c>
    </row>
    <row r="3562" spans="1:8">
      <c r="A3562" s="1">
        <f>HYPERLINK("https://cms.ls-nyc.org/matter/dynamic-profile/view/1886968","19-1886968")</f>
        <v>0</v>
      </c>
      <c r="B3562" t="s">
        <v>9</v>
      </c>
      <c r="H3562" t="s">
        <v>19</v>
      </c>
    </row>
    <row r="3563" spans="1:8">
      <c r="A3563" s="1">
        <f>HYPERLINK("https://cms.ls-nyc.org/matter/dynamic-profile/view/1900693","19-1900693")</f>
        <v>0</v>
      </c>
      <c r="B3563" t="s">
        <v>9</v>
      </c>
      <c r="H3563" t="s">
        <v>19</v>
      </c>
    </row>
    <row r="3564" spans="1:8">
      <c r="A3564" s="1">
        <f>HYPERLINK("https://cms.ls-nyc.org/matter/dynamic-profile/view/1868018","18-1868018")</f>
        <v>0</v>
      </c>
      <c r="B3564" t="s">
        <v>9</v>
      </c>
      <c r="D3564" t="s">
        <v>15</v>
      </c>
      <c r="E3564" t="s">
        <v>16</v>
      </c>
      <c r="H3564" t="s">
        <v>20</v>
      </c>
    </row>
    <row r="3565" spans="1:8">
      <c r="A3565" s="1">
        <f>HYPERLINK("https://cms.ls-nyc.org/matter/dynamic-profile/view/1862977","18-1862977")</f>
        <v>0</v>
      </c>
      <c r="B3565" t="s">
        <v>12</v>
      </c>
      <c r="D3565" t="s">
        <v>15</v>
      </c>
      <c r="E3565" t="s">
        <v>16</v>
      </c>
      <c r="H3565" t="s">
        <v>20</v>
      </c>
    </row>
    <row r="3566" spans="1:8">
      <c r="A3566" s="1">
        <f>HYPERLINK("https://cms.ls-nyc.org/matter/dynamic-profile/view/1890572","19-1890572")</f>
        <v>0</v>
      </c>
      <c r="B3566" t="s">
        <v>9</v>
      </c>
      <c r="E3566" t="s">
        <v>16</v>
      </c>
      <c r="F3566" t="s">
        <v>17</v>
      </c>
      <c r="H3566" t="s">
        <v>20</v>
      </c>
    </row>
    <row r="3567" spans="1:8">
      <c r="A3567" s="1">
        <f>HYPERLINK("https://cms.ls-nyc.org/matter/dynamic-profile/view/1891871","19-1891871")</f>
        <v>0</v>
      </c>
      <c r="B3567" t="s">
        <v>9</v>
      </c>
      <c r="E3567" t="s">
        <v>16</v>
      </c>
      <c r="F3567" t="s">
        <v>17</v>
      </c>
      <c r="H3567" t="s">
        <v>20</v>
      </c>
    </row>
    <row r="3568" spans="1:8">
      <c r="A3568" s="1">
        <f>HYPERLINK("https://cms.ls-nyc.org/matter/dynamic-profile/view/1898818","19-1898818")</f>
        <v>0</v>
      </c>
      <c r="B3568" t="s">
        <v>12</v>
      </c>
      <c r="H3568" t="s">
        <v>19</v>
      </c>
    </row>
    <row r="3569" spans="1:8">
      <c r="A3569" s="1">
        <f>HYPERLINK("https://cms.ls-nyc.org/matter/dynamic-profile/view/1835945","17-1835945")</f>
        <v>0</v>
      </c>
      <c r="B3569" t="s">
        <v>9</v>
      </c>
      <c r="D3569" t="s">
        <v>15</v>
      </c>
      <c r="E3569" t="s">
        <v>16</v>
      </c>
      <c r="H3569" t="s">
        <v>20</v>
      </c>
    </row>
    <row r="3570" spans="1:8">
      <c r="A3570" s="1">
        <f>HYPERLINK("https://cms.ls-nyc.org/matter/dynamic-profile/view/1841213","17-1841213")</f>
        <v>0</v>
      </c>
      <c r="B3570" t="s">
        <v>10</v>
      </c>
      <c r="D3570" t="s">
        <v>15</v>
      </c>
      <c r="E3570" t="s">
        <v>16</v>
      </c>
      <c r="H3570" t="s">
        <v>20</v>
      </c>
    </row>
    <row r="3571" spans="1:8">
      <c r="A3571" s="1">
        <f>HYPERLINK("https://cms.ls-nyc.org/matter/dynamic-profile/view/0799026","16-0799026")</f>
        <v>0</v>
      </c>
      <c r="B3571" t="s">
        <v>10</v>
      </c>
      <c r="D3571" t="s">
        <v>15</v>
      </c>
      <c r="E3571" t="s">
        <v>16</v>
      </c>
      <c r="H3571" t="s">
        <v>20</v>
      </c>
    </row>
    <row r="3572" spans="1:8">
      <c r="A3572" s="1">
        <f>HYPERLINK("https://cms.ls-nyc.org/matter/dynamic-profile/view/0816940","16-0816940")</f>
        <v>0</v>
      </c>
      <c r="B3572" t="s">
        <v>10</v>
      </c>
      <c r="D3572" t="s">
        <v>15</v>
      </c>
      <c r="E3572" t="s">
        <v>16</v>
      </c>
      <c r="H3572" t="s">
        <v>20</v>
      </c>
    </row>
    <row r="3573" spans="1:8">
      <c r="A3573" s="1">
        <f>HYPERLINK("https://cms.ls-nyc.org/matter/dynamic-profile/view/0822703","16-0822703")</f>
        <v>0</v>
      </c>
      <c r="B3573" t="s">
        <v>10</v>
      </c>
      <c r="D3573" t="s">
        <v>15</v>
      </c>
      <c r="E3573" t="s">
        <v>16</v>
      </c>
      <c r="H3573" t="s">
        <v>20</v>
      </c>
    </row>
    <row r="3574" spans="1:8">
      <c r="A3574" s="1">
        <f>HYPERLINK("https://cms.ls-nyc.org/matter/dynamic-profile/view/0810014","16-0810014")</f>
        <v>0</v>
      </c>
      <c r="B3574" t="s">
        <v>11</v>
      </c>
      <c r="D3574" t="s">
        <v>15</v>
      </c>
      <c r="H3574" t="s">
        <v>20</v>
      </c>
    </row>
    <row r="3575" spans="1:8">
      <c r="A3575" s="1">
        <f>HYPERLINK("https://cms.ls-nyc.org/matter/dynamic-profile/view/1891783","19-1891783")</f>
        <v>0</v>
      </c>
      <c r="B3575" t="s">
        <v>10</v>
      </c>
      <c r="H3575" t="s">
        <v>19</v>
      </c>
    </row>
    <row r="3576" spans="1:8">
      <c r="A3576" s="1">
        <f>HYPERLINK("https://cms.ls-nyc.org/matter/dynamic-profile/view/1886622","18-1886622")</f>
        <v>0</v>
      </c>
      <c r="B3576" t="s">
        <v>10</v>
      </c>
      <c r="H3576" t="s">
        <v>19</v>
      </c>
    </row>
    <row r="3577" spans="1:8">
      <c r="A3577" s="1">
        <f>HYPERLINK("https://cms.ls-nyc.org/matter/dynamic-profile/view/1889508","19-1889508")</f>
        <v>0</v>
      </c>
      <c r="B3577" t="s">
        <v>9</v>
      </c>
      <c r="C3577" t="s">
        <v>13</v>
      </c>
      <c r="H3577" t="s">
        <v>20</v>
      </c>
    </row>
    <row r="3578" spans="1:8">
      <c r="A3578" s="1">
        <f>HYPERLINK("https://cms.ls-nyc.org/matter/dynamic-profile/view/1891401","19-1891401")</f>
        <v>0</v>
      </c>
      <c r="B3578" t="s">
        <v>10</v>
      </c>
      <c r="H3578" t="s">
        <v>19</v>
      </c>
    </row>
    <row r="3579" spans="1:8">
      <c r="A3579" s="1">
        <f>HYPERLINK("https://cms.ls-nyc.org/matter/dynamic-profile/view/1891397","19-1891397")</f>
        <v>0</v>
      </c>
      <c r="B3579" t="s">
        <v>10</v>
      </c>
      <c r="H3579" t="s">
        <v>19</v>
      </c>
    </row>
    <row r="3580" spans="1:8">
      <c r="A3580" s="1">
        <f>HYPERLINK("https://cms.ls-nyc.org/matter/dynamic-profile/view/0790088","15-0790088")</f>
        <v>0</v>
      </c>
      <c r="B3580" t="s">
        <v>12</v>
      </c>
      <c r="C3580" t="s">
        <v>13</v>
      </c>
      <c r="D3580" t="s">
        <v>15</v>
      </c>
      <c r="H3580" t="s">
        <v>20</v>
      </c>
    </row>
    <row r="3581" spans="1:8">
      <c r="A3581" s="1">
        <f>HYPERLINK("https://cms.ls-nyc.org/matter/dynamic-profile/view/1886574","18-1886574")</f>
        <v>0</v>
      </c>
      <c r="B3581" t="s">
        <v>10</v>
      </c>
      <c r="H3581" t="s">
        <v>19</v>
      </c>
    </row>
    <row r="3582" spans="1:8">
      <c r="A3582" s="1">
        <f>HYPERLINK("https://cms.ls-nyc.org/matter/dynamic-profile/view/1898030","19-1898030")</f>
        <v>0</v>
      </c>
      <c r="B3582" t="s">
        <v>9</v>
      </c>
      <c r="E3582" t="s">
        <v>16</v>
      </c>
      <c r="F3582" t="s">
        <v>17</v>
      </c>
      <c r="H3582" t="s">
        <v>20</v>
      </c>
    </row>
    <row r="3583" spans="1:8">
      <c r="A3583" s="1">
        <f>HYPERLINK("https://cms.ls-nyc.org/matter/dynamic-profile/view/1898037","19-1898037")</f>
        <v>0</v>
      </c>
      <c r="B3583" t="s">
        <v>9</v>
      </c>
      <c r="E3583" t="s">
        <v>16</v>
      </c>
      <c r="F3583" t="s">
        <v>17</v>
      </c>
      <c r="H3583" t="s">
        <v>20</v>
      </c>
    </row>
    <row r="3584" spans="1:8">
      <c r="A3584" s="1">
        <f>HYPERLINK("https://cms.ls-nyc.org/matter/dynamic-profile/view/1866667","18-1866667")</f>
        <v>0</v>
      </c>
      <c r="B3584" t="s">
        <v>12</v>
      </c>
      <c r="D3584" t="s">
        <v>15</v>
      </c>
      <c r="E3584" t="s">
        <v>16</v>
      </c>
      <c r="H3584" t="s">
        <v>20</v>
      </c>
    </row>
    <row r="3585" spans="1:8">
      <c r="A3585" s="1">
        <f>HYPERLINK("https://cms.ls-nyc.org/matter/dynamic-profile/view/1899590","19-1899590")</f>
        <v>0</v>
      </c>
      <c r="B3585" t="s">
        <v>9</v>
      </c>
      <c r="C3585" t="s">
        <v>13</v>
      </c>
      <c r="D3585" t="s">
        <v>14</v>
      </c>
      <c r="E3585" t="s">
        <v>16</v>
      </c>
      <c r="H3585" t="s">
        <v>20</v>
      </c>
    </row>
    <row r="3586" spans="1:8">
      <c r="A3586" s="1">
        <f>HYPERLINK("https://cms.ls-nyc.org/matter/dynamic-profile/view/1874396","18-1874396")</f>
        <v>0</v>
      </c>
      <c r="B3586" t="s">
        <v>12</v>
      </c>
      <c r="H3586" t="s">
        <v>19</v>
      </c>
    </row>
    <row r="3587" spans="1:8">
      <c r="A3587" s="1">
        <f>HYPERLINK("https://cms.ls-nyc.org/matter/dynamic-profile/view/0809645","16-0809645")</f>
        <v>0</v>
      </c>
      <c r="B3587" t="s">
        <v>10</v>
      </c>
      <c r="D3587" t="s">
        <v>15</v>
      </c>
      <c r="E3587" t="s">
        <v>16</v>
      </c>
      <c r="H3587" t="s">
        <v>20</v>
      </c>
    </row>
    <row r="3588" spans="1:8">
      <c r="A3588" s="1">
        <f>HYPERLINK("https://cms.ls-nyc.org/matter/dynamic-profile/view/1892667","19-1892667")</f>
        <v>0</v>
      </c>
      <c r="B3588" t="s">
        <v>9</v>
      </c>
      <c r="E3588" t="s">
        <v>16</v>
      </c>
      <c r="F3588" t="s">
        <v>17</v>
      </c>
      <c r="H3588" t="s">
        <v>20</v>
      </c>
    </row>
    <row r="3589" spans="1:8">
      <c r="A3589" s="1">
        <f>HYPERLINK("https://cms.ls-nyc.org/matter/dynamic-profile/view/1892672","19-1892672")</f>
        <v>0</v>
      </c>
      <c r="B3589" t="s">
        <v>9</v>
      </c>
      <c r="E3589" t="s">
        <v>16</v>
      </c>
      <c r="F3589" t="s">
        <v>17</v>
      </c>
      <c r="H3589" t="s">
        <v>20</v>
      </c>
    </row>
    <row r="3590" spans="1:8">
      <c r="A3590" s="1">
        <f>HYPERLINK("https://cms.ls-nyc.org/matter/dynamic-profile/view/1893228","19-1893228")</f>
        <v>0</v>
      </c>
      <c r="B3590" t="s">
        <v>12</v>
      </c>
      <c r="H3590" t="s">
        <v>19</v>
      </c>
    </row>
    <row r="3591" spans="1:8">
      <c r="A3591" s="1">
        <f>HYPERLINK("https://cms.ls-nyc.org/matter/dynamic-profile/view/1901019","19-1901019")</f>
        <v>0</v>
      </c>
      <c r="B3591" t="s">
        <v>12</v>
      </c>
      <c r="F3591" t="s">
        <v>17</v>
      </c>
      <c r="H3591" t="s">
        <v>20</v>
      </c>
    </row>
    <row r="3592" spans="1:8">
      <c r="A3592" s="1">
        <f>HYPERLINK("https://cms.ls-nyc.org/matter/dynamic-profile/view/0795221","15-0795221")</f>
        <v>0</v>
      </c>
      <c r="B3592" t="s">
        <v>8</v>
      </c>
      <c r="D3592" t="s">
        <v>15</v>
      </c>
      <c r="E3592" t="s">
        <v>16</v>
      </c>
      <c r="H3592" t="s">
        <v>20</v>
      </c>
    </row>
    <row r="3593" spans="1:8">
      <c r="A3593" s="1">
        <f>HYPERLINK("https://cms.ls-nyc.org/matter/dynamic-profile/view/0795243","15-0795243")</f>
        <v>0</v>
      </c>
      <c r="B3593" t="s">
        <v>8</v>
      </c>
      <c r="D3593" t="s">
        <v>15</v>
      </c>
      <c r="E3593" t="s">
        <v>16</v>
      </c>
      <c r="H3593" t="s">
        <v>20</v>
      </c>
    </row>
    <row r="3594" spans="1:8">
      <c r="A3594" s="1">
        <f>HYPERLINK("https://cms.ls-nyc.org/matter/dynamic-profile/view/0794224","15-0794224")</f>
        <v>0</v>
      </c>
      <c r="B3594" t="s">
        <v>10</v>
      </c>
      <c r="D3594" t="s">
        <v>15</v>
      </c>
      <c r="E3594" t="s">
        <v>16</v>
      </c>
      <c r="H3594" t="s">
        <v>20</v>
      </c>
    </row>
    <row r="3595" spans="1:8">
      <c r="A3595" s="1">
        <f>HYPERLINK("https://cms.ls-nyc.org/matter/dynamic-profile/view/1882161","18-1882161")</f>
        <v>0</v>
      </c>
      <c r="B3595" t="s">
        <v>9</v>
      </c>
      <c r="H3595" t="s">
        <v>19</v>
      </c>
    </row>
    <row r="3596" spans="1:8">
      <c r="A3596" s="1">
        <f>HYPERLINK("https://cms.ls-nyc.org/matter/dynamic-profile/view/1879590","18-1879590")</f>
        <v>0</v>
      </c>
      <c r="B3596" t="s">
        <v>9</v>
      </c>
      <c r="H3596" t="s">
        <v>19</v>
      </c>
    </row>
    <row r="3597" spans="1:8">
      <c r="A3597" s="1">
        <f>HYPERLINK("https://cms.ls-nyc.org/matter/dynamic-profile/view/1867470","18-1867470")</f>
        <v>0</v>
      </c>
      <c r="B3597" t="s">
        <v>9</v>
      </c>
      <c r="H3597" t="s">
        <v>19</v>
      </c>
    </row>
    <row r="3598" spans="1:8">
      <c r="A3598" s="1">
        <f>HYPERLINK("https://cms.ls-nyc.org/matter/dynamic-profile/view/1863906","18-1863906")</f>
        <v>0</v>
      </c>
      <c r="B3598" t="s">
        <v>12</v>
      </c>
      <c r="D3598" t="s">
        <v>15</v>
      </c>
      <c r="H3598" t="s">
        <v>20</v>
      </c>
    </row>
    <row r="3599" spans="1:8">
      <c r="A3599" s="1">
        <f>HYPERLINK("https://cms.ls-nyc.org/matter/dynamic-profile/view/0820608","16-0820608")</f>
        <v>0</v>
      </c>
      <c r="B3599" t="s">
        <v>10</v>
      </c>
      <c r="D3599" t="s">
        <v>15</v>
      </c>
      <c r="E3599" t="s">
        <v>16</v>
      </c>
      <c r="H3599" t="s">
        <v>20</v>
      </c>
    </row>
    <row r="3600" spans="1:8">
      <c r="A3600" s="1">
        <f>HYPERLINK("https://cms.ls-nyc.org/matter/dynamic-profile/view/1882564","18-1882564")</f>
        <v>0</v>
      </c>
      <c r="B3600" t="s">
        <v>12</v>
      </c>
      <c r="H3600" t="s">
        <v>19</v>
      </c>
    </row>
    <row r="3601" spans="1:8">
      <c r="A3601" s="1">
        <f>HYPERLINK("https://cms.ls-nyc.org/matter/dynamic-profile/view/1900955","19-1900955")</f>
        <v>0</v>
      </c>
      <c r="B3601" t="s">
        <v>12</v>
      </c>
      <c r="C3601" t="s">
        <v>13</v>
      </c>
      <c r="E3601" t="s">
        <v>16</v>
      </c>
      <c r="H3601" t="s">
        <v>20</v>
      </c>
    </row>
    <row r="3602" spans="1:8">
      <c r="A3602" s="1">
        <f>HYPERLINK("https://cms.ls-nyc.org/matter/dynamic-profile/view/1841452","17-1841452")</f>
        <v>0</v>
      </c>
      <c r="B3602" t="s">
        <v>12</v>
      </c>
      <c r="D3602" t="s">
        <v>15</v>
      </c>
      <c r="E3602" t="s">
        <v>16</v>
      </c>
      <c r="H3602" t="s">
        <v>20</v>
      </c>
    </row>
    <row r="3603" spans="1:8">
      <c r="A3603" s="1">
        <f>HYPERLINK("https://cms.ls-nyc.org/matter/dynamic-profile/view/1883176","18-1883176")</f>
        <v>0</v>
      </c>
      <c r="B3603" t="s">
        <v>9</v>
      </c>
      <c r="H3603" t="s">
        <v>19</v>
      </c>
    </row>
    <row r="3604" spans="1:8">
      <c r="A3604" s="1">
        <f>HYPERLINK("https://cms.ls-nyc.org/matter/dynamic-profile/view/1880681","18-1880681")</f>
        <v>0</v>
      </c>
      <c r="B3604" t="s">
        <v>12</v>
      </c>
      <c r="H3604" t="s">
        <v>19</v>
      </c>
    </row>
    <row r="3605" spans="1:8">
      <c r="A3605" s="1">
        <f>HYPERLINK("https://cms.ls-nyc.org/matter/dynamic-profile/view/1870372","18-1870372")</f>
        <v>0</v>
      </c>
      <c r="B3605" t="s">
        <v>8</v>
      </c>
      <c r="D3605" t="s">
        <v>15</v>
      </c>
      <c r="E3605" t="s">
        <v>16</v>
      </c>
      <c r="H3605" t="s">
        <v>20</v>
      </c>
    </row>
    <row r="3606" spans="1:8">
      <c r="A3606" s="1">
        <f>HYPERLINK("https://cms.ls-nyc.org/matter/dynamic-profile/view/1885589","18-1885589")</f>
        <v>0</v>
      </c>
      <c r="B3606" t="s">
        <v>10</v>
      </c>
      <c r="H3606" t="s">
        <v>19</v>
      </c>
    </row>
    <row r="3607" spans="1:8">
      <c r="A3607" s="1">
        <f>HYPERLINK("https://cms.ls-nyc.org/matter/dynamic-profile/view/1891698","19-1891698")</f>
        <v>0</v>
      </c>
      <c r="B3607" t="s">
        <v>10</v>
      </c>
      <c r="H3607" t="s">
        <v>19</v>
      </c>
    </row>
    <row r="3608" spans="1:8">
      <c r="A3608" s="1">
        <f>HYPERLINK("https://cms.ls-nyc.org/matter/dynamic-profile/view/1846572","17-1846572")</f>
        <v>0</v>
      </c>
      <c r="B3608" t="s">
        <v>8</v>
      </c>
      <c r="D3608" t="s">
        <v>15</v>
      </c>
      <c r="E3608" t="s">
        <v>16</v>
      </c>
      <c r="H3608" t="s">
        <v>20</v>
      </c>
    </row>
    <row r="3609" spans="1:8">
      <c r="A3609" s="1">
        <f>HYPERLINK("https://cms.ls-nyc.org/matter/dynamic-profile/view/1880776","18-1880776")</f>
        <v>0</v>
      </c>
      <c r="B3609" t="s">
        <v>10</v>
      </c>
      <c r="H3609" t="s">
        <v>19</v>
      </c>
    </row>
    <row r="3610" spans="1:8">
      <c r="A3610" s="1">
        <f>HYPERLINK("https://cms.ls-nyc.org/matter/dynamic-profile/view/1901181","19-1901181")</f>
        <v>0</v>
      </c>
      <c r="B3610" t="s">
        <v>12</v>
      </c>
      <c r="H3610" t="s">
        <v>19</v>
      </c>
    </row>
    <row r="3611" spans="1:8">
      <c r="A3611" s="1">
        <f>HYPERLINK("https://cms.ls-nyc.org/matter/dynamic-profile/view/1898805","19-1898805")</f>
        <v>0</v>
      </c>
      <c r="B3611" t="s">
        <v>12</v>
      </c>
      <c r="H3611" t="s">
        <v>19</v>
      </c>
    </row>
    <row r="3612" spans="1:8">
      <c r="A3612" s="1">
        <f>HYPERLINK("https://cms.ls-nyc.org/matter/dynamic-profile/view/1880693","18-1880693")</f>
        <v>0</v>
      </c>
      <c r="B3612" t="s">
        <v>9</v>
      </c>
      <c r="H3612" t="s">
        <v>19</v>
      </c>
    </row>
    <row r="3613" spans="1:8">
      <c r="A3613" s="1">
        <f>HYPERLINK("https://cms.ls-nyc.org/matter/dynamic-profile/view/1900631","19-1900631")</f>
        <v>0</v>
      </c>
      <c r="B3613" t="s">
        <v>9</v>
      </c>
      <c r="H3613" t="s">
        <v>19</v>
      </c>
    </row>
    <row r="3614" spans="1:8">
      <c r="A3614" s="1">
        <f>HYPERLINK("https://cms.ls-nyc.org/matter/dynamic-profile/view/1882164","18-1882164")</f>
        <v>0</v>
      </c>
      <c r="B3614" t="s">
        <v>9</v>
      </c>
      <c r="H3614" t="s">
        <v>19</v>
      </c>
    </row>
    <row r="3615" spans="1:8">
      <c r="A3615" s="1">
        <f>HYPERLINK("https://cms.ls-nyc.org/matter/dynamic-profile/view/1900422","19-1900422")</f>
        <v>0</v>
      </c>
      <c r="B3615" t="s">
        <v>12</v>
      </c>
      <c r="C3615" t="s">
        <v>13</v>
      </c>
      <c r="D3615" t="s">
        <v>14</v>
      </c>
      <c r="E3615" t="s">
        <v>16</v>
      </c>
      <c r="H3615" t="s">
        <v>20</v>
      </c>
    </row>
    <row r="3616" spans="1:8">
      <c r="A3616" s="1">
        <f>HYPERLINK("https://cms.ls-nyc.org/matter/dynamic-profile/view/1899903","19-1899903")</f>
        <v>0</v>
      </c>
      <c r="B3616" t="s">
        <v>10</v>
      </c>
      <c r="C3616" t="s">
        <v>13</v>
      </c>
      <c r="D3616" t="s">
        <v>14</v>
      </c>
      <c r="E3616" t="s">
        <v>16</v>
      </c>
      <c r="F3616" t="s">
        <v>17</v>
      </c>
      <c r="H3616" t="s">
        <v>20</v>
      </c>
    </row>
    <row r="3617" spans="1:8">
      <c r="A3617" s="1">
        <f>HYPERLINK("https://cms.ls-nyc.org/matter/dynamic-profile/view/0830904","17-0830904")</f>
        <v>0</v>
      </c>
      <c r="B3617" t="s">
        <v>12</v>
      </c>
      <c r="C3617" t="s">
        <v>13</v>
      </c>
      <c r="D3617" t="s">
        <v>15</v>
      </c>
      <c r="E3617" t="s">
        <v>16</v>
      </c>
      <c r="H3617" t="s">
        <v>20</v>
      </c>
    </row>
    <row r="3618" spans="1:8">
      <c r="A3618" s="1">
        <f>HYPERLINK("https://cms.ls-nyc.org/matter/dynamic-profile/view/1845584","17-1845584")</f>
        <v>0</v>
      </c>
      <c r="B3618" t="s">
        <v>9</v>
      </c>
      <c r="D3618" t="s">
        <v>15</v>
      </c>
      <c r="E3618" t="s">
        <v>16</v>
      </c>
      <c r="H3618" t="s">
        <v>20</v>
      </c>
    </row>
    <row r="3619" spans="1:8">
      <c r="A3619" s="1">
        <f>HYPERLINK("https://cms.ls-nyc.org/matter/dynamic-profile/view/1886128","18-1886128")</f>
        <v>0</v>
      </c>
      <c r="B3619" t="s">
        <v>10</v>
      </c>
      <c r="H3619" t="s">
        <v>19</v>
      </c>
    </row>
    <row r="3620" spans="1:8">
      <c r="A3620" s="1">
        <f>HYPERLINK("https://cms.ls-nyc.org/matter/dynamic-profile/view/1895465","19-1895465")</f>
        <v>0</v>
      </c>
      <c r="B3620" t="s">
        <v>9</v>
      </c>
      <c r="H3620" t="s">
        <v>19</v>
      </c>
    </row>
    <row r="3621" spans="1:8">
      <c r="A3621" s="1">
        <f>HYPERLINK("https://cms.ls-nyc.org/matter/dynamic-profile/view/1895474","19-1895474")</f>
        <v>0</v>
      </c>
      <c r="B3621" t="s">
        <v>9</v>
      </c>
      <c r="H3621" t="s">
        <v>19</v>
      </c>
    </row>
    <row r="3622" spans="1:8">
      <c r="A3622" s="1">
        <f>HYPERLINK("https://cms.ls-nyc.org/matter/dynamic-profile/view/1861657","18-1861657")</f>
        <v>0</v>
      </c>
      <c r="B3622" t="s">
        <v>8</v>
      </c>
      <c r="D3622" t="s">
        <v>15</v>
      </c>
      <c r="E3622" t="s">
        <v>16</v>
      </c>
      <c r="H3622" t="s">
        <v>20</v>
      </c>
    </row>
    <row r="3623" spans="1:8">
      <c r="A3623" s="1">
        <f>HYPERLINK("https://cms.ls-nyc.org/matter/dynamic-profile/view/1861662","18-1861662")</f>
        <v>0</v>
      </c>
      <c r="B3623" t="s">
        <v>8</v>
      </c>
      <c r="D3623" t="s">
        <v>15</v>
      </c>
      <c r="E3623" t="s">
        <v>16</v>
      </c>
      <c r="H3623" t="s">
        <v>20</v>
      </c>
    </row>
    <row r="3624" spans="1:8">
      <c r="A3624" s="1">
        <f>HYPERLINK("https://cms.ls-nyc.org/matter/dynamic-profile/view/1890441","19-1890441")</f>
        <v>0</v>
      </c>
      <c r="B3624" t="s">
        <v>10</v>
      </c>
      <c r="H3624" t="s">
        <v>19</v>
      </c>
    </row>
    <row r="3625" spans="1:8">
      <c r="A3625" s="1">
        <f>HYPERLINK("https://cms.ls-nyc.org/matter/dynamic-profile/view/1890433","19-1890433")</f>
        <v>0</v>
      </c>
      <c r="B3625" t="s">
        <v>10</v>
      </c>
      <c r="H3625" t="s">
        <v>19</v>
      </c>
    </row>
    <row r="3626" spans="1:8">
      <c r="A3626" s="1">
        <f>HYPERLINK("https://cms.ls-nyc.org/matter/dynamic-profile/view/1881268","18-1881268")</f>
        <v>0</v>
      </c>
      <c r="B3626" t="s">
        <v>12</v>
      </c>
      <c r="H3626" t="s">
        <v>19</v>
      </c>
    </row>
    <row r="3627" spans="1:8">
      <c r="A3627" s="1">
        <f>HYPERLINK("https://cms.ls-nyc.org/matter/dynamic-profile/view/1854856","17-1854856")</f>
        <v>0</v>
      </c>
      <c r="B3627" t="s">
        <v>9</v>
      </c>
      <c r="D3627" t="s">
        <v>15</v>
      </c>
      <c r="E3627" t="s">
        <v>16</v>
      </c>
      <c r="H3627" t="s">
        <v>20</v>
      </c>
    </row>
    <row r="3628" spans="1:8">
      <c r="A3628" s="1">
        <f>HYPERLINK("https://cms.ls-nyc.org/matter/dynamic-profile/view/1850772","17-1850772")</f>
        <v>0</v>
      </c>
      <c r="B3628" t="s">
        <v>12</v>
      </c>
      <c r="D3628" t="s">
        <v>15</v>
      </c>
      <c r="E3628" t="s">
        <v>16</v>
      </c>
      <c r="H3628" t="s">
        <v>20</v>
      </c>
    </row>
    <row r="3629" spans="1:8">
      <c r="A3629" s="1">
        <f>HYPERLINK("https://cms.ls-nyc.org/matter/dynamic-profile/view/1897061","19-1897061")</f>
        <v>0</v>
      </c>
      <c r="B3629" t="s">
        <v>12</v>
      </c>
      <c r="H3629" t="s">
        <v>19</v>
      </c>
    </row>
    <row r="3630" spans="1:8">
      <c r="A3630" s="1">
        <f>HYPERLINK("https://cms.ls-nyc.org/matter/dynamic-profile/view/1843111","17-1843111")</f>
        <v>0</v>
      </c>
      <c r="B3630" t="s">
        <v>12</v>
      </c>
      <c r="D3630" t="s">
        <v>15</v>
      </c>
      <c r="H3630" t="s">
        <v>20</v>
      </c>
    </row>
    <row r="3631" spans="1:8">
      <c r="A3631" s="1">
        <f>HYPERLINK("https://cms.ls-nyc.org/matter/dynamic-profile/view/1887959","19-1887959")</f>
        <v>0</v>
      </c>
      <c r="B3631" t="s">
        <v>10</v>
      </c>
      <c r="D3631" t="s">
        <v>14</v>
      </c>
      <c r="H3631" t="s">
        <v>20</v>
      </c>
    </row>
    <row r="3632" spans="1:8">
      <c r="A3632" s="1">
        <f>HYPERLINK("https://cms.ls-nyc.org/matter/dynamic-profile/view/1886223","18-1886223")</f>
        <v>0</v>
      </c>
      <c r="B3632" t="s">
        <v>8</v>
      </c>
      <c r="C3632" t="s">
        <v>13</v>
      </c>
      <c r="D3632" t="s">
        <v>14</v>
      </c>
      <c r="E3632" t="s">
        <v>16</v>
      </c>
      <c r="H3632" t="s">
        <v>20</v>
      </c>
    </row>
    <row r="3633" spans="1:8">
      <c r="A3633" s="1">
        <f>HYPERLINK("https://cms.ls-nyc.org/matter/dynamic-profile/view/1857200","18-1857200")</f>
        <v>0</v>
      </c>
      <c r="B3633" t="s">
        <v>9</v>
      </c>
      <c r="D3633" t="s">
        <v>15</v>
      </c>
      <c r="E3633" t="s">
        <v>16</v>
      </c>
      <c r="H3633" t="s">
        <v>20</v>
      </c>
    </row>
    <row r="3634" spans="1:8">
      <c r="A3634" s="1">
        <f>HYPERLINK("https://cms.ls-nyc.org/matter/dynamic-profile/view/1871695","18-1871695")</f>
        <v>0</v>
      </c>
      <c r="B3634" t="s">
        <v>9</v>
      </c>
      <c r="D3634" t="s">
        <v>15</v>
      </c>
      <c r="E3634" t="s">
        <v>16</v>
      </c>
      <c r="H3634" t="s">
        <v>20</v>
      </c>
    </row>
    <row r="3635" spans="1:8">
      <c r="A3635" s="1">
        <f>HYPERLINK("https://cms.ls-nyc.org/matter/dynamic-profile/view/1851061","17-1851061")</f>
        <v>0</v>
      </c>
      <c r="B3635" t="s">
        <v>9</v>
      </c>
      <c r="D3635" t="s">
        <v>15</v>
      </c>
      <c r="E3635" t="s">
        <v>16</v>
      </c>
      <c r="H3635" t="s">
        <v>20</v>
      </c>
    </row>
    <row r="3636" spans="1:8">
      <c r="A3636" s="1">
        <f>HYPERLINK("https://cms.ls-nyc.org/matter/dynamic-profile/view/1851056","17-1851056")</f>
        <v>0</v>
      </c>
      <c r="B3636" t="s">
        <v>9</v>
      </c>
      <c r="D3636" t="s">
        <v>15</v>
      </c>
      <c r="H3636" t="s">
        <v>20</v>
      </c>
    </row>
    <row r="3637" spans="1:8">
      <c r="A3637" s="1">
        <f>HYPERLINK("https://cms.ls-nyc.org/matter/dynamic-profile/view/1893957","19-1893957")</f>
        <v>0</v>
      </c>
      <c r="B3637" t="s">
        <v>10</v>
      </c>
      <c r="H3637" t="s">
        <v>19</v>
      </c>
    </row>
    <row r="3638" spans="1:8">
      <c r="A3638" s="1">
        <f>HYPERLINK("https://cms.ls-nyc.org/matter/dynamic-profile/view/1888399","19-1888399")</f>
        <v>0</v>
      </c>
      <c r="B3638" t="s">
        <v>12</v>
      </c>
      <c r="H3638" t="s">
        <v>19</v>
      </c>
    </row>
    <row r="3639" spans="1:8">
      <c r="A3639" s="1">
        <f>HYPERLINK("https://cms.ls-nyc.org/matter/dynamic-profile/view/1897124","19-1897124")</f>
        <v>0</v>
      </c>
      <c r="B3639" t="s">
        <v>8</v>
      </c>
      <c r="H3639" t="s">
        <v>19</v>
      </c>
    </row>
    <row r="3640" spans="1:8">
      <c r="A3640" s="1">
        <f>HYPERLINK("https://cms.ls-nyc.org/matter/dynamic-profile/view/1893945","19-1893945")</f>
        <v>0</v>
      </c>
      <c r="B3640" t="s">
        <v>8</v>
      </c>
      <c r="H3640" t="s">
        <v>19</v>
      </c>
    </row>
    <row r="3641" spans="1:8">
      <c r="A3641" s="1">
        <f>HYPERLINK("https://cms.ls-nyc.org/matter/dynamic-profile/view/1893322","19-1893322")</f>
        <v>0</v>
      </c>
      <c r="B3641" t="s">
        <v>9</v>
      </c>
      <c r="D3641" t="s">
        <v>14</v>
      </c>
      <c r="F3641" t="s">
        <v>17</v>
      </c>
      <c r="H3641" t="s">
        <v>20</v>
      </c>
    </row>
    <row r="3642" spans="1:8">
      <c r="A3642" s="1">
        <f>HYPERLINK("https://cms.ls-nyc.org/matter/dynamic-profile/view/1893312","19-1893312")</f>
        <v>0</v>
      </c>
      <c r="B3642" t="s">
        <v>9</v>
      </c>
      <c r="D3642" t="s">
        <v>14</v>
      </c>
      <c r="H3642" t="s">
        <v>20</v>
      </c>
    </row>
    <row r="3643" spans="1:8">
      <c r="A3643" s="1">
        <f>HYPERLINK("https://cms.ls-nyc.org/matter/dynamic-profile/view/1893362","19-1893362")</f>
        <v>0</v>
      </c>
      <c r="B3643" t="s">
        <v>9</v>
      </c>
      <c r="D3643" t="s">
        <v>14</v>
      </c>
      <c r="F3643" t="s">
        <v>17</v>
      </c>
      <c r="H3643" t="s">
        <v>20</v>
      </c>
    </row>
    <row r="3644" spans="1:8">
      <c r="A3644" s="1">
        <f>HYPERLINK("https://cms.ls-nyc.org/matter/dynamic-profile/view/0820647","16-0820647")</f>
        <v>0</v>
      </c>
      <c r="B3644" t="s">
        <v>10</v>
      </c>
      <c r="D3644" t="s">
        <v>15</v>
      </c>
      <c r="E3644" t="s">
        <v>16</v>
      </c>
      <c r="H3644" t="s">
        <v>20</v>
      </c>
    </row>
    <row r="3645" spans="1:8">
      <c r="A3645" s="1">
        <f>HYPERLINK("https://cms.ls-nyc.org/matter/dynamic-profile/view/1842911","17-1842911")</f>
        <v>0</v>
      </c>
      <c r="B3645" t="s">
        <v>11</v>
      </c>
      <c r="D3645" t="s">
        <v>15</v>
      </c>
      <c r="E3645" t="s">
        <v>16</v>
      </c>
      <c r="H3645" t="s">
        <v>20</v>
      </c>
    </row>
    <row r="3646" spans="1:8">
      <c r="A3646" s="1">
        <f>HYPERLINK("https://cms.ls-nyc.org/matter/dynamic-profile/view/1867368","18-1867368")</f>
        <v>0</v>
      </c>
      <c r="B3646" t="s">
        <v>12</v>
      </c>
      <c r="D3646" t="s">
        <v>15</v>
      </c>
      <c r="H3646" t="s">
        <v>20</v>
      </c>
    </row>
    <row r="3647" spans="1:8">
      <c r="A3647" s="1">
        <f>HYPERLINK("https://cms.ls-nyc.org/matter/dynamic-profile/view/1899661","19-1899661")</f>
        <v>0</v>
      </c>
      <c r="B3647" t="s">
        <v>9</v>
      </c>
      <c r="E3647" t="s">
        <v>16</v>
      </c>
      <c r="H3647" t="s">
        <v>20</v>
      </c>
    </row>
    <row r="3648" spans="1:8">
      <c r="A3648" s="1">
        <f>HYPERLINK("https://cms.ls-nyc.org/matter/dynamic-profile/view/1890547","19-1890547")</f>
        <v>0</v>
      </c>
      <c r="B3648" t="s">
        <v>10</v>
      </c>
      <c r="H3648" t="s">
        <v>19</v>
      </c>
    </row>
    <row r="3649" spans="1:8">
      <c r="A3649" s="1">
        <f>HYPERLINK("https://cms.ls-nyc.org/matter/dynamic-profile/view/1878313","18-1878313")</f>
        <v>0</v>
      </c>
      <c r="B3649" t="s">
        <v>12</v>
      </c>
      <c r="H3649" t="s">
        <v>19</v>
      </c>
    </row>
    <row r="3650" spans="1:8">
      <c r="A3650" s="1">
        <f>HYPERLINK("https://cms.ls-nyc.org/matter/dynamic-profile/view/1889030","19-1889030")</f>
        <v>0</v>
      </c>
      <c r="B3650" t="s">
        <v>9</v>
      </c>
      <c r="H3650" t="s">
        <v>19</v>
      </c>
    </row>
    <row r="3651" spans="1:8">
      <c r="A3651" s="1">
        <f>HYPERLINK("https://cms.ls-nyc.org/matter/dynamic-profile/view/1895315","19-1895315")</f>
        <v>0</v>
      </c>
      <c r="B3651" t="s">
        <v>9</v>
      </c>
      <c r="C3651" t="s">
        <v>13</v>
      </c>
      <c r="E3651" t="s">
        <v>16</v>
      </c>
      <c r="H3651" t="s">
        <v>20</v>
      </c>
    </row>
    <row r="3652" spans="1:8">
      <c r="A3652" s="1">
        <f>HYPERLINK("https://cms.ls-nyc.org/matter/dynamic-profile/view/1892989","19-1892989")</f>
        <v>0</v>
      </c>
      <c r="B3652" t="s">
        <v>10</v>
      </c>
      <c r="D3652" t="s">
        <v>14</v>
      </c>
      <c r="G3652" t="s">
        <v>18</v>
      </c>
      <c r="H3652" t="s">
        <v>20</v>
      </c>
    </row>
    <row r="3653" spans="1:8">
      <c r="A3653" s="1">
        <f>HYPERLINK("https://cms.ls-nyc.org/matter/dynamic-profile/view/1889954","19-1889954")</f>
        <v>0</v>
      </c>
      <c r="B3653" t="s">
        <v>10</v>
      </c>
      <c r="H3653" t="s">
        <v>19</v>
      </c>
    </row>
    <row r="3654" spans="1:8">
      <c r="A3654" s="1">
        <f>HYPERLINK("https://cms.ls-nyc.org/matter/dynamic-profile/view/1889980","19-1889980")</f>
        <v>0</v>
      </c>
      <c r="B3654" t="s">
        <v>10</v>
      </c>
      <c r="H3654" t="s">
        <v>19</v>
      </c>
    </row>
    <row r="3655" spans="1:8">
      <c r="A3655" s="1">
        <f>HYPERLINK("https://cms.ls-nyc.org/matter/dynamic-profile/view/0829098","17-0829098")</f>
        <v>0</v>
      </c>
      <c r="B3655" t="s">
        <v>9</v>
      </c>
      <c r="D3655" t="s">
        <v>15</v>
      </c>
      <c r="E3655" t="s">
        <v>16</v>
      </c>
      <c r="F3655" t="s">
        <v>17</v>
      </c>
      <c r="H3655" t="s">
        <v>20</v>
      </c>
    </row>
    <row r="3656" spans="1:8">
      <c r="A3656" s="1">
        <f>HYPERLINK("https://cms.ls-nyc.org/matter/dynamic-profile/view/1854894","17-1854894")</f>
        <v>0</v>
      </c>
      <c r="B3656" t="s">
        <v>10</v>
      </c>
      <c r="D3656" t="s">
        <v>15</v>
      </c>
      <c r="E3656" t="s">
        <v>16</v>
      </c>
      <c r="H3656" t="s">
        <v>20</v>
      </c>
    </row>
    <row r="3657" spans="1:8">
      <c r="A3657" s="1">
        <f>HYPERLINK("https://cms.ls-nyc.org/matter/dynamic-profile/view/1855272","18-1855272")</f>
        <v>0</v>
      </c>
      <c r="B3657" t="s">
        <v>10</v>
      </c>
      <c r="D3657" t="s">
        <v>15</v>
      </c>
      <c r="E3657" t="s">
        <v>16</v>
      </c>
      <c r="H3657" t="s">
        <v>20</v>
      </c>
    </row>
    <row r="3658" spans="1:8">
      <c r="A3658" s="1">
        <f>HYPERLINK("https://cms.ls-nyc.org/matter/dynamic-profile/view/1850609","17-1850609")</f>
        <v>0</v>
      </c>
      <c r="B3658" t="s">
        <v>11</v>
      </c>
      <c r="D3658" t="s">
        <v>15</v>
      </c>
      <c r="E3658" t="s">
        <v>16</v>
      </c>
      <c r="H3658" t="s">
        <v>20</v>
      </c>
    </row>
    <row r="3659" spans="1:8">
      <c r="A3659" s="1">
        <f>HYPERLINK("https://cms.ls-nyc.org/matter/dynamic-profile/view/1898973","19-1898973")</f>
        <v>0</v>
      </c>
      <c r="B3659" t="s">
        <v>12</v>
      </c>
      <c r="H3659" t="s">
        <v>19</v>
      </c>
    </row>
    <row r="3660" spans="1:8">
      <c r="A3660" s="1">
        <f>HYPERLINK("https://cms.ls-nyc.org/matter/dynamic-profile/view/1894678","19-1894678")</f>
        <v>0</v>
      </c>
      <c r="B3660" t="s">
        <v>12</v>
      </c>
      <c r="H3660" t="s">
        <v>19</v>
      </c>
    </row>
    <row r="3661" spans="1:8">
      <c r="A3661" s="1">
        <f>HYPERLINK("https://cms.ls-nyc.org/matter/dynamic-profile/view/1877487","18-1877487")</f>
        <v>0</v>
      </c>
      <c r="B3661" t="s">
        <v>9</v>
      </c>
      <c r="H3661" t="s">
        <v>19</v>
      </c>
    </row>
    <row r="3662" spans="1:8">
      <c r="A3662" s="1">
        <f>HYPERLINK("https://cms.ls-nyc.org/matter/dynamic-profile/view/1895560","19-1895560")</f>
        <v>0</v>
      </c>
      <c r="B3662" t="s">
        <v>11</v>
      </c>
      <c r="H3662" t="s">
        <v>19</v>
      </c>
    </row>
    <row r="3663" spans="1:8">
      <c r="A3663" s="1">
        <f>HYPERLINK("https://cms.ls-nyc.org/matter/dynamic-profile/view/1877180","18-1877180")</f>
        <v>0</v>
      </c>
      <c r="B3663" t="s">
        <v>9</v>
      </c>
      <c r="H3663" t="s">
        <v>19</v>
      </c>
    </row>
    <row r="3664" spans="1:8">
      <c r="A3664" s="1">
        <f>HYPERLINK("https://cms.ls-nyc.org/matter/dynamic-profile/view/1891717","19-1891717")</f>
        <v>0</v>
      </c>
      <c r="B3664" t="s">
        <v>9</v>
      </c>
      <c r="H3664" t="s">
        <v>19</v>
      </c>
    </row>
    <row r="3665" spans="1:8">
      <c r="A3665" s="1">
        <f>HYPERLINK("https://cms.ls-nyc.org/matter/dynamic-profile/view/0830688","17-0830688")</f>
        <v>0</v>
      </c>
      <c r="B3665" t="s">
        <v>9</v>
      </c>
      <c r="D3665" t="s">
        <v>15</v>
      </c>
      <c r="E3665" t="s">
        <v>16</v>
      </c>
      <c r="H3665" t="s">
        <v>20</v>
      </c>
    </row>
    <row r="3666" spans="1:8">
      <c r="A3666" s="1">
        <f>HYPERLINK("https://cms.ls-nyc.org/matter/dynamic-profile/view/0827330","17-0827330")</f>
        <v>0</v>
      </c>
      <c r="B3666" t="s">
        <v>12</v>
      </c>
      <c r="D3666" t="s">
        <v>15</v>
      </c>
      <c r="E3666" t="s">
        <v>16</v>
      </c>
      <c r="F3666" t="s">
        <v>17</v>
      </c>
      <c r="H3666" t="s">
        <v>20</v>
      </c>
    </row>
    <row r="3667" spans="1:8">
      <c r="A3667" s="1">
        <f>HYPERLINK("https://cms.ls-nyc.org/matter/dynamic-profile/view/1878187","18-1878187")</f>
        <v>0</v>
      </c>
      <c r="B3667" t="s">
        <v>8</v>
      </c>
      <c r="H3667" t="s">
        <v>19</v>
      </c>
    </row>
    <row r="3668" spans="1:8">
      <c r="A3668" s="1">
        <f>HYPERLINK("https://cms.ls-nyc.org/matter/dynamic-profile/view/1900641","19-1900641")</f>
        <v>0</v>
      </c>
      <c r="B3668" t="s">
        <v>9</v>
      </c>
      <c r="E3668" t="s">
        <v>16</v>
      </c>
      <c r="H3668" t="s">
        <v>20</v>
      </c>
    </row>
    <row r="3669" spans="1:8">
      <c r="A3669" s="1">
        <f>HYPERLINK("https://cms.ls-nyc.org/matter/dynamic-profile/view/1895303","19-1895303")</f>
        <v>0</v>
      </c>
      <c r="B3669" t="s">
        <v>9</v>
      </c>
      <c r="H3669" t="s">
        <v>19</v>
      </c>
    </row>
    <row r="3670" spans="1:8">
      <c r="A3670" s="1">
        <f>HYPERLINK("https://cms.ls-nyc.org/matter/dynamic-profile/view/1858802","18-1858802")</f>
        <v>0</v>
      </c>
      <c r="B3670" t="s">
        <v>12</v>
      </c>
      <c r="C3670" t="s">
        <v>13</v>
      </c>
      <c r="D3670" t="s">
        <v>14</v>
      </c>
      <c r="E3670" t="s">
        <v>16</v>
      </c>
      <c r="G3670" t="s">
        <v>18</v>
      </c>
      <c r="H3670" t="s">
        <v>20</v>
      </c>
    </row>
    <row r="3671" spans="1:8">
      <c r="A3671" s="1">
        <f>HYPERLINK("https://cms.ls-nyc.org/matter/dynamic-profile/view/1884292","18-1884292")</f>
        <v>0</v>
      </c>
      <c r="B3671" t="s">
        <v>10</v>
      </c>
      <c r="C3671" t="s">
        <v>13</v>
      </c>
      <c r="D3671" t="s">
        <v>14</v>
      </c>
      <c r="E3671" t="s">
        <v>16</v>
      </c>
      <c r="G3671" t="s">
        <v>18</v>
      </c>
      <c r="H3671" t="s">
        <v>20</v>
      </c>
    </row>
    <row r="3672" spans="1:8">
      <c r="A3672" s="1">
        <f>HYPERLINK("https://cms.ls-nyc.org/matter/dynamic-profile/view/1884294","18-1884294")</f>
        <v>0</v>
      </c>
      <c r="B3672" t="s">
        <v>10</v>
      </c>
      <c r="C3672" t="s">
        <v>13</v>
      </c>
      <c r="D3672" t="s">
        <v>14</v>
      </c>
      <c r="E3672" t="s">
        <v>16</v>
      </c>
      <c r="H3672" t="s">
        <v>20</v>
      </c>
    </row>
    <row r="3673" spans="1:8">
      <c r="A3673" s="1">
        <f>HYPERLINK("https://cms.ls-nyc.org/matter/dynamic-profile/view/1887469","19-1887469")</f>
        <v>0</v>
      </c>
      <c r="B3673" t="s">
        <v>11</v>
      </c>
      <c r="F3673" t="s">
        <v>17</v>
      </c>
      <c r="H3673" t="s">
        <v>20</v>
      </c>
    </row>
    <row r="3674" spans="1:8">
      <c r="A3674" s="1">
        <f>HYPERLINK("https://cms.ls-nyc.org/matter/dynamic-profile/view/0816161","16-0816161")</f>
        <v>0</v>
      </c>
      <c r="B3674" t="s">
        <v>9</v>
      </c>
      <c r="D3674" t="s">
        <v>15</v>
      </c>
      <c r="E3674" t="s">
        <v>16</v>
      </c>
      <c r="H3674" t="s">
        <v>20</v>
      </c>
    </row>
    <row r="3675" spans="1:8">
      <c r="A3675" s="1">
        <f>HYPERLINK("https://cms.ls-nyc.org/matter/dynamic-profile/view/1872538","18-1872538")</f>
        <v>0</v>
      </c>
      <c r="B3675" t="s">
        <v>8</v>
      </c>
      <c r="H3675" t="s">
        <v>19</v>
      </c>
    </row>
    <row r="3676" spans="1:8">
      <c r="A3676" s="1">
        <f>HYPERLINK("https://cms.ls-nyc.org/matter/dynamic-profile/view/1876715","18-1876715")</f>
        <v>0</v>
      </c>
      <c r="B3676" t="s">
        <v>10</v>
      </c>
      <c r="H3676" t="s">
        <v>19</v>
      </c>
    </row>
    <row r="3677" spans="1:8">
      <c r="A3677" s="1">
        <f>HYPERLINK("https://cms.ls-nyc.org/matter/dynamic-profile/view/1876718","18-1876718")</f>
        <v>0</v>
      </c>
      <c r="B3677" t="s">
        <v>10</v>
      </c>
      <c r="H3677" t="s">
        <v>19</v>
      </c>
    </row>
    <row r="3678" spans="1:8">
      <c r="A3678" s="1">
        <f>HYPERLINK("https://cms.ls-nyc.org/matter/dynamic-profile/view/0826348","17-0826348")</f>
        <v>0</v>
      </c>
      <c r="B3678" t="s">
        <v>12</v>
      </c>
      <c r="D3678" t="s">
        <v>15</v>
      </c>
      <c r="E3678" t="s">
        <v>16</v>
      </c>
      <c r="F3678" t="s">
        <v>17</v>
      </c>
      <c r="H3678" t="s">
        <v>20</v>
      </c>
    </row>
    <row r="3679" spans="1:8">
      <c r="A3679" s="1">
        <f>HYPERLINK("https://cms.ls-nyc.org/matter/dynamic-profile/view/1901133","19-1901133")</f>
        <v>0</v>
      </c>
      <c r="B3679" t="s">
        <v>8</v>
      </c>
      <c r="H3679" t="s">
        <v>19</v>
      </c>
    </row>
    <row r="3680" spans="1:8">
      <c r="A3680" s="1">
        <f>HYPERLINK("https://cms.ls-nyc.org/matter/dynamic-profile/view/1870522","18-1870522")</f>
        <v>0</v>
      </c>
      <c r="B3680" t="s">
        <v>8</v>
      </c>
      <c r="D3680" t="s">
        <v>15</v>
      </c>
      <c r="E3680" t="s">
        <v>16</v>
      </c>
      <c r="H3680" t="s">
        <v>20</v>
      </c>
    </row>
    <row r="3681" spans="1:8">
      <c r="A3681" s="1">
        <f>HYPERLINK("https://cms.ls-nyc.org/matter/dynamic-profile/view/1862673","18-1862673")</f>
        <v>0</v>
      </c>
      <c r="B3681" t="s">
        <v>10</v>
      </c>
      <c r="D3681" t="s">
        <v>15</v>
      </c>
      <c r="E3681" t="s">
        <v>16</v>
      </c>
      <c r="H3681" t="s">
        <v>20</v>
      </c>
    </row>
    <row r="3682" spans="1:8">
      <c r="A3682" s="1">
        <f>HYPERLINK("https://cms.ls-nyc.org/matter/dynamic-profile/view/1868768","18-1868768")</f>
        <v>0</v>
      </c>
      <c r="B3682" t="s">
        <v>10</v>
      </c>
      <c r="D3682" t="s">
        <v>15</v>
      </c>
      <c r="E3682" t="s">
        <v>16</v>
      </c>
      <c r="H3682" t="s">
        <v>20</v>
      </c>
    </row>
    <row r="3683" spans="1:8">
      <c r="A3683" s="1">
        <f>HYPERLINK("https://cms.ls-nyc.org/matter/dynamic-profile/view/1886688","18-1886688")</f>
        <v>0</v>
      </c>
      <c r="B3683" t="s">
        <v>9</v>
      </c>
      <c r="C3683" t="s">
        <v>13</v>
      </c>
      <c r="D3683" t="s">
        <v>14</v>
      </c>
      <c r="E3683" t="s">
        <v>16</v>
      </c>
      <c r="G3683" t="s">
        <v>18</v>
      </c>
      <c r="H3683" t="s">
        <v>20</v>
      </c>
    </row>
    <row r="3684" spans="1:8">
      <c r="A3684" s="1">
        <f>HYPERLINK("https://cms.ls-nyc.org/matter/dynamic-profile/view/1899366","19-1899366")</f>
        <v>0</v>
      </c>
      <c r="B3684" t="s">
        <v>9</v>
      </c>
      <c r="C3684" t="s">
        <v>13</v>
      </c>
      <c r="D3684" t="s">
        <v>14</v>
      </c>
      <c r="E3684" t="s">
        <v>16</v>
      </c>
      <c r="G3684" t="s">
        <v>18</v>
      </c>
      <c r="H3684" t="s">
        <v>20</v>
      </c>
    </row>
    <row r="3685" spans="1:8">
      <c r="A3685" s="1">
        <f>HYPERLINK("https://cms.ls-nyc.org/matter/dynamic-profile/view/1898400","19-1898400")</f>
        <v>0</v>
      </c>
      <c r="B3685" t="s">
        <v>10</v>
      </c>
      <c r="C3685" t="s">
        <v>13</v>
      </c>
      <c r="D3685" t="s">
        <v>14</v>
      </c>
      <c r="E3685" t="s">
        <v>16</v>
      </c>
      <c r="G3685" t="s">
        <v>18</v>
      </c>
      <c r="H3685" t="s">
        <v>20</v>
      </c>
    </row>
    <row r="3686" spans="1:8">
      <c r="A3686" s="1">
        <f>HYPERLINK("https://cms.ls-nyc.org/matter/dynamic-profile/view/1891835","19-1891835")</f>
        <v>0</v>
      </c>
      <c r="B3686" t="s">
        <v>10</v>
      </c>
      <c r="H3686" t="s">
        <v>19</v>
      </c>
    </row>
    <row r="3687" spans="1:8">
      <c r="A3687" s="1">
        <f>HYPERLINK("https://cms.ls-nyc.org/matter/dynamic-profile/view/1891826","19-1891826")</f>
        <v>0</v>
      </c>
      <c r="B3687" t="s">
        <v>10</v>
      </c>
      <c r="H3687" t="s">
        <v>19</v>
      </c>
    </row>
    <row r="3688" spans="1:8">
      <c r="A3688" s="1">
        <f>HYPERLINK("https://cms.ls-nyc.org/matter/dynamic-profile/view/1889616","19-1889616")</f>
        <v>0</v>
      </c>
      <c r="B3688" t="s">
        <v>9</v>
      </c>
      <c r="F3688" t="s">
        <v>17</v>
      </c>
      <c r="H3688" t="s">
        <v>20</v>
      </c>
    </row>
    <row r="3689" spans="1:8">
      <c r="A3689" s="1">
        <f>HYPERLINK("https://cms.ls-nyc.org/matter/dynamic-profile/view/1881758","18-1881758")</f>
        <v>0</v>
      </c>
      <c r="B3689" t="s">
        <v>9</v>
      </c>
      <c r="H3689" t="s">
        <v>19</v>
      </c>
    </row>
    <row r="3690" spans="1:8">
      <c r="A3690" s="1">
        <f>HYPERLINK("https://cms.ls-nyc.org/matter/dynamic-profile/view/1875983","18-1875983")</f>
        <v>0</v>
      </c>
      <c r="B3690" t="s">
        <v>10</v>
      </c>
      <c r="H3690" t="s">
        <v>19</v>
      </c>
    </row>
    <row r="3691" spans="1:8">
      <c r="A3691" s="1">
        <f>HYPERLINK("https://cms.ls-nyc.org/matter/dynamic-profile/view/1880618","18-1880618")</f>
        <v>0</v>
      </c>
      <c r="B3691" t="s">
        <v>10</v>
      </c>
      <c r="H3691" t="s">
        <v>19</v>
      </c>
    </row>
    <row r="3692" spans="1:8">
      <c r="A3692" s="1">
        <f>HYPERLINK("https://cms.ls-nyc.org/matter/dynamic-profile/view/1869885","18-1869885")</f>
        <v>0</v>
      </c>
      <c r="B3692" t="s">
        <v>9</v>
      </c>
      <c r="D3692" t="s">
        <v>15</v>
      </c>
      <c r="E3692" t="s">
        <v>16</v>
      </c>
      <c r="H3692" t="s">
        <v>20</v>
      </c>
    </row>
    <row r="3693" spans="1:8">
      <c r="A3693" s="1">
        <f>HYPERLINK("https://cms.ls-nyc.org/matter/dynamic-profile/view/1866497","18-1866497")</f>
        <v>0</v>
      </c>
      <c r="B3693" t="s">
        <v>9</v>
      </c>
      <c r="D3693" t="s">
        <v>15</v>
      </c>
      <c r="E3693" t="s">
        <v>16</v>
      </c>
      <c r="H3693" t="s">
        <v>20</v>
      </c>
    </row>
    <row r="3694" spans="1:8">
      <c r="A3694" s="1">
        <f>HYPERLINK("https://cms.ls-nyc.org/matter/dynamic-profile/view/1871040","18-1871040")</f>
        <v>0</v>
      </c>
      <c r="B3694" t="s">
        <v>12</v>
      </c>
      <c r="D3694" t="s">
        <v>15</v>
      </c>
      <c r="E3694" t="s">
        <v>16</v>
      </c>
      <c r="H3694" t="s">
        <v>20</v>
      </c>
    </row>
    <row r="3695" spans="1:8">
      <c r="A3695" s="1">
        <f>HYPERLINK("https://cms.ls-nyc.org/matter/dynamic-profile/view/1891317","19-1891317")</f>
        <v>0</v>
      </c>
      <c r="B3695" t="s">
        <v>10</v>
      </c>
      <c r="H3695" t="s">
        <v>19</v>
      </c>
    </row>
    <row r="3696" spans="1:8">
      <c r="A3696" s="1">
        <f>HYPERLINK("https://cms.ls-nyc.org/matter/dynamic-profile/view/1891311","19-1891311")</f>
        <v>0</v>
      </c>
      <c r="B3696" t="s">
        <v>10</v>
      </c>
      <c r="H3696" t="s">
        <v>19</v>
      </c>
    </row>
    <row r="3697" spans="1:8">
      <c r="A3697" s="1">
        <f>HYPERLINK("https://cms.ls-nyc.org/matter/dynamic-profile/view/0831319","17-0831319")</f>
        <v>0</v>
      </c>
      <c r="B3697" t="s">
        <v>9</v>
      </c>
      <c r="D3697" t="s">
        <v>15</v>
      </c>
      <c r="E3697" t="s">
        <v>16</v>
      </c>
      <c r="H3697" t="s">
        <v>20</v>
      </c>
    </row>
    <row r="3698" spans="1:8">
      <c r="A3698" s="1">
        <f>HYPERLINK("https://cms.ls-nyc.org/matter/dynamic-profile/view/1881667","18-1881667")</f>
        <v>0</v>
      </c>
      <c r="B3698" t="s">
        <v>9</v>
      </c>
      <c r="H3698" t="s">
        <v>19</v>
      </c>
    </row>
    <row r="3699" spans="1:8">
      <c r="A3699" s="1">
        <f>HYPERLINK("https://cms.ls-nyc.org/matter/dynamic-profile/view/1875483","18-1875483")</f>
        <v>0</v>
      </c>
      <c r="B3699" t="s">
        <v>9</v>
      </c>
      <c r="H3699" t="s">
        <v>19</v>
      </c>
    </row>
    <row r="3700" spans="1:8">
      <c r="A3700" s="1">
        <f>HYPERLINK("https://cms.ls-nyc.org/matter/dynamic-profile/view/1883696","18-1883696")</f>
        <v>0</v>
      </c>
      <c r="B3700" t="s">
        <v>9</v>
      </c>
      <c r="H3700" t="s">
        <v>19</v>
      </c>
    </row>
    <row r="3701" spans="1:8">
      <c r="A3701" s="1">
        <f>HYPERLINK("https://cms.ls-nyc.org/matter/dynamic-profile/view/1860579","18-1860579")</f>
        <v>0</v>
      </c>
      <c r="B3701" t="s">
        <v>10</v>
      </c>
      <c r="D3701" t="s">
        <v>15</v>
      </c>
      <c r="H3701" t="s">
        <v>20</v>
      </c>
    </row>
    <row r="3702" spans="1:8">
      <c r="A3702" s="1">
        <f>HYPERLINK("https://cms.ls-nyc.org/matter/dynamic-profile/view/1853573","17-1853573")</f>
        <v>0</v>
      </c>
      <c r="B3702" t="s">
        <v>12</v>
      </c>
      <c r="D3702" t="s">
        <v>15</v>
      </c>
      <c r="H3702" t="s">
        <v>20</v>
      </c>
    </row>
    <row r="3703" spans="1:8">
      <c r="A3703" s="1">
        <f>HYPERLINK("https://cms.ls-nyc.org/matter/dynamic-profile/view/1864489","18-1864489")</f>
        <v>0</v>
      </c>
      <c r="B3703" t="s">
        <v>12</v>
      </c>
      <c r="D3703" t="s">
        <v>15</v>
      </c>
      <c r="E3703" t="s">
        <v>16</v>
      </c>
      <c r="H3703" t="s">
        <v>20</v>
      </c>
    </row>
    <row r="3704" spans="1:8">
      <c r="A3704" s="1">
        <f>HYPERLINK("https://cms.ls-nyc.org/matter/dynamic-profile/view/1867179","18-1867179")</f>
        <v>0</v>
      </c>
      <c r="B3704" t="s">
        <v>12</v>
      </c>
      <c r="D3704" t="s">
        <v>15</v>
      </c>
      <c r="E3704" t="s">
        <v>16</v>
      </c>
      <c r="H3704" t="s">
        <v>20</v>
      </c>
    </row>
    <row r="3705" spans="1:8">
      <c r="A3705" s="1">
        <f>HYPERLINK("https://cms.ls-nyc.org/matter/dynamic-profile/view/1897518","19-1897518")</f>
        <v>0</v>
      </c>
      <c r="B3705" t="s">
        <v>9</v>
      </c>
      <c r="E3705" t="s">
        <v>16</v>
      </c>
      <c r="F3705" t="s">
        <v>17</v>
      </c>
      <c r="H3705" t="s">
        <v>20</v>
      </c>
    </row>
    <row r="3706" spans="1:8">
      <c r="A3706" s="1">
        <f>HYPERLINK("https://cms.ls-nyc.org/matter/dynamic-profile/view/1897521","19-1897521")</f>
        <v>0</v>
      </c>
      <c r="B3706" t="s">
        <v>9</v>
      </c>
      <c r="E3706" t="s">
        <v>16</v>
      </c>
      <c r="F3706" t="s">
        <v>17</v>
      </c>
      <c r="H3706" t="s">
        <v>20</v>
      </c>
    </row>
    <row r="3707" spans="1:8">
      <c r="A3707" s="1">
        <f>HYPERLINK("https://cms.ls-nyc.org/matter/dynamic-profile/view/1900677","19-1900677")</f>
        <v>0</v>
      </c>
      <c r="B3707" t="s">
        <v>9</v>
      </c>
      <c r="F3707" t="s">
        <v>17</v>
      </c>
      <c r="H3707" t="s">
        <v>20</v>
      </c>
    </row>
    <row r="3708" spans="1:8">
      <c r="A3708" s="1">
        <f>HYPERLINK("https://cms.ls-nyc.org/matter/dynamic-profile/view/1900983","19-1900983")</f>
        <v>0</v>
      </c>
      <c r="B3708" t="s">
        <v>12</v>
      </c>
      <c r="H3708" t="s">
        <v>19</v>
      </c>
    </row>
    <row r="3709" spans="1:8">
      <c r="A3709" s="1">
        <f>HYPERLINK("https://cms.ls-nyc.org/matter/dynamic-profile/view/1884541","18-1884541")</f>
        <v>0</v>
      </c>
      <c r="B3709" t="s">
        <v>10</v>
      </c>
      <c r="H3709" t="s">
        <v>19</v>
      </c>
    </row>
    <row r="3710" spans="1:8">
      <c r="A3710" s="1">
        <f>HYPERLINK("https://cms.ls-nyc.org/matter/dynamic-profile/view/1841119","17-1841119")</f>
        <v>0</v>
      </c>
      <c r="B3710" t="s">
        <v>10</v>
      </c>
      <c r="D3710" t="s">
        <v>15</v>
      </c>
      <c r="E3710" t="s">
        <v>16</v>
      </c>
      <c r="H3710" t="s">
        <v>20</v>
      </c>
    </row>
    <row r="3711" spans="1:8">
      <c r="A3711" s="1">
        <f>HYPERLINK("https://cms.ls-nyc.org/matter/dynamic-profile/view/1857418","18-1857418")</f>
        <v>0</v>
      </c>
      <c r="B3711" t="s">
        <v>10</v>
      </c>
      <c r="D3711" t="s">
        <v>15</v>
      </c>
      <c r="E3711" t="s">
        <v>16</v>
      </c>
      <c r="H3711" t="s">
        <v>20</v>
      </c>
    </row>
    <row r="3712" spans="1:8">
      <c r="A3712" s="1">
        <f>HYPERLINK("https://cms.ls-nyc.org/matter/dynamic-profile/view/1843398","17-1843398")</f>
        <v>0</v>
      </c>
      <c r="B3712" t="s">
        <v>10</v>
      </c>
      <c r="D3712" t="s">
        <v>15</v>
      </c>
      <c r="E3712" t="s">
        <v>16</v>
      </c>
      <c r="H3712" t="s">
        <v>20</v>
      </c>
    </row>
    <row r="3713" spans="1:8">
      <c r="A3713" s="1">
        <f>HYPERLINK("https://cms.ls-nyc.org/matter/dynamic-profile/view/1860438","18-1860438")</f>
        <v>0</v>
      </c>
      <c r="B3713" t="s">
        <v>8</v>
      </c>
      <c r="D3713" t="s">
        <v>15</v>
      </c>
      <c r="E3713" t="s">
        <v>16</v>
      </c>
      <c r="H3713" t="s">
        <v>20</v>
      </c>
    </row>
    <row r="3714" spans="1:8">
      <c r="A3714" s="1">
        <f>HYPERLINK("https://cms.ls-nyc.org/matter/dynamic-profile/view/1860441","18-1860441")</f>
        <v>0</v>
      </c>
      <c r="B3714" t="s">
        <v>8</v>
      </c>
      <c r="D3714" t="s">
        <v>15</v>
      </c>
      <c r="E3714" t="s">
        <v>16</v>
      </c>
      <c r="H3714" t="s">
        <v>20</v>
      </c>
    </row>
    <row r="3715" spans="1:8">
      <c r="A3715" s="1">
        <f>HYPERLINK("https://cms.ls-nyc.org/matter/dynamic-profile/view/1874757","18-1874757")</f>
        <v>0</v>
      </c>
      <c r="B3715" t="s">
        <v>9</v>
      </c>
      <c r="C3715" t="s">
        <v>13</v>
      </c>
      <c r="D3715" t="s">
        <v>14</v>
      </c>
      <c r="E3715" t="s">
        <v>16</v>
      </c>
      <c r="G3715" t="s">
        <v>18</v>
      </c>
      <c r="H3715" t="s">
        <v>20</v>
      </c>
    </row>
    <row r="3716" spans="1:8">
      <c r="A3716" s="1">
        <f>HYPERLINK("https://cms.ls-nyc.org/matter/dynamic-profile/view/1882916","18-1882916")</f>
        <v>0</v>
      </c>
      <c r="B3716" t="s">
        <v>9</v>
      </c>
      <c r="H3716" t="s">
        <v>19</v>
      </c>
    </row>
    <row r="3717" spans="1:8">
      <c r="A3717" s="1">
        <f>HYPERLINK("https://cms.ls-nyc.org/matter/dynamic-profile/view/1863380","18-1863380")</f>
        <v>0</v>
      </c>
      <c r="B3717" t="s">
        <v>8</v>
      </c>
      <c r="C3717" t="s">
        <v>13</v>
      </c>
      <c r="D3717" t="s">
        <v>14</v>
      </c>
      <c r="E3717" t="s">
        <v>16</v>
      </c>
      <c r="H3717" t="s">
        <v>20</v>
      </c>
    </row>
    <row r="3718" spans="1:8">
      <c r="A3718" s="1">
        <f>HYPERLINK("https://cms.ls-nyc.org/matter/dynamic-profile/view/1843178","17-1843178")</f>
        <v>0</v>
      </c>
      <c r="B3718" t="s">
        <v>9</v>
      </c>
      <c r="D3718" t="s">
        <v>15</v>
      </c>
      <c r="H3718" t="s">
        <v>20</v>
      </c>
    </row>
    <row r="3719" spans="1:8">
      <c r="A3719" s="1">
        <f>HYPERLINK("https://cms.ls-nyc.org/matter/dynamic-profile/view/1860276","18-1860276")</f>
        <v>0</v>
      </c>
      <c r="B3719" t="s">
        <v>9</v>
      </c>
      <c r="D3719" t="s">
        <v>15</v>
      </c>
      <c r="H3719" t="s">
        <v>20</v>
      </c>
    </row>
    <row r="3720" spans="1:8">
      <c r="A3720" s="1">
        <f>HYPERLINK("https://cms.ls-nyc.org/matter/dynamic-profile/view/1860263","18-1860263")</f>
        <v>0</v>
      </c>
      <c r="B3720" t="s">
        <v>9</v>
      </c>
      <c r="D3720" t="s">
        <v>15</v>
      </c>
      <c r="H3720" t="s">
        <v>20</v>
      </c>
    </row>
    <row r="3721" spans="1:8">
      <c r="A3721" s="1">
        <f>HYPERLINK("https://cms.ls-nyc.org/matter/dynamic-profile/view/0771642","15-0771642")</f>
        <v>0</v>
      </c>
      <c r="B3721" t="s">
        <v>9</v>
      </c>
      <c r="C3721" t="s">
        <v>13</v>
      </c>
      <c r="D3721" t="s">
        <v>15</v>
      </c>
      <c r="E3721" t="s">
        <v>16</v>
      </c>
      <c r="H3721" t="s">
        <v>20</v>
      </c>
    </row>
    <row r="3722" spans="1:8">
      <c r="A3722" s="1">
        <f>HYPERLINK("https://cms.ls-nyc.org/matter/dynamic-profile/view/1864089","18-1864089")</f>
        <v>0</v>
      </c>
      <c r="B3722" t="s">
        <v>12</v>
      </c>
      <c r="D3722" t="s">
        <v>15</v>
      </c>
      <c r="E3722" t="s">
        <v>16</v>
      </c>
      <c r="H3722" t="s">
        <v>20</v>
      </c>
    </row>
    <row r="3723" spans="1:8">
      <c r="A3723" s="1">
        <f>HYPERLINK("https://cms.ls-nyc.org/matter/dynamic-profile/view/1856168","18-1856168")</f>
        <v>0</v>
      </c>
      <c r="B3723" t="s">
        <v>11</v>
      </c>
      <c r="D3723" t="s">
        <v>15</v>
      </c>
      <c r="E3723" t="s">
        <v>16</v>
      </c>
      <c r="H3723" t="s">
        <v>20</v>
      </c>
    </row>
    <row r="3724" spans="1:8">
      <c r="A3724" s="1">
        <f>HYPERLINK("https://cms.ls-nyc.org/matter/dynamic-profile/view/1840678","17-1840678")</f>
        <v>0</v>
      </c>
      <c r="B3724" t="s">
        <v>9</v>
      </c>
      <c r="D3724" t="s">
        <v>15</v>
      </c>
      <c r="E3724" t="s">
        <v>16</v>
      </c>
      <c r="H3724" t="s">
        <v>20</v>
      </c>
    </row>
    <row r="3725" spans="1:8">
      <c r="A3725" s="1">
        <f>HYPERLINK("https://cms.ls-nyc.org/matter/dynamic-profile/view/1897091","19-1897091")</f>
        <v>0</v>
      </c>
      <c r="B3725" t="s">
        <v>8</v>
      </c>
      <c r="H3725" t="s">
        <v>19</v>
      </c>
    </row>
    <row r="3726" spans="1:8">
      <c r="A3726" s="1">
        <f>HYPERLINK("https://cms.ls-nyc.org/matter/dynamic-profile/view/1897102","19-1897102")</f>
        <v>0</v>
      </c>
      <c r="B3726" t="s">
        <v>8</v>
      </c>
      <c r="H3726" t="s">
        <v>19</v>
      </c>
    </row>
    <row r="3727" spans="1:8">
      <c r="A3727" s="1">
        <f>HYPERLINK("https://cms.ls-nyc.org/matter/dynamic-profile/view/1875209","18-1875209")</f>
        <v>0</v>
      </c>
      <c r="B3727" t="s">
        <v>9</v>
      </c>
      <c r="H3727" t="s">
        <v>19</v>
      </c>
    </row>
    <row r="3728" spans="1:8">
      <c r="A3728" s="1">
        <f>HYPERLINK("https://cms.ls-nyc.org/matter/dynamic-profile/view/1882511","18-1882511")</f>
        <v>0</v>
      </c>
      <c r="B3728" t="s">
        <v>9</v>
      </c>
      <c r="H3728" t="s">
        <v>19</v>
      </c>
    </row>
    <row r="3729" spans="1:8">
      <c r="A3729" s="1">
        <f>HYPERLINK("https://cms.ls-nyc.org/matter/dynamic-profile/view/1886734","18-1886734")</f>
        <v>0</v>
      </c>
      <c r="B3729" t="s">
        <v>9</v>
      </c>
      <c r="H3729" t="s">
        <v>19</v>
      </c>
    </row>
    <row r="3730" spans="1:8">
      <c r="A3730" s="1">
        <f>HYPERLINK("https://cms.ls-nyc.org/matter/dynamic-profile/view/1847570","17-1847570")</f>
        <v>0</v>
      </c>
      <c r="B3730" t="s">
        <v>12</v>
      </c>
      <c r="D3730" t="s">
        <v>15</v>
      </c>
      <c r="E3730" t="s">
        <v>16</v>
      </c>
      <c r="H3730" t="s">
        <v>20</v>
      </c>
    </row>
    <row r="3731" spans="1:8">
      <c r="A3731" s="1">
        <f>HYPERLINK("https://cms.ls-nyc.org/matter/dynamic-profile/view/1890827","19-1890827")</f>
        <v>0</v>
      </c>
      <c r="B3731" t="s">
        <v>12</v>
      </c>
      <c r="H3731" t="s">
        <v>19</v>
      </c>
    </row>
    <row r="3732" spans="1:8">
      <c r="A3732" s="1">
        <f>HYPERLINK("https://cms.ls-nyc.org/matter/dynamic-profile/view/1885027","18-1885027")</f>
        <v>0</v>
      </c>
      <c r="B3732" t="s">
        <v>9</v>
      </c>
      <c r="H3732" t="s">
        <v>19</v>
      </c>
    </row>
    <row r="3733" spans="1:8">
      <c r="A3733" s="1">
        <f>HYPERLINK("https://cms.ls-nyc.org/matter/dynamic-profile/view/1885020","18-1885020")</f>
        <v>0</v>
      </c>
      <c r="B3733" t="s">
        <v>9</v>
      </c>
      <c r="H3733" t="s">
        <v>19</v>
      </c>
    </row>
    <row r="3734" spans="1:8">
      <c r="A3734" s="1">
        <f>HYPERLINK("https://cms.ls-nyc.org/matter/dynamic-profile/view/0830085","17-0830085")</f>
        <v>0</v>
      </c>
      <c r="B3734" t="s">
        <v>9</v>
      </c>
      <c r="D3734" t="s">
        <v>15</v>
      </c>
      <c r="E3734" t="s">
        <v>16</v>
      </c>
      <c r="H3734" t="s">
        <v>20</v>
      </c>
    </row>
    <row r="3735" spans="1:8">
      <c r="A3735" s="1">
        <f>HYPERLINK("https://cms.ls-nyc.org/matter/dynamic-profile/view/1854121","17-1854121")</f>
        <v>0</v>
      </c>
      <c r="B3735" t="s">
        <v>10</v>
      </c>
      <c r="D3735" t="s">
        <v>15</v>
      </c>
      <c r="E3735" t="s">
        <v>16</v>
      </c>
      <c r="H3735" t="s">
        <v>20</v>
      </c>
    </row>
    <row r="3736" spans="1:8">
      <c r="A3736" s="1">
        <f>HYPERLINK("https://cms.ls-nyc.org/matter/dynamic-profile/view/1894821","19-1894821")</f>
        <v>0</v>
      </c>
      <c r="B3736" t="s">
        <v>9</v>
      </c>
      <c r="H3736" t="s">
        <v>19</v>
      </c>
    </row>
    <row r="3737" spans="1:8">
      <c r="A3737" s="1">
        <f>HYPERLINK("https://cms.ls-nyc.org/matter/dynamic-profile/view/1843600","17-1843600")</f>
        <v>0</v>
      </c>
      <c r="B3737" t="s">
        <v>9</v>
      </c>
      <c r="D3737" t="s">
        <v>15</v>
      </c>
      <c r="E3737" t="s">
        <v>16</v>
      </c>
      <c r="H3737" t="s">
        <v>20</v>
      </c>
    </row>
    <row r="3738" spans="1:8">
      <c r="A3738" s="1">
        <f>HYPERLINK("https://cms.ls-nyc.org/matter/dynamic-profile/view/1874517","18-1874517")</f>
        <v>0</v>
      </c>
      <c r="B3738" t="s">
        <v>9</v>
      </c>
      <c r="H3738" t="s">
        <v>19</v>
      </c>
    </row>
    <row r="3739" spans="1:8">
      <c r="A3739" s="1">
        <f>HYPERLINK("https://cms.ls-nyc.org/matter/dynamic-profile/view/0809207","16-0809207")</f>
        <v>0</v>
      </c>
      <c r="B3739" t="s">
        <v>9</v>
      </c>
      <c r="D3739" t="s">
        <v>15</v>
      </c>
      <c r="E3739" t="s">
        <v>16</v>
      </c>
      <c r="H3739" t="s">
        <v>20</v>
      </c>
    </row>
    <row r="3740" spans="1:8">
      <c r="A3740" s="1">
        <f>HYPERLINK("https://cms.ls-nyc.org/matter/dynamic-profile/view/1859711","18-1859711")</f>
        <v>0</v>
      </c>
      <c r="B3740" t="s">
        <v>8</v>
      </c>
      <c r="C3740" t="s">
        <v>13</v>
      </c>
      <c r="D3740" t="s">
        <v>14</v>
      </c>
      <c r="E3740" t="s">
        <v>16</v>
      </c>
      <c r="H3740" t="s">
        <v>20</v>
      </c>
    </row>
    <row r="3741" spans="1:8">
      <c r="A3741" s="1">
        <f>HYPERLINK("https://cms.ls-nyc.org/matter/dynamic-profile/view/1838974","17-1838974")</f>
        <v>0</v>
      </c>
      <c r="B3741" t="s">
        <v>10</v>
      </c>
      <c r="D3741" t="s">
        <v>15</v>
      </c>
      <c r="E3741" t="s">
        <v>16</v>
      </c>
      <c r="H3741" t="s">
        <v>20</v>
      </c>
    </row>
    <row r="3742" spans="1:8">
      <c r="A3742" s="1">
        <f>HYPERLINK("https://cms.ls-nyc.org/matter/dynamic-profile/view/1895278","19-1895278")</f>
        <v>0</v>
      </c>
      <c r="B3742" t="s">
        <v>8</v>
      </c>
      <c r="H3742" t="s">
        <v>19</v>
      </c>
    </row>
    <row r="3743" spans="1:8">
      <c r="A3743" s="1">
        <f>HYPERLINK("https://cms.ls-nyc.org/matter/dynamic-profile/view/1889788","19-1889788")</f>
        <v>0</v>
      </c>
      <c r="B3743" t="s">
        <v>10</v>
      </c>
      <c r="C3743" t="s">
        <v>13</v>
      </c>
      <c r="D3743" t="s">
        <v>14</v>
      </c>
      <c r="E3743" t="s">
        <v>16</v>
      </c>
      <c r="F3743" t="s">
        <v>17</v>
      </c>
      <c r="H3743" t="s">
        <v>20</v>
      </c>
    </row>
    <row r="3744" spans="1:8">
      <c r="A3744" s="1">
        <f>HYPERLINK("https://cms.ls-nyc.org/matter/dynamic-profile/view/1893067","19-1893067")</f>
        <v>0</v>
      </c>
      <c r="B3744" t="s">
        <v>12</v>
      </c>
      <c r="D3744" t="s">
        <v>15</v>
      </c>
      <c r="H3744" t="s">
        <v>20</v>
      </c>
    </row>
    <row r="3745" spans="1:8">
      <c r="A3745" s="1">
        <f>HYPERLINK("https://cms.ls-nyc.org/matter/dynamic-profile/view/1889370","19-1889370")</f>
        <v>0</v>
      </c>
      <c r="B3745" t="s">
        <v>12</v>
      </c>
      <c r="H3745" t="s">
        <v>19</v>
      </c>
    </row>
    <row r="3746" spans="1:8">
      <c r="A3746" s="1">
        <f>HYPERLINK("https://cms.ls-nyc.org/matter/dynamic-profile/view/0776275","15-0776275")</f>
        <v>0</v>
      </c>
      <c r="B3746" t="s">
        <v>9</v>
      </c>
      <c r="C3746" t="s">
        <v>13</v>
      </c>
      <c r="D3746" t="s">
        <v>15</v>
      </c>
      <c r="E3746" t="s">
        <v>16</v>
      </c>
      <c r="H3746" t="s">
        <v>20</v>
      </c>
    </row>
    <row r="3747" spans="1:8">
      <c r="A3747" s="1">
        <f>HYPERLINK("https://cms.ls-nyc.org/matter/dynamic-profile/view/1892128","19-1892128")</f>
        <v>0</v>
      </c>
      <c r="B3747" t="s">
        <v>10</v>
      </c>
      <c r="H3747" t="s">
        <v>19</v>
      </c>
    </row>
    <row r="3748" spans="1:8">
      <c r="A3748" s="1">
        <f>HYPERLINK("https://cms.ls-nyc.org/matter/dynamic-profile/view/0812664","16-0812664")</f>
        <v>0</v>
      </c>
      <c r="B3748" t="s">
        <v>10</v>
      </c>
      <c r="D3748" t="s">
        <v>15</v>
      </c>
      <c r="E3748" t="s">
        <v>16</v>
      </c>
      <c r="H3748" t="s">
        <v>20</v>
      </c>
    </row>
    <row r="3749" spans="1:8">
      <c r="A3749" s="1">
        <f>HYPERLINK("https://cms.ls-nyc.org/matter/dynamic-profile/view/0804230","16-0804230")</f>
        <v>0</v>
      </c>
      <c r="B3749" t="s">
        <v>10</v>
      </c>
      <c r="D3749" t="s">
        <v>15</v>
      </c>
      <c r="E3749" t="s">
        <v>16</v>
      </c>
      <c r="H3749" t="s">
        <v>20</v>
      </c>
    </row>
    <row r="3750" spans="1:8">
      <c r="A3750" s="1">
        <f>HYPERLINK("https://cms.ls-nyc.org/matter/dynamic-profile/view/1883353","18-1883353")</f>
        <v>0</v>
      </c>
      <c r="B3750" t="s">
        <v>9</v>
      </c>
      <c r="H3750" t="s">
        <v>19</v>
      </c>
    </row>
    <row r="3751" spans="1:8">
      <c r="A3751" s="1">
        <f>HYPERLINK("https://cms.ls-nyc.org/matter/dynamic-profile/view/1870199","18-1870199")</f>
        <v>0</v>
      </c>
      <c r="B3751" t="s">
        <v>9</v>
      </c>
      <c r="F3751" t="s">
        <v>17</v>
      </c>
      <c r="H3751" t="s">
        <v>20</v>
      </c>
    </row>
    <row r="3752" spans="1:8">
      <c r="A3752" s="1">
        <f>HYPERLINK("https://cms.ls-nyc.org/matter/dynamic-profile/view/1872357","18-1872357")</f>
        <v>0</v>
      </c>
      <c r="B3752" t="s">
        <v>12</v>
      </c>
      <c r="H3752" t="s">
        <v>19</v>
      </c>
    </row>
    <row r="3753" spans="1:8">
      <c r="A3753" s="1">
        <f>HYPERLINK("https://cms.ls-nyc.org/matter/dynamic-profile/view/1864736","18-1864736")</f>
        <v>0</v>
      </c>
      <c r="B3753" t="s">
        <v>12</v>
      </c>
      <c r="D3753" t="s">
        <v>15</v>
      </c>
      <c r="H3753" t="s">
        <v>20</v>
      </c>
    </row>
    <row r="3754" spans="1:8">
      <c r="A3754" s="1">
        <f>HYPERLINK("https://cms.ls-nyc.org/matter/dynamic-profile/view/1890579","19-1890579")</f>
        <v>0</v>
      </c>
      <c r="B3754" t="s">
        <v>9</v>
      </c>
      <c r="E3754" t="s">
        <v>16</v>
      </c>
      <c r="F3754" t="s">
        <v>17</v>
      </c>
      <c r="H3754" t="s">
        <v>20</v>
      </c>
    </row>
    <row r="3755" spans="1:8">
      <c r="A3755" s="1">
        <f>HYPERLINK("https://cms.ls-nyc.org/matter/dynamic-profile/view/1891872","19-1891872")</f>
        <v>0</v>
      </c>
      <c r="B3755" t="s">
        <v>9</v>
      </c>
      <c r="E3755" t="s">
        <v>16</v>
      </c>
      <c r="F3755" t="s">
        <v>17</v>
      </c>
      <c r="H3755" t="s">
        <v>20</v>
      </c>
    </row>
    <row r="3756" spans="1:8">
      <c r="A3756" s="1">
        <f>HYPERLINK("https://cms.ls-nyc.org/matter/dynamic-profile/view/1842878","17-1842878")</f>
        <v>0</v>
      </c>
      <c r="B3756" t="s">
        <v>12</v>
      </c>
      <c r="D3756" t="s">
        <v>15</v>
      </c>
      <c r="E3756" t="s">
        <v>16</v>
      </c>
      <c r="H3756" t="s">
        <v>20</v>
      </c>
    </row>
    <row r="3757" spans="1:8">
      <c r="A3757" s="1">
        <f>HYPERLINK("https://cms.ls-nyc.org/matter/dynamic-profile/view/1900617","19-1900617")</f>
        <v>0</v>
      </c>
      <c r="B3757" t="s">
        <v>9</v>
      </c>
      <c r="E3757" t="s">
        <v>16</v>
      </c>
      <c r="G3757" t="s">
        <v>18</v>
      </c>
      <c r="H3757" t="s">
        <v>20</v>
      </c>
    </row>
    <row r="3758" spans="1:8">
      <c r="A3758" s="1">
        <f>HYPERLINK("https://cms.ls-nyc.org/matter/dynamic-profile/view/1866708","18-1866708")</f>
        <v>0</v>
      </c>
      <c r="B3758" t="s">
        <v>9</v>
      </c>
      <c r="H3758" t="s">
        <v>19</v>
      </c>
    </row>
    <row r="3759" spans="1:8">
      <c r="A3759" s="1">
        <f>HYPERLINK("https://cms.ls-nyc.org/matter/dynamic-profile/view/1890540","19-1890540")</f>
        <v>0</v>
      </c>
      <c r="B3759" t="s">
        <v>9</v>
      </c>
      <c r="E3759" t="s">
        <v>16</v>
      </c>
      <c r="F3759" t="s">
        <v>17</v>
      </c>
      <c r="H3759" t="s">
        <v>20</v>
      </c>
    </row>
    <row r="3760" spans="1:8">
      <c r="A3760" s="1">
        <f>HYPERLINK("https://cms.ls-nyc.org/matter/dynamic-profile/view/1891859","19-1891859")</f>
        <v>0</v>
      </c>
      <c r="B3760" t="s">
        <v>9</v>
      </c>
      <c r="E3760" t="s">
        <v>16</v>
      </c>
      <c r="F3760" t="s">
        <v>17</v>
      </c>
      <c r="H3760" t="s">
        <v>20</v>
      </c>
    </row>
    <row r="3761" spans="1:8">
      <c r="A3761" s="1">
        <f>HYPERLINK("https://cms.ls-nyc.org/matter/dynamic-profile/view/1843591","17-1843591")</f>
        <v>0</v>
      </c>
      <c r="B3761" t="s">
        <v>12</v>
      </c>
      <c r="D3761" t="s">
        <v>15</v>
      </c>
      <c r="H3761" t="s">
        <v>20</v>
      </c>
    </row>
    <row r="3762" spans="1:8">
      <c r="A3762" s="1">
        <f>HYPERLINK("https://cms.ls-nyc.org/matter/dynamic-profile/view/0780738","15-0780738")</f>
        <v>0</v>
      </c>
      <c r="B3762" t="s">
        <v>10</v>
      </c>
      <c r="D3762" t="s">
        <v>15</v>
      </c>
      <c r="E3762" t="s">
        <v>16</v>
      </c>
      <c r="H3762" t="s">
        <v>20</v>
      </c>
    </row>
    <row r="3763" spans="1:8">
      <c r="A3763" s="1">
        <f>HYPERLINK("https://cms.ls-nyc.org/matter/dynamic-profile/view/1884601","18-1884601")</f>
        <v>0</v>
      </c>
      <c r="B3763" t="s">
        <v>10</v>
      </c>
      <c r="H3763" t="s">
        <v>19</v>
      </c>
    </row>
    <row r="3764" spans="1:8">
      <c r="A3764" s="1">
        <f>HYPERLINK("https://cms.ls-nyc.org/matter/dynamic-profile/view/1890374","19-1890374")</f>
        <v>0</v>
      </c>
      <c r="B3764" t="s">
        <v>9</v>
      </c>
      <c r="H3764" t="s">
        <v>19</v>
      </c>
    </row>
    <row r="3765" spans="1:8">
      <c r="A3765" s="1">
        <f>HYPERLINK("https://cms.ls-nyc.org/matter/dynamic-profile/view/1838164","17-1838164")</f>
        <v>0</v>
      </c>
      <c r="B3765" t="s">
        <v>10</v>
      </c>
      <c r="D3765" t="s">
        <v>15</v>
      </c>
      <c r="E3765" t="s">
        <v>16</v>
      </c>
      <c r="H3765" t="s">
        <v>20</v>
      </c>
    </row>
    <row r="3766" spans="1:8">
      <c r="A3766" s="1">
        <f>HYPERLINK("https://cms.ls-nyc.org/matter/dynamic-profile/view/0822647","16-0822647")</f>
        <v>0</v>
      </c>
      <c r="B3766" t="s">
        <v>12</v>
      </c>
      <c r="D3766" t="s">
        <v>15</v>
      </c>
      <c r="E3766" t="s">
        <v>16</v>
      </c>
      <c r="F3766" t="s">
        <v>17</v>
      </c>
      <c r="H3766" t="s">
        <v>20</v>
      </c>
    </row>
    <row r="3767" spans="1:8">
      <c r="A3767" s="1">
        <f>HYPERLINK("https://cms.ls-nyc.org/matter/dynamic-profile/view/1843874","17-1843874")</f>
        <v>0</v>
      </c>
      <c r="B3767" t="s">
        <v>9</v>
      </c>
      <c r="D3767" t="s">
        <v>15</v>
      </c>
      <c r="E3767" t="s">
        <v>16</v>
      </c>
      <c r="H3767" t="s">
        <v>20</v>
      </c>
    </row>
    <row r="3768" spans="1:8">
      <c r="A3768" s="1">
        <f>HYPERLINK("https://cms.ls-nyc.org/matter/dynamic-profile/view/1844119","17-1844119")</f>
        <v>0</v>
      </c>
      <c r="B3768" t="s">
        <v>9</v>
      </c>
      <c r="D3768" t="s">
        <v>15</v>
      </c>
      <c r="E3768" t="s">
        <v>16</v>
      </c>
      <c r="H3768" t="s">
        <v>20</v>
      </c>
    </row>
    <row r="3769" spans="1:8">
      <c r="A3769" s="1">
        <f>HYPERLINK("https://cms.ls-nyc.org/matter/dynamic-profile/view/1899088","19-1899088")</f>
        <v>0</v>
      </c>
      <c r="B3769" t="s">
        <v>12</v>
      </c>
      <c r="H3769" t="s">
        <v>19</v>
      </c>
    </row>
    <row r="3770" spans="1:8">
      <c r="A3770" s="1">
        <f>HYPERLINK("https://cms.ls-nyc.org/matter/dynamic-profile/view/1866445","18-1866445")</f>
        <v>0</v>
      </c>
      <c r="B3770" t="s">
        <v>12</v>
      </c>
      <c r="D3770" t="s">
        <v>15</v>
      </c>
      <c r="H3770" t="s">
        <v>20</v>
      </c>
    </row>
    <row r="3771" spans="1:8">
      <c r="A3771" s="1">
        <f>HYPERLINK("https://cms.ls-nyc.org/matter/dynamic-profile/view/1880272","18-1880272")</f>
        <v>0</v>
      </c>
      <c r="B3771" t="s">
        <v>9</v>
      </c>
      <c r="F3771" t="s">
        <v>17</v>
      </c>
      <c r="H3771" t="s">
        <v>20</v>
      </c>
    </row>
    <row r="3772" spans="1:8">
      <c r="A3772" s="1">
        <f>HYPERLINK("https://cms.ls-nyc.org/matter/dynamic-profile/view/1880274","18-1880274")</f>
        <v>0</v>
      </c>
      <c r="B3772" t="s">
        <v>9</v>
      </c>
      <c r="D3772" t="s">
        <v>14</v>
      </c>
      <c r="F3772" t="s">
        <v>17</v>
      </c>
      <c r="H3772" t="s">
        <v>20</v>
      </c>
    </row>
    <row r="3773" spans="1:8">
      <c r="A3773" s="1">
        <f>HYPERLINK("https://cms.ls-nyc.org/matter/dynamic-profile/view/1867098","18-1867098")</f>
        <v>0</v>
      </c>
      <c r="B3773" t="s">
        <v>9</v>
      </c>
      <c r="D3773" t="s">
        <v>15</v>
      </c>
      <c r="E3773" t="s">
        <v>16</v>
      </c>
      <c r="F3773" t="s">
        <v>17</v>
      </c>
      <c r="H3773" t="s">
        <v>20</v>
      </c>
    </row>
    <row r="3774" spans="1:8">
      <c r="A3774" s="1">
        <f>HYPERLINK("https://cms.ls-nyc.org/matter/dynamic-profile/view/1876894","18-1876894")</f>
        <v>0</v>
      </c>
      <c r="B3774" t="s">
        <v>9</v>
      </c>
      <c r="D3774" t="s">
        <v>14</v>
      </c>
      <c r="H3774" t="s">
        <v>20</v>
      </c>
    </row>
    <row r="3775" spans="1:8">
      <c r="A3775" s="1">
        <f>HYPERLINK("https://cms.ls-nyc.org/matter/dynamic-profile/view/1863923","18-1863923")</f>
        <v>0</v>
      </c>
      <c r="B3775" t="s">
        <v>12</v>
      </c>
      <c r="D3775" t="s">
        <v>15</v>
      </c>
      <c r="F3775" t="s">
        <v>17</v>
      </c>
      <c r="H3775" t="s">
        <v>20</v>
      </c>
    </row>
    <row r="3776" spans="1:8">
      <c r="A3776" s="1">
        <f>HYPERLINK("https://cms.ls-nyc.org/matter/dynamic-profile/view/1864734","18-1864734")</f>
        <v>0</v>
      </c>
      <c r="B3776" t="s">
        <v>12</v>
      </c>
      <c r="D3776" t="s">
        <v>15</v>
      </c>
      <c r="F3776" t="s">
        <v>17</v>
      </c>
      <c r="H3776" t="s">
        <v>20</v>
      </c>
    </row>
    <row r="3777" spans="1:8">
      <c r="A3777" s="1">
        <f>HYPERLINK("https://cms.ls-nyc.org/matter/dynamic-profile/view/0818184","16-0818184")</f>
        <v>0</v>
      </c>
      <c r="B3777" t="s">
        <v>12</v>
      </c>
      <c r="D3777" t="s">
        <v>15</v>
      </c>
      <c r="E3777" t="s">
        <v>16</v>
      </c>
      <c r="H3777" t="s">
        <v>20</v>
      </c>
    </row>
    <row r="3778" spans="1:8">
      <c r="A3778" s="1">
        <f>HYPERLINK("https://cms.ls-nyc.org/matter/dynamic-profile/view/1892757","19-1892757")</f>
        <v>0</v>
      </c>
      <c r="B3778" t="s">
        <v>8</v>
      </c>
      <c r="H3778" t="s">
        <v>19</v>
      </c>
    </row>
    <row r="3779" spans="1:8">
      <c r="A3779" s="1">
        <f>HYPERLINK("https://cms.ls-nyc.org/matter/dynamic-profile/view/1899992","19-1899992")</f>
        <v>0</v>
      </c>
      <c r="B3779" t="s">
        <v>8</v>
      </c>
      <c r="H3779" t="s">
        <v>19</v>
      </c>
    </row>
    <row r="3780" spans="1:8">
      <c r="A3780" s="1">
        <f>HYPERLINK("https://cms.ls-nyc.org/matter/dynamic-profile/view/1890315","19-1890315")</f>
        <v>0</v>
      </c>
      <c r="B3780" t="s">
        <v>10</v>
      </c>
      <c r="C3780" t="s">
        <v>13</v>
      </c>
      <c r="D3780" t="s">
        <v>14</v>
      </c>
      <c r="E3780" t="s">
        <v>16</v>
      </c>
      <c r="F3780" t="s">
        <v>17</v>
      </c>
      <c r="H3780" t="s">
        <v>20</v>
      </c>
    </row>
    <row r="3781" spans="1:8">
      <c r="A3781" s="1">
        <f>HYPERLINK("https://cms.ls-nyc.org/matter/dynamic-profile/view/1891635","19-1891635")</f>
        <v>0</v>
      </c>
      <c r="B3781" t="s">
        <v>9</v>
      </c>
      <c r="E3781" t="s">
        <v>16</v>
      </c>
      <c r="F3781" t="s">
        <v>17</v>
      </c>
      <c r="H3781" t="s">
        <v>20</v>
      </c>
    </row>
    <row r="3782" spans="1:8">
      <c r="A3782" s="1">
        <f>HYPERLINK("https://cms.ls-nyc.org/matter/dynamic-profile/view/1891660","19-1891660")</f>
        <v>0</v>
      </c>
      <c r="B3782" t="s">
        <v>9</v>
      </c>
      <c r="E3782" t="s">
        <v>16</v>
      </c>
      <c r="F3782" t="s">
        <v>17</v>
      </c>
      <c r="H3782" t="s">
        <v>20</v>
      </c>
    </row>
    <row r="3783" spans="1:8">
      <c r="A3783" s="1">
        <f>HYPERLINK("https://cms.ls-nyc.org/matter/dynamic-profile/view/1878945","18-1878945")</f>
        <v>0</v>
      </c>
      <c r="B3783" t="s">
        <v>12</v>
      </c>
      <c r="H3783" t="s">
        <v>19</v>
      </c>
    </row>
    <row r="3784" spans="1:8">
      <c r="A3784" s="1">
        <f>HYPERLINK("https://cms.ls-nyc.org/matter/dynamic-profile/view/1901185","19-1901185")</f>
        <v>0</v>
      </c>
      <c r="B3784" t="s">
        <v>12</v>
      </c>
      <c r="H3784" t="s">
        <v>19</v>
      </c>
    </row>
    <row r="3785" spans="1:8">
      <c r="A3785" s="1">
        <f>HYPERLINK("https://cms.ls-nyc.org/matter/dynamic-profile/view/0799066","16-0799066")</f>
        <v>0</v>
      </c>
      <c r="B3785" t="s">
        <v>10</v>
      </c>
      <c r="D3785" t="s">
        <v>15</v>
      </c>
      <c r="E3785" t="s">
        <v>16</v>
      </c>
      <c r="F3785" t="s">
        <v>17</v>
      </c>
      <c r="H3785" t="s">
        <v>20</v>
      </c>
    </row>
    <row r="3786" spans="1:8">
      <c r="A3786" s="1">
        <f>HYPERLINK("https://cms.ls-nyc.org/matter/dynamic-profile/view/1887522","19-1887522")</f>
        <v>0</v>
      </c>
      <c r="B3786" t="s">
        <v>10</v>
      </c>
      <c r="H3786" t="s">
        <v>19</v>
      </c>
    </row>
    <row r="3787" spans="1:8">
      <c r="A3787" s="1">
        <f>HYPERLINK("https://cms.ls-nyc.org/matter/dynamic-profile/view/1869166","18-1869166")</f>
        <v>0</v>
      </c>
      <c r="B3787" t="s">
        <v>10</v>
      </c>
      <c r="D3787" t="s">
        <v>15</v>
      </c>
      <c r="E3787" t="s">
        <v>16</v>
      </c>
      <c r="H3787" t="s">
        <v>20</v>
      </c>
    </row>
    <row r="3788" spans="1:8">
      <c r="A3788" s="1">
        <f>HYPERLINK("https://cms.ls-nyc.org/matter/dynamic-profile/view/1894414","19-1894414")</f>
        <v>0</v>
      </c>
      <c r="B3788" t="s">
        <v>10</v>
      </c>
      <c r="H3788" t="s">
        <v>19</v>
      </c>
    </row>
    <row r="3789" spans="1:8">
      <c r="A3789" s="1">
        <f>HYPERLINK("https://cms.ls-nyc.org/matter/dynamic-profile/view/1889409","19-1889409")</f>
        <v>0</v>
      </c>
      <c r="B3789" t="s">
        <v>11</v>
      </c>
      <c r="H3789" t="s">
        <v>19</v>
      </c>
    </row>
    <row r="3790" spans="1:8">
      <c r="A3790" s="1">
        <f>HYPERLINK("https://cms.ls-nyc.org/matter/dynamic-profile/view/1899976","19-1899976")</f>
        <v>0</v>
      </c>
      <c r="B3790" t="s">
        <v>10</v>
      </c>
      <c r="D3790" t="s">
        <v>14</v>
      </c>
      <c r="H3790" t="s">
        <v>20</v>
      </c>
    </row>
    <row r="3791" spans="1:8">
      <c r="A3791" s="1">
        <f>HYPERLINK("https://cms.ls-nyc.org/matter/dynamic-profile/view/1838125","17-1838125")</f>
        <v>0</v>
      </c>
      <c r="B3791" t="s">
        <v>10</v>
      </c>
      <c r="D3791" t="s">
        <v>15</v>
      </c>
      <c r="E3791" t="s">
        <v>16</v>
      </c>
      <c r="H3791" t="s">
        <v>20</v>
      </c>
    </row>
    <row r="3792" spans="1:8">
      <c r="A3792" s="1">
        <f>HYPERLINK("https://cms.ls-nyc.org/matter/dynamic-profile/view/1878486","18-1878486")</f>
        <v>0</v>
      </c>
      <c r="B3792" t="s">
        <v>9</v>
      </c>
      <c r="H3792" t="s">
        <v>19</v>
      </c>
    </row>
    <row r="3793" spans="1:8">
      <c r="A3793" s="1">
        <f>HYPERLINK("https://cms.ls-nyc.org/matter/dynamic-profile/view/1888629","19-1888629")</f>
        <v>0</v>
      </c>
      <c r="B3793" t="s">
        <v>9</v>
      </c>
      <c r="H3793" t="s">
        <v>19</v>
      </c>
    </row>
    <row r="3794" spans="1:8">
      <c r="A3794" s="1">
        <f>HYPERLINK("https://cms.ls-nyc.org/matter/dynamic-profile/view/1888601","19-1888601")</f>
        <v>0</v>
      </c>
      <c r="B3794" t="s">
        <v>9</v>
      </c>
      <c r="H3794" t="s">
        <v>19</v>
      </c>
    </row>
    <row r="3795" spans="1:8">
      <c r="A3795" s="1">
        <f>HYPERLINK("https://cms.ls-nyc.org/matter/dynamic-profile/view/1891324","19-1891324")</f>
        <v>0</v>
      </c>
      <c r="B3795" t="s">
        <v>10</v>
      </c>
      <c r="F3795" t="s">
        <v>17</v>
      </c>
      <c r="H3795" t="s">
        <v>20</v>
      </c>
    </row>
    <row r="3796" spans="1:8">
      <c r="A3796" s="1">
        <f>HYPERLINK("https://cms.ls-nyc.org/matter/dynamic-profile/view/1891319","19-1891319")</f>
        <v>0</v>
      </c>
      <c r="B3796" t="s">
        <v>10</v>
      </c>
      <c r="F3796" t="s">
        <v>17</v>
      </c>
      <c r="H3796" t="s">
        <v>20</v>
      </c>
    </row>
    <row r="3797" spans="1:8">
      <c r="A3797" s="1">
        <f>HYPERLINK("https://cms.ls-nyc.org/matter/dynamic-profile/view/1857731","18-1857731")</f>
        <v>0</v>
      </c>
      <c r="B3797" t="s">
        <v>10</v>
      </c>
      <c r="D3797" t="s">
        <v>15</v>
      </c>
      <c r="E3797" t="s">
        <v>16</v>
      </c>
      <c r="H3797" t="s">
        <v>20</v>
      </c>
    </row>
    <row r="3798" spans="1:8">
      <c r="A3798" s="1">
        <f>HYPERLINK("https://cms.ls-nyc.org/matter/dynamic-profile/view/0812242","16-0812242")</f>
        <v>0</v>
      </c>
      <c r="B3798" t="s">
        <v>8</v>
      </c>
      <c r="C3798" t="s">
        <v>13</v>
      </c>
      <c r="D3798" t="s">
        <v>14</v>
      </c>
      <c r="E3798" t="s">
        <v>16</v>
      </c>
      <c r="H3798" t="s">
        <v>20</v>
      </c>
    </row>
    <row r="3799" spans="1:8">
      <c r="A3799" s="1">
        <f>HYPERLINK("https://cms.ls-nyc.org/matter/dynamic-profile/view/1900037","19-1900037")</f>
        <v>0</v>
      </c>
      <c r="B3799" t="s">
        <v>10</v>
      </c>
      <c r="D3799" t="s">
        <v>14</v>
      </c>
      <c r="F3799" t="s">
        <v>17</v>
      </c>
      <c r="H3799" t="s">
        <v>20</v>
      </c>
    </row>
    <row r="3800" spans="1:8">
      <c r="A3800" s="1">
        <f>HYPERLINK("https://cms.ls-nyc.org/matter/dynamic-profile/view/1897394","19-1897394")</f>
        <v>0</v>
      </c>
      <c r="B3800" t="s">
        <v>8</v>
      </c>
      <c r="F3800" t="s">
        <v>17</v>
      </c>
      <c r="H3800" t="s">
        <v>20</v>
      </c>
    </row>
    <row r="3801" spans="1:8">
      <c r="A3801" s="1">
        <f>HYPERLINK("https://cms.ls-nyc.org/matter/dynamic-profile/view/1891083","19-1891083")</f>
        <v>0</v>
      </c>
      <c r="B3801" t="s">
        <v>9</v>
      </c>
      <c r="C3801" t="s">
        <v>13</v>
      </c>
      <c r="D3801" t="s">
        <v>14</v>
      </c>
      <c r="E3801" t="s">
        <v>16</v>
      </c>
      <c r="G3801" t="s">
        <v>18</v>
      </c>
      <c r="H3801" t="s">
        <v>20</v>
      </c>
    </row>
    <row r="3802" spans="1:8">
      <c r="A3802" s="1">
        <f>HYPERLINK("https://cms.ls-nyc.org/matter/dynamic-profile/view/1880686","18-1880686")</f>
        <v>0</v>
      </c>
      <c r="B3802" t="s">
        <v>9</v>
      </c>
      <c r="H3802" t="s">
        <v>19</v>
      </c>
    </row>
    <row r="3803" spans="1:8">
      <c r="A3803" s="1">
        <f>HYPERLINK("https://cms.ls-nyc.org/matter/dynamic-profile/view/0831602","17-0831602")</f>
        <v>0</v>
      </c>
      <c r="B3803" t="s">
        <v>9</v>
      </c>
      <c r="D3803" t="s">
        <v>15</v>
      </c>
      <c r="E3803" t="s">
        <v>16</v>
      </c>
      <c r="F3803" t="s">
        <v>17</v>
      </c>
      <c r="H3803" t="s">
        <v>20</v>
      </c>
    </row>
    <row r="3804" spans="1:8">
      <c r="A3804" s="1">
        <f>HYPERLINK("https://cms.ls-nyc.org/matter/dynamic-profile/view/0830754","17-0830754")</f>
        <v>0</v>
      </c>
      <c r="B3804" t="s">
        <v>10</v>
      </c>
      <c r="D3804" t="s">
        <v>15</v>
      </c>
      <c r="E3804" t="s">
        <v>16</v>
      </c>
      <c r="H3804" t="s">
        <v>20</v>
      </c>
    </row>
    <row r="3805" spans="1:8">
      <c r="A3805" s="1">
        <f>HYPERLINK("https://cms.ls-nyc.org/matter/dynamic-profile/view/1834023","17-1834023")</f>
        <v>0</v>
      </c>
      <c r="B3805" t="s">
        <v>10</v>
      </c>
      <c r="D3805" t="s">
        <v>15</v>
      </c>
      <c r="E3805" t="s">
        <v>16</v>
      </c>
      <c r="H3805" t="s">
        <v>20</v>
      </c>
    </row>
    <row r="3806" spans="1:8">
      <c r="A3806" s="1">
        <f>HYPERLINK("https://cms.ls-nyc.org/matter/dynamic-profile/view/1866430","18-1866430")</f>
        <v>0</v>
      </c>
      <c r="B3806" t="s">
        <v>8</v>
      </c>
      <c r="D3806" t="s">
        <v>15</v>
      </c>
      <c r="E3806" t="s">
        <v>16</v>
      </c>
      <c r="F3806" t="s">
        <v>17</v>
      </c>
      <c r="H3806" t="s">
        <v>20</v>
      </c>
    </row>
    <row r="3807" spans="1:8">
      <c r="A3807" s="1">
        <f>HYPERLINK("https://cms.ls-nyc.org/matter/dynamic-profile/view/1886037","18-1886037")</f>
        <v>0</v>
      </c>
      <c r="B3807" t="s">
        <v>10</v>
      </c>
      <c r="H3807" t="s">
        <v>19</v>
      </c>
    </row>
    <row r="3808" spans="1:8">
      <c r="A3808" s="1">
        <f>HYPERLINK("https://cms.ls-nyc.org/matter/dynamic-profile/view/1879126","18-1879126")</f>
        <v>0</v>
      </c>
      <c r="B3808" t="s">
        <v>10</v>
      </c>
      <c r="H3808" t="s">
        <v>19</v>
      </c>
    </row>
    <row r="3809" spans="1:8">
      <c r="A3809" s="1">
        <f>HYPERLINK("https://cms.ls-nyc.org/matter/dynamic-profile/view/1858286","18-1858286")</f>
        <v>0</v>
      </c>
      <c r="B3809" t="s">
        <v>9</v>
      </c>
      <c r="D3809" t="s">
        <v>15</v>
      </c>
      <c r="E3809" t="s">
        <v>16</v>
      </c>
      <c r="H3809" t="s">
        <v>20</v>
      </c>
    </row>
    <row r="3810" spans="1:8">
      <c r="A3810" s="1">
        <f>HYPERLINK("https://cms.ls-nyc.org/matter/dynamic-profile/view/1867103","18-1867103")</f>
        <v>0</v>
      </c>
      <c r="B3810" t="s">
        <v>9</v>
      </c>
      <c r="D3810" t="s">
        <v>15</v>
      </c>
      <c r="E3810" t="s">
        <v>16</v>
      </c>
      <c r="H3810" t="s">
        <v>20</v>
      </c>
    </row>
    <row r="3811" spans="1:8">
      <c r="A3811" s="1">
        <f>HYPERLINK("https://cms.ls-nyc.org/matter/dynamic-profile/view/1872376","18-1872376")</f>
        <v>0</v>
      </c>
      <c r="B3811" t="s">
        <v>9</v>
      </c>
      <c r="D3811" t="s">
        <v>15</v>
      </c>
      <c r="E3811" t="s">
        <v>16</v>
      </c>
      <c r="H3811" t="s">
        <v>20</v>
      </c>
    </row>
    <row r="3812" spans="1:8">
      <c r="A3812" s="1">
        <f>HYPERLINK("https://cms.ls-nyc.org/matter/dynamic-profile/view/1871016","18-1871016")</f>
        <v>0</v>
      </c>
      <c r="B3812" t="s">
        <v>10</v>
      </c>
      <c r="E3812" t="s">
        <v>16</v>
      </c>
      <c r="H3812" t="s">
        <v>20</v>
      </c>
    </row>
    <row r="3813" spans="1:8">
      <c r="A3813" s="1">
        <f>HYPERLINK("https://cms.ls-nyc.org/matter/dynamic-profile/view/1882836","18-1882836")</f>
        <v>0</v>
      </c>
      <c r="B3813" t="s">
        <v>10</v>
      </c>
      <c r="D3813" t="s">
        <v>14</v>
      </c>
      <c r="H3813" t="s">
        <v>20</v>
      </c>
    </row>
    <row r="3814" spans="1:8">
      <c r="A3814" s="1">
        <f>HYPERLINK("https://cms.ls-nyc.org/matter/dynamic-profile/view/1897639","19-1897639")</f>
        <v>0</v>
      </c>
      <c r="B3814" t="s">
        <v>10</v>
      </c>
      <c r="C3814" t="s">
        <v>13</v>
      </c>
      <c r="D3814" t="s">
        <v>14</v>
      </c>
      <c r="E3814" t="s">
        <v>16</v>
      </c>
      <c r="F3814" t="s">
        <v>17</v>
      </c>
      <c r="H3814" t="s">
        <v>20</v>
      </c>
    </row>
    <row r="3815" spans="1:8">
      <c r="A3815" s="1">
        <f>HYPERLINK("https://cms.ls-nyc.org/matter/dynamic-profile/view/1900672","19-1900672")</f>
        <v>0</v>
      </c>
      <c r="B3815" t="s">
        <v>9</v>
      </c>
      <c r="H3815" t="s">
        <v>19</v>
      </c>
    </row>
    <row r="3816" spans="1:8">
      <c r="A3816" s="1">
        <f>HYPERLINK("https://cms.ls-nyc.org/matter/dynamic-profile/view/1892748","19-1892748")</f>
        <v>0</v>
      </c>
      <c r="B3816" t="s">
        <v>10</v>
      </c>
      <c r="H3816" t="s">
        <v>19</v>
      </c>
    </row>
    <row r="3817" spans="1:8">
      <c r="A3817" s="1">
        <f>HYPERLINK("https://cms.ls-nyc.org/matter/dynamic-profile/view/1881696","18-1881696")</f>
        <v>0</v>
      </c>
      <c r="B3817" t="s">
        <v>9</v>
      </c>
      <c r="H3817" t="s">
        <v>19</v>
      </c>
    </row>
    <row r="3818" spans="1:8">
      <c r="A3818" s="1">
        <f>HYPERLINK("https://cms.ls-nyc.org/matter/dynamic-profile/view/1879223","18-1879223")</f>
        <v>0</v>
      </c>
      <c r="B3818" t="s">
        <v>9</v>
      </c>
      <c r="H3818" t="s">
        <v>19</v>
      </c>
    </row>
    <row r="3819" spans="1:8">
      <c r="A3819" s="1">
        <f>HYPERLINK("https://cms.ls-nyc.org/matter/dynamic-profile/view/1847881","17-1847881")</f>
        <v>0</v>
      </c>
      <c r="B3819" t="s">
        <v>10</v>
      </c>
      <c r="D3819" t="s">
        <v>15</v>
      </c>
      <c r="E3819" t="s">
        <v>16</v>
      </c>
      <c r="H3819" t="s">
        <v>20</v>
      </c>
    </row>
    <row r="3820" spans="1:8">
      <c r="A3820" s="1">
        <f>HYPERLINK("https://cms.ls-nyc.org/matter/dynamic-profile/view/0822001","16-0822001")</f>
        <v>0</v>
      </c>
      <c r="B3820" t="s">
        <v>10</v>
      </c>
      <c r="D3820" t="s">
        <v>15</v>
      </c>
      <c r="E3820" t="s">
        <v>16</v>
      </c>
      <c r="H3820" t="s">
        <v>20</v>
      </c>
    </row>
    <row r="3821" spans="1:8">
      <c r="A3821" s="1">
        <f>HYPERLINK("https://cms.ls-nyc.org/matter/dynamic-profile/view/1890003","19-1890003")</f>
        <v>0</v>
      </c>
      <c r="B3821" t="s">
        <v>12</v>
      </c>
      <c r="H3821" t="s">
        <v>19</v>
      </c>
    </row>
    <row r="3822" spans="1:8">
      <c r="A3822" s="1">
        <f>HYPERLINK("https://cms.ls-nyc.org/matter/dynamic-profile/view/1847730","17-1847730")</f>
        <v>0</v>
      </c>
      <c r="B3822" t="s">
        <v>12</v>
      </c>
      <c r="D3822" t="s">
        <v>15</v>
      </c>
      <c r="E3822" t="s">
        <v>16</v>
      </c>
      <c r="H3822" t="s">
        <v>20</v>
      </c>
    </row>
    <row r="3823" spans="1:8">
      <c r="A3823" s="1">
        <f>HYPERLINK("https://cms.ls-nyc.org/matter/dynamic-profile/view/0797950","16-0797950")</f>
        <v>0</v>
      </c>
      <c r="B3823" t="s">
        <v>10</v>
      </c>
      <c r="D3823" t="s">
        <v>15</v>
      </c>
      <c r="E3823" t="s">
        <v>16</v>
      </c>
      <c r="H3823" t="s">
        <v>20</v>
      </c>
    </row>
    <row r="3824" spans="1:8">
      <c r="A3824" s="1">
        <f>HYPERLINK("https://cms.ls-nyc.org/matter/dynamic-profile/view/1893491","19-1893491")</f>
        <v>0</v>
      </c>
      <c r="B3824" t="s">
        <v>11</v>
      </c>
      <c r="C3824" t="s">
        <v>13</v>
      </c>
      <c r="D3824" t="s">
        <v>14</v>
      </c>
      <c r="E3824" t="s">
        <v>16</v>
      </c>
      <c r="G3824" t="s">
        <v>18</v>
      </c>
      <c r="H3824" t="s">
        <v>20</v>
      </c>
    </row>
    <row r="3825" spans="1:8">
      <c r="A3825" s="1">
        <f>HYPERLINK("https://cms.ls-nyc.org/matter/dynamic-profile/view/1855261","18-1855261")</f>
        <v>0</v>
      </c>
      <c r="B3825" t="s">
        <v>8</v>
      </c>
      <c r="D3825" t="s">
        <v>15</v>
      </c>
      <c r="E3825" t="s">
        <v>16</v>
      </c>
      <c r="H3825" t="s">
        <v>20</v>
      </c>
    </row>
    <row r="3826" spans="1:8">
      <c r="A3826" s="1">
        <f>HYPERLINK("https://cms.ls-nyc.org/matter/dynamic-profile/view/1836056","17-1836056")</f>
        <v>0</v>
      </c>
      <c r="B3826" t="s">
        <v>9</v>
      </c>
      <c r="D3826" t="s">
        <v>15</v>
      </c>
      <c r="E3826" t="s">
        <v>16</v>
      </c>
      <c r="H3826" t="s">
        <v>20</v>
      </c>
    </row>
    <row r="3827" spans="1:8">
      <c r="A3827" s="1">
        <f>HYPERLINK("https://cms.ls-nyc.org/matter/dynamic-profile/view/0828727","17-0828727")</f>
        <v>0</v>
      </c>
      <c r="B3827" t="s">
        <v>9</v>
      </c>
      <c r="D3827" t="s">
        <v>15</v>
      </c>
      <c r="H3827" t="s">
        <v>20</v>
      </c>
    </row>
    <row r="3828" spans="1:8">
      <c r="A3828" s="1">
        <f>HYPERLINK("https://cms.ls-nyc.org/matter/dynamic-profile/view/1856573","18-1856573")</f>
        <v>0</v>
      </c>
      <c r="B3828" t="s">
        <v>9</v>
      </c>
      <c r="D3828" t="s">
        <v>15</v>
      </c>
      <c r="E3828" t="s">
        <v>16</v>
      </c>
      <c r="H3828" t="s">
        <v>20</v>
      </c>
    </row>
    <row r="3829" spans="1:8">
      <c r="A3829" s="1">
        <f>HYPERLINK("https://cms.ls-nyc.org/matter/dynamic-profile/view/1847205","17-1847205")</f>
        <v>0</v>
      </c>
      <c r="B3829" t="s">
        <v>9</v>
      </c>
      <c r="D3829" t="s">
        <v>15</v>
      </c>
      <c r="E3829" t="s">
        <v>16</v>
      </c>
      <c r="H3829" t="s">
        <v>20</v>
      </c>
    </row>
    <row r="3830" spans="1:8">
      <c r="A3830" s="1">
        <f>HYPERLINK("https://cms.ls-nyc.org/matter/dynamic-profile/view/1838781","17-1838781")</f>
        <v>0</v>
      </c>
      <c r="B3830" t="s">
        <v>10</v>
      </c>
      <c r="D3830" t="s">
        <v>15</v>
      </c>
      <c r="E3830" t="s">
        <v>16</v>
      </c>
      <c r="H3830" t="s">
        <v>20</v>
      </c>
    </row>
    <row r="3831" spans="1:8">
      <c r="A3831" s="1">
        <f>HYPERLINK("https://cms.ls-nyc.org/matter/dynamic-profile/view/1841105","17-1841105")</f>
        <v>0</v>
      </c>
      <c r="B3831" t="s">
        <v>10</v>
      </c>
      <c r="D3831" t="s">
        <v>15</v>
      </c>
      <c r="E3831" t="s">
        <v>16</v>
      </c>
      <c r="H3831" t="s">
        <v>20</v>
      </c>
    </row>
    <row r="3832" spans="1:8">
      <c r="A3832" s="1">
        <f>HYPERLINK("https://cms.ls-nyc.org/matter/dynamic-profile/view/1897727","19-1897727")</f>
        <v>0</v>
      </c>
      <c r="B3832" t="s">
        <v>12</v>
      </c>
      <c r="H3832" t="s">
        <v>19</v>
      </c>
    </row>
    <row r="3833" spans="1:8">
      <c r="A3833" s="1">
        <f>HYPERLINK("https://cms.ls-nyc.org/matter/dynamic-profile/view/1882669","18-1882669")</f>
        <v>0</v>
      </c>
      <c r="B3833" t="s">
        <v>8</v>
      </c>
      <c r="H3833" t="s">
        <v>19</v>
      </c>
    </row>
    <row r="3834" spans="1:8">
      <c r="A3834" s="1">
        <f>HYPERLINK("https://cms.ls-nyc.org/matter/dynamic-profile/view/1888152","19-1888152")</f>
        <v>0</v>
      </c>
      <c r="B3834" t="s">
        <v>12</v>
      </c>
      <c r="F3834" t="s">
        <v>17</v>
      </c>
      <c r="H3834" t="s">
        <v>20</v>
      </c>
    </row>
    <row r="3835" spans="1:8">
      <c r="A3835" s="1">
        <f>HYPERLINK("https://cms.ls-nyc.org/matter/dynamic-profile/view/1848477","17-1848477")</f>
        <v>0</v>
      </c>
      <c r="B3835" t="s">
        <v>8</v>
      </c>
      <c r="C3835" t="s">
        <v>13</v>
      </c>
      <c r="D3835" t="s">
        <v>14</v>
      </c>
      <c r="E3835" t="s">
        <v>16</v>
      </c>
      <c r="H3835" t="s">
        <v>20</v>
      </c>
    </row>
    <row r="3836" spans="1:8">
      <c r="A3836" s="1">
        <f>HYPERLINK("https://cms.ls-nyc.org/matter/dynamic-profile/view/1874218","18-1874218")</f>
        <v>0</v>
      </c>
      <c r="B3836" t="s">
        <v>9</v>
      </c>
      <c r="H3836" t="s">
        <v>19</v>
      </c>
    </row>
    <row r="3837" spans="1:8">
      <c r="A3837" s="1">
        <f>HYPERLINK("https://cms.ls-nyc.org/matter/dynamic-profile/view/1866186","18-1866186")</f>
        <v>0</v>
      </c>
      <c r="B3837" t="s">
        <v>9</v>
      </c>
      <c r="D3837" t="s">
        <v>15</v>
      </c>
      <c r="H3837" t="s">
        <v>20</v>
      </c>
    </row>
    <row r="3838" spans="1:8">
      <c r="A3838" s="1">
        <f>HYPERLINK("https://cms.ls-nyc.org/matter/dynamic-profile/view/1891669","19-1891669")</f>
        <v>0</v>
      </c>
      <c r="B3838" t="s">
        <v>8</v>
      </c>
      <c r="C3838" t="s">
        <v>13</v>
      </c>
      <c r="D3838" t="s">
        <v>14</v>
      </c>
      <c r="E3838" t="s">
        <v>16</v>
      </c>
      <c r="H3838" t="s">
        <v>20</v>
      </c>
    </row>
    <row r="3839" spans="1:8">
      <c r="A3839" s="1">
        <f>HYPERLINK("https://cms.ls-nyc.org/matter/dynamic-profile/view/1898372","19-1898372")</f>
        <v>0</v>
      </c>
      <c r="B3839" t="s">
        <v>8</v>
      </c>
      <c r="H3839" t="s">
        <v>19</v>
      </c>
    </row>
    <row r="3840" spans="1:8">
      <c r="A3840" s="1">
        <f>HYPERLINK("https://cms.ls-nyc.org/matter/dynamic-profile/view/1899896","19-1899896")</f>
        <v>0</v>
      </c>
      <c r="B3840" t="s">
        <v>9</v>
      </c>
      <c r="H3840" t="s">
        <v>19</v>
      </c>
    </row>
    <row r="3841" spans="1:8">
      <c r="A3841" s="1">
        <f>HYPERLINK("https://cms.ls-nyc.org/matter/dynamic-profile/view/1894638","19-1894638")</f>
        <v>0</v>
      </c>
      <c r="B3841" t="s">
        <v>9</v>
      </c>
      <c r="F3841" t="s">
        <v>17</v>
      </c>
      <c r="H3841" t="s">
        <v>20</v>
      </c>
    </row>
    <row r="3842" spans="1:8">
      <c r="A3842" s="1">
        <f>HYPERLINK("https://cms.ls-nyc.org/matter/dynamic-profile/view/1894656","19-1894656")</f>
        <v>0</v>
      </c>
      <c r="B3842" t="s">
        <v>9</v>
      </c>
      <c r="F3842" t="s">
        <v>17</v>
      </c>
      <c r="H3842" t="s">
        <v>20</v>
      </c>
    </row>
    <row r="3843" spans="1:8">
      <c r="A3843" s="1">
        <f>HYPERLINK("https://cms.ls-nyc.org/matter/dynamic-profile/view/1895658","19-1895658")</f>
        <v>0</v>
      </c>
      <c r="B3843" t="s">
        <v>9</v>
      </c>
      <c r="F3843" t="s">
        <v>17</v>
      </c>
      <c r="H3843" t="s">
        <v>20</v>
      </c>
    </row>
    <row r="3844" spans="1:8">
      <c r="A3844" s="1">
        <f>HYPERLINK("https://cms.ls-nyc.org/matter/dynamic-profile/view/1892034","19-1892034")</f>
        <v>0</v>
      </c>
      <c r="B3844" t="s">
        <v>9</v>
      </c>
      <c r="H3844" t="s">
        <v>19</v>
      </c>
    </row>
    <row r="3845" spans="1:8">
      <c r="A3845" s="1">
        <f>HYPERLINK("https://cms.ls-nyc.org/matter/dynamic-profile/view/1863783","18-1863783")</f>
        <v>0</v>
      </c>
      <c r="B3845" t="s">
        <v>12</v>
      </c>
      <c r="D3845" t="s">
        <v>15</v>
      </c>
      <c r="H3845" t="s">
        <v>20</v>
      </c>
    </row>
    <row r="3846" spans="1:8">
      <c r="A3846" s="1">
        <f>HYPERLINK("https://cms.ls-nyc.org/matter/dynamic-profile/view/1891952","19-1891952")</f>
        <v>0</v>
      </c>
      <c r="B3846" t="s">
        <v>8</v>
      </c>
      <c r="H3846" t="s">
        <v>19</v>
      </c>
    </row>
    <row r="3847" spans="1:8">
      <c r="A3847" s="1">
        <f>HYPERLINK("https://cms.ls-nyc.org/matter/dynamic-profile/view/1900996","19-1900996")</f>
        <v>0</v>
      </c>
      <c r="B3847" t="s">
        <v>10</v>
      </c>
      <c r="D3847" t="s">
        <v>14</v>
      </c>
      <c r="E3847" t="s">
        <v>16</v>
      </c>
      <c r="H3847" t="s">
        <v>20</v>
      </c>
    </row>
    <row r="3848" spans="1:8">
      <c r="A3848" s="1">
        <f>HYPERLINK("https://cms.ls-nyc.org/matter/dynamic-profile/view/1860718","18-1860718")</f>
        <v>0</v>
      </c>
      <c r="B3848" t="s">
        <v>9</v>
      </c>
      <c r="C3848" t="s">
        <v>13</v>
      </c>
      <c r="D3848" t="s">
        <v>14</v>
      </c>
      <c r="E3848" t="s">
        <v>16</v>
      </c>
      <c r="H3848" t="s">
        <v>20</v>
      </c>
    </row>
    <row r="3849" spans="1:8">
      <c r="A3849" s="1">
        <f>HYPERLINK("https://cms.ls-nyc.org/matter/dynamic-profile/view/1887009","19-1887009")</f>
        <v>0</v>
      </c>
      <c r="B3849" t="s">
        <v>12</v>
      </c>
      <c r="H3849" t="s">
        <v>19</v>
      </c>
    </row>
    <row r="3850" spans="1:8">
      <c r="A3850" s="1">
        <f>HYPERLINK("https://cms.ls-nyc.org/matter/dynamic-profile/view/1899509","19-1899509")</f>
        <v>0</v>
      </c>
      <c r="B3850" t="s">
        <v>10</v>
      </c>
      <c r="D3850" t="s">
        <v>14</v>
      </c>
      <c r="H3850" t="s">
        <v>20</v>
      </c>
    </row>
    <row r="3851" spans="1:8">
      <c r="A3851" s="1">
        <f>HYPERLINK("https://cms.ls-nyc.org/matter/dynamic-profile/view/1840475","17-1840475")</f>
        <v>0</v>
      </c>
      <c r="B3851" t="s">
        <v>12</v>
      </c>
      <c r="D3851" t="s">
        <v>15</v>
      </c>
      <c r="E3851" t="s">
        <v>16</v>
      </c>
      <c r="H3851" t="s">
        <v>20</v>
      </c>
    </row>
    <row r="3852" spans="1:8">
      <c r="A3852" s="1">
        <f>HYPERLINK("https://cms.ls-nyc.org/matter/dynamic-profile/view/1855958","18-1855958")</f>
        <v>0</v>
      </c>
      <c r="B3852" t="s">
        <v>9</v>
      </c>
      <c r="D3852" t="s">
        <v>15</v>
      </c>
      <c r="E3852" t="s">
        <v>16</v>
      </c>
      <c r="F3852" t="s">
        <v>17</v>
      </c>
      <c r="H3852" t="s">
        <v>20</v>
      </c>
    </row>
    <row r="3853" spans="1:8">
      <c r="A3853" s="1">
        <f>HYPERLINK("https://cms.ls-nyc.org/matter/dynamic-profile/view/0769528","15-0769528")</f>
        <v>0</v>
      </c>
      <c r="B3853" t="s">
        <v>9</v>
      </c>
      <c r="C3853" t="s">
        <v>13</v>
      </c>
      <c r="D3853" t="s">
        <v>15</v>
      </c>
      <c r="E3853" t="s">
        <v>16</v>
      </c>
      <c r="H3853" t="s">
        <v>20</v>
      </c>
    </row>
    <row r="3854" spans="1:8">
      <c r="A3854" s="1">
        <f>HYPERLINK("https://cms.ls-nyc.org/matter/dynamic-profile/view/1891751","19-1891751")</f>
        <v>0</v>
      </c>
      <c r="B3854" t="s">
        <v>9</v>
      </c>
      <c r="F3854" t="s">
        <v>17</v>
      </c>
      <c r="H3854" t="s">
        <v>20</v>
      </c>
    </row>
    <row r="3855" spans="1:8">
      <c r="A3855" s="1">
        <f>HYPERLINK("https://cms.ls-nyc.org/matter/dynamic-profile/view/1899126","19-1899126")</f>
        <v>0</v>
      </c>
      <c r="B3855" t="s">
        <v>12</v>
      </c>
      <c r="C3855" t="s">
        <v>13</v>
      </c>
      <c r="E3855" t="s">
        <v>16</v>
      </c>
      <c r="F3855" t="s">
        <v>17</v>
      </c>
      <c r="H3855" t="s">
        <v>20</v>
      </c>
    </row>
    <row r="3856" spans="1:8">
      <c r="A3856" s="1">
        <f>HYPERLINK("https://cms.ls-nyc.org/matter/dynamic-profile/view/1887677","18-1887677")</f>
        <v>0</v>
      </c>
      <c r="B3856" t="s">
        <v>10</v>
      </c>
      <c r="H3856" t="s">
        <v>19</v>
      </c>
    </row>
    <row r="3857" spans="1:8">
      <c r="A3857" s="1">
        <f>HYPERLINK("https://cms.ls-nyc.org/matter/dynamic-profile/view/1893741","19-1893741")</f>
        <v>0</v>
      </c>
      <c r="B3857" t="s">
        <v>9</v>
      </c>
      <c r="C3857" t="s">
        <v>13</v>
      </c>
      <c r="D3857" t="s">
        <v>14</v>
      </c>
      <c r="E3857" t="s">
        <v>16</v>
      </c>
      <c r="G3857" t="s">
        <v>18</v>
      </c>
      <c r="H3857" t="s">
        <v>20</v>
      </c>
    </row>
    <row r="3858" spans="1:8">
      <c r="A3858" s="1">
        <f>HYPERLINK("https://cms.ls-nyc.org/matter/dynamic-profile/view/1890790","19-1890790")</f>
        <v>0</v>
      </c>
      <c r="B3858" t="s">
        <v>10</v>
      </c>
      <c r="H3858" t="s">
        <v>19</v>
      </c>
    </row>
    <row r="3859" spans="1:8">
      <c r="A3859" s="1">
        <f>HYPERLINK("https://cms.ls-nyc.org/matter/dynamic-profile/view/1890778","19-1890778")</f>
        <v>0</v>
      </c>
      <c r="B3859" t="s">
        <v>10</v>
      </c>
      <c r="H3859" t="s">
        <v>19</v>
      </c>
    </row>
    <row r="3860" spans="1:8">
      <c r="A3860" s="1">
        <f>HYPERLINK("https://cms.ls-nyc.org/matter/dynamic-profile/view/1892214","19-1892214")</f>
        <v>0</v>
      </c>
      <c r="B3860" t="s">
        <v>9</v>
      </c>
      <c r="F3860" t="s">
        <v>17</v>
      </c>
      <c r="H3860" t="s">
        <v>20</v>
      </c>
    </row>
    <row r="3861" spans="1:8">
      <c r="A3861" s="1">
        <f>HYPERLINK("https://cms.ls-nyc.org/matter/dynamic-profile/view/1897575","19-1897575")</f>
        <v>0</v>
      </c>
      <c r="B3861" t="s">
        <v>12</v>
      </c>
      <c r="H3861" t="s">
        <v>19</v>
      </c>
    </row>
    <row r="3862" spans="1:8">
      <c r="A3862" s="1">
        <f>HYPERLINK("https://cms.ls-nyc.org/matter/dynamic-profile/view/1866379","18-1866379")</f>
        <v>0</v>
      </c>
      <c r="B3862" t="s">
        <v>10</v>
      </c>
      <c r="D3862" t="s">
        <v>15</v>
      </c>
      <c r="E3862" t="s">
        <v>16</v>
      </c>
      <c r="H3862" t="s">
        <v>20</v>
      </c>
    </row>
    <row r="3863" spans="1:8">
      <c r="A3863" s="1">
        <f>HYPERLINK("https://cms.ls-nyc.org/matter/dynamic-profile/view/1862511","18-1862511")</f>
        <v>0</v>
      </c>
      <c r="B3863" t="s">
        <v>10</v>
      </c>
      <c r="D3863" t="s">
        <v>15</v>
      </c>
      <c r="E3863" t="s">
        <v>16</v>
      </c>
      <c r="H3863" t="s">
        <v>20</v>
      </c>
    </row>
    <row r="3864" spans="1:8">
      <c r="A3864" s="1">
        <f>HYPERLINK("https://cms.ls-nyc.org/matter/dynamic-profile/view/1864458","18-1864458")</f>
        <v>0</v>
      </c>
      <c r="B3864" t="s">
        <v>12</v>
      </c>
      <c r="D3864" t="s">
        <v>15</v>
      </c>
      <c r="F3864" t="s">
        <v>17</v>
      </c>
      <c r="H3864" t="s">
        <v>20</v>
      </c>
    </row>
    <row r="3865" spans="1:8">
      <c r="A3865" s="1">
        <f>HYPERLINK("https://cms.ls-nyc.org/matter/dynamic-profile/view/1879386","18-1879386")</f>
        <v>0</v>
      </c>
      <c r="B3865" t="s">
        <v>9</v>
      </c>
      <c r="C3865" t="s">
        <v>13</v>
      </c>
      <c r="D3865" t="s">
        <v>14</v>
      </c>
      <c r="E3865" t="s">
        <v>16</v>
      </c>
      <c r="H3865" t="s">
        <v>20</v>
      </c>
    </row>
    <row r="3866" spans="1:8">
      <c r="A3866" s="1">
        <f>HYPERLINK("https://cms.ls-nyc.org/matter/dynamic-profile/view/1838769","17-1838769")</f>
        <v>0</v>
      </c>
      <c r="B3866" t="s">
        <v>10</v>
      </c>
      <c r="D3866" t="s">
        <v>15</v>
      </c>
      <c r="E3866" t="s">
        <v>16</v>
      </c>
      <c r="H3866" t="s">
        <v>20</v>
      </c>
    </row>
    <row r="3867" spans="1:8">
      <c r="A3867" s="1">
        <f>HYPERLINK("https://cms.ls-nyc.org/matter/dynamic-profile/view/1887669","19-1887669")</f>
        <v>0</v>
      </c>
      <c r="B3867" t="s">
        <v>10</v>
      </c>
      <c r="E3867" t="s">
        <v>16</v>
      </c>
      <c r="F3867" t="s">
        <v>17</v>
      </c>
      <c r="H3867" t="s">
        <v>20</v>
      </c>
    </row>
    <row r="3868" spans="1:8">
      <c r="A3868" s="1">
        <f>HYPERLINK("https://cms.ls-nyc.org/matter/dynamic-profile/view/1898014","19-1898014")</f>
        <v>0</v>
      </c>
      <c r="B3868" t="s">
        <v>11</v>
      </c>
      <c r="D3868" t="s">
        <v>14</v>
      </c>
      <c r="G3868" t="s">
        <v>18</v>
      </c>
      <c r="H3868" t="s">
        <v>20</v>
      </c>
    </row>
    <row r="3869" spans="1:8">
      <c r="A3869" s="1">
        <f>HYPERLINK("https://cms.ls-nyc.org/matter/dynamic-profile/view/1876504","18-1876504")</f>
        <v>0</v>
      </c>
      <c r="B3869" t="s">
        <v>9</v>
      </c>
      <c r="H3869" t="s">
        <v>19</v>
      </c>
    </row>
    <row r="3870" spans="1:8">
      <c r="A3870" s="1">
        <f>HYPERLINK("https://cms.ls-nyc.org/matter/dynamic-profile/view/1835830","17-1835830")</f>
        <v>0</v>
      </c>
      <c r="B3870" t="s">
        <v>12</v>
      </c>
      <c r="D3870" t="s">
        <v>15</v>
      </c>
      <c r="E3870" t="s">
        <v>16</v>
      </c>
      <c r="F3870" t="s">
        <v>17</v>
      </c>
      <c r="H3870" t="s">
        <v>20</v>
      </c>
    </row>
    <row r="3871" spans="1:8">
      <c r="A3871" s="1">
        <f>HYPERLINK("https://cms.ls-nyc.org/matter/dynamic-profile/view/1880157","18-1880157")</f>
        <v>0</v>
      </c>
      <c r="B3871" t="s">
        <v>8</v>
      </c>
      <c r="H3871" t="s">
        <v>19</v>
      </c>
    </row>
    <row r="3872" spans="1:8">
      <c r="A3872" s="1">
        <f>HYPERLINK("https://cms.ls-nyc.org/matter/dynamic-profile/view/1875894","18-1875894")</f>
        <v>0</v>
      </c>
      <c r="B3872" t="s">
        <v>9</v>
      </c>
      <c r="C3872" t="s">
        <v>13</v>
      </c>
      <c r="D3872" t="s">
        <v>14</v>
      </c>
      <c r="E3872" t="s">
        <v>16</v>
      </c>
      <c r="G3872" t="s">
        <v>18</v>
      </c>
      <c r="H3872" t="s">
        <v>20</v>
      </c>
    </row>
    <row r="3873" spans="1:8">
      <c r="A3873" s="1">
        <f>HYPERLINK("https://cms.ls-nyc.org/matter/dynamic-profile/view/1897574","19-1897574")</f>
        <v>0</v>
      </c>
      <c r="B3873" t="s">
        <v>9</v>
      </c>
      <c r="E3873" t="s">
        <v>16</v>
      </c>
      <c r="F3873" t="s">
        <v>17</v>
      </c>
      <c r="H3873" t="s">
        <v>20</v>
      </c>
    </row>
    <row r="3874" spans="1:8">
      <c r="A3874" s="1">
        <f>HYPERLINK("https://cms.ls-nyc.org/matter/dynamic-profile/view/1857511","18-1857511")</f>
        <v>0</v>
      </c>
      <c r="B3874" t="s">
        <v>10</v>
      </c>
      <c r="H3874" t="s">
        <v>19</v>
      </c>
    </row>
    <row r="3875" spans="1:8">
      <c r="A3875" s="1">
        <f>HYPERLINK("https://cms.ls-nyc.org/matter/dynamic-profile/view/1901473","19-1901473")</f>
        <v>0</v>
      </c>
      <c r="B3875" t="s">
        <v>10</v>
      </c>
      <c r="C3875" t="s">
        <v>13</v>
      </c>
      <c r="D3875" t="s">
        <v>14</v>
      </c>
      <c r="F3875" t="s">
        <v>17</v>
      </c>
      <c r="H3875" t="s">
        <v>20</v>
      </c>
    </row>
    <row r="3876" spans="1:8">
      <c r="A3876" s="1">
        <f>HYPERLINK("https://cms.ls-nyc.org/matter/dynamic-profile/view/1877294","18-1877294")</f>
        <v>0</v>
      </c>
      <c r="B3876" t="s">
        <v>10</v>
      </c>
      <c r="H3876" t="s">
        <v>19</v>
      </c>
    </row>
    <row r="3877" spans="1:8">
      <c r="A3877" s="1">
        <f>HYPERLINK("https://cms.ls-nyc.org/matter/dynamic-profile/view/1888142","19-1888142")</f>
        <v>0</v>
      </c>
      <c r="B3877" t="s">
        <v>9</v>
      </c>
      <c r="F3877" t="s">
        <v>17</v>
      </c>
      <c r="H3877" t="s">
        <v>20</v>
      </c>
    </row>
    <row r="3878" spans="1:8">
      <c r="A3878" s="1">
        <f>HYPERLINK("https://cms.ls-nyc.org/matter/dynamic-profile/view/1879892","18-1879892")</f>
        <v>0</v>
      </c>
      <c r="B3878" t="s">
        <v>12</v>
      </c>
      <c r="H3878" t="s">
        <v>19</v>
      </c>
    </row>
    <row r="3879" spans="1:8">
      <c r="A3879" s="1">
        <f>HYPERLINK("https://cms.ls-nyc.org/matter/dynamic-profile/view/1863969","18-1863969")</f>
        <v>0</v>
      </c>
      <c r="B3879" t="s">
        <v>12</v>
      </c>
      <c r="D3879" t="s">
        <v>15</v>
      </c>
      <c r="F3879" t="s">
        <v>17</v>
      </c>
      <c r="H3879" t="s">
        <v>20</v>
      </c>
    </row>
    <row r="3880" spans="1:8">
      <c r="A3880" s="1">
        <f>HYPERLINK("https://cms.ls-nyc.org/matter/dynamic-profile/view/1861611","18-1861611")</f>
        <v>0</v>
      </c>
      <c r="B3880" t="s">
        <v>12</v>
      </c>
      <c r="C3880" t="s">
        <v>13</v>
      </c>
      <c r="D3880" t="s">
        <v>14</v>
      </c>
      <c r="E3880" t="s">
        <v>16</v>
      </c>
      <c r="H3880" t="s">
        <v>20</v>
      </c>
    </row>
    <row r="3881" spans="1:8">
      <c r="A3881" s="1">
        <f>HYPERLINK("https://cms.ls-nyc.org/matter/dynamic-profile/view/1879973","18-1879973")</f>
        <v>0</v>
      </c>
      <c r="B3881" t="s">
        <v>10</v>
      </c>
      <c r="F3881" t="s">
        <v>17</v>
      </c>
      <c r="H3881" t="s">
        <v>20</v>
      </c>
    </row>
    <row r="3882" spans="1:8">
      <c r="A3882" s="1">
        <f>HYPERLINK("https://cms.ls-nyc.org/matter/dynamic-profile/view/1899551","19-1899551")</f>
        <v>0</v>
      </c>
      <c r="B3882" t="s">
        <v>9</v>
      </c>
      <c r="H3882" t="s">
        <v>19</v>
      </c>
    </row>
    <row r="3883" spans="1:8">
      <c r="A3883" s="1">
        <f>HYPERLINK("https://cms.ls-nyc.org/matter/dynamic-profile/view/1900001","19-1900001")</f>
        <v>0</v>
      </c>
      <c r="B3883" t="s">
        <v>10</v>
      </c>
      <c r="D3883" t="s">
        <v>14</v>
      </c>
      <c r="E3883" t="s">
        <v>16</v>
      </c>
      <c r="H3883" t="s">
        <v>20</v>
      </c>
    </row>
    <row r="3884" spans="1:8">
      <c r="A3884" s="1">
        <f>HYPERLINK("https://cms.ls-nyc.org/matter/dynamic-profile/view/1900007","19-1900007")</f>
        <v>0</v>
      </c>
      <c r="B3884" t="s">
        <v>10</v>
      </c>
      <c r="D3884" t="s">
        <v>14</v>
      </c>
      <c r="E3884" t="s">
        <v>16</v>
      </c>
      <c r="F3884" t="s">
        <v>17</v>
      </c>
      <c r="H3884" t="s">
        <v>20</v>
      </c>
    </row>
    <row r="3885" spans="1:8">
      <c r="A3885" s="1">
        <f>HYPERLINK("https://cms.ls-nyc.org/matter/dynamic-profile/view/1868024","18-1868024")</f>
        <v>0</v>
      </c>
      <c r="B3885" t="s">
        <v>9</v>
      </c>
      <c r="E3885" t="s">
        <v>16</v>
      </c>
      <c r="F3885" t="s">
        <v>17</v>
      </c>
      <c r="H3885" t="s">
        <v>20</v>
      </c>
    </row>
    <row r="3886" spans="1:8">
      <c r="A3886" s="1">
        <f>HYPERLINK("https://cms.ls-nyc.org/matter/dynamic-profile/view/1856450","18-1856450")</f>
        <v>0</v>
      </c>
      <c r="B3886" t="s">
        <v>12</v>
      </c>
      <c r="D3886" t="s">
        <v>15</v>
      </c>
      <c r="E3886" t="s">
        <v>16</v>
      </c>
      <c r="H3886" t="s">
        <v>20</v>
      </c>
    </row>
    <row r="3887" spans="1:8">
      <c r="A3887" s="1">
        <f>HYPERLINK("https://cms.ls-nyc.org/matter/dynamic-profile/view/1881860","18-1881860")</f>
        <v>0</v>
      </c>
      <c r="B3887" t="s">
        <v>10</v>
      </c>
      <c r="H3887" t="s">
        <v>19</v>
      </c>
    </row>
    <row r="3888" spans="1:8">
      <c r="A3888" s="1">
        <f>HYPERLINK("https://cms.ls-nyc.org/matter/dynamic-profile/view/1884708","18-1884708")</f>
        <v>0</v>
      </c>
      <c r="B3888" t="s">
        <v>10</v>
      </c>
      <c r="H3888" t="s">
        <v>19</v>
      </c>
    </row>
    <row r="3889" spans="1:8">
      <c r="A3889" s="1">
        <f>HYPERLINK("https://cms.ls-nyc.org/matter/dynamic-profile/view/1891637","19-1891637")</f>
        <v>0</v>
      </c>
      <c r="B3889" t="s">
        <v>11</v>
      </c>
      <c r="C3889" t="s">
        <v>13</v>
      </c>
      <c r="E3889" t="s">
        <v>16</v>
      </c>
      <c r="H3889" t="s">
        <v>20</v>
      </c>
    </row>
    <row r="3890" spans="1:8">
      <c r="A3890" s="1">
        <f>HYPERLINK("https://cms.ls-nyc.org/matter/dynamic-profile/view/1872874","18-1872874")</f>
        <v>0</v>
      </c>
      <c r="B3890" t="s">
        <v>12</v>
      </c>
      <c r="H3890" t="s">
        <v>19</v>
      </c>
    </row>
    <row r="3891" spans="1:8">
      <c r="A3891" s="1">
        <f>HYPERLINK("https://cms.ls-nyc.org/matter/dynamic-profile/view/0815813","16-0815813")</f>
        <v>0</v>
      </c>
      <c r="B3891" t="s">
        <v>10</v>
      </c>
      <c r="H3891" t="s">
        <v>19</v>
      </c>
    </row>
    <row r="3892" spans="1:8">
      <c r="A3892" s="1">
        <f>HYPERLINK("https://cms.ls-nyc.org/matter/dynamic-profile/view/1838041","17-1838041")</f>
        <v>0</v>
      </c>
      <c r="B3892" t="s">
        <v>10</v>
      </c>
      <c r="D3892" t="s">
        <v>15</v>
      </c>
      <c r="E3892" t="s">
        <v>16</v>
      </c>
      <c r="F3892" t="s">
        <v>17</v>
      </c>
      <c r="H3892" t="s">
        <v>20</v>
      </c>
    </row>
    <row r="3893" spans="1:8">
      <c r="A3893" s="1">
        <f>HYPERLINK("https://cms.ls-nyc.org/matter/dynamic-profile/view/1889240","19-1889240")</f>
        <v>0</v>
      </c>
      <c r="B3893" t="s">
        <v>9</v>
      </c>
      <c r="C3893" t="s">
        <v>13</v>
      </c>
      <c r="D3893" t="s">
        <v>14</v>
      </c>
      <c r="E3893" t="s">
        <v>16</v>
      </c>
      <c r="G3893" t="s">
        <v>18</v>
      </c>
      <c r="H3893" t="s">
        <v>20</v>
      </c>
    </row>
    <row r="3894" spans="1:8">
      <c r="A3894" s="1">
        <f>HYPERLINK("https://cms.ls-nyc.org/matter/dynamic-profile/view/1872135","18-1872135")</f>
        <v>0</v>
      </c>
      <c r="B3894" t="s">
        <v>10</v>
      </c>
      <c r="C3894" t="s">
        <v>13</v>
      </c>
      <c r="D3894" t="s">
        <v>15</v>
      </c>
      <c r="E3894" t="s">
        <v>16</v>
      </c>
      <c r="H3894" t="s">
        <v>20</v>
      </c>
    </row>
    <row r="3895" spans="1:8">
      <c r="A3895" s="1">
        <f>HYPERLINK("https://cms.ls-nyc.org/matter/dynamic-profile/view/1895505","19-1895505")</f>
        <v>0</v>
      </c>
      <c r="B3895" t="s">
        <v>9</v>
      </c>
      <c r="C3895" t="s">
        <v>13</v>
      </c>
      <c r="D3895" t="s">
        <v>14</v>
      </c>
      <c r="E3895" t="s">
        <v>16</v>
      </c>
      <c r="H3895" t="s">
        <v>20</v>
      </c>
    </row>
    <row r="3896" spans="1:8">
      <c r="A3896" s="1">
        <f>HYPERLINK("https://cms.ls-nyc.org/matter/dynamic-profile/view/1897368","19-1897368")</f>
        <v>0</v>
      </c>
      <c r="B3896" t="s">
        <v>9</v>
      </c>
      <c r="C3896" t="s">
        <v>13</v>
      </c>
      <c r="D3896" t="s">
        <v>14</v>
      </c>
      <c r="E3896" t="s">
        <v>16</v>
      </c>
      <c r="G3896" t="s">
        <v>18</v>
      </c>
      <c r="H3896" t="s">
        <v>20</v>
      </c>
    </row>
    <row r="3897" spans="1:8">
      <c r="A3897" s="1">
        <f>HYPERLINK("https://cms.ls-nyc.org/matter/dynamic-profile/view/1842860","17-1842860")</f>
        <v>0</v>
      </c>
      <c r="B3897" t="s">
        <v>11</v>
      </c>
      <c r="D3897" t="s">
        <v>15</v>
      </c>
      <c r="E3897" t="s">
        <v>16</v>
      </c>
      <c r="H3897" t="s">
        <v>20</v>
      </c>
    </row>
    <row r="3898" spans="1:8">
      <c r="A3898" s="1">
        <f>HYPERLINK("https://cms.ls-nyc.org/matter/dynamic-profile/view/1890535","19-1890535")</f>
        <v>0</v>
      </c>
      <c r="B3898" t="s">
        <v>9</v>
      </c>
      <c r="E3898" t="s">
        <v>16</v>
      </c>
      <c r="F3898" t="s">
        <v>17</v>
      </c>
      <c r="H3898" t="s">
        <v>20</v>
      </c>
    </row>
    <row r="3899" spans="1:8">
      <c r="A3899" s="1">
        <f>HYPERLINK("https://cms.ls-nyc.org/matter/dynamic-profile/view/1891469","19-1891469")</f>
        <v>0</v>
      </c>
      <c r="B3899" t="s">
        <v>9</v>
      </c>
      <c r="E3899" t="s">
        <v>16</v>
      </c>
      <c r="F3899" t="s">
        <v>17</v>
      </c>
      <c r="H3899" t="s">
        <v>20</v>
      </c>
    </row>
    <row r="3900" spans="1:8">
      <c r="A3900" s="1">
        <f>HYPERLINK("https://cms.ls-nyc.org/matter/dynamic-profile/view/1898292","19-1898292")</f>
        <v>0</v>
      </c>
      <c r="B3900" t="s">
        <v>10</v>
      </c>
      <c r="D3900" t="s">
        <v>14</v>
      </c>
      <c r="F3900" t="s">
        <v>17</v>
      </c>
      <c r="H3900" t="s">
        <v>20</v>
      </c>
    </row>
    <row r="3901" spans="1:8">
      <c r="A3901" s="1">
        <f>HYPERLINK("https://cms.ls-nyc.org/matter/dynamic-profile/view/1838158","17-1838158")</f>
        <v>0</v>
      </c>
      <c r="B3901" t="s">
        <v>10</v>
      </c>
      <c r="D3901" t="s">
        <v>15</v>
      </c>
      <c r="E3901" t="s">
        <v>16</v>
      </c>
      <c r="H3901" t="s">
        <v>20</v>
      </c>
    </row>
    <row r="3902" spans="1:8">
      <c r="A3902" s="1">
        <f>HYPERLINK("https://cms.ls-nyc.org/matter/dynamic-profile/view/1882347","18-1882347")</f>
        <v>0</v>
      </c>
      <c r="B3902" t="s">
        <v>10</v>
      </c>
      <c r="D3902" t="s">
        <v>14</v>
      </c>
      <c r="H3902" t="s">
        <v>20</v>
      </c>
    </row>
    <row r="3903" spans="1:8">
      <c r="A3903" s="1">
        <f>HYPERLINK("https://cms.ls-nyc.org/matter/dynamic-profile/view/1898091","19-1898091")</f>
        <v>0</v>
      </c>
      <c r="B3903" t="s">
        <v>9</v>
      </c>
      <c r="F3903" t="s">
        <v>17</v>
      </c>
      <c r="H3903" t="s">
        <v>20</v>
      </c>
    </row>
    <row r="3904" spans="1:8">
      <c r="A3904" s="1">
        <f>HYPERLINK("https://cms.ls-nyc.org/matter/dynamic-profile/view/1899523","19-1899523")</f>
        <v>0</v>
      </c>
      <c r="B3904" t="s">
        <v>9</v>
      </c>
      <c r="H3904" t="s">
        <v>19</v>
      </c>
    </row>
    <row r="3905" spans="1:8">
      <c r="A3905" s="1">
        <f>HYPERLINK("https://cms.ls-nyc.org/matter/dynamic-profile/view/1878956","18-1878956")</f>
        <v>0</v>
      </c>
      <c r="B3905" t="s">
        <v>12</v>
      </c>
      <c r="H3905" t="s">
        <v>19</v>
      </c>
    </row>
    <row r="3906" spans="1:8">
      <c r="A3906" s="1">
        <f>HYPERLINK("https://cms.ls-nyc.org/matter/dynamic-profile/view/0821609","16-0821609")</f>
        <v>0</v>
      </c>
      <c r="B3906" t="s">
        <v>10</v>
      </c>
      <c r="D3906" t="s">
        <v>15</v>
      </c>
      <c r="E3906" t="s">
        <v>16</v>
      </c>
      <c r="H3906" t="s">
        <v>20</v>
      </c>
    </row>
    <row r="3907" spans="1:8">
      <c r="A3907" s="1">
        <f>HYPERLINK("https://cms.ls-nyc.org/matter/dynamic-profile/view/0821610","16-0821610")</f>
        <v>0</v>
      </c>
      <c r="B3907" t="s">
        <v>10</v>
      </c>
      <c r="D3907" t="s">
        <v>15</v>
      </c>
      <c r="E3907" t="s">
        <v>16</v>
      </c>
      <c r="H3907" t="s">
        <v>20</v>
      </c>
    </row>
    <row r="3908" spans="1:8">
      <c r="A3908" s="1">
        <f>HYPERLINK("https://cms.ls-nyc.org/matter/dynamic-profile/view/0826254","17-0826254")</f>
        <v>0</v>
      </c>
      <c r="B3908" t="s">
        <v>12</v>
      </c>
      <c r="D3908" t="s">
        <v>15</v>
      </c>
      <c r="E3908" t="s">
        <v>16</v>
      </c>
      <c r="H3908" t="s">
        <v>20</v>
      </c>
    </row>
    <row r="3909" spans="1:8">
      <c r="A3909" s="1">
        <f>HYPERLINK("https://cms.ls-nyc.org/matter/dynamic-profile/view/1862128","18-1862128")</f>
        <v>0</v>
      </c>
      <c r="B3909" t="s">
        <v>9</v>
      </c>
      <c r="C3909" t="s">
        <v>13</v>
      </c>
      <c r="D3909" t="s">
        <v>14</v>
      </c>
      <c r="E3909" t="s">
        <v>16</v>
      </c>
      <c r="H3909" t="s">
        <v>20</v>
      </c>
    </row>
    <row r="3910" spans="1:8">
      <c r="A3910" s="1">
        <f>HYPERLINK("https://cms.ls-nyc.org/matter/dynamic-profile/view/0829559","17-0829559")</f>
        <v>0</v>
      </c>
      <c r="B3910" t="s">
        <v>12</v>
      </c>
      <c r="D3910" t="s">
        <v>15</v>
      </c>
      <c r="E3910" t="s">
        <v>16</v>
      </c>
      <c r="H3910" t="s">
        <v>20</v>
      </c>
    </row>
    <row r="3911" spans="1:8">
      <c r="A3911" s="1">
        <f>HYPERLINK("https://cms.ls-nyc.org/matter/dynamic-profile/view/1891925","19-1891925")</f>
        <v>0</v>
      </c>
      <c r="B3911" t="s">
        <v>9</v>
      </c>
      <c r="E3911" t="s">
        <v>16</v>
      </c>
      <c r="F3911" t="s">
        <v>17</v>
      </c>
      <c r="H3911" t="s">
        <v>20</v>
      </c>
    </row>
    <row r="3912" spans="1:8">
      <c r="A3912" s="1">
        <f>HYPERLINK("https://cms.ls-nyc.org/matter/dynamic-profile/view/1891930","19-1891930")</f>
        <v>0</v>
      </c>
      <c r="B3912" t="s">
        <v>9</v>
      </c>
      <c r="E3912" t="s">
        <v>16</v>
      </c>
      <c r="F3912" t="s">
        <v>17</v>
      </c>
      <c r="H3912" t="s">
        <v>20</v>
      </c>
    </row>
    <row r="3913" spans="1:8">
      <c r="A3913" s="1">
        <f>HYPERLINK("https://cms.ls-nyc.org/matter/dynamic-profile/view/1871698","18-1871698")</f>
        <v>0</v>
      </c>
      <c r="B3913" t="s">
        <v>8</v>
      </c>
      <c r="H3913" t="s">
        <v>19</v>
      </c>
    </row>
    <row r="3914" spans="1:8">
      <c r="A3914" s="1">
        <f>HYPERLINK("https://cms.ls-nyc.org/matter/dynamic-profile/view/1854327","17-1854327")</f>
        <v>0</v>
      </c>
      <c r="B3914" t="s">
        <v>10</v>
      </c>
      <c r="D3914" t="s">
        <v>15</v>
      </c>
      <c r="E3914" t="s">
        <v>16</v>
      </c>
      <c r="H3914" t="s">
        <v>20</v>
      </c>
    </row>
    <row r="3915" spans="1:8">
      <c r="A3915" s="1">
        <f>HYPERLINK("https://cms.ls-nyc.org/matter/dynamic-profile/view/0798998","16-0798998")</f>
        <v>0</v>
      </c>
      <c r="B3915" t="s">
        <v>10</v>
      </c>
      <c r="D3915" t="s">
        <v>15</v>
      </c>
      <c r="E3915" t="s">
        <v>16</v>
      </c>
      <c r="H3915" t="s">
        <v>20</v>
      </c>
    </row>
    <row r="3916" spans="1:8">
      <c r="A3916" s="1">
        <f>HYPERLINK("https://cms.ls-nyc.org/matter/dynamic-profile/view/0817064","16-0817064")</f>
        <v>0</v>
      </c>
      <c r="B3916" t="s">
        <v>10</v>
      </c>
      <c r="D3916" t="s">
        <v>15</v>
      </c>
      <c r="E3916" t="s">
        <v>16</v>
      </c>
      <c r="H3916" t="s">
        <v>20</v>
      </c>
    </row>
    <row r="3917" spans="1:8">
      <c r="A3917" s="1">
        <f>HYPERLINK("https://cms.ls-nyc.org/matter/dynamic-profile/view/0822707","16-0822707")</f>
        <v>0</v>
      </c>
      <c r="B3917" t="s">
        <v>10</v>
      </c>
      <c r="D3917" t="s">
        <v>15</v>
      </c>
      <c r="E3917" t="s">
        <v>16</v>
      </c>
      <c r="H3917" t="s">
        <v>20</v>
      </c>
    </row>
    <row r="3918" spans="1:8">
      <c r="A3918" s="1">
        <f>HYPERLINK("https://cms.ls-nyc.org/matter/dynamic-profile/view/0821566","16-0821566")</f>
        <v>0</v>
      </c>
      <c r="B3918" t="s">
        <v>10</v>
      </c>
      <c r="D3918" t="s">
        <v>15</v>
      </c>
      <c r="E3918" t="s">
        <v>16</v>
      </c>
      <c r="H3918" t="s">
        <v>20</v>
      </c>
    </row>
    <row r="3919" spans="1:8">
      <c r="A3919" s="1">
        <f>HYPERLINK("https://cms.ls-nyc.org/matter/dynamic-profile/view/0821569","16-0821569")</f>
        <v>0</v>
      </c>
      <c r="B3919" t="s">
        <v>10</v>
      </c>
      <c r="D3919" t="s">
        <v>15</v>
      </c>
      <c r="E3919" t="s">
        <v>16</v>
      </c>
      <c r="H3919" t="s">
        <v>20</v>
      </c>
    </row>
    <row r="3920" spans="1:8">
      <c r="A3920" s="1">
        <f>HYPERLINK("https://cms.ls-nyc.org/matter/dynamic-profile/view/1876570","18-1876570")</f>
        <v>0</v>
      </c>
      <c r="B3920" t="s">
        <v>9</v>
      </c>
      <c r="H3920" t="s">
        <v>19</v>
      </c>
    </row>
    <row r="3921" spans="1:8">
      <c r="A3921" s="1">
        <f>HYPERLINK("https://cms.ls-nyc.org/matter/dynamic-profile/view/1876567","18-1876567")</f>
        <v>0</v>
      </c>
      <c r="B3921" t="s">
        <v>9</v>
      </c>
      <c r="H3921" t="s">
        <v>19</v>
      </c>
    </row>
    <row r="3922" spans="1:8">
      <c r="A3922" s="1">
        <f>HYPERLINK("https://cms.ls-nyc.org/matter/dynamic-profile/view/1871573","18-1871573")</f>
        <v>0</v>
      </c>
      <c r="B3922" t="s">
        <v>9</v>
      </c>
      <c r="D3922" t="s">
        <v>15</v>
      </c>
      <c r="E3922" t="s">
        <v>16</v>
      </c>
      <c r="H3922" t="s">
        <v>20</v>
      </c>
    </row>
    <row r="3923" spans="1:8">
      <c r="A3923" s="1">
        <f>HYPERLINK("https://cms.ls-nyc.org/matter/dynamic-profile/view/1870548","18-1870548")</f>
        <v>0</v>
      </c>
      <c r="B3923" t="s">
        <v>9</v>
      </c>
      <c r="D3923" t="s">
        <v>15</v>
      </c>
      <c r="E3923" t="s">
        <v>16</v>
      </c>
      <c r="H3923" t="s">
        <v>20</v>
      </c>
    </row>
    <row r="3924" spans="1:8">
      <c r="A3924" s="1">
        <f>HYPERLINK("https://cms.ls-nyc.org/matter/dynamic-profile/view/1883384","18-1883384")</f>
        <v>0</v>
      </c>
      <c r="B3924" t="s">
        <v>9</v>
      </c>
      <c r="C3924" t="s">
        <v>13</v>
      </c>
      <c r="D3924" t="s">
        <v>14</v>
      </c>
      <c r="E3924" t="s">
        <v>16</v>
      </c>
      <c r="G3924" t="s">
        <v>18</v>
      </c>
      <c r="H3924" t="s">
        <v>20</v>
      </c>
    </row>
    <row r="3925" spans="1:8">
      <c r="A3925" s="1">
        <f>HYPERLINK("https://cms.ls-nyc.org/matter/dynamic-profile/view/1885992","18-1885992")</f>
        <v>0</v>
      </c>
      <c r="B3925" t="s">
        <v>10</v>
      </c>
      <c r="H3925" t="s">
        <v>19</v>
      </c>
    </row>
    <row r="3926" spans="1:8">
      <c r="A3926" s="1">
        <f>HYPERLINK("https://cms.ls-nyc.org/matter/dynamic-profile/view/1886012","18-1886012")</f>
        <v>0</v>
      </c>
      <c r="B3926" t="s">
        <v>10</v>
      </c>
      <c r="F3926" t="s">
        <v>17</v>
      </c>
      <c r="H3926" t="s">
        <v>20</v>
      </c>
    </row>
    <row r="3927" spans="1:8">
      <c r="A3927" s="1">
        <f>HYPERLINK("https://cms.ls-nyc.org/matter/dynamic-profile/view/1876352","18-1876352")</f>
        <v>0</v>
      </c>
      <c r="B3927" t="s">
        <v>10</v>
      </c>
      <c r="H3927" t="s">
        <v>19</v>
      </c>
    </row>
    <row r="3928" spans="1:8">
      <c r="A3928" s="1">
        <f>HYPERLINK("https://cms.ls-nyc.org/matter/dynamic-profile/view/1880627","18-1880627")</f>
        <v>0</v>
      </c>
      <c r="B3928" t="s">
        <v>10</v>
      </c>
      <c r="H3928" t="s">
        <v>19</v>
      </c>
    </row>
    <row r="3929" spans="1:8">
      <c r="A3929" s="1">
        <f>HYPERLINK("https://cms.ls-nyc.org/matter/dynamic-profile/view/1882345","18-1882345")</f>
        <v>0</v>
      </c>
      <c r="B3929" t="s">
        <v>10</v>
      </c>
      <c r="D3929" t="s">
        <v>14</v>
      </c>
      <c r="F3929" t="s">
        <v>17</v>
      </c>
      <c r="H3929" t="s">
        <v>20</v>
      </c>
    </row>
    <row r="3930" spans="1:8">
      <c r="A3930" s="1">
        <f>HYPERLINK("https://cms.ls-nyc.org/matter/dynamic-profile/view/1887278","19-1887278")</f>
        <v>0</v>
      </c>
      <c r="B3930" t="s">
        <v>10</v>
      </c>
      <c r="C3930" t="s">
        <v>13</v>
      </c>
      <c r="D3930" t="s">
        <v>14</v>
      </c>
      <c r="E3930" t="s">
        <v>16</v>
      </c>
      <c r="F3930" t="s">
        <v>17</v>
      </c>
      <c r="H3930" t="s">
        <v>20</v>
      </c>
    </row>
    <row r="3931" spans="1:8">
      <c r="A3931" s="1">
        <f>HYPERLINK("https://cms.ls-nyc.org/matter/dynamic-profile/view/1898376","19-1898376")</f>
        <v>0</v>
      </c>
      <c r="B3931" t="s">
        <v>9</v>
      </c>
      <c r="E3931" t="s">
        <v>16</v>
      </c>
      <c r="F3931" t="s">
        <v>17</v>
      </c>
      <c r="H3931" t="s">
        <v>20</v>
      </c>
    </row>
    <row r="3932" spans="1:8">
      <c r="A3932" s="1">
        <f>HYPERLINK("https://cms.ls-nyc.org/matter/dynamic-profile/view/1898379","19-1898379")</f>
        <v>0</v>
      </c>
      <c r="B3932" t="s">
        <v>9</v>
      </c>
      <c r="E3932" t="s">
        <v>16</v>
      </c>
      <c r="F3932" t="s">
        <v>17</v>
      </c>
      <c r="H3932" t="s">
        <v>20</v>
      </c>
    </row>
    <row r="3933" spans="1:8">
      <c r="A3933" s="1">
        <f>HYPERLINK("https://cms.ls-nyc.org/matter/dynamic-profile/view/1889010","19-1889010")</f>
        <v>0</v>
      </c>
      <c r="B3933" t="s">
        <v>9</v>
      </c>
      <c r="C3933" t="s">
        <v>13</v>
      </c>
      <c r="F3933" t="s">
        <v>17</v>
      </c>
      <c r="H3933" t="s">
        <v>20</v>
      </c>
    </row>
    <row r="3934" spans="1:8">
      <c r="A3934" s="1">
        <f>HYPERLINK("https://cms.ls-nyc.org/matter/dynamic-profile/view/1889256","19-1889256")</f>
        <v>0</v>
      </c>
      <c r="B3934" t="s">
        <v>9</v>
      </c>
      <c r="C3934" t="s">
        <v>13</v>
      </c>
      <c r="F3934" t="s">
        <v>17</v>
      </c>
      <c r="H3934" t="s">
        <v>20</v>
      </c>
    </row>
    <row r="3935" spans="1:8">
      <c r="A3935" s="1">
        <f>HYPERLINK("https://cms.ls-nyc.org/matter/dynamic-profile/view/1892654","19-1892654")</f>
        <v>0</v>
      </c>
      <c r="B3935" t="s">
        <v>10</v>
      </c>
      <c r="H3935" t="s">
        <v>19</v>
      </c>
    </row>
    <row r="3936" spans="1:8">
      <c r="A3936" s="1">
        <f>HYPERLINK("https://cms.ls-nyc.org/matter/dynamic-profile/view/0772732","15-0772732")</f>
        <v>0</v>
      </c>
      <c r="B3936" t="s">
        <v>9</v>
      </c>
      <c r="D3936" t="s">
        <v>15</v>
      </c>
      <c r="E3936" t="s">
        <v>16</v>
      </c>
      <c r="H3936" t="s">
        <v>20</v>
      </c>
    </row>
    <row r="3937" spans="1:8">
      <c r="A3937" s="1">
        <f>HYPERLINK("https://cms.ls-nyc.org/matter/dynamic-profile/view/1896514","19-1896514")</f>
        <v>0</v>
      </c>
      <c r="B3937" t="s">
        <v>9</v>
      </c>
      <c r="H3937" t="s">
        <v>19</v>
      </c>
    </row>
    <row r="3938" spans="1:8">
      <c r="A3938" s="1">
        <f>HYPERLINK("https://cms.ls-nyc.org/matter/dynamic-profile/view/1868183","18-1868183")</f>
        <v>0</v>
      </c>
      <c r="B3938" t="s">
        <v>10</v>
      </c>
      <c r="H3938" t="s">
        <v>19</v>
      </c>
    </row>
    <row r="3939" spans="1:8">
      <c r="A3939" s="1">
        <f>HYPERLINK("https://cms.ls-nyc.org/matter/dynamic-profile/view/1875479","18-1875479")</f>
        <v>0</v>
      </c>
      <c r="B3939" t="s">
        <v>10</v>
      </c>
      <c r="H3939" t="s">
        <v>19</v>
      </c>
    </row>
    <row r="3940" spans="1:8">
      <c r="A3940" s="1">
        <f>HYPERLINK("https://cms.ls-nyc.org/matter/dynamic-profile/view/1877045","18-1877045")</f>
        <v>0</v>
      </c>
      <c r="B3940" t="s">
        <v>11</v>
      </c>
      <c r="H3940" t="s">
        <v>19</v>
      </c>
    </row>
    <row r="3941" spans="1:8">
      <c r="A3941" s="1">
        <f>HYPERLINK("https://cms.ls-nyc.org/matter/dynamic-profile/view/1881586","18-1881586")</f>
        <v>0</v>
      </c>
      <c r="B3941" t="s">
        <v>12</v>
      </c>
      <c r="H3941" t="s">
        <v>19</v>
      </c>
    </row>
    <row r="3942" spans="1:8">
      <c r="A3942" s="1">
        <f>HYPERLINK("https://cms.ls-nyc.org/matter/dynamic-profile/view/1886726","18-1886726")</f>
        <v>0</v>
      </c>
      <c r="B3942" t="s">
        <v>10</v>
      </c>
      <c r="D3942" t="s">
        <v>14</v>
      </c>
      <c r="F3942" t="s">
        <v>17</v>
      </c>
      <c r="H3942" t="s">
        <v>20</v>
      </c>
    </row>
    <row r="3943" spans="1:8">
      <c r="A3943" s="1">
        <f>HYPERLINK("https://cms.ls-nyc.org/matter/dynamic-profile/view/1900402","19-1900402")</f>
        <v>0</v>
      </c>
      <c r="B3943" t="s">
        <v>9</v>
      </c>
      <c r="C3943" t="s">
        <v>13</v>
      </c>
      <c r="E3943" t="s">
        <v>16</v>
      </c>
      <c r="H3943" t="s">
        <v>20</v>
      </c>
    </row>
    <row r="3944" spans="1:8">
      <c r="A3944" s="1">
        <f>HYPERLINK("https://cms.ls-nyc.org/matter/dynamic-profile/view/1851783","17-1851783")</f>
        <v>0</v>
      </c>
      <c r="B3944" t="s">
        <v>11</v>
      </c>
      <c r="H3944" t="s">
        <v>19</v>
      </c>
    </row>
    <row r="3945" spans="1:8">
      <c r="A3945" s="1">
        <f>HYPERLINK("https://cms.ls-nyc.org/matter/dynamic-profile/view/1860351","18-1860351")</f>
        <v>0</v>
      </c>
      <c r="B3945" t="s">
        <v>8</v>
      </c>
      <c r="D3945" t="s">
        <v>15</v>
      </c>
      <c r="E3945" t="s">
        <v>16</v>
      </c>
      <c r="H3945" t="s">
        <v>20</v>
      </c>
    </row>
    <row r="3946" spans="1:8">
      <c r="A3946" s="1">
        <f>HYPERLINK("https://cms.ls-nyc.org/matter/dynamic-profile/view/1860363","18-1860363")</f>
        <v>0</v>
      </c>
      <c r="B3946" t="s">
        <v>8</v>
      </c>
      <c r="D3946" t="s">
        <v>15</v>
      </c>
      <c r="E3946" t="s">
        <v>16</v>
      </c>
      <c r="H3946" t="s">
        <v>20</v>
      </c>
    </row>
    <row r="3947" spans="1:8">
      <c r="A3947" s="1">
        <f>HYPERLINK("https://cms.ls-nyc.org/matter/dynamic-profile/view/1872693","18-1872693")</f>
        <v>0</v>
      </c>
      <c r="B3947" t="s">
        <v>9</v>
      </c>
      <c r="D3947" t="s">
        <v>15</v>
      </c>
      <c r="H3947" t="s">
        <v>20</v>
      </c>
    </row>
    <row r="3948" spans="1:8">
      <c r="A3948" s="1">
        <f>HYPERLINK("https://cms.ls-nyc.org/matter/dynamic-profile/view/1893448","19-1893448")</f>
        <v>0</v>
      </c>
      <c r="B3948" t="s">
        <v>9</v>
      </c>
      <c r="H3948" t="s">
        <v>19</v>
      </c>
    </row>
    <row r="3949" spans="1:8">
      <c r="A3949" s="1">
        <f>HYPERLINK("https://cms.ls-nyc.org/matter/dynamic-profile/view/1899069","19-1899069")</f>
        <v>0</v>
      </c>
      <c r="B3949" t="s">
        <v>10</v>
      </c>
      <c r="C3949" t="s">
        <v>13</v>
      </c>
      <c r="D3949" t="s">
        <v>14</v>
      </c>
      <c r="H3949" t="s">
        <v>20</v>
      </c>
    </row>
    <row r="3950" spans="1:8">
      <c r="A3950" s="1">
        <f>HYPERLINK("https://cms.ls-nyc.org/matter/dynamic-profile/view/1891226","19-1891226")</f>
        <v>0</v>
      </c>
      <c r="B3950" t="s">
        <v>12</v>
      </c>
      <c r="H3950" t="s">
        <v>19</v>
      </c>
    </row>
    <row r="3951" spans="1:8">
      <c r="A3951" s="1">
        <f>HYPERLINK("https://cms.ls-nyc.org/matter/dynamic-profile/view/0828951","17-0828951")</f>
        <v>0</v>
      </c>
      <c r="B3951" t="s">
        <v>9</v>
      </c>
      <c r="D3951" t="s">
        <v>15</v>
      </c>
      <c r="E3951" t="s">
        <v>16</v>
      </c>
      <c r="H3951" t="s">
        <v>20</v>
      </c>
    </row>
    <row r="3952" spans="1:8">
      <c r="A3952" s="1">
        <f>HYPERLINK("https://cms.ls-nyc.org/matter/dynamic-profile/view/1866878","18-1866878")</f>
        <v>0</v>
      </c>
      <c r="B3952" t="s">
        <v>9</v>
      </c>
      <c r="D3952" t="s">
        <v>15</v>
      </c>
      <c r="E3952" t="s">
        <v>16</v>
      </c>
      <c r="H3952" t="s">
        <v>20</v>
      </c>
    </row>
    <row r="3953" spans="1:8">
      <c r="A3953" s="1">
        <f>HYPERLINK("https://cms.ls-nyc.org/matter/dynamic-profile/view/1856743","18-1856743")</f>
        <v>0</v>
      </c>
      <c r="B3953" t="s">
        <v>10</v>
      </c>
      <c r="D3953" t="s">
        <v>15</v>
      </c>
      <c r="E3953" t="s">
        <v>16</v>
      </c>
      <c r="H3953" t="s">
        <v>20</v>
      </c>
    </row>
    <row r="3954" spans="1:8">
      <c r="A3954" s="1">
        <f>HYPERLINK("https://cms.ls-nyc.org/matter/dynamic-profile/view/1891500","19-1891500")</f>
        <v>0</v>
      </c>
      <c r="B3954" t="s">
        <v>9</v>
      </c>
      <c r="E3954" t="s">
        <v>16</v>
      </c>
      <c r="F3954" t="s">
        <v>17</v>
      </c>
      <c r="H3954" t="s">
        <v>20</v>
      </c>
    </row>
    <row r="3955" spans="1:8">
      <c r="A3955" s="1">
        <f>HYPERLINK("https://cms.ls-nyc.org/matter/dynamic-profile/view/1891502","19-1891502")</f>
        <v>0</v>
      </c>
      <c r="B3955" t="s">
        <v>9</v>
      </c>
      <c r="E3955" t="s">
        <v>16</v>
      </c>
      <c r="F3955" t="s">
        <v>17</v>
      </c>
      <c r="H3955" t="s">
        <v>20</v>
      </c>
    </row>
    <row r="3956" spans="1:8">
      <c r="A3956" s="1">
        <f>HYPERLINK("https://cms.ls-nyc.org/matter/dynamic-profile/view/1898022","19-1898022")</f>
        <v>0</v>
      </c>
      <c r="B3956" t="s">
        <v>9</v>
      </c>
      <c r="E3956" t="s">
        <v>16</v>
      </c>
      <c r="H3956" t="s">
        <v>20</v>
      </c>
    </row>
    <row r="3957" spans="1:8">
      <c r="A3957" s="1">
        <f>HYPERLINK("https://cms.ls-nyc.org/matter/dynamic-profile/view/1898027","19-1898027")</f>
        <v>0</v>
      </c>
      <c r="B3957" t="s">
        <v>9</v>
      </c>
      <c r="E3957" t="s">
        <v>16</v>
      </c>
      <c r="H3957" t="s">
        <v>20</v>
      </c>
    </row>
    <row r="3958" spans="1:8">
      <c r="A3958" s="1">
        <f>HYPERLINK("https://cms.ls-nyc.org/matter/dynamic-profile/view/1871147","18-1871147")</f>
        <v>0</v>
      </c>
      <c r="B3958" t="s">
        <v>10</v>
      </c>
      <c r="D3958" t="s">
        <v>15</v>
      </c>
      <c r="E3958" t="s">
        <v>16</v>
      </c>
      <c r="H3958" t="s">
        <v>20</v>
      </c>
    </row>
    <row r="3959" spans="1:8">
      <c r="A3959" s="1">
        <f>HYPERLINK("https://cms.ls-nyc.org/matter/dynamic-profile/view/1857600","18-1857600")</f>
        <v>0</v>
      </c>
      <c r="B3959" t="s">
        <v>11</v>
      </c>
      <c r="D3959" t="s">
        <v>15</v>
      </c>
      <c r="E3959" t="s">
        <v>16</v>
      </c>
      <c r="H3959" t="s">
        <v>20</v>
      </c>
    </row>
    <row r="3960" spans="1:8">
      <c r="A3960" s="1">
        <f>HYPERLINK("https://cms.ls-nyc.org/matter/dynamic-profile/view/1875736","18-1875736")</f>
        <v>0</v>
      </c>
      <c r="B3960" t="s">
        <v>8</v>
      </c>
      <c r="H3960" t="s">
        <v>19</v>
      </c>
    </row>
    <row r="3961" spans="1:8">
      <c r="A3961" s="1">
        <f>HYPERLINK("https://cms.ls-nyc.org/matter/dynamic-profile/view/1863525","18-1863525")</f>
        <v>0</v>
      </c>
      <c r="B3961" t="s">
        <v>10</v>
      </c>
      <c r="D3961" t="s">
        <v>15</v>
      </c>
      <c r="E3961" t="s">
        <v>16</v>
      </c>
      <c r="F3961" t="s">
        <v>17</v>
      </c>
      <c r="H3961" t="s">
        <v>20</v>
      </c>
    </row>
    <row r="3962" spans="1:8">
      <c r="A3962" s="1">
        <f>HYPERLINK("https://cms.ls-nyc.org/matter/dynamic-profile/view/1858760","18-1858760")</f>
        <v>0</v>
      </c>
      <c r="B3962" t="s">
        <v>10</v>
      </c>
      <c r="D3962" t="s">
        <v>15</v>
      </c>
      <c r="E3962" t="s">
        <v>16</v>
      </c>
      <c r="H3962" t="s">
        <v>20</v>
      </c>
    </row>
    <row r="3963" spans="1:8">
      <c r="A3963" s="1">
        <f>HYPERLINK("https://cms.ls-nyc.org/matter/dynamic-profile/view/1865775","18-1865775")</f>
        <v>0</v>
      </c>
      <c r="B3963" t="s">
        <v>9</v>
      </c>
      <c r="D3963" t="s">
        <v>15</v>
      </c>
      <c r="H3963" t="s">
        <v>20</v>
      </c>
    </row>
    <row r="3964" spans="1:8">
      <c r="A3964" s="1">
        <f>HYPERLINK("https://cms.ls-nyc.org/matter/dynamic-profile/view/1865297","18-1865297")</f>
        <v>0</v>
      </c>
      <c r="B3964" t="s">
        <v>12</v>
      </c>
      <c r="D3964" t="s">
        <v>15</v>
      </c>
      <c r="E3964" t="s">
        <v>16</v>
      </c>
      <c r="H3964" t="s">
        <v>20</v>
      </c>
    </row>
    <row r="3965" spans="1:8">
      <c r="A3965" s="1">
        <f>HYPERLINK("https://cms.ls-nyc.org/matter/dynamic-profile/view/1872414","18-1872414")</f>
        <v>0</v>
      </c>
      <c r="B3965" t="s">
        <v>10</v>
      </c>
      <c r="H3965" t="s">
        <v>19</v>
      </c>
    </row>
    <row r="3966" spans="1:8">
      <c r="A3966" s="1">
        <f>HYPERLINK("https://cms.ls-nyc.org/matter/dynamic-profile/view/1871560","18-1871560")</f>
        <v>0</v>
      </c>
      <c r="B3966" t="s">
        <v>12</v>
      </c>
      <c r="H3966" t="s">
        <v>19</v>
      </c>
    </row>
    <row r="3967" spans="1:8">
      <c r="A3967" s="1">
        <f>HYPERLINK("https://cms.ls-nyc.org/matter/dynamic-profile/view/1899803","19-1899803")</f>
        <v>0</v>
      </c>
      <c r="B3967" t="s">
        <v>9</v>
      </c>
      <c r="C3967" t="s">
        <v>13</v>
      </c>
      <c r="D3967" t="s">
        <v>14</v>
      </c>
      <c r="E3967" t="s">
        <v>16</v>
      </c>
      <c r="G3967" t="s">
        <v>18</v>
      </c>
      <c r="H3967" t="s">
        <v>20</v>
      </c>
    </row>
    <row r="3968" spans="1:8">
      <c r="A3968" s="1">
        <f>HYPERLINK("https://cms.ls-nyc.org/matter/dynamic-profile/view/1856600","18-1856600")</f>
        <v>0</v>
      </c>
      <c r="B3968" t="s">
        <v>9</v>
      </c>
      <c r="D3968" t="s">
        <v>15</v>
      </c>
      <c r="E3968" t="s">
        <v>16</v>
      </c>
      <c r="F3968" t="s">
        <v>17</v>
      </c>
      <c r="H3968" t="s">
        <v>20</v>
      </c>
    </row>
    <row r="3969" spans="1:8">
      <c r="A3969" s="1">
        <f>HYPERLINK("https://cms.ls-nyc.org/matter/dynamic-profile/view/1862661","18-1862661")</f>
        <v>0</v>
      </c>
      <c r="B3969" t="s">
        <v>9</v>
      </c>
      <c r="D3969" t="s">
        <v>15</v>
      </c>
      <c r="E3969" t="s">
        <v>16</v>
      </c>
      <c r="H3969" t="s">
        <v>20</v>
      </c>
    </row>
    <row r="3970" spans="1:8">
      <c r="A3970" s="1">
        <f>HYPERLINK("https://cms.ls-nyc.org/matter/dynamic-profile/view/1842835","17-1842835")</f>
        <v>0</v>
      </c>
      <c r="B3970" t="s">
        <v>11</v>
      </c>
      <c r="D3970" t="s">
        <v>15</v>
      </c>
      <c r="E3970" t="s">
        <v>16</v>
      </c>
      <c r="H3970" t="s">
        <v>20</v>
      </c>
    </row>
    <row r="3971" spans="1:8">
      <c r="A3971" s="1">
        <f>HYPERLINK("https://cms.ls-nyc.org/matter/dynamic-profile/view/1845669","17-1845669")</f>
        <v>0</v>
      </c>
      <c r="B3971" t="s">
        <v>12</v>
      </c>
      <c r="D3971" t="s">
        <v>15</v>
      </c>
      <c r="E3971" t="s">
        <v>16</v>
      </c>
      <c r="H3971" t="s">
        <v>20</v>
      </c>
    </row>
    <row r="3972" spans="1:8">
      <c r="A3972" s="1">
        <f>HYPERLINK("https://cms.ls-nyc.org/matter/dynamic-profile/view/1879253","18-1879253")</f>
        <v>0</v>
      </c>
      <c r="B3972" t="s">
        <v>10</v>
      </c>
      <c r="H3972" t="s">
        <v>19</v>
      </c>
    </row>
    <row r="3973" spans="1:8">
      <c r="A3973" s="1">
        <f>HYPERLINK("https://cms.ls-nyc.org/matter/dynamic-profile/view/1875680","18-1875680")</f>
        <v>0</v>
      </c>
      <c r="B3973" t="s">
        <v>10</v>
      </c>
      <c r="H3973" t="s">
        <v>19</v>
      </c>
    </row>
    <row r="3974" spans="1:8">
      <c r="A3974" s="1">
        <f>HYPERLINK("https://cms.ls-nyc.org/matter/dynamic-profile/view/1885387","18-1885387")</f>
        <v>0</v>
      </c>
      <c r="B3974" t="s">
        <v>10</v>
      </c>
      <c r="H3974" t="s">
        <v>19</v>
      </c>
    </row>
    <row r="3975" spans="1:8">
      <c r="A3975" s="1">
        <f>HYPERLINK("https://cms.ls-nyc.org/matter/dynamic-profile/view/1864002","18-1864002")</f>
        <v>0</v>
      </c>
      <c r="B3975" t="s">
        <v>9</v>
      </c>
      <c r="H3975" t="s">
        <v>19</v>
      </c>
    </row>
    <row r="3976" spans="1:8">
      <c r="A3976" s="1">
        <f>HYPERLINK("https://cms.ls-nyc.org/matter/dynamic-profile/view/1865186","18-1865186")</f>
        <v>0</v>
      </c>
      <c r="B3976" t="s">
        <v>12</v>
      </c>
      <c r="D3976" t="s">
        <v>15</v>
      </c>
      <c r="E3976" t="s">
        <v>16</v>
      </c>
      <c r="H3976" t="s">
        <v>20</v>
      </c>
    </row>
    <row r="3977" spans="1:8">
      <c r="A3977" s="1">
        <f>HYPERLINK("https://cms.ls-nyc.org/matter/dynamic-profile/view/1888048","19-1888048")</f>
        <v>0</v>
      </c>
      <c r="B3977" t="s">
        <v>10</v>
      </c>
      <c r="D3977" t="s">
        <v>14</v>
      </c>
      <c r="H3977" t="s">
        <v>20</v>
      </c>
    </row>
    <row r="3978" spans="1:8">
      <c r="A3978" s="1">
        <f>HYPERLINK("https://cms.ls-nyc.org/matter/dynamic-profile/view/1864241","18-1864241")</f>
        <v>0</v>
      </c>
      <c r="B3978" t="s">
        <v>10</v>
      </c>
      <c r="D3978" t="s">
        <v>15</v>
      </c>
      <c r="E3978" t="s">
        <v>16</v>
      </c>
      <c r="H3978" t="s">
        <v>20</v>
      </c>
    </row>
    <row r="3979" spans="1:8">
      <c r="A3979" s="1">
        <f>HYPERLINK("https://cms.ls-nyc.org/matter/dynamic-profile/view/1880365","18-1880365")</f>
        <v>0</v>
      </c>
      <c r="B3979" t="s">
        <v>9</v>
      </c>
      <c r="H3979" t="s">
        <v>19</v>
      </c>
    </row>
    <row r="3980" spans="1:8">
      <c r="A3980" s="1">
        <f>HYPERLINK("https://cms.ls-nyc.org/matter/dynamic-profile/view/0826082","17-0826082")</f>
        <v>0</v>
      </c>
      <c r="B3980" t="s">
        <v>10</v>
      </c>
      <c r="D3980" t="s">
        <v>15</v>
      </c>
      <c r="E3980" t="s">
        <v>16</v>
      </c>
      <c r="H3980" t="s">
        <v>20</v>
      </c>
    </row>
    <row r="3981" spans="1:8">
      <c r="A3981" s="1">
        <f>HYPERLINK("https://cms.ls-nyc.org/matter/dynamic-profile/view/0826078","17-0826078")</f>
        <v>0</v>
      </c>
      <c r="B3981" t="s">
        <v>10</v>
      </c>
      <c r="D3981" t="s">
        <v>15</v>
      </c>
      <c r="E3981" t="s">
        <v>16</v>
      </c>
      <c r="H3981" t="s">
        <v>20</v>
      </c>
    </row>
    <row r="3982" spans="1:8">
      <c r="A3982" s="1">
        <f>HYPERLINK("https://cms.ls-nyc.org/matter/dynamic-profile/view/1838959","17-1838959")</f>
        <v>0</v>
      </c>
      <c r="B3982" t="s">
        <v>10</v>
      </c>
      <c r="D3982" t="s">
        <v>15</v>
      </c>
      <c r="E3982" t="s">
        <v>16</v>
      </c>
      <c r="H3982" t="s">
        <v>20</v>
      </c>
    </row>
    <row r="3983" spans="1:8">
      <c r="A3983" s="1">
        <f>HYPERLINK("https://cms.ls-nyc.org/matter/dynamic-profile/view/1892183","19-1892183")</f>
        <v>0</v>
      </c>
      <c r="B3983" t="s">
        <v>9</v>
      </c>
      <c r="H3983" t="s">
        <v>19</v>
      </c>
    </row>
    <row r="3984" spans="1:8">
      <c r="A3984" s="1">
        <f>HYPERLINK("https://cms.ls-nyc.org/matter/dynamic-profile/view/1896389","19-1896389")</f>
        <v>0</v>
      </c>
      <c r="B3984" t="s">
        <v>9</v>
      </c>
      <c r="C3984" t="s">
        <v>13</v>
      </c>
      <c r="E3984" t="s">
        <v>16</v>
      </c>
      <c r="F3984" t="s">
        <v>17</v>
      </c>
      <c r="G3984" t="s">
        <v>18</v>
      </c>
      <c r="H3984" t="s">
        <v>20</v>
      </c>
    </row>
    <row r="3985" spans="1:8">
      <c r="A3985" s="1">
        <f>HYPERLINK("https://cms.ls-nyc.org/matter/dynamic-profile/view/1862829","18-1862829")</f>
        <v>0</v>
      </c>
      <c r="B3985" t="s">
        <v>10</v>
      </c>
      <c r="D3985" t="s">
        <v>14</v>
      </c>
      <c r="E3985" t="s">
        <v>16</v>
      </c>
      <c r="H3985" t="s">
        <v>20</v>
      </c>
    </row>
    <row r="3986" spans="1:8">
      <c r="A3986" s="1">
        <f>HYPERLINK("https://cms.ls-nyc.org/matter/dynamic-profile/view/1882378","18-1882378")</f>
        <v>0</v>
      </c>
      <c r="B3986" t="s">
        <v>10</v>
      </c>
      <c r="D3986" t="s">
        <v>14</v>
      </c>
      <c r="F3986" t="s">
        <v>17</v>
      </c>
      <c r="H3986" t="s">
        <v>20</v>
      </c>
    </row>
    <row r="3987" spans="1:8">
      <c r="A3987" s="1">
        <f>HYPERLINK("https://cms.ls-nyc.org/matter/dynamic-profile/view/1887105","19-1887105")</f>
        <v>0</v>
      </c>
      <c r="B3987" t="s">
        <v>10</v>
      </c>
      <c r="C3987" t="s">
        <v>13</v>
      </c>
      <c r="D3987" t="s">
        <v>14</v>
      </c>
      <c r="E3987" t="s">
        <v>16</v>
      </c>
      <c r="F3987" t="s">
        <v>17</v>
      </c>
      <c r="H3987" t="s">
        <v>20</v>
      </c>
    </row>
    <row r="3988" spans="1:8">
      <c r="A3988" s="1">
        <f>HYPERLINK("https://cms.ls-nyc.org/matter/dynamic-profile/view/1893014","19-1893014")</f>
        <v>0</v>
      </c>
      <c r="B3988" t="s">
        <v>11</v>
      </c>
      <c r="C3988" t="s">
        <v>13</v>
      </c>
      <c r="D3988" t="s">
        <v>14</v>
      </c>
      <c r="E3988" t="s">
        <v>16</v>
      </c>
      <c r="G3988" t="s">
        <v>18</v>
      </c>
      <c r="H3988" t="s">
        <v>20</v>
      </c>
    </row>
    <row r="3989" spans="1:8">
      <c r="A3989" s="1">
        <f>HYPERLINK("https://cms.ls-nyc.org/matter/dynamic-profile/view/1875098","18-1875098")</f>
        <v>0</v>
      </c>
      <c r="B3989" t="s">
        <v>9</v>
      </c>
      <c r="H3989" t="s">
        <v>19</v>
      </c>
    </row>
    <row r="3990" spans="1:8">
      <c r="A3990" s="1">
        <f>HYPERLINK("https://cms.ls-nyc.org/matter/dynamic-profile/view/1896451","19-1896451")</f>
        <v>0</v>
      </c>
      <c r="B3990" t="s">
        <v>9</v>
      </c>
      <c r="C3990" t="s">
        <v>13</v>
      </c>
      <c r="D3990" t="s">
        <v>14</v>
      </c>
      <c r="E3990" t="s">
        <v>16</v>
      </c>
      <c r="G3990" t="s">
        <v>18</v>
      </c>
      <c r="H3990" t="s">
        <v>20</v>
      </c>
    </row>
    <row r="3991" spans="1:8">
      <c r="A3991" s="1">
        <f>HYPERLINK("https://cms.ls-nyc.org/matter/dynamic-profile/view/1857317","18-1857317")</f>
        <v>0</v>
      </c>
      <c r="B3991" t="s">
        <v>10</v>
      </c>
      <c r="D3991" t="s">
        <v>14</v>
      </c>
      <c r="E3991" t="s">
        <v>16</v>
      </c>
      <c r="H3991" t="s">
        <v>20</v>
      </c>
    </row>
    <row r="3992" spans="1:8">
      <c r="A3992" s="1">
        <f>HYPERLINK("https://cms.ls-nyc.org/matter/dynamic-profile/view/0768714","14-0768714")</f>
        <v>0</v>
      </c>
      <c r="B3992" t="s">
        <v>9</v>
      </c>
      <c r="D3992" t="s">
        <v>15</v>
      </c>
      <c r="E3992" t="s">
        <v>16</v>
      </c>
      <c r="F3992" t="s">
        <v>17</v>
      </c>
      <c r="H3992" t="s">
        <v>20</v>
      </c>
    </row>
    <row r="3993" spans="1:8">
      <c r="A3993" s="1">
        <f>HYPERLINK("https://cms.ls-nyc.org/matter/dynamic-profile/view/1859964","18-1859964")</f>
        <v>0</v>
      </c>
      <c r="B3993" t="s">
        <v>9</v>
      </c>
      <c r="D3993" t="s">
        <v>15</v>
      </c>
      <c r="E3993" t="s">
        <v>16</v>
      </c>
      <c r="H3993" t="s">
        <v>20</v>
      </c>
    </row>
    <row r="3994" spans="1:8">
      <c r="A3994" s="1">
        <f>HYPERLINK("https://cms.ls-nyc.org/matter/dynamic-profile/view/1842824","17-1842824")</f>
        <v>0</v>
      </c>
      <c r="B3994" t="s">
        <v>11</v>
      </c>
      <c r="D3994" t="s">
        <v>15</v>
      </c>
      <c r="E3994" t="s">
        <v>16</v>
      </c>
      <c r="H3994" t="s">
        <v>20</v>
      </c>
    </row>
    <row r="3995" spans="1:8">
      <c r="A3995" s="1">
        <f>HYPERLINK("https://cms.ls-nyc.org/matter/dynamic-profile/view/1890561","19-1890561")</f>
        <v>0</v>
      </c>
      <c r="B3995" t="s">
        <v>9</v>
      </c>
      <c r="E3995" t="s">
        <v>16</v>
      </c>
      <c r="F3995" t="s">
        <v>17</v>
      </c>
      <c r="H3995" t="s">
        <v>20</v>
      </c>
    </row>
    <row r="3996" spans="1:8">
      <c r="A3996" s="1">
        <f>HYPERLINK("https://cms.ls-nyc.org/matter/dynamic-profile/view/1891867","19-1891867")</f>
        <v>0</v>
      </c>
      <c r="B3996" t="s">
        <v>9</v>
      </c>
      <c r="E3996" t="s">
        <v>16</v>
      </c>
      <c r="F3996" t="s">
        <v>17</v>
      </c>
      <c r="H3996" t="s">
        <v>20</v>
      </c>
    </row>
    <row r="3997" spans="1:8">
      <c r="A3997" s="1">
        <f>HYPERLINK("https://cms.ls-nyc.org/matter/dynamic-profile/view/1882910","18-1882910")</f>
        <v>0</v>
      </c>
      <c r="B3997" t="s">
        <v>9</v>
      </c>
      <c r="C3997" t="s">
        <v>13</v>
      </c>
      <c r="D3997" t="s">
        <v>14</v>
      </c>
      <c r="E3997" t="s">
        <v>16</v>
      </c>
      <c r="G3997" t="s">
        <v>18</v>
      </c>
      <c r="H3997" t="s">
        <v>20</v>
      </c>
    </row>
    <row r="3998" spans="1:8">
      <c r="A3998" s="1">
        <f>HYPERLINK("https://cms.ls-nyc.org/matter/dynamic-profile/view/1864443","18-1864443")</f>
        <v>0</v>
      </c>
      <c r="B3998" t="s">
        <v>12</v>
      </c>
      <c r="D3998" t="s">
        <v>15</v>
      </c>
      <c r="H3998" t="s">
        <v>20</v>
      </c>
    </row>
    <row r="3999" spans="1:8">
      <c r="A3999" s="1">
        <f>HYPERLINK("https://cms.ls-nyc.org/matter/dynamic-profile/view/1880111","18-1880111")</f>
        <v>0</v>
      </c>
      <c r="B3999" t="s">
        <v>12</v>
      </c>
      <c r="H3999" t="s">
        <v>19</v>
      </c>
    </row>
    <row r="4000" spans="1:8">
      <c r="A4000" s="1">
        <f>HYPERLINK("https://cms.ls-nyc.org/matter/dynamic-profile/view/1862016","18-1862016")</f>
        <v>0</v>
      </c>
      <c r="B4000" t="s">
        <v>10</v>
      </c>
      <c r="D4000" t="s">
        <v>15</v>
      </c>
      <c r="E4000" t="s">
        <v>16</v>
      </c>
      <c r="F4000" t="s">
        <v>17</v>
      </c>
      <c r="H4000" t="s">
        <v>20</v>
      </c>
    </row>
    <row r="4001" spans="1:8">
      <c r="A4001" s="1">
        <f>HYPERLINK("https://cms.ls-nyc.org/matter/dynamic-profile/view/1868731","18-1868731")</f>
        <v>0</v>
      </c>
      <c r="B4001" t="s">
        <v>10</v>
      </c>
      <c r="D4001" t="s">
        <v>15</v>
      </c>
      <c r="E4001" t="s">
        <v>16</v>
      </c>
      <c r="F4001" t="s">
        <v>17</v>
      </c>
      <c r="H4001" t="s">
        <v>20</v>
      </c>
    </row>
    <row r="4002" spans="1:8">
      <c r="A4002" s="1">
        <f>HYPERLINK("https://cms.ls-nyc.org/matter/dynamic-profile/view/1864117","18-1864117")</f>
        <v>0</v>
      </c>
      <c r="B4002" t="s">
        <v>12</v>
      </c>
      <c r="D4002" t="s">
        <v>15</v>
      </c>
      <c r="E4002" t="s">
        <v>16</v>
      </c>
      <c r="H4002" t="s">
        <v>20</v>
      </c>
    </row>
    <row r="4003" spans="1:8">
      <c r="A4003" s="1">
        <f>HYPERLINK("https://cms.ls-nyc.org/matter/dynamic-profile/view/0820651","16-0820651")</f>
        <v>0</v>
      </c>
      <c r="B4003" t="s">
        <v>10</v>
      </c>
      <c r="D4003" t="s">
        <v>15</v>
      </c>
      <c r="E4003" t="s">
        <v>16</v>
      </c>
      <c r="H4003" t="s">
        <v>20</v>
      </c>
    </row>
    <row r="4004" spans="1:8">
      <c r="A4004" s="1">
        <f>HYPERLINK("https://cms.ls-nyc.org/matter/dynamic-profile/view/1892621","19-1892621")</f>
        <v>0</v>
      </c>
      <c r="B4004" t="s">
        <v>10</v>
      </c>
      <c r="D4004" t="s">
        <v>14</v>
      </c>
      <c r="F4004" t="s">
        <v>17</v>
      </c>
      <c r="H4004" t="s">
        <v>20</v>
      </c>
    </row>
    <row r="4005" spans="1:8">
      <c r="A4005" s="1">
        <f>HYPERLINK("https://cms.ls-nyc.org/matter/dynamic-profile/view/1892615","19-1892615")</f>
        <v>0</v>
      </c>
      <c r="B4005" t="s">
        <v>10</v>
      </c>
      <c r="D4005" t="s">
        <v>14</v>
      </c>
      <c r="F4005" t="s">
        <v>17</v>
      </c>
      <c r="H4005" t="s">
        <v>20</v>
      </c>
    </row>
    <row r="4006" spans="1:8">
      <c r="A4006" s="1">
        <f>HYPERLINK("https://cms.ls-nyc.org/matter/dynamic-profile/view/1859333","18-1859333")</f>
        <v>0</v>
      </c>
      <c r="B4006" t="s">
        <v>9</v>
      </c>
      <c r="C4006" t="s">
        <v>13</v>
      </c>
      <c r="E4006" t="s">
        <v>16</v>
      </c>
      <c r="F4006" t="s">
        <v>17</v>
      </c>
      <c r="H4006" t="s">
        <v>20</v>
      </c>
    </row>
    <row r="4007" spans="1:8">
      <c r="A4007" s="1">
        <f>HYPERLINK("https://cms.ls-nyc.org/matter/dynamic-profile/view/1891447","19-1891447")</f>
        <v>0</v>
      </c>
      <c r="B4007" t="s">
        <v>9</v>
      </c>
      <c r="F4007" t="s">
        <v>17</v>
      </c>
      <c r="H4007" t="s">
        <v>20</v>
      </c>
    </row>
    <row r="4008" spans="1:8">
      <c r="A4008" s="1">
        <f>HYPERLINK("https://cms.ls-nyc.org/matter/dynamic-profile/view/1890736","19-1890736")</f>
        <v>0</v>
      </c>
      <c r="B4008" t="s">
        <v>10</v>
      </c>
      <c r="D4008" t="s">
        <v>14</v>
      </c>
      <c r="F4008" t="s">
        <v>17</v>
      </c>
      <c r="H4008" t="s">
        <v>20</v>
      </c>
    </row>
    <row r="4009" spans="1:8">
      <c r="A4009" s="1">
        <f>HYPERLINK("https://cms.ls-nyc.org/matter/dynamic-profile/view/1898952","19-1898952")</f>
        <v>0</v>
      </c>
      <c r="B4009" t="s">
        <v>10</v>
      </c>
      <c r="D4009" t="s">
        <v>14</v>
      </c>
      <c r="H4009" t="s">
        <v>20</v>
      </c>
    </row>
    <row r="4010" spans="1:8">
      <c r="A4010" s="1">
        <f>HYPERLINK("https://cms.ls-nyc.org/matter/dynamic-profile/view/0823543","16-0823543")</f>
        <v>0</v>
      </c>
      <c r="B4010" t="s">
        <v>10</v>
      </c>
      <c r="D4010" t="s">
        <v>15</v>
      </c>
      <c r="E4010" t="s">
        <v>16</v>
      </c>
      <c r="H4010" t="s">
        <v>20</v>
      </c>
    </row>
    <row r="4011" spans="1:8">
      <c r="A4011" s="1">
        <f>HYPERLINK("https://cms.ls-nyc.org/matter/dynamic-profile/view/1900793","19-1900793")</f>
        <v>0</v>
      </c>
      <c r="B4011" t="s">
        <v>9</v>
      </c>
      <c r="H4011" t="s">
        <v>19</v>
      </c>
    </row>
    <row r="4012" spans="1:8">
      <c r="A4012" s="1">
        <f>HYPERLINK("https://cms.ls-nyc.org/matter/dynamic-profile/view/1875670","18-1875670")</f>
        <v>0</v>
      </c>
      <c r="B4012" t="s">
        <v>10</v>
      </c>
      <c r="F4012" t="s">
        <v>17</v>
      </c>
      <c r="H4012" t="s">
        <v>20</v>
      </c>
    </row>
    <row r="4013" spans="1:8">
      <c r="A4013" s="1">
        <f>HYPERLINK("https://cms.ls-nyc.org/matter/dynamic-profile/view/1898288","19-1898288")</f>
        <v>0</v>
      </c>
      <c r="B4013" t="s">
        <v>9</v>
      </c>
      <c r="H4013" t="s">
        <v>19</v>
      </c>
    </row>
    <row r="4014" spans="1:8">
      <c r="A4014" s="1">
        <f>HYPERLINK("https://cms.ls-nyc.org/matter/dynamic-profile/view/1897635","19-1897635")</f>
        <v>0</v>
      </c>
      <c r="B4014" t="s">
        <v>12</v>
      </c>
      <c r="F4014" t="s">
        <v>17</v>
      </c>
      <c r="H4014" t="s">
        <v>20</v>
      </c>
    </row>
    <row r="4015" spans="1:8">
      <c r="A4015" s="1">
        <f>HYPERLINK("https://cms.ls-nyc.org/matter/dynamic-profile/view/1897707","19-1897707")</f>
        <v>0</v>
      </c>
      <c r="B4015" t="s">
        <v>12</v>
      </c>
      <c r="H4015" t="s">
        <v>19</v>
      </c>
    </row>
    <row r="4016" spans="1:8">
      <c r="A4016" s="1">
        <f>HYPERLINK("https://cms.ls-nyc.org/matter/dynamic-profile/view/1882833","18-1882833")</f>
        <v>0</v>
      </c>
      <c r="B4016" t="s">
        <v>10</v>
      </c>
      <c r="D4016" t="s">
        <v>14</v>
      </c>
      <c r="F4016" t="s">
        <v>17</v>
      </c>
      <c r="H4016" t="s">
        <v>20</v>
      </c>
    </row>
    <row r="4017" spans="1:8">
      <c r="A4017" s="1">
        <f>HYPERLINK("https://cms.ls-nyc.org/matter/dynamic-profile/view/0790741","15-0790741")</f>
        <v>0</v>
      </c>
      <c r="B4017" t="s">
        <v>10</v>
      </c>
      <c r="D4017" t="s">
        <v>15</v>
      </c>
      <c r="E4017" t="s">
        <v>16</v>
      </c>
      <c r="H4017" t="s">
        <v>20</v>
      </c>
    </row>
    <row r="4018" spans="1:8">
      <c r="A4018" s="1">
        <f>HYPERLINK("https://cms.ls-nyc.org/matter/dynamic-profile/view/1898102","19-1898102")</f>
        <v>0</v>
      </c>
      <c r="B4018" t="s">
        <v>12</v>
      </c>
      <c r="H4018" t="s">
        <v>19</v>
      </c>
    </row>
    <row r="4019" spans="1:8">
      <c r="A4019" s="1">
        <f>HYPERLINK("https://cms.ls-nyc.org/matter/dynamic-profile/view/1899149","19-1899149")</f>
        <v>0</v>
      </c>
      <c r="B4019" t="s">
        <v>10</v>
      </c>
      <c r="H4019" t="s">
        <v>19</v>
      </c>
    </row>
    <row r="4020" spans="1:8">
      <c r="A4020" s="1">
        <f>HYPERLINK("https://cms.ls-nyc.org/matter/dynamic-profile/view/1895472","19-1895472")</f>
        <v>0</v>
      </c>
      <c r="B4020" t="s">
        <v>10</v>
      </c>
      <c r="H4020" t="s">
        <v>19</v>
      </c>
    </row>
    <row r="4021" spans="1:8">
      <c r="A4021" s="1">
        <f>HYPERLINK("https://cms.ls-nyc.org/matter/dynamic-profile/view/1890447","19-1890447")</f>
        <v>0</v>
      </c>
      <c r="B4021" t="s">
        <v>9</v>
      </c>
      <c r="F4021" t="s">
        <v>17</v>
      </c>
      <c r="H4021" t="s">
        <v>20</v>
      </c>
    </row>
    <row r="4022" spans="1:8">
      <c r="A4022" s="1">
        <f>HYPERLINK("https://cms.ls-nyc.org/matter/dynamic-profile/view/1890592","19-1890592")</f>
        <v>0</v>
      </c>
      <c r="B4022" t="s">
        <v>9</v>
      </c>
      <c r="F4022" t="s">
        <v>17</v>
      </c>
      <c r="H4022" t="s">
        <v>20</v>
      </c>
    </row>
    <row r="4023" spans="1:8">
      <c r="A4023" s="1">
        <f>HYPERLINK("https://cms.ls-nyc.org/matter/dynamic-profile/view/1892876","19-1892876")</f>
        <v>0</v>
      </c>
      <c r="B4023" t="s">
        <v>9</v>
      </c>
      <c r="F4023" t="s">
        <v>17</v>
      </c>
      <c r="H4023" t="s">
        <v>20</v>
      </c>
    </row>
    <row r="4024" spans="1:8">
      <c r="A4024" s="1">
        <f>HYPERLINK("https://cms.ls-nyc.org/matter/dynamic-profile/view/0800087","16-0800087")</f>
        <v>0</v>
      </c>
      <c r="B4024" t="s">
        <v>10</v>
      </c>
      <c r="D4024" t="s">
        <v>15</v>
      </c>
      <c r="E4024" t="s">
        <v>16</v>
      </c>
      <c r="H4024" t="s">
        <v>20</v>
      </c>
    </row>
    <row r="4025" spans="1:8">
      <c r="A4025" s="1">
        <f>HYPERLINK("https://cms.ls-nyc.org/matter/dynamic-profile/view/0816934","16-0816934")</f>
        <v>0</v>
      </c>
      <c r="B4025" t="s">
        <v>10</v>
      </c>
      <c r="D4025" t="s">
        <v>15</v>
      </c>
      <c r="E4025" t="s">
        <v>16</v>
      </c>
      <c r="H4025" t="s">
        <v>20</v>
      </c>
    </row>
    <row r="4026" spans="1:8">
      <c r="A4026" s="1">
        <f>HYPERLINK("https://cms.ls-nyc.org/matter/dynamic-profile/view/0800084","16-0800084")</f>
        <v>0</v>
      </c>
      <c r="B4026" t="s">
        <v>10</v>
      </c>
      <c r="D4026" t="s">
        <v>15</v>
      </c>
      <c r="E4026" t="s">
        <v>16</v>
      </c>
      <c r="H4026" t="s">
        <v>20</v>
      </c>
    </row>
    <row r="4027" spans="1:8">
      <c r="A4027" s="1">
        <f>HYPERLINK("https://cms.ls-nyc.org/matter/dynamic-profile/view/1888512","19-1888512")</f>
        <v>0</v>
      </c>
      <c r="B4027" t="s">
        <v>10</v>
      </c>
      <c r="D4027" t="s">
        <v>14</v>
      </c>
      <c r="H4027" t="s">
        <v>20</v>
      </c>
    </row>
    <row r="4028" spans="1:8">
      <c r="A4028" s="1">
        <f>HYPERLINK("https://cms.ls-nyc.org/matter/dynamic-profile/view/1891141","19-1891141")</f>
        <v>0</v>
      </c>
      <c r="B4028" t="s">
        <v>9</v>
      </c>
      <c r="H4028" t="s">
        <v>19</v>
      </c>
    </row>
    <row r="4029" spans="1:8">
      <c r="A4029" s="1">
        <f>HYPERLINK("https://cms.ls-nyc.org/matter/dynamic-profile/view/1898991","19-1898991")</f>
        <v>0</v>
      </c>
      <c r="B4029" t="s">
        <v>12</v>
      </c>
      <c r="H4029" t="s">
        <v>19</v>
      </c>
    </row>
    <row r="4030" spans="1:8">
      <c r="A4030" s="1">
        <f>HYPERLINK("https://cms.ls-nyc.org/matter/dynamic-profile/view/0806867","16-0806867")</f>
        <v>0</v>
      </c>
      <c r="B4030" t="s">
        <v>12</v>
      </c>
      <c r="C4030" t="s">
        <v>13</v>
      </c>
      <c r="D4030" t="s">
        <v>15</v>
      </c>
      <c r="E4030" t="s">
        <v>16</v>
      </c>
      <c r="H4030" t="s">
        <v>20</v>
      </c>
    </row>
    <row r="4031" spans="1:8">
      <c r="A4031" s="1">
        <f>HYPERLINK("https://cms.ls-nyc.org/matter/dynamic-profile/view/1887275","19-1887275")</f>
        <v>0</v>
      </c>
      <c r="B4031" t="s">
        <v>10</v>
      </c>
      <c r="C4031" t="s">
        <v>13</v>
      </c>
      <c r="D4031" t="s">
        <v>14</v>
      </c>
      <c r="E4031" t="s">
        <v>16</v>
      </c>
      <c r="H4031" t="s">
        <v>20</v>
      </c>
    </row>
    <row r="4032" spans="1:8">
      <c r="A4032" s="1">
        <f>HYPERLINK("https://cms.ls-nyc.org/matter/dynamic-profile/view/0799515","16-0799515")</f>
        <v>0</v>
      </c>
      <c r="B4032" t="s">
        <v>9</v>
      </c>
      <c r="D4032" t="s">
        <v>15</v>
      </c>
      <c r="E4032" t="s">
        <v>16</v>
      </c>
      <c r="H4032" t="s">
        <v>20</v>
      </c>
    </row>
    <row r="4033" spans="1:8">
      <c r="A4033" s="1">
        <f>HYPERLINK("https://cms.ls-nyc.org/matter/dynamic-profile/view/0821575","16-0821575")</f>
        <v>0</v>
      </c>
      <c r="B4033" t="s">
        <v>10</v>
      </c>
      <c r="D4033" t="s">
        <v>15</v>
      </c>
      <c r="E4033" t="s">
        <v>16</v>
      </c>
      <c r="H4033" t="s">
        <v>20</v>
      </c>
    </row>
    <row r="4034" spans="1:8">
      <c r="A4034" s="1">
        <f>HYPERLINK("https://cms.ls-nyc.org/matter/dynamic-profile/view/0821577","16-0821577")</f>
        <v>0</v>
      </c>
      <c r="B4034" t="s">
        <v>10</v>
      </c>
      <c r="D4034" t="s">
        <v>15</v>
      </c>
      <c r="E4034" t="s">
        <v>16</v>
      </c>
      <c r="H4034" t="s">
        <v>20</v>
      </c>
    </row>
    <row r="4035" spans="1:8">
      <c r="A4035" s="1">
        <f>HYPERLINK("https://cms.ls-nyc.org/matter/dynamic-profile/view/1851882","17-1851882")</f>
        <v>0</v>
      </c>
      <c r="B4035" t="s">
        <v>10</v>
      </c>
      <c r="D4035" t="s">
        <v>15</v>
      </c>
      <c r="E4035" t="s">
        <v>16</v>
      </c>
      <c r="H4035" t="s">
        <v>20</v>
      </c>
    </row>
    <row r="4036" spans="1:8">
      <c r="A4036" s="1">
        <f>HYPERLINK("https://cms.ls-nyc.org/matter/dynamic-profile/view/1896914","19-1896914")</f>
        <v>0</v>
      </c>
      <c r="B4036" t="s">
        <v>12</v>
      </c>
      <c r="H4036" t="s">
        <v>19</v>
      </c>
    </row>
    <row r="4037" spans="1:8">
      <c r="A4037" s="1">
        <f>HYPERLINK("https://cms.ls-nyc.org/matter/dynamic-profile/view/1836796","17-1836796")</f>
        <v>0</v>
      </c>
      <c r="B4037" t="s">
        <v>9</v>
      </c>
      <c r="D4037" t="s">
        <v>15</v>
      </c>
      <c r="E4037" t="s">
        <v>16</v>
      </c>
      <c r="H4037" t="s">
        <v>20</v>
      </c>
    </row>
    <row r="4038" spans="1:8">
      <c r="A4038" s="1">
        <f>HYPERLINK("https://cms.ls-nyc.org/matter/dynamic-profile/view/1833741","17-1833741")</f>
        <v>0</v>
      </c>
      <c r="B4038" t="s">
        <v>11</v>
      </c>
      <c r="C4038" t="s">
        <v>13</v>
      </c>
      <c r="D4038" t="s">
        <v>15</v>
      </c>
      <c r="E4038" t="s">
        <v>16</v>
      </c>
      <c r="H4038" t="s">
        <v>20</v>
      </c>
    </row>
    <row r="4039" spans="1:8">
      <c r="A4039" s="1">
        <f>HYPERLINK("https://cms.ls-nyc.org/matter/dynamic-profile/view/0828287","17-0828287")</f>
        <v>0</v>
      </c>
      <c r="B4039" t="s">
        <v>9</v>
      </c>
      <c r="D4039" t="s">
        <v>15</v>
      </c>
      <c r="H4039" t="s">
        <v>20</v>
      </c>
    </row>
    <row r="4040" spans="1:8">
      <c r="A4040" s="1">
        <f>HYPERLINK("https://cms.ls-nyc.org/matter/dynamic-profile/view/1855010","18-1855010")</f>
        <v>0</v>
      </c>
      <c r="B4040" t="s">
        <v>9</v>
      </c>
      <c r="D4040" t="s">
        <v>15</v>
      </c>
      <c r="E4040" t="s">
        <v>16</v>
      </c>
      <c r="H4040" t="s">
        <v>20</v>
      </c>
    </row>
    <row r="4041" spans="1:8">
      <c r="A4041" s="1">
        <f>HYPERLINK("https://cms.ls-nyc.org/matter/dynamic-profile/view/1900149","19-1900149")</f>
        <v>0</v>
      </c>
      <c r="B4041" t="s">
        <v>10</v>
      </c>
      <c r="D4041" t="s">
        <v>14</v>
      </c>
      <c r="F4041" t="s">
        <v>17</v>
      </c>
      <c r="H4041" t="s">
        <v>20</v>
      </c>
    </row>
    <row r="4042" spans="1:8">
      <c r="A4042" s="1">
        <f>HYPERLINK("https://cms.ls-nyc.org/matter/dynamic-profile/view/1845394","17-1845394")</f>
        <v>0</v>
      </c>
      <c r="B4042" t="s">
        <v>10</v>
      </c>
      <c r="D4042" t="s">
        <v>15</v>
      </c>
      <c r="E4042" t="s">
        <v>16</v>
      </c>
      <c r="H4042" t="s">
        <v>20</v>
      </c>
    </row>
    <row r="4043" spans="1:8">
      <c r="A4043" s="1">
        <f>HYPERLINK("https://cms.ls-nyc.org/matter/dynamic-profile/view/1839463","17-1839463")</f>
        <v>0</v>
      </c>
      <c r="B4043" t="s">
        <v>12</v>
      </c>
      <c r="C4043" t="s">
        <v>13</v>
      </c>
      <c r="D4043" t="s">
        <v>15</v>
      </c>
      <c r="E4043" t="s">
        <v>16</v>
      </c>
      <c r="G4043" t="s">
        <v>18</v>
      </c>
      <c r="H4043" t="s">
        <v>20</v>
      </c>
    </row>
    <row r="4044" spans="1:8">
      <c r="A4044" s="1">
        <f>HYPERLINK("https://cms.ls-nyc.org/matter/dynamic-profile/view/1900018","19-1900018")</f>
        <v>0</v>
      </c>
      <c r="B4044" t="s">
        <v>12</v>
      </c>
      <c r="D4044" t="s">
        <v>14</v>
      </c>
      <c r="E4044" t="s">
        <v>16</v>
      </c>
      <c r="H4044" t="s">
        <v>20</v>
      </c>
    </row>
    <row r="4045" spans="1:8">
      <c r="A4045" s="1">
        <f>HYPERLINK("https://cms.ls-nyc.org/matter/dynamic-profile/view/1879248","18-1879248")</f>
        <v>0</v>
      </c>
      <c r="B4045" t="s">
        <v>9</v>
      </c>
      <c r="H4045" t="s">
        <v>19</v>
      </c>
    </row>
    <row r="4046" spans="1:8">
      <c r="A4046" s="1">
        <f>HYPERLINK("https://cms.ls-nyc.org/matter/dynamic-profile/view/1848461","17-1848461")</f>
        <v>0</v>
      </c>
      <c r="B4046" t="s">
        <v>12</v>
      </c>
      <c r="D4046" t="s">
        <v>15</v>
      </c>
      <c r="E4046" t="s">
        <v>16</v>
      </c>
      <c r="H4046" t="s">
        <v>20</v>
      </c>
    </row>
    <row r="4047" spans="1:8">
      <c r="A4047" s="1">
        <f>HYPERLINK("https://cms.ls-nyc.org/matter/dynamic-profile/view/1897679","19-1897679")</f>
        <v>0</v>
      </c>
      <c r="B4047" t="s">
        <v>11</v>
      </c>
      <c r="D4047" t="s">
        <v>14</v>
      </c>
      <c r="E4047" t="s">
        <v>16</v>
      </c>
      <c r="F4047" t="s">
        <v>17</v>
      </c>
      <c r="G4047" t="s">
        <v>18</v>
      </c>
      <c r="H4047" t="s">
        <v>20</v>
      </c>
    </row>
    <row r="4048" spans="1:8">
      <c r="A4048" s="1">
        <f>HYPERLINK("https://cms.ls-nyc.org/matter/dynamic-profile/view/1886113","18-1886113")</f>
        <v>0</v>
      </c>
      <c r="B4048" t="s">
        <v>9</v>
      </c>
      <c r="F4048" t="s">
        <v>17</v>
      </c>
      <c r="H4048" t="s">
        <v>20</v>
      </c>
    </row>
    <row r="4049" spans="1:8">
      <c r="A4049" s="1">
        <f>HYPERLINK("https://cms.ls-nyc.org/matter/dynamic-profile/view/1893680","19-1893680")</f>
        <v>0</v>
      </c>
      <c r="B4049" t="s">
        <v>11</v>
      </c>
      <c r="H4049" t="s">
        <v>19</v>
      </c>
    </row>
    <row r="4050" spans="1:8">
      <c r="A4050" s="1">
        <f>HYPERLINK("https://cms.ls-nyc.org/matter/dynamic-profile/view/1860470","18-1860470")</f>
        <v>0</v>
      </c>
      <c r="B4050" t="s">
        <v>12</v>
      </c>
      <c r="D4050" t="s">
        <v>15</v>
      </c>
      <c r="E4050" t="s">
        <v>16</v>
      </c>
      <c r="H4050" t="s">
        <v>20</v>
      </c>
    </row>
    <row r="4051" spans="1:8">
      <c r="A4051" s="1">
        <f>HYPERLINK("https://cms.ls-nyc.org/matter/dynamic-profile/view/1862232","18-1862232")</f>
        <v>0</v>
      </c>
      <c r="B4051" t="s">
        <v>12</v>
      </c>
      <c r="D4051" t="s">
        <v>15</v>
      </c>
      <c r="E4051" t="s">
        <v>16</v>
      </c>
      <c r="H4051" t="s">
        <v>20</v>
      </c>
    </row>
    <row r="4052" spans="1:8">
      <c r="A4052" s="1">
        <f>HYPERLINK("https://cms.ls-nyc.org/matter/dynamic-profile/view/1901220","19-1901220")</f>
        <v>0</v>
      </c>
      <c r="B4052" t="s">
        <v>12</v>
      </c>
      <c r="D4052" t="s">
        <v>14</v>
      </c>
      <c r="H4052" t="s">
        <v>20</v>
      </c>
    </row>
    <row r="4053" spans="1:8">
      <c r="A4053" s="1">
        <f>HYPERLINK("https://cms.ls-nyc.org/matter/dynamic-profile/view/1881779","18-1881779")</f>
        <v>0</v>
      </c>
      <c r="B4053" t="s">
        <v>9</v>
      </c>
      <c r="H4053" t="s">
        <v>19</v>
      </c>
    </row>
    <row r="4054" spans="1:8">
      <c r="A4054" s="1">
        <f>HYPERLINK("https://cms.ls-nyc.org/matter/dynamic-profile/view/0824108","17-0824108")</f>
        <v>0</v>
      </c>
      <c r="B4054" t="s">
        <v>9</v>
      </c>
      <c r="D4054" t="s">
        <v>15</v>
      </c>
      <c r="E4054" t="s">
        <v>16</v>
      </c>
      <c r="H4054" t="s">
        <v>20</v>
      </c>
    </row>
    <row r="4055" spans="1:8">
      <c r="A4055" s="1">
        <f>HYPERLINK("https://cms.ls-nyc.org/matter/dynamic-profile/view/1883435","18-1883435")</f>
        <v>0</v>
      </c>
      <c r="B4055" t="s">
        <v>10</v>
      </c>
      <c r="H4055" t="s">
        <v>19</v>
      </c>
    </row>
    <row r="4056" spans="1:8">
      <c r="A4056" s="1">
        <f>HYPERLINK("https://cms.ls-nyc.org/matter/dynamic-profile/view/0812526","16-0812526")</f>
        <v>0</v>
      </c>
      <c r="B4056" t="s">
        <v>10</v>
      </c>
      <c r="D4056" t="s">
        <v>15</v>
      </c>
      <c r="E4056" t="s">
        <v>16</v>
      </c>
      <c r="H4056" t="s">
        <v>20</v>
      </c>
    </row>
    <row r="4057" spans="1:8">
      <c r="A4057" s="1">
        <f>HYPERLINK("https://cms.ls-nyc.org/matter/dynamic-profile/view/1841218","17-1841218")</f>
        <v>0</v>
      </c>
      <c r="B4057" t="s">
        <v>10</v>
      </c>
      <c r="D4057" t="s">
        <v>15</v>
      </c>
      <c r="E4057" t="s">
        <v>16</v>
      </c>
      <c r="H4057" t="s">
        <v>20</v>
      </c>
    </row>
    <row r="4058" spans="1:8">
      <c r="A4058" s="1">
        <f>HYPERLINK("https://cms.ls-nyc.org/matter/dynamic-profile/view/1841513","17-1841513")</f>
        <v>0</v>
      </c>
      <c r="B4058" t="s">
        <v>12</v>
      </c>
      <c r="D4058" t="s">
        <v>15</v>
      </c>
      <c r="E4058" t="s">
        <v>16</v>
      </c>
      <c r="H4058" t="s">
        <v>20</v>
      </c>
    </row>
    <row r="4059" spans="1:8">
      <c r="A4059" s="1">
        <f>HYPERLINK("https://cms.ls-nyc.org/matter/dynamic-profile/view/1847622","17-1847622")</f>
        <v>0</v>
      </c>
      <c r="B4059" t="s">
        <v>12</v>
      </c>
      <c r="D4059" t="s">
        <v>15</v>
      </c>
      <c r="E4059" t="s">
        <v>16</v>
      </c>
      <c r="H4059" t="s">
        <v>20</v>
      </c>
    </row>
    <row r="4060" spans="1:8">
      <c r="A4060" s="1">
        <f>HYPERLINK("https://cms.ls-nyc.org/matter/dynamic-profile/view/1892720","19-1892720")</f>
        <v>0</v>
      </c>
      <c r="B4060" t="s">
        <v>12</v>
      </c>
      <c r="H4060" t="s">
        <v>19</v>
      </c>
    </row>
    <row r="4061" spans="1:8">
      <c r="A4061" s="1">
        <f>HYPERLINK("https://cms.ls-nyc.org/matter/dynamic-profile/view/1894498","19-1894498")</f>
        <v>0</v>
      </c>
      <c r="B4061" t="s">
        <v>10</v>
      </c>
      <c r="F4061" t="s">
        <v>17</v>
      </c>
      <c r="H4061" t="s">
        <v>20</v>
      </c>
    </row>
    <row r="4062" spans="1:8">
      <c r="A4062" s="1">
        <f>HYPERLINK("https://cms.ls-nyc.org/matter/dynamic-profile/view/1894488","19-1894488")</f>
        <v>0</v>
      </c>
      <c r="B4062" t="s">
        <v>10</v>
      </c>
      <c r="F4062" t="s">
        <v>17</v>
      </c>
      <c r="H4062" t="s">
        <v>20</v>
      </c>
    </row>
    <row r="4063" spans="1:8">
      <c r="A4063" s="1">
        <f>HYPERLINK("https://cms.ls-nyc.org/matter/dynamic-profile/view/1900478","19-1900478")</f>
        <v>0</v>
      </c>
      <c r="B4063" t="s">
        <v>12</v>
      </c>
      <c r="H4063" t="s">
        <v>19</v>
      </c>
    </row>
    <row r="4064" spans="1:8">
      <c r="A4064" s="1">
        <f>HYPERLINK("https://cms.ls-nyc.org/matter/dynamic-profile/view/1864101","18-1864101")</f>
        <v>0</v>
      </c>
      <c r="B4064" t="s">
        <v>12</v>
      </c>
      <c r="D4064" t="s">
        <v>15</v>
      </c>
      <c r="E4064" t="s">
        <v>16</v>
      </c>
      <c r="H4064" t="s">
        <v>20</v>
      </c>
    </row>
    <row r="4065" spans="1:8">
      <c r="A4065" s="1">
        <f>HYPERLINK("https://cms.ls-nyc.org/matter/dynamic-profile/view/1899056","19-1899056")</f>
        <v>0</v>
      </c>
      <c r="B4065" t="s">
        <v>10</v>
      </c>
      <c r="D4065" t="s">
        <v>14</v>
      </c>
      <c r="H4065" t="s">
        <v>20</v>
      </c>
    </row>
    <row r="4066" spans="1:8">
      <c r="A4066" s="1">
        <f>HYPERLINK("https://cms.ls-nyc.org/matter/dynamic-profile/view/1864035","18-1864035")</f>
        <v>0</v>
      </c>
      <c r="B4066" t="s">
        <v>12</v>
      </c>
      <c r="D4066" t="s">
        <v>15</v>
      </c>
      <c r="F4066" t="s">
        <v>17</v>
      </c>
      <c r="H4066" t="s">
        <v>20</v>
      </c>
    </row>
    <row r="4067" spans="1:8">
      <c r="A4067" s="1">
        <f>HYPERLINK("https://cms.ls-nyc.org/matter/dynamic-profile/view/1873600","18-1873600")</f>
        <v>0</v>
      </c>
      <c r="B4067" t="s">
        <v>12</v>
      </c>
      <c r="F4067" t="s">
        <v>17</v>
      </c>
      <c r="H4067" t="s">
        <v>20</v>
      </c>
    </row>
    <row r="4068" spans="1:8">
      <c r="A4068" s="1">
        <f>HYPERLINK("https://cms.ls-nyc.org/matter/dynamic-profile/view/1843868","17-1843868")</f>
        <v>0</v>
      </c>
      <c r="B4068" t="s">
        <v>12</v>
      </c>
      <c r="D4068" t="s">
        <v>15</v>
      </c>
      <c r="E4068" t="s">
        <v>16</v>
      </c>
      <c r="H4068" t="s">
        <v>20</v>
      </c>
    </row>
    <row r="4069" spans="1:8">
      <c r="A4069" s="1">
        <f>HYPERLINK("https://cms.ls-nyc.org/matter/dynamic-profile/view/1836934","17-1836934")</f>
        <v>0</v>
      </c>
      <c r="B4069" t="s">
        <v>12</v>
      </c>
      <c r="D4069" t="s">
        <v>15</v>
      </c>
      <c r="E4069" t="s">
        <v>16</v>
      </c>
      <c r="H4069" t="s">
        <v>20</v>
      </c>
    </row>
    <row r="4070" spans="1:8">
      <c r="A4070" s="1">
        <f>HYPERLINK("https://cms.ls-nyc.org/matter/dynamic-profile/view/1837984","17-1837984")</f>
        <v>0</v>
      </c>
      <c r="B4070" t="s">
        <v>12</v>
      </c>
      <c r="D4070" t="s">
        <v>15</v>
      </c>
      <c r="E4070" t="s">
        <v>16</v>
      </c>
      <c r="H4070" t="s">
        <v>20</v>
      </c>
    </row>
    <row r="4071" spans="1:8">
      <c r="A4071" s="1">
        <f>HYPERLINK("https://cms.ls-nyc.org/matter/dynamic-profile/view/1854938","18-1854938")</f>
        <v>0</v>
      </c>
      <c r="B4071" t="s">
        <v>12</v>
      </c>
      <c r="D4071" t="s">
        <v>15</v>
      </c>
      <c r="E4071" t="s">
        <v>16</v>
      </c>
      <c r="H4071" t="s">
        <v>20</v>
      </c>
    </row>
    <row r="4072" spans="1:8">
      <c r="A4072" s="1">
        <f>HYPERLINK("https://cms.ls-nyc.org/matter/dynamic-profile/view/1875383","18-1875383")</f>
        <v>0</v>
      </c>
      <c r="B4072" t="s">
        <v>9</v>
      </c>
      <c r="H4072" t="s">
        <v>19</v>
      </c>
    </row>
    <row r="4073" spans="1:8">
      <c r="A4073" s="1">
        <f>HYPERLINK("https://cms.ls-nyc.org/matter/dynamic-profile/view/1882211","18-1882211")</f>
        <v>0</v>
      </c>
      <c r="B4073" t="s">
        <v>9</v>
      </c>
      <c r="D4073" t="s">
        <v>15</v>
      </c>
      <c r="H4073" t="s">
        <v>20</v>
      </c>
    </row>
    <row r="4074" spans="1:8">
      <c r="A4074" s="1">
        <f>HYPERLINK("https://cms.ls-nyc.org/matter/dynamic-profile/view/1900658","19-1900658")</f>
        <v>0</v>
      </c>
      <c r="B4074" t="s">
        <v>9</v>
      </c>
      <c r="H4074" t="s">
        <v>19</v>
      </c>
    </row>
    <row r="4075" spans="1:8">
      <c r="A4075" s="1">
        <f>HYPERLINK("https://cms.ls-nyc.org/matter/dynamic-profile/view/1895319","19-1895319")</f>
        <v>0</v>
      </c>
      <c r="B4075" t="s">
        <v>9</v>
      </c>
      <c r="H4075" t="s">
        <v>19</v>
      </c>
    </row>
    <row r="4076" spans="1:8">
      <c r="A4076" s="1">
        <f>HYPERLINK("https://cms.ls-nyc.org/matter/dynamic-profile/view/1898528","19-1898528")</f>
        <v>0</v>
      </c>
      <c r="B4076" t="s">
        <v>9</v>
      </c>
      <c r="H4076" t="s">
        <v>19</v>
      </c>
    </row>
    <row r="4077" spans="1:8">
      <c r="A4077" s="1">
        <f>HYPERLINK("https://cms.ls-nyc.org/matter/dynamic-profile/view/1898207","19-1898207")</f>
        <v>0</v>
      </c>
      <c r="B4077" t="s">
        <v>9</v>
      </c>
      <c r="F4077" t="s">
        <v>17</v>
      </c>
      <c r="H4077" t="s">
        <v>20</v>
      </c>
    </row>
    <row r="4078" spans="1:8">
      <c r="A4078" s="1">
        <f>HYPERLINK("https://cms.ls-nyc.org/matter/dynamic-profile/view/1846894","17-1846894")</f>
        <v>0</v>
      </c>
      <c r="B4078" t="s">
        <v>12</v>
      </c>
      <c r="D4078" t="s">
        <v>15</v>
      </c>
      <c r="E4078" t="s">
        <v>16</v>
      </c>
      <c r="H4078" t="s">
        <v>20</v>
      </c>
    </row>
    <row r="4079" spans="1:8">
      <c r="A4079" s="1">
        <f>HYPERLINK("https://cms.ls-nyc.org/matter/dynamic-profile/view/1836062","17-1836062")</f>
        <v>0</v>
      </c>
      <c r="B4079" t="s">
        <v>9</v>
      </c>
      <c r="D4079" t="s">
        <v>15</v>
      </c>
      <c r="H4079" t="s">
        <v>20</v>
      </c>
    </row>
    <row r="4080" spans="1:8">
      <c r="A4080" s="1">
        <f>HYPERLINK("https://cms.ls-nyc.org/matter/dynamic-profile/view/1885272","18-1885272")</f>
        <v>0</v>
      </c>
      <c r="B4080" t="s">
        <v>12</v>
      </c>
      <c r="H4080" t="s">
        <v>19</v>
      </c>
    </row>
    <row r="4081" spans="1:8">
      <c r="A4081" s="1">
        <f>HYPERLINK("https://cms.ls-nyc.org/matter/dynamic-profile/view/1873364","18-1873364")</f>
        <v>0</v>
      </c>
      <c r="B4081" t="s">
        <v>9</v>
      </c>
      <c r="H4081" t="s">
        <v>19</v>
      </c>
    </row>
    <row r="4082" spans="1:8">
      <c r="A4082" s="1">
        <f>HYPERLINK("https://cms.ls-nyc.org/matter/dynamic-profile/view/1876998","18-1876998")</f>
        <v>0</v>
      </c>
      <c r="B4082" t="s">
        <v>9</v>
      </c>
      <c r="H4082" t="s">
        <v>19</v>
      </c>
    </row>
    <row r="4083" spans="1:8">
      <c r="A4083" s="1">
        <f>HYPERLINK("https://cms.ls-nyc.org/matter/dynamic-profile/view/1836130","17-1836130")</f>
        <v>0</v>
      </c>
      <c r="B4083" t="s">
        <v>12</v>
      </c>
      <c r="D4083" t="s">
        <v>15</v>
      </c>
      <c r="E4083" t="s">
        <v>16</v>
      </c>
      <c r="H4083" t="s">
        <v>20</v>
      </c>
    </row>
    <row r="4084" spans="1:8">
      <c r="A4084" s="1">
        <f>HYPERLINK("https://cms.ls-nyc.org/matter/dynamic-profile/view/1897522","19-1897522")</f>
        <v>0</v>
      </c>
      <c r="B4084" t="s">
        <v>9</v>
      </c>
      <c r="E4084" t="s">
        <v>16</v>
      </c>
      <c r="F4084" t="s">
        <v>17</v>
      </c>
      <c r="H4084" t="s">
        <v>20</v>
      </c>
    </row>
    <row r="4085" spans="1:8">
      <c r="A4085" s="1">
        <f>HYPERLINK("https://cms.ls-nyc.org/matter/dynamic-profile/view/1897526","19-1897526")</f>
        <v>0</v>
      </c>
      <c r="B4085" t="s">
        <v>9</v>
      </c>
      <c r="E4085" t="s">
        <v>16</v>
      </c>
      <c r="F4085" t="s">
        <v>17</v>
      </c>
      <c r="H4085" t="s">
        <v>20</v>
      </c>
    </row>
    <row r="4086" spans="1:8">
      <c r="A4086" s="1">
        <f>HYPERLINK("https://cms.ls-nyc.org/matter/dynamic-profile/view/1897399","19-1897399")</f>
        <v>0</v>
      </c>
      <c r="B4086" t="s">
        <v>9</v>
      </c>
      <c r="E4086" t="s">
        <v>16</v>
      </c>
      <c r="F4086" t="s">
        <v>17</v>
      </c>
      <c r="H4086" t="s">
        <v>20</v>
      </c>
    </row>
    <row r="4087" spans="1:8">
      <c r="A4087" s="1">
        <f>HYPERLINK("https://cms.ls-nyc.org/matter/dynamic-profile/view/1898976","19-1898976")</f>
        <v>0</v>
      </c>
      <c r="B4087" t="s">
        <v>9</v>
      </c>
      <c r="E4087" t="s">
        <v>16</v>
      </c>
      <c r="F4087" t="s">
        <v>17</v>
      </c>
      <c r="H4087" t="s">
        <v>20</v>
      </c>
    </row>
    <row r="4088" spans="1:8">
      <c r="A4088" s="1">
        <f>HYPERLINK("https://cms.ls-nyc.org/matter/dynamic-profile/view/1897400","19-1897400")</f>
        <v>0</v>
      </c>
      <c r="B4088" t="s">
        <v>9</v>
      </c>
      <c r="E4088" t="s">
        <v>16</v>
      </c>
      <c r="F4088" t="s">
        <v>17</v>
      </c>
      <c r="H4088" t="s">
        <v>20</v>
      </c>
    </row>
    <row r="4089" spans="1:8">
      <c r="A4089" s="1">
        <f>HYPERLINK("https://cms.ls-nyc.org/matter/dynamic-profile/view/1898979","19-1898979")</f>
        <v>0</v>
      </c>
      <c r="B4089" t="s">
        <v>9</v>
      </c>
      <c r="E4089" t="s">
        <v>16</v>
      </c>
      <c r="F4089" t="s">
        <v>17</v>
      </c>
      <c r="H4089" t="s">
        <v>20</v>
      </c>
    </row>
    <row r="4090" spans="1:8">
      <c r="A4090" s="1">
        <f>HYPERLINK("https://cms.ls-nyc.org/matter/dynamic-profile/view/1897366","19-1897366")</f>
        <v>0</v>
      </c>
      <c r="B4090" t="s">
        <v>9</v>
      </c>
      <c r="F4090" t="s">
        <v>17</v>
      </c>
      <c r="H4090" t="s">
        <v>20</v>
      </c>
    </row>
    <row r="4091" spans="1:8">
      <c r="A4091" s="1">
        <f>HYPERLINK("https://cms.ls-nyc.org/matter/dynamic-profile/view/1900745","19-1900745")</f>
        <v>0</v>
      </c>
      <c r="B4091" t="s">
        <v>9</v>
      </c>
      <c r="F4091" t="s">
        <v>17</v>
      </c>
      <c r="H4091" t="s">
        <v>20</v>
      </c>
    </row>
    <row r="4092" spans="1:8">
      <c r="A4092" s="1">
        <f>HYPERLINK("https://cms.ls-nyc.org/matter/dynamic-profile/view/1901259","19-1901259")</f>
        <v>0</v>
      </c>
      <c r="B4092" t="s">
        <v>9</v>
      </c>
      <c r="F4092" t="s">
        <v>17</v>
      </c>
      <c r="H4092" t="s">
        <v>20</v>
      </c>
    </row>
    <row r="4093" spans="1:8">
      <c r="A4093" s="1">
        <f>HYPERLINK("https://cms.ls-nyc.org/matter/dynamic-profile/view/1895371","19-1895371")</f>
        <v>0</v>
      </c>
      <c r="B4093" t="s">
        <v>9</v>
      </c>
      <c r="C4093" t="s">
        <v>13</v>
      </c>
      <c r="E4093" t="s">
        <v>16</v>
      </c>
      <c r="H4093" t="s">
        <v>20</v>
      </c>
    </row>
    <row r="4094" spans="1:8">
      <c r="A4094" s="1">
        <f>HYPERLINK("https://cms.ls-nyc.org/matter/dynamic-profile/view/1898954","19-1898954")</f>
        <v>0</v>
      </c>
      <c r="B4094" t="s">
        <v>10</v>
      </c>
      <c r="D4094" t="s">
        <v>14</v>
      </c>
      <c r="H4094" t="s">
        <v>20</v>
      </c>
    </row>
    <row r="4095" spans="1:8">
      <c r="A4095" s="1">
        <f>HYPERLINK("https://cms.ls-nyc.org/matter/dynamic-profile/view/1864017","18-1864017")</f>
        <v>0</v>
      </c>
      <c r="B4095" t="s">
        <v>12</v>
      </c>
      <c r="D4095" t="s">
        <v>15</v>
      </c>
      <c r="F4095" t="s">
        <v>17</v>
      </c>
      <c r="H4095" t="s">
        <v>20</v>
      </c>
    </row>
    <row r="4096" spans="1:8">
      <c r="A4096" s="1">
        <f>HYPERLINK("https://cms.ls-nyc.org/matter/dynamic-profile/view/1884559","18-1884559")</f>
        <v>0</v>
      </c>
      <c r="B4096" t="s">
        <v>9</v>
      </c>
      <c r="F4096" t="s">
        <v>17</v>
      </c>
      <c r="H4096" t="s">
        <v>20</v>
      </c>
    </row>
    <row r="4097" spans="1:8">
      <c r="A4097" s="1">
        <f>HYPERLINK("https://cms.ls-nyc.org/matter/dynamic-profile/view/1883160","18-1883160")</f>
        <v>0</v>
      </c>
      <c r="B4097" t="s">
        <v>9</v>
      </c>
      <c r="C4097" t="s">
        <v>13</v>
      </c>
      <c r="D4097" t="s">
        <v>14</v>
      </c>
      <c r="E4097" t="s">
        <v>16</v>
      </c>
      <c r="H4097" t="s">
        <v>20</v>
      </c>
    </row>
    <row r="4098" spans="1:8">
      <c r="A4098" s="1">
        <f>HYPERLINK("https://cms.ls-nyc.org/matter/dynamic-profile/view/1868594","18-1868594")</f>
        <v>0</v>
      </c>
      <c r="B4098" t="s">
        <v>10</v>
      </c>
      <c r="D4098" t="s">
        <v>15</v>
      </c>
      <c r="E4098" t="s">
        <v>16</v>
      </c>
      <c r="H4098" t="s">
        <v>20</v>
      </c>
    </row>
    <row r="4099" spans="1:8">
      <c r="A4099" s="1">
        <f>HYPERLINK("https://cms.ls-nyc.org/matter/dynamic-profile/view/1834332","17-1834332")</f>
        <v>0</v>
      </c>
      <c r="B4099" t="s">
        <v>12</v>
      </c>
      <c r="D4099" t="s">
        <v>15</v>
      </c>
      <c r="E4099" t="s">
        <v>16</v>
      </c>
      <c r="H4099" t="s">
        <v>20</v>
      </c>
    </row>
    <row r="4100" spans="1:8">
      <c r="A4100" s="1">
        <f>HYPERLINK("https://cms.ls-nyc.org/matter/dynamic-profile/view/1889002","19-1889002")</f>
        <v>0</v>
      </c>
      <c r="B4100" t="s">
        <v>12</v>
      </c>
      <c r="H4100" t="s">
        <v>19</v>
      </c>
    </row>
    <row r="4101" spans="1:8">
      <c r="A4101" s="1">
        <f>HYPERLINK("https://cms.ls-nyc.org/matter/dynamic-profile/view/0804114","16-0804114")</f>
        <v>0</v>
      </c>
      <c r="B4101" t="s">
        <v>9</v>
      </c>
      <c r="D4101" t="s">
        <v>15</v>
      </c>
      <c r="E4101" t="s">
        <v>16</v>
      </c>
      <c r="H4101" t="s">
        <v>20</v>
      </c>
    </row>
    <row r="4102" spans="1:8">
      <c r="A4102" s="1">
        <f>HYPERLINK("https://cms.ls-nyc.org/matter/dynamic-profile/view/0823664","17-0823664")</f>
        <v>0</v>
      </c>
      <c r="B4102" t="s">
        <v>9</v>
      </c>
      <c r="C4102" t="s">
        <v>13</v>
      </c>
      <c r="D4102" t="s">
        <v>15</v>
      </c>
      <c r="E4102" t="s">
        <v>16</v>
      </c>
      <c r="H4102" t="s">
        <v>20</v>
      </c>
    </row>
    <row r="4103" spans="1:8">
      <c r="A4103" s="1">
        <f>HYPERLINK("https://cms.ls-nyc.org/matter/dynamic-profile/view/1856034","18-1856034")</f>
        <v>0</v>
      </c>
      <c r="B4103" t="s">
        <v>12</v>
      </c>
      <c r="D4103" t="s">
        <v>15</v>
      </c>
      <c r="E4103" t="s">
        <v>16</v>
      </c>
      <c r="H4103" t="s">
        <v>20</v>
      </c>
    </row>
    <row r="4104" spans="1:8">
      <c r="A4104" s="1">
        <f>HYPERLINK("https://cms.ls-nyc.org/matter/dynamic-profile/view/1839710","17-1839710")</f>
        <v>0</v>
      </c>
      <c r="B4104" t="s">
        <v>11</v>
      </c>
      <c r="H4104" t="s">
        <v>19</v>
      </c>
    </row>
    <row r="4105" spans="1:8">
      <c r="A4105" s="1">
        <f>HYPERLINK("https://cms.ls-nyc.org/matter/dynamic-profile/view/0828820","17-0828820")</f>
        <v>0</v>
      </c>
      <c r="B4105" t="s">
        <v>11</v>
      </c>
      <c r="D4105" t="s">
        <v>15</v>
      </c>
      <c r="H4105" t="s">
        <v>20</v>
      </c>
    </row>
    <row r="4106" spans="1:8">
      <c r="A4106" s="1">
        <f>HYPERLINK("https://cms.ls-nyc.org/matter/dynamic-profile/view/1895618","19-1895618")</f>
        <v>0</v>
      </c>
      <c r="B4106" t="s">
        <v>9</v>
      </c>
      <c r="F4106" t="s">
        <v>17</v>
      </c>
      <c r="H4106" t="s">
        <v>20</v>
      </c>
    </row>
    <row r="4107" spans="1:8">
      <c r="A4107" s="1">
        <f>HYPERLINK("https://cms.ls-nyc.org/matter/dynamic-profile/view/1901109","19-1901109")</f>
        <v>0</v>
      </c>
      <c r="B4107" t="s">
        <v>9</v>
      </c>
      <c r="D4107" t="s">
        <v>14</v>
      </c>
      <c r="F4107" t="s">
        <v>17</v>
      </c>
      <c r="H4107" t="s">
        <v>20</v>
      </c>
    </row>
    <row r="4108" spans="1:8">
      <c r="A4108" s="1">
        <f>HYPERLINK("https://cms.ls-nyc.org/matter/dynamic-profile/view/1892453","19-1892453")</f>
        <v>0</v>
      </c>
      <c r="B4108" t="s">
        <v>10</v>
      </c>
      <c r="H4108" t="s">
        <v>19</v>
      </c>
    </row>
    <row r="4109" spans="1:8">
      <c r="A4109" s="1">
        <f>HYPERLINK("https://cms.ls-nyc.org/matter/dynamic-profile/view/1894102","19-1894102")</f>
        <v>0</v>
      </c>
      <c r="B4109" t="s">
        <v>10</v>
      </c>
      <c r="H4109" t="s">
        <v>19</v>
      </c>
    </row>
    <row r="4110" spans="1:8">
      <c r="A4110" s="1">
        <f>HYPERLINK("https://cms.ls-nyc.org/matter/dynamic-profile/view/1892162","19-1892162")</f>
        <v>0</v>
      </c>
      <c r="B4110" t="s">
        <v>10</v>
      </c>
      <c r="H4110" t="s">
        <v>19</v>
      </c>
    </row>
    <row r="4111" spans="1:8">
      <c r="A4111" s="1">
        <f>HYPERLINK("https://cms.ls-nyc.org/matter/dynamic-profile/view/1894099","19-1894099")</f>
        <v>0</v>
      </c>
      <c r="B4111" t="s">
        <v>10</v>
      </c>
      <c r="H4111" t="s">
        <v>19</v>
      </c>
    </row>
    <row r="4112" spans="1:8">
      <c r="A4112" s="1">
        <f>HYPERLINK("https://cms.ls-nyc.org/matter/dynamic-profile/view/1901251","19-1901251")</f>
        <v>0</v>
      </c>
      <c r="B4112" t="s">
        <v>12</v>
      </c>
      <c r="H4112" t="s">
        <v>19</v>
      </c>
    </row>
    <row r="4113" spans="1:8">
      <c r="A4113" s="1">
        <f>HYPERLINK("https://cms.ls-nyc.org/matter/dynamic-profile/view/1892379","19-1892379")</f>
        <v>0</v>
      </c>
      <c r="B4113" t="s">
        <v>12</v>
      </c>
      <c r="H4113" t="s">
        <v>19</v>
      </c>
    </row>
    <row r="4114" spans="1:8">
      <c r="A4114" s="1">
        <f>HYPERLINK("https://cms.ls-nyc.org/matter/dynamic-profile/view/1893591","19-1893591")</f>
        <v>0</v>
      </c>
      <c r="B4114" t="s">
        <v>12</v>
      </c>
      <c r="F4114" t="s">
        <v>17</v>
      </c>
      <c r="H4114" t="s">
        <v>20</v>
      </c>
    </row>
    <row r="4115" spans="1:8">
      <c r="A4115" s="1">
        <f>HYPERLINK("https://cms.ls-nyc.org/matter/dynamic-profile/view/1901107","19-1901107")</f>
        <v>0</v>
      </c>
      <c r="B4115" t="s">
        <v>10</v>
      </c>
      <c r="C4115" t="s">
        <v>13</v>
      </c>
      <c r="D4115" t="s">
        <v>14</v>
      </c>
      <c r="E4115" t="s">
        <v>16</v>
      </c>
      <c r="H4115" t="s">
        <v>20</v>
      </c>
    </row>
    <row r="4116" spans="1:8">
      <c r="A4116" s="1">
        <f>HYPERLINK("https://cms.ls-nyc.org/matter/dynamic-profile/view/1887611","19-1887611")</f>
        <v>0</v>
      </c>
      <c r="B4116" t="s">
        <v>9</v>
      </c>
      <c r="H4116" t="s">
        <v>19</v>
      </c>
    </row>
    <row r="4117" spans="1:8">
      <c r="A4117" s="1">
        <f>HYPERLINK("https://cms.ls-nyc.org/matter/dynamic-profile/view/1885019","18-1885019")</f>
        <v>0</v>
      </c>
      <c r="B4117" t="s">
        <v>9</v>
      </c>
      <c r="H4117" t="s">
        <v>19</v>
      </c>
    </row>
    <row r="4118" spans="1:8">
      <c r="A4118" s="1">
        <f>HYPERLINK("https://cms.ls-nyc.org/matter/dynamic-profile/view/1876080","18-1876080")</f>
        <v>0</v>
      </c>
      <c r="B4118" t="s">
        <v>9</v>
      </c>
      <c r="H4118" t="s">
        <v>19</v>
      </c>
    </row>
    <row r="4119" spans="1:8">
      <c r="A4119" s="1">
        <f>HYPERLINK("https://cms.ls-nyc.org/matter/dynamic-profile/view/1857551","18-1857551")</f>
        <v>0</v>
      </c>
      <c r="B4119" t="s">
        <v>10</v>
      </c>
      <c r="D4119" t="s">
        <v>15</v>
      </c>
      <c r="E4119" t="s">
        <v>16</v>
      </c>
      <c r="H4119" t="s">
        <v>20</v>
      </c>
    </row>
    <row r="4120" spans="1:8">
      <c r="A4120" s="1">
        <f>HYPERLINK("https://cms.ls-nyc.org/matter/dynamic-profile/view/1872188","18-1872188")</f>
        <v>0</v>
      </c>
      <c r="B4120" t="s">
        <v>10</v>
      </c>
      <c r="D4120" t="s">
        <v>15</v>
      </c>
      <c r="E4120" t="s">
        <v>16</v>
      </c>
      <c r="H4120" t="s">
        <v>20</v>
      </c>
    </row>
    <row r="4121" spans="1:8">
      <c r="A4121" s="1">
        <f>HYPERLINK("https://cms.ls-nyc.org/matter/dynamic-profile/view/1888002","19-1888002")</f>
        <v>0</v>
      </c>
      <c r="B4121" t="s">
        <v>12</v>
      </c>
      <c r="H4121" t="s">
        <v>19</v>
      </c>
    </row>
    <row r="4122" spans="1:8">
      <c r="A4122" s="1">
        <f>HYPERLINK("https://cms.ls-nyc.org/matter/dynamic-profile/view/1873837","18-1873837")</f>
        <v>0</v>
      </c>
      <c r="B4122" t="s">
        <v>12</v>
      </c>
      <c r="H4122" t="s">
        <v>19</v>
      </c>
    </row>
    <row r="4123" spans="1:8">
      <c r="A4123" s="1">
        <f>HYPERLINK("https://cms.ls-nyc.org/matter/dynamic-profile/view/1895168","19-1895168")</f>
        <v>0</v>
      </c>
      <c r="B4123" t="s">
        <v>9</v>
      </c>
      <c r="D4123" t="s">
        <v>14</v>
      </c>
      <c r="G4123" t="s">
        <v>18</v>
      </c>
      <c r="H4123" t="s">
        <v>20</v>
      </c>
    </row>
    <row r="4124" spans="1:8">
      <c r="A4124" s="1">
        <f>HYPERLINK("https://cms.ls-nyc.org/matter/dynamic-profile/view/1882200","18-1882200")</f>
        <v>0</v>
      </c>
      <c r="B4124" t="s">
        <v>9</v>
      </c>
      <c r="D4124" t="s">
        <v>15</v>
      </c>
      <c r="H4124" t="s">
        <v>20</v>
      </c>
    </row>
    <row r="4125" spans="1:8">
      <c r="A4125" s="1">
        <f>HYPERLINK("https://cms.ls-nyc.org/matter/dynamic-profile/view/0813915","16-0813915")</f>
        <v>0</v>
      </c>
      <c r="B4125" t="s">
        <v>10</v>
      </c>
      <c r="D4125" t="s">
        <v>15</v>
      </c>
      <c r="E4125" t="s">
        <v>16</v>
      </c>
      <c r="H4125" t="s">
        <v>20</v>
      </c>
    </row>
    <row r="4126" spans="1:8">
      <c r="A4126" s="1">
        <f>HYPERLINK("https://cms.ls-nyc.org/matter/dynamic-profile/view/1886105","18-1886105")</f>
        <v>0</v>
      </c>
      <c r="B4126" t="s">
        <v>12</v>
      </c>
      <c r="H4126" t="s">
        <v>19</v>
      </c>
    </row>
    <row r="4127" spans="1:8">
      <c r="A4127" s="1">
        <f>HYPERLINK("https://cms.ls-nyc.org/matter/dynamic-profile/view/1891677","19-1891677")</f>
        <v>0</v>
      </c>
      <c r="B4127" t="s">
        <v>10</v>
      </c>
      <c r="H4127" t="s">
        <v>19</v>
      </c>
    </row>
    <row r="4128" spans="1:8">
      <c r="A4128" s="1">
        <f>HYPERLINK("https://cms.ls-nyc.org/matter/dynamic-profile/view/0813882","16-0813882")</f>
        <v>0</v>
      </c>
      <c r="B4128" t="s">
        <v>9</v>
      </c>
      <c r="D4128" t="s">
        <v>15</v>
      </c>
      <c r="E4128" t="s">
        <v>16</v>
      </c>
      <c r="H4128" t="s">
        <v>20</v>
      </c>
    </row>
    <row r="4129" spans="1:8">
      <c r="A4129" s="1">
        <f>HYPERLINK("https://cms.ls-nyc.org/matter/dynamic-profile/view/1873125","18-1873125")</f>
        <v>0</v>
      </c>
      <c r="B4129" t="s">
        <v>9</v>
      </c>
      <c r="H4129" t="s">
        <v>19</v>
      </c>
    </row>
    <row r="4130" spans="1:8">
      <c r="A4130" s="1">
        <f>HYPERLINK("https://cms.ls-nyc.org/matter/dynamic-profile/view/1878601","18-1878601")</f>
        <v>0</v>
      </c>
      <c r="B4130" t="s">
        <v>9</v>
      </c>
      <c r="H4130" t="s">
        <v>19</v>
      </c>
    </row>
    <row r="4131" spans="1:8">
      <c r="A4131" s="1">
        <f>HYPERLINK("https://cms.ls-nyc.org/matter/dynamic-profile/view/1878609","18-1878609")</f>
        <v>0</v>
      </c>
      <c r="B4131" t="s">
        <v>9</v>
      </c>
      <c r="H4131" t="s">
        <v>19</v>
      </c>
    </row>
    <row r="4132" spans="1:8">
      <c r="A4132" s="1">
        <f>HYPERLINK("https://cms.ls-nyc.org/matter/dynamic-profile/view/1876634","18-1876634")</f>
        <v>0</v>
      </c>
      <c r="B4132" t="s">
        <v>10</v>
      </c>
      <c r="H4132" t="s">
        <v>19</v>
      </c>
    </row>
    <row r="4133" spans="1:8">
      <c r="A4133" s="1">
        <f>HYPERLINK("https://cms.ls-nyc.org/matter/dynamic-profile/view/1869879","18-1869879")</f>
        <v>0</v>
      </c>
      <c r="B4133" t="s">
        <v>12</v>
      </c>
      <c r="D4133" t="s">
        <v>15</v>
      </c>
      <c r="E4133" t="s">
        <v>16</v>
      </c>
      <c r="H4133" t="s">
        <v>20</v>
      </c>
    </row>
    <row r="4134" spans="1:8">
      <c r="A4134" s="1">
        <f>HYPERLINK("https://cms.ls-nyc.org/matter/dynamic-profile/view/1887945","19-1887945")</f>
        <v>0</v>
      </c>
      <c r="B4134" t="s">
        <v>12</v>
      </c>
      <c r="H4134" t="s">
        <v>19</v>
      </c>
    </row>
    <row r="4135" spans="1:8">
      <c r="A4135" s="1">
        <f>HYPERLINK("https://cms.ls-nyc.org/matter/dynamic-profile/view/1876353","18-1876353")</f>
        <v>0</v>
      </c>
      <c r="B4135" t="s">
        <v>12</v>
      </c>
      <c r="H4135" t="s">
        <v>19</v>
      </c>
    </row>
    <row r="4136" spans="1:8">
      <c r="A4136" s="1">
        <f>HYPERLINK("https://cms.ls-nyc.org/matter/dynamic-profile/view/0816170","16-0816170")</f>
        <v>0</v>
      </c>
      <c r="B4136" t="s">
        <v>9</v>
      </c>
      <c r="D4136" t="s">
        <v>15</v>
      </c>
      <c r="E4136" t="s">
        <v>16</v>
      </c>
      <c r="H4136" t="s">
        <v>20</v>
      </c>
    </row>
    <row r="4137" spans="1:8">
      <c r="A4137" s="1">
        <f>HYPERLINK("https://cms.ls-nyc.org/matter/dynamic-profile/view/1899630","19-1899630")</f>
        <v>0</v>
      </c>
      <c r="B4137" t="s">
        <v>10</v>
      </c>
      <c r="C4137" t="s">
        <v>13</v>
      </c>
      <c r="D4137" t="s">
        <v>14</v>
      </c>
      <c r="E4137" t="s">
        <v>16</v>
      </c>
      <c r="H4137" t="s">
        <v>20</v>
      </c>
    </row>
    <row r="4138" spans="1:8">
      <c r="A4138" s="1">
        <f>HYPERLINK("https://cms.ls-nyc.org/matter/dynamic-profile/view/1859310","18-1859310")</f>
        <v>0</v>
      </c>
      <c r="B4138" t="s">
        <v>11</v>
      </c>
      <c r="D4138" t="s">
        <v>15</v>
      </c>
      <c r="E4138" t="s">
        <v>16</v>
      </c>
      <c r="H4138" t="s">
        <v>20</v>
      </c>
    </row>
    <row r="4139" spans="1:8">
      <c r="A4139" s="1">
        <f>HYPERLINK("https://cms.ls-nyc.org/matter/dynamic-profile/view/1883152","18-1883152")</f>
        <v>0</v>
      </c>
      <c r="B4139" t="s">
        <v>9</v>
      </c>
      <c r="H4139" t="s">
        <v>19</v>
      </c>
    </row>
    <row r="4140" spans="1:8">
      <c r="A4140" s="1">
        <f>HYPERLINK("https://cms.ls-nyc.org/matter/dynamic-profile/view/1867367","18-1867367")</f>
        <v>0</v>
      </c>
      <c r="B4140" t="s">
        <v>10</v>
      </c>
      <c r="D4140" t="s">
        <v>15</v>
      </c>
      <c r="E4140" t="s">
        <v>16</v>
      </c>
      <c r="H4140" t="s">
        <v>20</v>
      </c>
    </row>
    <row r="4141" spans="1:8">
      <c r="A4141" s="1">
        <f>HYPERLINK("https://cms.ls-nyc.org/matter/dynamic-profile/view/1854899","17-1854899")</f>
        <v>0</v>
      </c>
      <c r="B4141" t="s">
        <v>10</v>
      </c>
      <c r="D4141" t="s">
        <v>15</v>
      </c>
      <c r="E4141" t="s">
        <v>16</v>
      </c>
      <c r="H4141" t="s">
        <v>20</v>
      </c>
    </row>
    <row r="4142" spans="1:8">
      <c r="A4142" s="1">
        <f>HYPERLINK("https://cms.ls-nyc.org/matter/dynamic-profile/view/1855293","18-1855293")</f>
        <v>0</v>
      </c>
      <c r="B4142" t="s">
        <v>10</v>
      </c>
      <c r="D4142" t="s">
        <v>15</v>
      </c>
      <c r="E4142" t="s">
        <v>16</v>
      </c>
      <c r="H4142" t="s">
        <v>20</v>
      </c>
    </row>
    <row r="4143" spans="1:8">
      <c r="A4143" s="1">
        <f>HYPERLINK("https://cms.ls-nyc.org/matter/dynamic-profile/view/1857079","18-1857079")</f>
        <v>0</v>
      </c>
      <c r="B4143" t="s">
        <v>10</v>
      </c>
      <c r="E4143" t="s">
        <v>16</v>
      </c>
      <c r="H4143" t="s">
        <v>20</v>
      </c>
    </row>
    <row r="4144" spans="1:8">
      <c r="A4144" s="1">
        <f>HYPERLINK("https://cms.ls-nyc.org/matter/dynamic-profile/view/1856356","18-1856356")</f>
        <v>0</v>
      </c>
      <c r="B4144" t="s">
        <v>10</v>
      </c>
      <c r="D4144" t="s">
        <v>15</v>
      </c>
      <c r="E4144" t="s">
        <v>16</v>
      </c>
      <c r="H4144" t="s">
        <v>20</v>
      </c>
    </row>
    <row r="4145" spans="1:8">
      <c r="A4145" s="1">
        <f>HYPERLINK("https://cms.ls-nyc.org/matter/dynamic-profile/view/1868952","18-1868952")</f>
        <v>0</v>
      </c>
      <c r="B4145" t="s">
        <v>12</v>
      </c>
      <c r="D4145" t="s">
        <v>15</v>
      </c>
      <c r="E4145" t="s">
        <v>16</v>
      </c>
      <c r="H4145" t="s">
        <v>20</v>
      </c>
    </row>
    <row r="4146" spans="1:8">
      <c r="A4146" s="1">
        <f>HYPERLINK("https://cms.ls-nyc.org/matter/dynamic-profile/view/1868956","18-1868956")</f>
        <v>0</v>
      </c>
      <c r="B4146" t="s">
        <v>12</v>
      </c>
      <c r="D4146" t="s">
        <v>15</v>
      </c>
      <c r="E4146" t="s">
        <v>16</v>
      </c>
      <c r="H4146" t="s">
        <v>20</v>
      </c>
    </row>
    <row r="4147" spans="1:8">
      <c r="A4147" s="1">
        <f>HYPERLINK("https://cms.ls-nyc.org/matter/dynamic-profile/view/1848543","17-1848543")</f>
        <v>0</v>
      </c>
      <c r="B4147" t="s">
        <v>12</v>
      </c>
      <c r="D4147" t="s">
        <v>15</v>
      </c>
      <c r="E4147" t="s">
        <v>16</v>
      </c>
      <c r="H4147" t="s">
        <v>20</v>
      </c>
    </row>
    <row r="4148" spans="1:8">
      <c r="A4148" s="1">
        <f>HYPERLINK("https://cms.ls-nyc.org/matter/dynamic-profile/view/1845650","17-1845650")</f>
        <v>0</v>
      </c>
      <c r="B4148" t="s">
        <v>10</v>
      </c>
      <c r="D4148" t="s">
        <v>15</v>
      </c>
      <c r="E4148" t="s">
        <v>16</v>
      </c>
      <c r="H4148" t="s">
        <v>20</v>
      </c>
    </row>
    <row r="4149" spans="1:8">
      <c r="A4149" s="1">
        <f>HYPERLINK("https://cms.ls-nyc.org/matter/dynamic-profile/view/1858154","18-1858154")</f>
        <v>0</v>
      </c>
      <c r="B4149" t="s">
        <v>9</v>
      </c>
      <c r="D4149" t="s">
        <v>15</v>
      </c>
      <c r="E4149" t="s">
        <v>16</v>
      </c>
      <c r="H4149" t="s">
        <v>20</v>
      </c>
    </row>
    <row r="4150" spans="1:8">
      <c r="A4150" s="1">
        <f>HYPERLINK("https://cms.ls-nyc.org/matter/dynamic-profile/view/1887516","19-1887516")</f>
        <v>0</v>
      </c>
      <c r="B4150" t="s">
        <v>9</v>
      </c>
      <c r="H4150" t="s">
        <v>19</v>
      </c>
    </row>
    <row r="4151" spans="1:8">
      <c r="A4151" s="1">
        <f>HYPERLINK("https://cms.ls-nyc.org/matter/dynamic-profile/view/1865688","18-1865688")</f>
        <v>0</v>
      </c>
      <c r="B4151" t="s">
        <v>9</v>
      </c>
      <c r="F4151" t="s">
        <v>17</v>
      </c>
      <c r="H4151" t="s">
        <v>20</v>
      </c>
    </row>
    <row r="4152" spans="1:8">
      <c r="A4152" s="1">
        <f>HYPERLINK("https://cms.ls-nyc.org/matter/dynamic-profile/view/1887835","19-1887835")</f>
        <v>0</v>
      </c>
      <c r="B4152" t="s">
        <v>9</v>
      </c>
      <c r="D4152" t="s">
        <v>15</v>
      </c>
      <c r="E4152" t="s">
        <v>16</v>
      </c>
      <c r="H4152" t="s">
        <v>20</v>
      </c>
    </row>
    <row r="4153" spans="1:8">
      <c r="A4153" s="1">
        <f>HYPERLINK("https://cms.ls-nyc.org/matter/dynamic-profile/view/1886595","18-1886595")</f>
        <v>0</v>
      </c>
      <c r="B4153" t="s">
        <v>10</v>
      </c>
      <c r="D4153" t="s">
        <v>14</v>
      </c>
      <c r="G4153" t="s">
        <v>18</v>
      </c>
      <c r="H4153" t="s">
        <v>20</v>
      </c>
    </row>
    <row r="4154" spans="1:8">
      <c r="A4154" s="1">
        <f>HYPERLINK("https://cms.ls-nyc.org/matter/dynamic-profile/view/1885876","18-1885876")</f>
        <v>0</v>
      </c>
      <c r="B4154" t="s">
        <v>10</v>
      </c>
      <c r="H4154" t="s">
        <v>19</v>
      </c>
    </row>
    <row r="4155" spans="1:8">
      <c r="A4155" s="1">
        <f>HYPERLINK("https://cms.ls-nyc.org/matter/dynamic-profile/view/1874178","18-1874178")</f>
        <v>0</v>
      </c>
      <c r="B4155" t="s">
        <v>12</v>
      </c>
      <c r="H4155" t="s">
        <v>19</v>
      </c>
    </row>
    <row r="4156" spans="1:8">
      <c r="A4156" s="1">
        <f>HYPERLINK("https://cms.ls-nyc.org/matter/dynamic-profile/view/1897191","19-1897191")</f>
        <v>0</v>
      </c>
      <c r="B4156" t="s">
        <v>12</v>
      </c>
      <c r="F4156" t="s">
        <v>17</v>
      </c>
      <c r="H4156" t="s">
        <v>20</v>
      </c>
    </row>
    <row r="4157" spans="1:8">
      <c r="A4157" s="1">
        <f>HYPERLINK("https://cms.ls-nyc.org/matter/dynamic-profile/view/1868260","18-1868260")</f>
        <v>0</v>
      </c>
      <c r="B4157" t="s">
        <v>10</v>
      </c>
      <c r="D4157" t="s">
        <v>15</v>
      </c>
      <c r="E4157" t="s">
        <v>16</v>
      </c>
      <c r="H4157" t="s">
        <v>20</v>
      </c>
    </row>
    <row r="4158" spans="1:8">
      <c r="A4158" s="1">
        <f>HYPERLINK("https://cms.ls-nyc.org/matter/dynamic-profile/view/0800603","16-0800603")</f>
        <v>0</v>
      </c>
      <c r="B4158" t="s">
        <v>10</v>
      </c>
      <c r="D4158" t="s">
        <v>15</v>
      </c>
      <c r="E4158" t="s">
        <v>16</v>
      </c>
      <c r="H4158" t="s">
        <v>20</v>
      </c>
    </row>
    <row r="4159" spans="1:8">
      <c r="A4159" s="1">
        <f>HYPERLINK("https://cms.ls-nyc.org/matter/dynamic-profile/view/0817080","16-0817080")</f>
        <v>0</v>
      </c>
      <c r="B4159" t="s">
        <v>10</v>
      </c>
      <c r="D4159" t="s">
        <v>15</v>
      </c>
      <c r="E4159" t="s">
        <v>16</v>
      </c>
      <c r="H4159" t="s">
        <v>20</v>
      </c>
    </row>
    <row r="4160" spans="1:8">
      <c r="A4160" s="1">
        <f>HYPERLINK("https://cms.ls-nyc.org/matter/dynamic-profile/view/0822594","16-0822594")</f>
        <v>0</v>
      </c>
      <c r="B4160" t="s">
        <v>10</v>
      </c>
      <c r="D4160" t="s">
        <v>15</v>
      </c>
      <c r="E4160" t="s">
        <v>16</v>
      </c>
      <c r="H4160" t="s">
        <v>20</v>
      </c>
    </row>
    <row r="4161" spans="1:8">
      <c r="A4161" s="1">
        <f>HYPERLINK("https://cms.ls-nyc.org/matter/dynamic-profile/view/0803299","16-0803299")</f>
        <v>0</v>
      </c>
      <c r="B4161" t="s">
        <v>10</v>
      </c>
      <c r="D4161" t="s">
        <v>15</v>
      </c>
      <c r="E4161" t="s">
        <v>16</v>
      </c>
      <c r="H4161" t="s">
        <v>20</v>
      </c>
    </row>
    <row r="4162" spans="1:8">
      <c r="A4162" s="1">
        <f>HYPERLINK("https://cms.ls-nyc.org/matter/dynamic-profile/view/1880467","18-1880467")</f>
        <v>0</v>
      </c>
      <c r="B4162" t="s">
        <v>10</v>
      </c>
      <c r="H4162" t="s">
        <v>19</v>
      </c>
    </row>
    <row r="4163" spans="1:8">
      <c r="A4163" s="1">
        <f>HYPERLINK("https://cms.ls-nyc.org/matter/dynamic-profile/view/1895306","19-1895306")</f>
        <v>0</v>
      </c>
      <c r="B4163" t="s">
        <v>9</v>
      </c>
      <c r="H4163" t="s">
        <v>19</v>
      </c>
    </row>
    <row r="4164" spans="1:8">
      <c r="A4164" s="1">
        <f>HYPERLINK("https://cms.ls-nyc.org/matter/dynamic-profile/view/1898323","19-1898323")</f>
        <v>0</v>
      </c>
      <c r="B4164" t="s">
        <v>9</v>
      </c>
      <c r="F4164" t="s">
        <v>17</v>
      </c>
      <c r="H4164" t="s">
        <v>20</v>
      </c>
    </row>
    <row r="4165" spans="1:8">
      <c r="A4165" s="1">
        <f>HYPERLINK("https://cms.ls-nyc.org/matter/dynamic-profile/view/1865480","18-1865480")</f>
        <v>0</v>
      </c>
      <c r="B4165" t="s">
        <v>12</v>
      </c>
      <c r="D4165" t="s">
        <v>15</v>
      </c>
      <c r="E4165" t="s">
        <v>16</v>
      </c>
      <c r="H4165" t="s">
        <v>20</v>
      </c>
    </row>
    <row r="4166" spans="1:8">
      <c r="A4166" s="1">
        <f>HYPERLINK("https://cms.ls-nyc.org/matter/dynamic-profile/view/1842902","17-1842902")</f>
        <v>0</v>
      </c>
      <c r="B4166" t="s">
        <v>11</v>
      </c>
      <c r="D4166" t="s">
        <v>15</v>
      </c>
      <c r="E4166" t="s">
        <v>16</v>
      </c>
      <c r="H4166" t="s">
        <v>20</v>
      </c>
    </row>
    <row r="4167" spans="1:8">
      <c r="A4167" s="1">
        <f>HYPERLINK("https://cms.ls-nyc.org/matter/dynamic-profile/view/1837167","17-1837167")</f>
        <v>0</v>
      </c>
      <c r="B4167" t="s">
        <v>12</v>
      </c>
      <c r="D4167" t="s">
        <v>15</v>
      </c>
      <c r="H4167" t="s">
        <v>20</v>
      </c>
    </row>
    <row r="4168" spans="1:8">
      <c r="A4168" s="1">
        <f>HYPERLINK("https://cms.ls-nyc.org/matter/dynamic-profile/view/1833233","17-1833233")</f>
        <v>0</v>
      </c>
      <c r="B4168" t="s">
        <v>12</v>
      </c>
      <c r="D4168" t="s">
        <v>15</v>
      </c>
      <c r="H4168" t="s">
        <v>20</v>
      </c>
    </row>
    <row r="4169" spans="1:8">
      <c r="A4169" s="1">
        <f>HYPERLINK("https://cms.ls-nyc.org/matter/dynamic-profile/view/0795363","16-0795363")</f>
        <v>0</v>
      </c>
      <c r="B4169" t="s">
        <v>10</v>
      </c>
      <c r="D4169" t="s">
        <v>15</v>
      </c>
      <c r="E4169" t="s">
        <v>16</v>
      </c>
      <c r="H4169" t="s">
        <v>20</v>
      </c>
    </row>
    <row r="4170" spans="1:8">
      <c r="A4170" s="1">
        <f>HYPERLINK("https://cms.ls-nyc.org/matter/dynamic-profile/view/1836666","17-1836666")</f>
        <v>0</v>
      </c>
      <c r="B4170" t="s">
        <v>9</v>
      </c>
      <c r="D4170" t="s">
        <v>15</v>
      </c>
      <c r="E4170" t="s">
        <v>16</v>
      </c>
      <c r="H4170" t="s">
        <v>20</v>
      </c>
    </row>
    <row r="4171" spans="1:8">
      <c r="A4171" s="1">
        <f>HYPERLINK("https://cms.ls-nyc.org/matter/dynamic-profile/view/1882922","18-1882922")</f>
        <v>0</v>
      </c>
      <c r="B4171" t="s">
        <v>12</v>
      </c>
      <c r="H4171" t="s">
        <v>19</v>
      </c>
    </row>
    <row r="4172" spans="1:8">
      <c r="A4172" s="1">
        <f>HYPERLINK("https://cms.ls-nyc.org/matter/dynamic-profile/view/1898838","19-1898838")</f>
        <v>0</v>
      </c>
      <c r="B4172" t="s">
        <v>9</v>
      </c>
      <c r="E4172" t="s">
        <v>16</v>
      </c>
      <c r="F4172" t="s">
        <v>17</v>
      </c>
      <c r="H4172" t="s">
        <v>20</v>
      </c>
    </row>
    <row r="4173" spans="1:8">
      <c r="A4173" s="1">
        <f>HYPERLINK("https://cms.ls-nyc.org/matter/dynamic-profile/view/1898842","19-1898842")</f>
        <v>0</v>
      </c>
      <c r="B4173" t="s">
        <v>9</v>
      </c>
      <c r="E4173" t="s">
        <v>16</v>
      </c>
      <c r="F4173" t="s">
        <v>17</v>
      </c>
      <c r="H4173" t="s">
        <v>20</v>
      </c>
    </row>
    <row r="4174" spans="1:8">
      <c r="A4174" s="1">
        <f>HYPERLINK("https://cms.ls-nyc.org/matter/dynamic-profile/view/1897463","19-1897463")</f>
        <v>0</v>
      </c>
      <c r="B4174" t="s">
        <v>9</v>
      </c>
      <c r="C4174" t="s">
        <v>13</v>
      </c>
      <c r="D4174" t="s">
        <v>14</v>
      </c>
      <c r="E4174" t="s">
        <v>16</v>
      </c>
      <c r="G4174" t="s">
        <v>18</v>
      </c>
      <c r="H4174" t="s">
        <v>20</v>
      </c>
    </row>
    <row r="4175" spans="1:8">
      <c r="A4175" s="1">
        <f>HYPERLINK("https://cms.ls-nyc.org/matter/dynamic-profile/view/1900023","19-1900023")</f>
        <v>0</v>
      </c>
      <c r="B4175" t="s">
        <v>10</v>
      </c>
      <c r="D4175" t="s">
        <v>14</v>
      </c>
      <c r="E4175" t="s">
        <v>16</v>
      </c>
      <c r="H4175" t="s">
        <v>20</v>
      </c>
    </row>
    <row r="4176" spans="1:8">
      <c r="A4176" s="1">
        <f>HYPERLINK("https://cms.ls-nyc.org/matter/dynamic-profile/view/1894487","19-1894487")</f>
        <v>0</v>
      </c>
      <c r="B4176" t="s">
        <v>10</v>
      </c>
      <c r="D4176" t="s">
        <v>14</v>
      </c>
      <c r="H4176" t="s">
        <v>20</v>
      </c>
    </row>
    <row r="4177" spans="1:8">
      <c r="A4177" s="1">
        <f>HYPERLINK("https://cms.ls-nyc.org/matter/dynamic-profile/view/1894945","19-1894945")</f>
        <v>0</v>
      </c>
      <c r="B4177" t="s">
        <v>11</v>
      </c>
      <c r="D4177" t="s">
        <v>14</v>
      </c>
      <c r="G4177" t="s">
        <v>18</v>
      </c>
      <c r="H4177" t="s">
        <v>20</v>
      </c>
    </row>
    <row r="4178" spans="1:8">
      <c r="A4178" s="1">
        <f>HYPERLINK("https://cms.ls-nyc.org/matter/dynamic-profile/view/1891156","19-1891156")</f>
        <v>0</v>
      </c>
      <c r="B4178" t="s">
        <v>12</v>
      </c>
      <c r="C4178" t="s">
        <v>13</v>
      </c>
      <c r="D4178" t="s">
        <v>14</v>
      </c>
      <c r="F4178" t="s">
        <v>17</v>
      </c>
      <c r="H4178" t="s">
        <v>20</v>
      </c>
    </row>
    <row r="4179" spans="1:8">
      <c r="A4179" s="1">
        <f>HYPERLINK("https://cms.ls-nyc.org/matter/dynamic-profile/view/1868150","18-1868150")</f>
        <v>0</v>
      </c>
      <c r="B4179" t="s">
        <v>12</v>
      </c>
      <c r="H4179" t="s">
        <v>19</v>
      </c>
    </row>
    <row r="4180" spans="1:8">
      <c r="A4180" s="1">
        <f>HYPERLINK("https://cms.ls-nyc.org/matter/dynamic-profile/view/1842817","17-1842817")</f>
        <v>0</v>
      </c>
      <c r="B4180" t="s">
        <v>11</v>
      </c>
      <c r="D4180" t="s">
        <v>15</v>
      </c>
      <c r="E4180" t="s">
        <v>16</v>
      </c>
      <c r="H4180" t="s">
        <v>20</v>
      </c>
    </row>
    <row r="4181" spans="1:8">
      <c r="A4181" s="1">
        <f>HYPERLINK("https://cms.ls-nyc.org/matter/dynamic-profile/view/1898792","19-1898792")</f>
        <v>0</v>
      </c>
      <c r="B4181" t="s">
        <v>11</v>
      </c>
      <c r="C4181" t="s">
        <v>13</v>
      </c>
      <c r="D4181" t="s">
        <v>14</v>
      </c>
      <c r="E4181" t="s">
        <v>16</v>
      </c>
      <c r="H4181" t="s">
        <v>20</v>
      </c>
    </row>
    <row r="4182" spans="1:8">
      <c r="A4182" s="1">
        <f>HYPERLINK("https://cms.ls-nyc.org/matter/dynamic-profile/view/1899854","19-1899854")</f>
        <v>0</v>
      </c>
      <c r="B4182" t="s">
        <v>10</v>
      </c>
      <c r="D4182" t="s">
        <v>14</v>
      </c>
      <c r="F4182" t="s">
        <v>17</v>
      </c>
      <c r="H4182" t="s">
        <v>20</v>
      </c>
    </row>
    <row r="4183" spans="1:8">
      <c r="A4183" s="1">
        <f>HYPERLINK("https://cms.ls-nyc.org/matter/dynamic-profile/view/0817600","16-0817600")</f>
        <v>0</v>
      </c>
      <c r="B4183" t="s">
        <v>9</v>
      </c>
      <c r="D4183" t="s">
        <v>15</v>
      </c>
      <c r="E4183" t="s">
        <v>16</v>
      </c>
      <c r="F4183" t="s">
        <v>17</v>
      </c>
      <c r="H4183" t="s">
        <v>20</v>
      </c>
    </row>
    <row r="4184" spans="1:8">
      <c r="A4184" s="1">
        <f>HYPERLINK("https://cms.ls-nyc.org/matter/dynamic-profile/view/1847305","17-1847305")</f>
        <v>0</v>
      </c>
      <c r="B4184" t="s">
        <v>10</v>
      </c>
      <c r="D4184" t="s">
        <v>15</v>
      </c>
      <c r="E4184" t="s">
        <v>16</v>
      </c>
      <c r="H4184" t="s">
        <v>20</v>
      </c>
    </row>
    <row r="4185" spans="1:8">
      <c r="A4185" s="1">
        <f>HYPERLINK("https://cms.ls-nyc.org/matter/dynamic-profile/view/1841125","17-1841125")</f>
        <v>0</v>
      </c>
      <c r="B4185" t="s">
        <v>10</v>
      </c>
      <c r="D4185" t="s">
        <v>15</v>
      </c>
      <c r="E4185" t="s">
        <v>16</v>
      </c>
      <c r="H4185" t="s">
        <v>20</v>
      </c>
    </row>
    <row r="4186" spans="1:8">
      <c r="A4186" s="1">
        <f>HYPERLINK("https://cms.ls-nyc.org/matter/dynamic-profile/view/1857053","18-1857053")</f>
        <v>0</v>
      </c>
      <c r="B4186" t="s">
        <v>10</v>
      </c>
      <c r="D4186" t="s">
        <v>15</v>
      </c>
      <c r="E4186" t="s">
        <v>16</v>
      </c>
      <c r="H4186" t="s">
        <v>20</v>
      </c>
    </row>
    <row r="4187" spans="1:8">
      <c r="A4187" s="1">
        <f>HYPERLINK("https://cms.ls-nyc.org/matter/dynamic-profile/view/1857538","18-1857538")</f>
        <v>0</v>
      </c>
      <c r="B4187" t="s">
        <v>10</v>
      </c>
      <c r="E4187" t="s">
        <v>16</v>
      </c>
      <c r="H4187" t="s">
        <v>20</v>
      </c>
    </row>
    <row r="4188" spans="1:8">
      <c r="A4188" s="1">
        <f>HYPERLINK("https://cms.ls-nyc.org/matter/dynamic-profile/view/1891891","19-1891891")</f>
        <v>0</v>
      </c>
      <c r="B4188" t="s">
        <v>9</v>
      </c>
      <c r="C4188" t="s">
        <v>13</v>
      </c>
      <c r="E4188" t="s">
        <v>16</v>
      </c>
      <c r="F4188" t="s">
        <v>17</v>
      </c>
      <c r="H4188" t="s">
        <v>20</v>
      </c>
    </row>
    <row r="4189" spans="1:8">
      <c r="A4189" s="1">
        <f>HYPERLINK("https://cms.ls-nyc.org/matter/dynamic-profile/view/1891899","19-1891899")</f>
        <v>0</v>
      </c>
      <c r="B4189" t="s">
        <v>9</v>
      </c>
      <c r="C4189" t="s">
        <v>13</v>
      </c>
      <c r="E4189" t="s">
        <v>16</v>
      </c>
      <c r="F4189" t="s">
        <v>17</v>
      </c>
      <c r="H4189" t="s">
        <v>20</v>
      </c>
    </row>
    <row r="4190" spans="1:8">
      <c r="A4190" s="1">
        <f>HYPERLINK("https://cms.ls-nyc.org/matter/dynamic-profile/view/1854707","17-1854707")</f>
        <v>0</v>
      </c>
      <c r="B4190" t="s">
        <v>10</v>
      </c>
      <c r="D4190" t="s">
        <v>15</v>
      </c>
      <c r="E4190" t="s">
        <v>16</v>
      </c>
      <c r="H4190" t="s">
        <v>20</v>
      </c>
    </row>
    <row r="4191" spans="1:8">
      <c r="A4191" s="1">
        <f>HYPERLINK("https://cms.ls-nyc.org/matter/dynamic-profile/view/1855081","18-1855081")</f>
        <v>0</v>
      </c>
      <c r="B4191" t="s">
        <v>10</v>
      </c>
      <c r="D4191" t="s">
        <v>15</v>
      </c>
      <c r="E4191" t="s">
        <v>16</v>
      </c>
      <c r="H4191" t="s">
        <v>20</v>
      </c>
    </row>
    <row r="4192" spans="1:8">
      <c r="A4192" s="1">
        <f>HYPERLINK("https://cms.ls-nyc.org/matter/dynamic-profile/view/1893400","19-1893400")</f>
        <v>0</v>
      </c>
      <c r="B4192" t="s">
        <v>12</v>
      </c>
      <c r="C4192" t="s">
        <v>13</v>
      </c>
      <c r="D4192" t="s">
        <v>14</v>
      </c>
      <c r="E4192" t="s">
        <v>16</v>
      </c>
      <c r="F4192" t="s">
        <v>17</v>
      </c>
      <c r="H4192" t="s">
        <v>20</v>
      </c>
    </row>
    <row r="4193" spans="1:8">
      <c r="A4193" s="1">
        <f>HYPERLINK("https://cms.ls-nyc.org/matter/dynamic-profile/view/1866427","18-1866427")</f>
        <v>0</v>
      </c>
      <c r="B4193" t="s">
        <v>12</v>
      </c>
      <c r="D4193" t="s">
        <v>15</v>
      </c>
      <c r="H4193" t="s">
        <v>20</v>
      </c>
    </row>
    <row r="4194" spans="1:8">
      <c r="A4194" s="1">
        <f>HYPERLINK("https://cms.ls-nyc.org/matter/dynamic-profile/view/1867296","18-1867296")</f>
        <v>0</v>
      </c>
      <c r="B4194" t="s">
        <v>9</v>
      </c>
      <c r="D4194" t="s">
        <v>15</v>
      </c>
      <c r="E4194" t="s">
        <v>16</v>
      </c>
      <c r="H4194" t="s">
        <v>20</v>
      </c>
    </row>
    <row r="4195" spans="1:8">
      <c r="A4195" s="1">
        <f>HYPERLINK("https://cms.ls-nyc.org/matter/dynamic-profile/view/1876809","18-1876809")</f>
        <v>0</v>
      </c>
      <c r="B4195" t="s">
        <v>10</v>
      </c>
      <c r="H4195" t="s">
        <v>19</v>
      </c>
    </row>
    <row r="4196" spans="1:8">
      <c r="A4196" s="1">
        <f>HYPERLINK("https://cms.ls-nyc.org/matter/dynamic-profile/view/1886106","18-1886106")</f>
        <v>0</v>
      </c>
      <c r="B4196" t="s">
        <v>10</v>
      </c>
      <c r="H4196" t="s">
        <v>19</v>
      </c>
    </row>
    <row r="4197" spans="1:8">
      <c r="A4197" s="1">
        <f>HYPERLINK("https://cms.ls-nyc.org/matter/dynamic-profile/view/1876807","18-1876807")</f>
        <v>0</v>
      </c>
      <c r="B4197" t="s">
        <v>10</v>
      </c>
      <c r="H4197" t="s">
        <v>19</v>
      </c>
    </row>
    <row r="4198" spans="1:8">
      <c r="A4198" s="1">
        <f>HYPERLINK("https://cms.ls-nyc.org/matter/dynamic-profile/view/1886623","18-1886623")</f>
        <v>0</v>
      </c>
      <c r="B4198" t="s">
        <v>10</v>
      </c>
      <c r="C4198" t="s">
        <v>13</v>
      </c>
      <c r="D4198" t="s">
        <v>14</v>
      </c>
      <c r="E4198" t="s">
        <v>16</v>
      </c>
      <c r="H4198" t="s">
        <v>20</v>
      </c>
    </row>
    <row r="4199" spans="1:8">
      <c r="A4199" s="1">
        <f>HYPERLINK("https://cms.ls-nyc.org/matter/dynamic-profile/view/1864960","18-1864960")</f>
        <v>0</v>
      </c>
      <c r="B4199" t="s">
        <v>12</v>
      </c>
      <c r="D4199" t="s">
        <v>15</v>
      </c>
      <c r="H4199" t="s">
        <v>20</v>
      </c>
    </row>
    <row r="4200" spans="1:8">
      <c r="A4200" s="1">
        <f>HYPERLINK("https://cms.ls-nyc.org/matter/dynamic-profile/view/1887817","19-1887817")</f>
        <v>0</v>
      </c>
      <c r="B4200" t="s">
        <v>9</v>
      </c>
      <c r="D4200" t="s">
        <v>15</v>
      </c>
      <c r="F4200" t="s">
        <v>17</v>
      </c>
      <c r="H4200" t="s">
        <v>20</v>
      </c>
    </row>
    <row r="4201" spans="1:8">
      <c r="A4201" s="1">
        <f>HYPERLINK("https://cms.ls-nyc.org/matter/dynamic-profile/view/1875686","18-1875686")</f>
        <v>0</v>
      </c>
      <c r="B4201" t="s">
        <v>9</v>
      </c>
      <c r="H4201" t="s">
        <v>19</v>
      </c>
    </row>
    <row r="4202" spans="1:8">
      <c r="A4202" s="1">
        <f>HYPERLINK("https://cms.ls-nyc.org/matter/dynamic-profile/view/1889983","19-1889983")</f>
        <v>0</v>
      </c>
      <c r="B4202" t="s">
        <v>10</v>
      </c>
      <c r="H4202" t="s">
        <v>19</v>
      </c>
    </row>
    <row r="4203" spans="1:8">
      <c r="A4203" s="1">
        <f>HYPERLINK("https://cms.ls-nyc.org/matter/dynamic-profile/view/1889981","19-1889981")</f>
        <v>0</v>
      </c>
      <c r="B4203" t="s">
        <v>10</v>
      </c>
      <c r="H4203" t="s">
        <v>19</v>
      </c>
    </row>
    <row r="4204" spans="1:8">
      <c r="A4204" s="1">
        <f>HYPERLINK("https://cms.ls-nyc.org/matter/dynamic-profile/view/0822363","16-0822363")</f>
        <v>0</v>
      </c>
      <c r="B4204" t="s">
        <v>10</v>
      </c>
      <c r="D4204" t="s">
        <v>15</v>
      </c>
      <c r="E4204" t="s">
        <v>16</v>
      </c>
      <c r="F4204" t="s">
        <v>17</v>
      </c>
      <c r="H4204" t="s">
        <v>20</v>
      </c>
    </row>
    <row r="4205" spans="1:8">
      <c r="A4205" s="1">
        <f>HYPERLINK("https://cms.ls-nyc.org/matter/dynamic-profile/view/1861144","18-1861144")</f>
        <v>0</v>
      </c>
      <c r="B4205" t="s">
        <v>10</v>
      </c>
      <c r="D4205" t="s">
        <v>15</v>
      </c>
      <c r="E4205" t="s">
        <v>16</v>
      </c>
      <c r="H4205" t="s">
        <v>20</v>
      </c>
    </row>
    <row r="4206" spans="1:8">
      <c r="A4206" s="1">
        <f>HYPERLINK("https://cms.ls-nyc.org/matter/dynamic-profile/view/1897609","19-1897609")</f>
        <v>0</v>
      </c>
      <c r="B4206" t="s">
        <v>9</v>
      </c>
      <c r="E4206" t="s">
        <v>16</v>
      </c>
      <c r="F4206" t="s">
        <v>17</v>
      </c>
      <c r="H4206" t="s">
        <v>20</v>
      </c>
    </row>
    <row r="4207" spans="1:8">
      <c r="A4207" s="1">
        <f>HYPERLINK("https://cms.ls-nyc.org/matter/dynamic-profile/view/1897614","19-1897614")</f>
        <v>0</v>
      </c>
      <c r="B4207" t="s">
        <v>9</v>
      </c>
      <c r="E4207" t="s">
        <v>16</v>
      </c>
      <c r="F4207" t="s">
        <v>17</v>
      </c>
      <c r="H4207" t="s">
        <v>20</v>
      </c>
    </row>
    <row r="4208" spans="1:8">
      <c r="A4208" s="1">
        <f>HYPERLINK("https://cms.ls-nyc.org/matter/dynamic-profile/view/1866220","18-1866220")</f>
        <v>0</v>
      </c>
      <c r="B4208" t="s">
        <v>9</v>
      </c>
      <c r="C4208" t="s">
        <v>13</v>
      </c>
      <c r="D4208" t="s">
        <v>14</v>
      </c>
      <c r="E4208" t="s">
        <v>16</v>
      </c>
      <c r="G4208" t="s">
        <v>18</v>
      </c>
      <c r="H4208" t="s">
        <v>20</v>
      </c>
    </row>
    <row r="4209" spans="1:8">
      <c r="A4209" s="1">
        <f>HYPERLINK("https://cms.ls-nyc.org/matter/dynamic-profile/view/1886038","18-1886038")</f>
        <v>0</v>
      </c>
      <c r="B4209" t="s">
        <v>10</v>
      </c>
      <c r="H4209" t="s">
        <v>19</v>
      </c>
    </row>
    <row r="4210" spans="1:8">
      <c r="A4210" s="1">
        <f>HYPERLINK("https://cms.ls-nyc.org/matter/dynamic-profile/view/1862822","18-1862822")</f>
        <v>0</v>
      </c>
      <c r="B4210" t="s">
        <v>10</v>
      </c>
      <c r="D4210" t="s">
        <v>15</v>
      </c>
      <c r="E4210" t="s">
        <v>16</v>
      </c>
      <c r="H4210" t="s">
        <v>20</v>
      </c>
    </row>
    <row r="4211" spans="1:8">
      <c r="A4211" s="1">
        <f>HYPERLINK("https://cms.ls-nyc.org/matter/dynamic-profile/view/1880536","18-1880536")</f>
        <v>0</v>
      </c>
      <c r="B4211" t="s">
        <v>10</v>
      </c>
      <c r="D4211" t="s">
        <v>14</v>
      </c>
      <c r="G4211" t="s">
        <v>18</v>
      </c>
      <c r="H4211" t="s">
        <v>20</v>
      </c>
    </row>
    <row r="4212" spans="1:8">
      <c r="A4212" s="1">
        <f>HYPERLINK("https://cms.ls-nyc.org/matter/dynamic-profile/view/1882809","18-1882809")</f>
        <v>0</v>
      </c>
      <c r="B4212" t="s">
        <v>10</v>
      </c>
      <c r="H4212" t="s">
        <v>19</v>
      </c>
    </row>
    <row r="4213" spans="1:8">
      <c r="A4213" s="1">
        <f>HYPERLINK("https://cms.ls-nyc.org/matter/dynamic-profile/view/0831895","17-0831895")</f>
        <v>0</v>
      </c>
      <c r="B4213" t="s">
        <v>9</v>
      </c>
      <c r="D4213" t="s">
        <v>14</v>
      </c>
      <c r="F4213" t="s">
        <v>17</v>
      </c>
      <c r="H4213" t="s">
        <v>20</v>
      </c>
    </row>
    <row r="4214" spans="1:8">
      <c r="A4214" s="1">
        <f>HYPERLINK("https://cms.ls-nyc.org/matter/dynamic-profile/view/0770683","15-0770683")</f>
        <v>0</v>
      </c>
      <c r="B4214" t="s">
        <v>9</v>
      </c>
      <c r="C4214" t="s">
        <v>13</v>
      </c>
      <c r="D4214" t="s">
        <v>15</v>
      </c>
      <c r="E4214" t="s">
        <v>16</v>
      </c>
      <c r="H4214" t="s">
        <v>20</v>
      </c>
    </row>
    <row r="4215" spans="1:8">
      <c r="A4215" s="1">
        <f>HYPERLINK("https://cms.ls-nyc.org/matter/dynamic-profile/view/0770683","15-0770683")</f>
        <v>0</v>
      </c>
      <c r="B4215" t="s">
        <v>9</v>
      </c>
      <c r="C4215" t="s">
        <v>13</v>
      </c>
      <c r="D4215" t="s">
        <v>15</v>
      </c>
      <c r="E4215" t="s">
        <v>16</v>
      </c>
      <c r="H4215" t="s">
        <v>20</v>
      </c>
    </row>
    <row r="4216" spans="1:8">
      <c r="A4216" s="1">
        <f>HYPERLINK("https://cms.ls-nyc.org/matter/dynamic-profile/view/1842621","17-1842621")</f>
        <v>0</v>
      </c>
      <c r="B4216" t="s">
        <v>12</v>
      </c>
      <c r="D4216" t="s">
        <v>15</v>
      </c>
      <c r="E4216" t="s">
        <v>16</v>
      </c>
      <c r="H4216" t="s">
        <v>20</v>
      </c>
    </row>
    <row r="4217" spans="1:8">
      <c r="A4217" s="1">
        <f>HYPERLINK("https://cms.ls-nyc.org/matter/dynamic-profile/view/0806846","16-0806846")</f>
        <v>0</v>
      </c>
      <c r="B4217" t="s">
        <v>10</v>
      </c>
      <c r="D4217" t="s">
        <v>15</v>
      </c>
      <c r="E4217" t="s">
        <v>16</v>
      </c>
      <c r="H4217" t="s">
        <v>20</v>
      </c>
    </row>
    <row r="4218" spans="1:8">
      <c r="A4218" s="1">
        <f>HYPERLINK("https://cms.ls-nyc.org/matter/dynamic-profile/view/0817070","16-0817070")</f>
        <v>0</v>
      </c>
      <c r="B4218" t="s">
        <v>10</v>
      </c>
      <c r="D4218" t="s">
        <v>15</v>
      </c>
      <c r="E4218" t="s">
        <v>16</v>
      </c>
      <c r="H4218" t="s">
        <v>20</v>
      </c>
    </row>
    <row r="4219" spans="1:8">
      <c r="A4219" s="1">
        <f>HYPERLINK("https://cms.ls-nyc.org/matter/dynamic-profile/view/0822162","16-0822162")</f>
        <v>0</v>
      </c>
      <c r="B4219" t="s">
        <v>10</v>
      </c>
      <c r="D4219" t="s">
        <v>15</v>
      </c>
      <c r="E4219" t="s">
        <v>16</v>
      </c>
      <c r="H4219" t="s">
        <v>20</v>
      </c>
    </row>
    <row r="4220" spans="1:8">
      <c r="A4220" s="1">
        <f>HYPERLINK("https://cms.ls-nyc.org/matter/dynamic-profile/view/0821978","16-0821978")</f>
        <v>0</v>
      </c>
      <c r="B4220" t="s">
        <v>9</v>
      </c>
      <c r="C4220" t="s">
        <v>13</v>
      </c>
      <c r="D4220" t="s">
        <v>14</v>
      </c>
      <c r="E4220" t="s">
        <v>16</v>
      </c>
      <c r="H4220" t="s">
        <v>20</v>
      </c>
    </row>
    <row r="4221" spans="1:8">
      <c r="A4221" s="1">
        <f>HYPERLINK("https://cms.ls-nyc.org/matter/dynamic-profile/view/1887825","19-1887825")</f>
        <v>0</v>
      </c>
      <c r="B4221" t="s">
        <v>9</v>
      </c>
      <c r="D4221" t="s">
        <v>15</v>
      </c>
      <c r="E4221" t="s">
        <v>16</v>
      </c>
      <c r="H4221" t="s">
        <v>20</v>
      </c>
    </row>
    <row r="4222" spans="1:8">
      <c r="A4222" s="1">
        <f>HYPERLINK("https://cms.ls-nyc.org/matter/dynamic-profile/view/1872021","18-1872021")</f>
        <v>0</v>
      </c>
      <c r="B4222" t="s">
        <v>9</v>
      </c>
      <c r="D4222" t="s">
        <v>15</v>
      </c>
      <c r="E4222" t="s">
        <v>16</v>
      </c>
      <c r="H4222" t="s">
        <v>20</v>
      </c>
    </row>
    <row r="4223" spans="1:8">
      <c r="A4223" s="1">
        <f>HYPERLINK("https://cms.ls-nyc.org/matter/dynamic-profile/view/1866724","18-1866724")</f>
        <v>0</v>
      </c>
      <c r="B4223" t="s">
        <v>9</v>
      </c>
      <c r="D4223" t="s">
        <v>15</v>
      </c>
      <c r="E4223" t="s">
        <v>16</v>
      </c>
      <c r="H4223" t="s">
        <v>20</v>
      </c>
    </row>
    <row r="4224" spans="1:8">
      <c r="A4224" s="1">
        <f>HYPERLINK("https://cms.ls-nyc.org/matter/dynamic-profile/view/0830295","17-0830295")</f>
        <v>0</v>
      </c>
      <c r="B4224" t="s">
        <v>9</v>
      </c>
      <c r="D4224" t="s">
        <v>15</v>
      </c>
      <c r="E4224" t="s">
        <v>16</v>
      </c>
      <c r="H4224" t="s">
        <v>20</v>
      </c>
    </row>
    <row r="4225" spans="1:8">
      <c r="A4225" s="1">
        <f>HYPERLINK("https://cms.ls-nyc.org/matter/dynamic-profile/view/1837782","17-1837782")</f>
        <v>0</v>
      </c>
      <c r="B4225" t="s">
        <v>12</v>
      </c>
      <c r="C4225" t="s">
        <v>13</v>
      </c>
      <c r="D4225" t="s">
        <v>15</v>
      </c>
      <c r="E4225" t="s">
        <v>16</v>
      </c>
      <c r="H4225" t="s">
        <v>20</v>
      </c>
    </row>
    <row r="4226" spans="1:8">
      <c r="A4226" s="1">
        <f>HYPERLINK("https://cms.ls-nyc.org/matter/dynamic-profile/view/1842873","17-1842873")</f>
        <v>0</v>
      </c>
      <c r="B4226" t="s">
        <v>11</v>
      </c>
      <c r="D4226" t="s">
        <v>15</v>
      </c>
      <c r="E4226" t="s">
        <v>16</v>
      </c>
      <c r="H4226" t="s">
        <v>20</v>
      </c>
    </row>
    <row r="4227" spans="1:8">
      <c r="A4227" s="1">
        <f>HYPERLINK("https://cms.ls-nyc.org/matter/dynamic-profile/view/1833181","17-1833181")</f>
        <v>0</v>
      </c>
      <c r="B4227" t="s">
        <v>12</v>
      </c>
      <c r="D4227" t="s">
        <v>15</v>
      </c>
      <c r="E4227" t="s">
        <v>16</v>
      </c>
      <c r="H4227" t="s">
        <v>20</v>
      </c>
    </row>
    <row r="4228" spans="1:8">
      <c r="A4228" s="1">
        <f>HYPERLINK("https://cms.ls-nyc.org/matter/dynamic-profile/view/1842396","17-1842396")</f>
        <v>0</v>
      </c>
      <c r="B4228" t="s">
        <v>12</v>
      </c>
      <c r="D4228" t="s">
        <v>15</v>
      </c>
      <c r="H4228" t="s">
        <v>20</v>
      </c>
    </row>
    <row r="4229" spans="1:8">
      <c r="A4229" s="1">
        <f>HYPERLINK("https://cms.ls-nyc.org/matter/dynamic-profile/view/0831265","17-0831265")</f>
        <v>0</v>
      </c>
      <c r="B4229" t="s">
        <v>12</v>
      </c>
      <c r="D4229" t="s">
        <v>15</v>
      </c>
      <c r="E4229" t="s">
        <v>16</v>
      </c>
      <c r="H4229" t="s">
        <v>20</v>
      </c>
    </row>
    <row r="4230" spans="1:8">
      <c r="A4230" s="1">
        <f>HYPERLINK("https://cms.ls-nyc.org/matter/dynamic-profile/view/1883006","18-1883006")</f>
        <v>0</v>
      </c>
      <c r="B4230" t="s">
        <v>9</v>
      </c>
      <c r="H4230" t="s">
        <v>19</v>
      </c>
    </row>
    <row r="4231" spans="1:8">
      <c r="A4231" s="1">
        <f>HYPERLINK("https://cms.ls-nyc.org/matter/dynamic-profile/view/1885631","18-1885631")</f>
        <v>0</v>
      </c>
      <c r="B4231" t="s">
        <v>10</v>
      </c>
      <c r="F4231" t="s">
        <v>17</v>
      </c>
      <c r="H4231" t="s">
        <v>20</v>
      </c>
    </row>
    <row r="4232" spans="1:8">
      <c r="A4232" s="1">
        <f>HYPERLINK("https://cms.ls-nyc.org/matter/dynamic-profile/view/1855025","18-1855025")</f>
        <v>0</v>
      </c>
      <c r="B4232" t="s">
        <v>12</v>
      </c>
      <c r="D4232" t="s">
        <v>15</v>
      </c>
      <c r="E4232" t="s">
        <v>16</v>
      </c>
      <c r="H4232" t="s">
        <v>20</v>
      </c>
    </row>
    <row r="4233" spans="1:8">
      <c r="A4233" s="1">
        <f>HYPERLINK("https://cms.ls-nyc.org/matter/dynamic-profile/view/0803176","16-0803176")</f>
        <v>0</v>
      </c>
      <c r="B4233" t="s">
        <v>10</v>
      </c>
      <c r="D4233" t="s">
        <v>15</v>
      </c>
      <c r="E4233" t="s">
        <v>16</v>
      </c>
      <c r="H4233" t="s">
        <v>20</v>
      </c>
    </row>
    <row r="4234" spans="1:8">
      <c r="A4234" s="1">
        <f>HYPERLINK("https://cms.ls-nyc.org/matter/dynamic-profile/view/1899657","19-1899657")</f>
        <v>0</v>
      </c>
      <c r="B4234" t="s">
        <v>9</v>
      </c>
      <c r="H4234" t="s">
        <v>19</v>
      </c>
    </row>
    <row r="4235" spans="1:8">
      <c r="A4235" s="1">
        <f>HYPERLINK("https://cms.ls-nyc.org/matter/dynamic-profile/view/0781238","15-0781238")</f>
        <v>0</v>
      </c>
      <c r="B4235" t="s">
        <v>10</v>
      </c>
      <c r="D4235" t="s">
        <v>15</v>
      </c>
      <c r="E4235" t="s">
        <v>16</v>
      </c>
      <c r="H4235" t="s">
        <v>20</v>
      </c>
    </row>
    <row r="4236" spans="1:8">
      <c r="A4236" s="1">
        <f>HYPERLINK("https://cms.ls-nyc.org/matter/dynamic-profile/view/1873585","18-1873585")</f>
        <v>0</v>
      </c>
      <c r="B4236" t="s">
        <v>12</v>
      </c>
      <c r="H4236" t="s">
        <v>19</v>
      </c>
    </row>
    <row r="4237" spans="1:8">
      <c r="A4237" s="1">
        <f>HYPERLINK("https://cms.ls-nyc.org/matter/dynamic-profile/view/1894918","19-1894918")</f>
        <v>0</v>
      </c>
      <c r="B4237" t="s">
        <v>9</v>
      </c>
      <c r="F4237" t="s">
        <v>17</v>
      </c>
      <c r="H4237" t="s">
        <v>20</v>
      </c>
    </row>
    <row r="4238" spans="1:8">
      <c r="A4238" s="1">
        <f>HYPERLINK("https://cms.ls-nyc.org/matter/dynamic-profile/view/1845634","17-1845634")</f>
        <v>0</v>
      </c>
      <c r="B4238" t="s">
        <v>9</v>
      </c>
      <c r="D4238" t="s">
        <v>15</v>
      </c>
      <c r="E4238" t="s">
        <v>16</v>
      </c>
      <c r="F4238" t="s">
        <v>17</v>
      </c>
      <c r="H4238" t="s">
        <v>20</v>
      </c>
    </row>
    <row r="4239" spans="1:8">
      <c r="A4239" s="1">
        <f>HYPERLINK("https://cms.ls-nyc.org/matter/dynamic-profile/view/1832972","17-1832972")</f>
        <v>0</v>
      </c>
      <c r="B4239" t="s">
        <v>9</v>
      </c>
      <c r="D4239" t="s">
        <v>14</v>
      </c>
      <c r="E4239" t="s">
        <v>16</v>
      </c>
      <c r="F4239" t="s">
        <v>17</v>
      </c>
      <c r="H4239" t="s">
        <v>20</v>
      </c>
    </row>
    <row r="4240" spans="1:8">
      <c r="A4240" s="1">
        <f>HYPERLINK("https://cms.ls-nyc.org/matter/dynamic-profile/view/1890995","19-1890995")</f>
        <v>0</v>
      </c>
      <c r="B4240" t="s">
        <v>10</v>
      </c>
      <c r="H4240" t="s">
        <v>19</v>
      </c>
    </row>
    <row r="4241" spans="1:8">
      <c r="A4241" s="1">
        <f>HYPERLINK("https://cms.ls-nyc.org/matter/dynamic-profile/view/1897205","19-1897205")</f>
        <v>0</v>
      </c>
      <c r="B4241" t="s">
        <v>9</v>
      </c>
      <c r="E4241" t="s">
        <v>16</v>
      </c>
      <c r="F4241" t="s">
        <v>17</v>
      </c>
      <c r="H4241" t="s">
        <v>20</v>
      </c>
    </row>
    <row r="4242" spans="1:8">
      <c r="A4242" s="1">
        <f>HYPERLINK("https://cms.ls-nyc.org/matter/dynamic-profile/view/1897206","19-1897206")</f>
        <v>0</v>
      </c>
      <c r="B4242" t="s">
        <v>9</v>
      </c>
      <c r="E4242" t="s">
        <v>16</v>
      </c>
      <c r="F4242" t="s">
        <v>17</v>
      </c>
      <c r="H4242" t="s">
        <v>20</v>
      </c>
    </row>
    <row r="4243" spans="1:8">
      <c r="A4243" s="1">
        <f>HYPERLINK("https://cms.ls-nyc.org/matter/dynamic-profile/view/0816846","16-0816846")</f>
        <v>0</v>
      </c>
      <c r="B4243" t="s">
        <v>10</v>
      </c>
      <c r="D4243" t="s">
        <v>15</v>
      </c>
      <c r="E4243" t="s">
        <v>16</v>
      </c>
      <c r="H4243" t="s">
        <v>20</v>
      </c>
    </row>
    <row r="4244" spans="1:8">
      <c r="A4244" s="1">
        <f>HYPERLINK("https://cms.ls-nyc.org/matter/dynamic-profile/view/1884544","18-1884544")</f>
        <v>0</v>
      </c>
      <c r="B4244" t="s">
        <v>9</v>
      </c>
      <c r="C4244" t="s">
        <v>13</v>
      </c>
      <c r="D4244" t="s">
        <v>14</v>
      </c>
      <c r="E4244" t="s">
        <v>16</v>
      </c>
      <c r="G4244" t="s">
        <v>18</v>
      </c>
      <c r="H4244" t="s">
        <v>20</v>
      </c>
    </row>
    <row r="4245" spans="1:8">
      <c r="A4245" s="1">
        <f>HYPERLINK("https://cms.ls-nyc.org/matter/dynamic-profile/view/1886133","18-1886133")</f>
        <v>0</v>
      </c>
      <c r="B4245" t="s">
        <v>10</v>
      </c>
      <c r="H4245" t="s">
        <v>19</v>
      </c>
    </row>
    <row r="4246" spans="1:8">
      <c r="A4246" s="1">
        <f>HYPERLINK("https://cms.ls-nyc.org/matter/dynamic-profile/view/1871307","18-1871307")</f>
        <v>0</v>
      </c>
      <c r="B4246" t="s">
        <v>10</v>
      </c>
      <c r="D4246" t="s">
        <v>15</v>
      </c>
      <c r="H4246" t="s">
        <v>20</v>
      </c>
    </row>
    <row r="4247" spans="1:8">
      <c r="A4247" s="1">
        <f>HYPERLINK("https://cms.ls-nyc.org/matter/dynamic-profile/view/1868228","18-1868228")</f>
        <v>0</v>
      </c>
      <c r="B4247" t="s">
        <v>10</v>
      </c>
      <c r="D4247" t="s">
        <v>15</v>
      </c>
      <c r="E4247" t="s">
        <v>16</v>
      </c>
      <c r="H4247" t="s">
        <v>20</v>
      </c>
    </row>
    <row r="4248" spans="1:8">
      <c r="A4248" s="1">
        <f>HYPERLINK("https://cms.ls-nyc.org/matter/dynamic-profile/view/1897404","19-1897404")</f>
        <v>0</v>
      </c>
      <c r="B4248" t="s">
        <v>9</v>
      </c>
      <c r="E4248" t="s">
        <v>16</v>
      </c>
      <c r="F4248" t="s">
        <v>17</v>
      </c>
      <c r="H4248" t="s">
        <v>20</v>
      </c>
    </row>
    <row r="4249" spans="1:8">
      <c r="A4249" s="1">
        <f>HYPERLINK("https://cms.ls-nyc.org/matter/dynamic-profile/view/1897534","19-1897534")</f>
        <v>0</v>
      </c>
      <c r="B4249" t="s">
        <v>9</v>
      </c>
      <c r="E4249" t="s">
        <v>16</v>
      </c>
      <c r="F4249" t="s">
        <v>17</v>
      </c>
      <c r="H4249" t="s">
        <v>20</v>
      </c>
    </row>
    <row r="4250" spans="1:8">
      <c r="A4250" s="1">
        <f>HYPERLINK("https://cms.ls-nyc.org/matter/dynamic-profile/view/1898966","19-1898966")</f>
        <v>0</v>
      </c>
      <c r="B4250" t="s">
        <v>9</v>
      </c>
      <c r="E4250" t="s">
        <v>16</v>
      </c>
      <c r="F4250" t="s">
        <v>17</v>
      </c>
      <c r="H4250" t="s">
        <v>20</v>
      </c>
    </row>
    <row r="4251" spans="1:8">
      <c r="A4251" s="1">
        <f>HYPERLINK("https://cms.ls-nyc.org/matter/dynamic-profile/view/1897535","19-1897535")</f>
        <v>0</v>
      </c>
      <c r="B4251" t="s">
        <v>9</v>
      </c>
      <c r="E4251" t="s">
        <v>16</v>
      </c>
      <c r="F4251" t="s">
        <v>17</v>
      </c>
      <c r="H4251" t="s">
        <v>20</v>
      </c>
    </row>
    <row r="4252" spans="1:8">
      <c r="A4252" s="1">
        <f>HYPERLINK("https://cms.ls-nyc.org/matter/dynamic-profile/view/1898972","19-1898972")</f>
        <v>0</v>
      </c>
      <c r="B4252" t="s">
        <v>9</v>
      </c>
      <c r="E4252" t="s">
        <v>16</v>
      </c>
      <c r="F4252" t="s">
        <v>17</v>
      </c>
      <c r="H4252" t="s">
        <v>20</v>
      </c>
    </row>
    <row r="4253" spans="1:8">
      <c r="A4253" s="1">
        <f>HYPERLINK("https://cms.ls-nyc.org/matter/dynamic-profile/view/1897406","19-1897406")</f>
        <v>0</v>
      </c>
      <c r="B4253" t="s">
        <v>9</v>
      </c>
      <c r="E4253" t="s">
        <v>16</v>
      </c>
      <c r="F4253" t="s">
        <v>17</v>
      </c>
      <c r="H4253" t="s">
        <v>20</v>
      </c>
    </row>
    <row r="4254" spans="1:8">
      <c r="A4254" s="1">
        <f>HYPERLINK("https://cms.ls-nyc.org/matter/dynamic-profile/view/1859672","18-1859672")</f>
        <v>0</v>
      </c>
      <c r="B4254" t="s">
        <v>10</v>
      </c>
      <c r="D4254" t="s">
        <v>15</v>
      </c>
      <c r="E4254" t="s">
        <v>16</v>
      </c>
      <c r="H4254" t="s">
        <v>20</v>
      </c>
    </row>
    <row r="4255" spans="1:8">
      <c r="A4255" s="1">
        <f>HYPERLINK("https://cms.ls-nyc.org/matter/dynamic-profile/view/1856001","18-1856001")</f>
        <v>0</v>
      </c>
      <c r="B4255" t="s">
        <v>9</v>
      </c>
      <c r="D4255" t="s">
        <v>15</v>
      </c>
      <c r="E4255" t="s">
        <v>16</v>
      </c>
      <c r="H4255" t="s">
        <v>20</v>
      </c>
    </row>
    <row r="4256" spans="1:8">
      <c r="A4256" s="1">
        <f>HYPERLINK("https://cms.ls-nyc.org/matter/dynamic-profile/view/1860943","18-1860943")</f>
        <v>0</v>
      </c>
      <c r="B4256" t="s">
        <v>9</v>
      </c>
      <c r="D4256" t="s">
        <v>15</v>
      </c>
      <c r="E4256" t="s">
        <v>16</v>
      </c>
      <c r="H4256" t="s">
        <v>20</v>
      </c>
    </row>
    <row r="4257" spans="1:8">
      <c r="A4257" s="1">
        <f>HYPERLINK("https://cms.ls-nyc.org/matter/dynamic-profile/view/1862655","18-1862655")</f>
        <v>0</v>
      </c>
      <c r="B4257" t="s">
        <v>9</v>
      </c>
      <c r="D4257" t="s">
        <v>15</v>
      </c>
      <c r="E4257" t="s">
        <v>16</v>
      </c>
      <c r="H4257" t="s">
        <v>20</v>
      </c>
    </row>
    <row r="4258" spans="1:8">
      <c r="A4258" s="1">
        <f>HYPERLINK("https://cms.ls-nyc.org/matter/dynamic-profile/view/1838983","17-1838983")</f>
        <v>0</v>
      </c>
      <c r="B4258" t="s">
        <v>10</v>
      </c>
      <c r="D4258" t="s">
        <v>15</v>
      </c>
      <c r="E4258" t="s">
        <v>16</v>
      </c>
      <c r="H4258" t="s">
        <v>20</v>
      </c>
    </row>
    <row r="4259" spans="1:8">
      <c r="A4259" s="1">
        <f>HYPERLINK("https://cms.ls-nyc.org/matter/dynamic-profile/view/0830063","17-0830063")</f>
        <v>0</v>
      </c>
      <c r="B4259" t="s">
        <v>10</v>
      </c>
      <c r="D4259" t="s">
        <v>15</v>
      </c>
      <c r="E4259" t="s">
        <v>16</v>
      </c>
      <c r="H4259" t="s">
        <v>20</v>
      </c>
    </row>
    <row r="4260" spans="1:8">
      <c r="A4260" s="1">
        <f>HYPERLINK("https://cms.ls-nyc.org/matter/dynamic-profile/view/0830595","17-0830595")</f>
        <v>0</v>
      </c>
      <c r="B4260" t="s">
        <v>10</v>
      </c>
      <c r="D4260" t="s">
        <v>15</v>
      </c>
      <c r="E4260" t="s">
        <v>16</v>
      </c>
      <c r="F4260" t="s">
        <v>17</v>
      </c>
      <c r="H4260" t="s">
        <v>20</v>
      </c>
    </row>
    <row r="4261" spans="1:8">
      <c r="A4261" s="1">
        <f>HYPERLINK("https://cms.ls-nyc.org/matter/dynamic-profile/view/0830060","17-0830060")</f>
        <v>0</v>
      </c>
      <c r="B4261" t="s">
        <v>10</v>
      </c>
      <c r="D4261" t="s">
        <v>15</v>
      </c>
      <c r="E4261" t="s">
        <v>16</v>
      </c>
      <c r="H4261" t="s">
        <v>20</v>
      </c>
    </row>
    <row r="4262" spans="1:8">
      <c r="A4262" s="1">
        <f>HYPERLINK("https://cms.ls-nyc.org/matter/dynamic-profile/view/1895326","19-1895326")</f>
        <v>0</v>
      </c>
      <c r="B4262" t="s">
        <v>9</v>
      </c>
      <c r="C4262" t="s">
        <v>13</v>
      </c>
      <c r="E4262" t="s">
        <v>16</v>
      </c>
      <c r="H4262" t="s">
        <v>20</v>
      </c>
    </row>
    <row r="4263" spans="1:8">
      <c r="A4263" s="1">
        <f>HYPERLINK("https://cms.ls-nyc.org/matter/dynamic-profile/view/1846958","17-1846958")</f>
        <v>0</v>
      </c>
      <c r="B4263" t="s">
        <v>10</v>
      </c>
      <c r="D4263" t="s">
        <v>15</v>
      </c>
      <c r="E4263" t="s">
        <v>16</v>
      </c>
      <c r="H4263" t="s">
        <v>20</v>
      </c>
    </row>
    <row r="4264" spans="1:8">
      <c r="A4264" s="1">
        <f>HYPERLINK("https://cms.ls-nyc.org/matter/dynamic-profile/view/1839686","17-1839686")</f>
        <v>0</v>
      </c>
      <c r="B4264" t="s">
        <v>10</v>
      </c>
      <c r="D4264" t="s">
        <v>15</v>
      </c>
      <c r="E4264" t="s">
        <v>16</v>
      </c>
      <c r="H4264" t="s">
        <v>20</v>
      </c>
    </row>
    <row r="4265" spans="1:8">
      <c r="A4265" s="1">
        <f>HYPERLINK("https://cms.ls-nyc.org/matter/dynamic-profile/view/1841135","17-1841135")</f>
        <v>0</v>
      </c>
      <c r="B4265" t="s">
        <v>10</v>
      </c>
      <c r="D4265" t="s">
        <v>15</v>
      </c>
      <c r="E4265" t="s">
        <v>16</v>
      </c>
      <c r="H4265" t="s">
        <v>20</v>
      </c>
    </row>
    <row r="4266" spans="1:8">
      <c r="A4266" s="1">
        <f>HYPERLINK("https://cms.ls-nyc.org/matter/dynamic-profile/view/1857438","18-1857438")</f>
        <v>0</v>
      </c>
      <c r="B4266" t="s">
        <v>10</v>
      </c>
      <c r="D4266" t="s">
        <v>15</v>
      </c>
      <c r="E4266" t="s">
        <v>16</v>
      </c>
      <c r="H4266" t="s">
        <v>20</v>
      </c>
    </row>
    <row r="4267" spans="1:8">
      <c r="A4267" s="1">
        <f>HYPERLINK("https://cms.ls-nyc.org/matter/dynamic-profile/view/1867589","18-1867589")</f>
        <v>0</v>
      </c>
      <c r="B4267" t="s">
        <v>10</v>
      </c>
      <c r="D4267" t="s">
        <v>15</v>
      </c>
      <c r="H4267" t="s">
        <v>20</v>
      </c>
    </row>
    <row r="4268" spans="1:8">
      <c r="A4268" s="1">
        <f>HYPERLINK("https://cms.ls-nyc.org/matter/dynamic-profile/view/0826976","17-0826976")</f>
        <v>0</v>
      </c>
      <c r="B4268" t="s">
        <v>12</v>
      </c>
      <c r="D4268" t="s">
        <v>15</v>
      </c>
      <c r="E4268" t="s">
        <v>16</v>
      </c>
      <c r="H4268" t="s">
        <v>20</v>
      </c>
    </row>
    <row r="4269" spans="1:8">
      <c r="A4269" s="1">
        <f>HYPERLINK("https://cms.ls-nyc.org/matter/dynamic-profile/view/1897345","19-1897345")</f>
        <v>0</v>
      </c>
      <c r="B4269" t="s">
        <v>9</v>
      </c>
      <c r="E4269" t="s">
        <v>16</v>
      </c>
      <c r="F4269" t="s">
        <v>17</v>
      </c>
      <c r="H4269" t="s">
        <v>20</v>
      </c>
    </row>
    <row r="4270" spans="1:8">
      <c r="A4270" s="1">
        <f>HYPERLINK("https://cms.ls-nyc.org/matter/dynamic-profile/view/1897349","19-1897349")</f>
        <v>0</v>
      </c>
      <c r="B4270" t="s">
        <v>9</v>
      </c>
      <c r="E4270" t="s">
        <v>16</v>
      </c>
      <c r="F4270" t="s">
        <v>17</v>
      </c>
      <c r="H4270" t="s">
        <v>20</v>
      </c>
    </row>
    <row r="4271" spans="1:8">
      <c r="A4271" s="1">
        <f>HYPERLINK("https://cms.ls-nyc.org/matter/dynamic-profile/view/1891244","19-1891244")</f>
        <v>0</v>
      </c>
      <c r="B4271" t="s">
        <v>10</v>
      </c>
      <c r="H4271" t="s">
        <v>19</v>
      </c>
    </row>
    <row r="4272" spans="1:8">
      <c r="A4272" s="1">
        <f>HYPERLINK("https://cms.ls-nyc.org/matter/dynamic-profile/view/1889324","19-1889324")</f>
        <v>0</v>
      </c>
      <c r="B4272" t="s">
        <v>12</v>
      </c>
      <c r="H4272" t="s">
        <v>19</v>
      </c>
    </row>
    <row r="4273" spans="1:8">
      <c r="A4273" s="1">
        <f>HYPERLINK("https://cms.ls-nyc.org/matter/dynamic-profile/view/1897868","19-1897868")</f>
        <v>0</v>
      </c>
      <c r="B4273" t="s">
        <v>11</v>
      </c>
      <c r="C4273" t="s">
        <v>13</v>
      </c>
      <c r="D4273" t="s">
        <v>14</v>
      </c>
      <c r="E4273" t="s">
        <v>16</v>
      </c>
      <c r="F4273" t="s">
        <v>17</v>
      </c>
      <c r="G4273" t="s">
        <v>18</v>
      </c>
      <c r="H4273" t="s">
        <v>20</v>
      </c>
    </row>
    <row r="4274" spans="1:8">
      <c r="A4274" s="1">
        <f>HYPERLINK("https://cms.ls-nyc.org/matter/dynamic-profile/view/1900296","19-1900296")</f>
        <v>0</v>
      </c>
      <c r="B4274" t="s">
        <v>9</v>
      </c>
      <c r="C4274" t="s">
        <v>13</v>
      </c>
      <c r="D4274" t="s">
        <v>14</v>
      </c>
      <c r="E4274" t="s">
        <v>16</v>
      </c>
      <c r="G4274" t="s">
        <v>18</v>
      </c>
      <c r="H4274" t="s">
        <v>20</v>
      </c>
    </row>
    <row r="4275" spans="1:8">
      <c r="A4275" s="1">
        <f>HYPERLINK("https://cms.ls-nyc.org/matter/dynamic-profile/view/0826261","17-0826261")</f>
        <v>0</v>
      </c>
      <c r="B4275" t="s">
        <v>12</v>
      </c>
      <c r="D4275" t="s">
        <v>15</v>
      </c>
      <c r="E4275" t="s">
        <v>16</v>
      </c>
      <c r="H4275" t="s">
        <v>20</v>
      </c>
    </row>
    <row r="4276" spans="1:8">
      <c r="A4276" s="1">
        <f>HYPERLINK("https://cms.ls-nyc.org/matter/dynamic-profile/view/0809813","16-0809813")</f>
        <v>0</v>
      </c>
      <c r="B4276" t="s">
        <v>9</v>
      </c>
      <c r="D4276" t="s">
        <v>15</v>
      </c>
      <c r="E4276" t="s">
        <v>16</v>
      </c>
      <c r="H4276" t="s">
        <v>20</v>
      </c>
    </row>
    <row r="4277" spans="1:8">
      <c r="A4277" s="1">
        <f>HYPERLINK("https://cms.ls-nyc.org/matter/dynamic-profile/view/1878069","18-1878069")</f>
        <v>0</v>
      </c>
      <c r="B4277" t="s">
        <v>9</v>
      </c>
      <c r="H4277" t="s">
        <v>19</v>
      </c>
    </row>
    <row r="4278" spans="1:8">
      <c r="A4278" s="1">
        <f>HYPERLINK("https://cms.ls-nyc.org/matter/dynamic-profile/view/1899122","19-1899122")</f>
        <v>0</v>
      </c>
      <c r="B4278" t="s">
        <v>10</v>
      </c>
      <c r="H4278" t="s">
        <v>19</v>
      </c>
    </row>
    <row r="4279" spans="1:8">
      <c r="A4279" s="1">
        <f>HYPERLINK("https://cms.ls-nyc.org/matter/dynamic-profile/view/1896439","19-1896439")</f>
        <v>0</v>
      </c>
      <c r="B4279" t="s">
        <v>12</v>
      </c>
      <c r="H4279" t="s">
        <v>19</v>
      </c>
    </row>
    <row r="4280" spans="1:8">
      <c r="A4280" s="1">
        <f>HYPERLINK("https://cms.ls-nyc.org/matter/dynamic-profile/view/1891580","19-1891580")</f>
        <v>0</v>
      </c>
      <c r="B4280" t="s">
        <v>9</v>
      </c>
      <c r="E4280" t="s">
        <v>16</v>
      </c>
      <c r="F4280" t="s">
        <v>17</v>
      </c>
      <c r="H4280" t="s">
        <v>20</v>
      </c>
    </row>
    <row r="4281" spans="1:8">
      <c r="A4281" s="1">
        <f>HYPERLINK("https://cms.ls-nyc.org/matter/dynamic-profile/view/1891583","19-1891583")</f>
        <v>0</v>
      </c>
      <c r="B4281" t="s">
        <v>9</v>
      </c>
      <c r="E4281" t="s">
        <v>16</v>
      </c>
      <c r="F4281" t="s">
        <v>17</v>
      </c>
      <c r="H4281" t="s">
        <v>20</v>
      </c>
    </row>
    <row r="4282" spans="1:8">
      <c r="A4282" s="1">
        <f>HYPERLINK("https://cms.ls-nyc.org/matter/dynamic-profile/view/1857032","18-1857032")</f>
        <v>0</v>
      </c>
      <c r="B4282" t="s">
        <v>10</v>
      </c>
      <c r="C4282" t="s">
        <v>13</v>
      </c>
      <c r="D4282" t="s">
        <v>14</v>
      </c>
      <c r="E4282" t="s">
        <v>16</v>
      </c>
      <c r="H4282" t="s">
        <v>20</v>
      </c>
    </row>
    <row r="4283" spans="1:8">
      <c r="A4283" s="1">
        <f>HYPERLINK("https://cms.ls-nyc.org/matter/dynamic-profile/view/1857478","18-1857478")</f>
        <v>0</v>
      </c>
      <c r="B4283" t="s">
        <v>10</v>
      </c>
      <c r="C4283" t="s">
        <v>13</v>
      </c>
      <c r="D4283" t="s">
        <v>14</v>
      </c>
      <c r="E4283" t="s">
        <v>16</v>
      </c>
      <c r="H4283" t="s">
        <v>20</v>
      </c>
    </row>
    <row r="4284" spans="1:8">
      <c r="A4284" s="1">
        <f>HYPERLINK("https://cms.ls-nyc.org/matter/dynamic-profile/view/1897696","19-1897696")</f>
        <v>0</v>
      </c>
      <c r="B4284" t="s">
        <v>12</v>
      </c>
      <c r="F4284" t="s">
        <v>17</v>
      </c>
      <c r="H4284" t="s">
        <v>20</v>
      </c>
    </row>
    <row r="4285" spans="1:8">
      <c r="A4285" s="1">
        <f>HYPERLINK("https://cms.ls-nyc.org/matter/dynamic-profile/view/1889297","19-1889297")</f>
        <v>0</v>
      </c>
      <c r="B4285" t="s">
        <v>12</v>
      </c>
      <c r="H4285" t="s">
        <v>19</v>
      </c>
    </row>
    <row r="4286" spans="1:8">
      <c r="A4286" s="1">
        <f>HYPERLINK("https://cms.ls-nyc.org/matter/dynamic-profile/view/1864498","18-1864498")</f>
        <v>0</v>
      </c>
      <c r="B4286" t="s">
        <v>12</v>
      </c>
      <c r="D4286" t="s">
        <v>15</v>
      </c>
      <c r="H4286" t="s">
        <v>20</v>
      </c>
    </row>
    <row r="4287" spans="1:8">
      <c r="A4287" s="1">
        <f>HYPERLINK("https://cms.ls-nyc.org/matter/dynamic-profile/view/1898243","19-1898243")</f>
        <v>0</v>
      </c>
      <c r="B4287" t="s">
        <v>9</v>
      </c>
      <c r="E4287" t="s">
        <v>16</v>
      </c>
      <c r="F4287" t="s">
        <v>17</v>
      </c>
      <c r="H4287" t="s">
        <v>20</v>
      </c>
    </row>
    <row r="4288" spans="1:8">
      <c r="A4288" s="1">
        <f>HYPERLINK("https://cms.ls-nyc.org/matter/dynamic-profile/view/1898244","19-1898244")</f>
        <v>0</v>
      </c>
      <c r="B4288" t="s">
        <v>9</v>
      </c>
      <c r="E4288" t="s">
        <v>16</v>
      </c>
      <c r="F4288" t="s">
        <v>17</v>
      </c>
      <c r="H4288" t="s">
        <v>20</v>
      </c>
    </row>
    <row r="4289" spans="1:8">
      <c r="A4289" s="1">
        <f>HYPERLINK("https://cms.ls-nyc.org/matter/dynamic-profile/view/1894029","19-1894029")</f>
        <v>0</v>
      </c>
      <c r="B4289" t="s">
        <v>9</v>
      </c>
      <c r="H4289" t="s">
        <v>19</v>
      </c>
    </row>
    <row r="4290" spans="1:8">
      <c r="A4290" s="1">
        <f>HYPERLINK("https://cms.ls-nyc.org/matter/dynamic-profile/view/1898606","19-1898606")</f>
        <v>0</v>
      </c>
      <c r="B4290" t="s">
        <v>12</v>
      </c>
      <c r="H4290" t="s">
        <v>19</v>
      </c>
    </row>
    <row r="4291" spans="1:8">
      <c r="A4291" s="1">
        <f>HYPERLINK("https://cms.ls-nyc.org/matter/dynamic-profile/view/1879059","18-1879059")</f>
        <v>0</v>
      </c>
      <c r="B4291" t="s">
        <v>9</v>
      </c>
      <c r="H4291" t="s">
        <v>19</v>
      </c>
    </row>
    <row r="4292" spans="1:8">
      <c r="A4292" s="1">
        <f>HYPERLINK("https://cms.ls-nyc.org/matter/dynamic-profile/view/1879060","18-1879060")</f>
        <v>0</v>
      </c>
      <c r="B4292" t="s">
        <v>9</v>
      </c>
      <c r="H4292" t="s">
        <v>19</v>
      </c>
    </row>
    <row r="4293" spans="1:8">
      <c r="A4293" s="1">
        <f>HYPERLINK("https://cms.ls-nyc.org/matter/dynamic-profile/view/1901027","19-1901027")</f>
        <v>0</v>
      </c>
      <c r="B4293" t="s">
        <v>10</v>
      </c>
      <c r="D4293" t="s">
        <v>14</v>
      </c>
      <c r="E4293" t="s">
        <v>16</v>
      </c>
      <c r="H4293" t="s">
        <v>20</v>
      </c>
    </row>
    <row r="4294" spans="1:8">
      <c r="A4294" s="1">
        <f>HYPERLINK("https://cms.ls-nyc.org/matter/dynamic-profile/view/1901171","19-1901171")</f>
        <v>0</v>
      </c>
      <c r="B4294" t="s">
        <v>12</v>
      </c>
      <c r="H4294" t="s">
        <v>19</v>
      </c>
    </row>
    <row r="4295" spans="1:8">
      <c r="A4295" s="1">
        <f>HYPERLINK("https://cms.ls-nyc.org/matter/dynamic-profile/view/1862878","18-1862878")</f>
        <v>0</v>
      </c>
      <c r="B4295" t="s">
        <v>8</v>
      </c>
      <c r="D4295" t="s">
        <v>15</v>
      </c>
      <c r="E4295" t="s">
        <v>16</v>
      </c>
      <c r="H4295" t="s">
        <v>20</v>
      </c>
    </row>
    <row r="4296" spans="1:8">
      <c r="A4296" s="1">
        <f>HYPERLINK("https://cms.ls-nyc.org/matter/dynamic-profile/view/1886811","19-1886811")</f>
        <v>0</v>
      </c>
      <c r="B4296" t="s">
        <v>11</v>
      </c>
      <c r="H4296" t="s">
        <v>19</v>
      </c>
    </row>
    <row r="4297" spans="1:8">
      <c r="A4297" s="1">
        <f>HYPERLINK("https://cms.ls-nyc.org/matter/dynamic-profile/view/1847509","17-1847509")</f>
        <v>0</v>
      </c>
      <c r="B4297" t="s">
        <v>12</v>
      </c>
      <c r="D4297" t="s">
        <v>15</v>
      </c>
      <c r="E4297" t="s">
        <v>16</v>
      </c>
      <c r="H4297" t="s">
        <v>20</v>
      </c>
    </row>
    <row r="4298" spans="1:8">
      <c r="A4298" s="1">
        <f>HYPERLINK("https://cms.ls-nyc.org/matter/dynamic-profile/view/0831083","17-0831083")</f>
        <v>0</v>
      </c>
      <c r="B4298" t="s">
        <v>12</v>
      </c>
      <c r="D4298" t="s">
        <v>15</v>
      </c>
      <c r="E4298" t="s">
        <v>16</v>
      </c>
      <c r="H4298" t="s">
        <v>20</v>
      </c>
    </row>
    <row r="4299" spans="1:8">
      <c r="A4299" s="1">
        <f>HYPERLINK("https://cms.ls-nyc.org/matter/dynamic-profile/view/0831091","17-0831091")</f>
        <v>0</v>
      </c>
      <c r="B4299" t="s">
        <v>12</v>
      </c>
      <c r="D4299" t="s">
        <v>15</v>
      </c>
      <c r="E4299" t="s">
        <v>16</v>
      </c>
      <c r="H4299" t="s">
        <v>20</v>
      </c>
    </row>
    <row r="4300" spans="1:8">
      <c r="A4300" s="1">
        <f>HYPERLINK("https://cms.ls-nyc.org/matter/dynamic-profile/view/0830813","17-0830813")</f>
        <v>0</v>
      </c>
      <c r="B4300" t="s">
        <v>12</v>
      </c>
      <c r="C4300" t="s">
        <v>13</v>
      </c>
      <c r="D4300" t="s">
        <v>15</v>
      </c>
      <c r="E4300" t="s">
        <v>16</v>
      </c>
      <c r="H4300" t="s">
        <v>20</v>
      </c>
    </row>
    <row r="4301" spans="1:8">
      <c r="A4301" s="1">
        <f>HYPERLINK("https://cms.ls-nyc.org/matter/dynamic-profile/view/1871539","18-1871539")</f>
        <v>0</v>
      </c>
      <c r="B4301" t="s">
        <v>9</v>
      </c>
      <c r="D4301" t="s">
        <v>15</v>
      </c>
      <c r="H4301" t="s">
        <v>20</v>
      </c>
    </row>
    <row r="4302" spans="1:8">
      <c r="A4302" s="1">
        <f>HYPERLINK("https://cms.ls-nyc.org/matter/dynamic-profile/view/1884394","18-1884394")</f>
        <v>0</v>
      </c>
      <c r="B4302" t="s">
        <v>12</v>
      </c>
      <c r="D4302" t="s">
        <v>14</v>
      </c>
      <c r="H4302" t="s">
        <v>20</v>
      </c>
    </row>
    <row r="4303" spans="1:8">
      <c r="A4303" s="1">
        <f>HYPERLINK("https://cms.ls-nyc.org/matter/dynamic-profile/view/1897595","19-1897595")</f>
        <v>0</v>
      </c>
      <c r="B4303" t="s">
        <v>8</v>
      </c>
      <c r="D4303" t="s">
        <v>14</v>
      </c>
      <c r="H4303" t="s">
        <v>20</v>
      </c>
    </row>
    <row r="4304" spans="1:8">
      <c r="A4304" s="1">
        <f>HYPERLINK("https://cms.ls-nyc.org/matter/dynamic-profile/view/1896786","19-1896786")</f>
        <v>0</v>
      </c>
      <c r="B4304" t="s">
        <v>11</v>
      </c>
      <c r="C4304" t="s">
        <v>13</v>
      </c>
      <c r="D4304" t="s">
        <v>14</v>
      </c>
      <c r="E4304" t="s">
        <v>16</v>
      </c>
      <c r="G4304" t="s">
        <v>18</v>
      </c>
      <c r="H4304" t="s">
        <v>20</v>
      </c>
    </row>
    <row r="4305" spans="1:8">
      <c r="A4305" s="1">
        <f>HYPERLINK("https://cms.ls-nyc.org/matter/dynamic-profile/view/1883427","18-1883427")</f>
        <v>0</v>
      </c>
      <c r="B4305" t="s">
        <v>10</v>
      </c>
      <c r="H4305" t="s">
        <v>19</v>
      </c>
    </row>
    <row r="4306" spans="1:8">
      <c r="A4306" s="1">
        <f>HYPERLINK("https://cms.ls-nyc.org/matter/dynamic-profile/view/1894926","19-1894926")</f>
        <v>0</v>
      </c>
      <c r="B4306" t="s">
        <v>11</v>
      </c>
      <c r="H4306" t="s">
        <v>19</v>
      </c>
    </row>
    <row r="4307" spans="1:8">
      <c r="A4307" s="1">
        <f>HYPERLINK("https://cms.ls-nyc.org/matter/dynamic-profile/view/1900083","19-1900083")</f>
        <v>0</v>
      </c>
      <c r="B4307" t="s">
        <v>10</v>
      </c>
      <c r="C4307" t="s">
        <v>13</v>
      </c>
      <c r="D4307" t="s">
        <v>14</v>
      </c>
      <c r="E4307" t="s">
        <v>16</v>
      </c>
      <c r="H4307" t="s">
        <v>20</v>
      </c>
    </row>
    <row r="4308" spans="1:8">
      <c r="A4308" s="1">
        <f>HYPERLINK("https://cms.ls-nyc.org/matter/dynamic-profile/view/1891284","19-1891284")</f>
        <v>0</v>
      </c>
      <c r="B4308" t="s">
        <v>9</v>
      </c>
      <c r="F4308" t="s">
        <v>17</v>
      </c>
      <c r="H4308" t="s">
        <v>20</v>
      </c>
    </row>
    <row r="4309" spans="1:8">
      <c r="A4309" s="1">
        <f>HYPERLINK("https://cms.ls-nyc.org/matter/dynamic-profile/view/0789070","15-0789070")</f>
        <v>0</v>
      </c>
      <c r="B4309" t="s">
        <v>10</v>
      </c>
      <c r="C4309" t="s">
        <v>13</v>
      </c>
      <c r="D4309" t="s">
        <v>14</v>
      </c>
      <c r="E4309" t="s">
        <v>16</v>
      </c>
      <c r="H4309" t="s">
        <v>20</v>
      </c>
    </row>
    <row r="4310" spans="1:8">
      <c r="A4310" s="1">
        <f>HYPERLINK("https://cms.ls-nyc.org/matter/dynamic-profile/view/1862663","18-1862663")</f>
        <v>0</v>
      </c>
      <c r="B4310" t="s">
        <v>9</v>
      </c>
      <c r="C4310" t="s">
        <v>13</v>
      </c>
      <c r="D4310" t="s">
        <v>14</v>
      </c>
      <c r="E4310" t="s">
        <v>16</v>
      </c>
      <c r="H4310" t="s">
        <v>20</v>
      </c>
    </row>
    <row r="4311" spans="1:8">
      <c r="A4311" s="1">
        <f>HYPERLINK("https://cms.ls-nyc.org/matter/dynamic-profile/view/1896391","19-1896391")</f>
        <v>0</v>
      </c>
      <c r="B4311" t="s">
        <v>9</v>
      </c>
      <c r="C4311" t="s">
        <v>13</v>
      </c>
      <c r="D4311" t="s">
        <v>14</v>
      </c>
      <c r="E4311" t="s">
        <v>16</v>
      </c>
      <c r="H4311" t="s">
        <v>20</v>
      </c>
    </row>
    <row r="4312" spans="1:8">
      <c r="A4312" s="1">
        <f>HYPERLINK("https://cms.ls-nyc.org/matter/dynamic-profile/view/1850100","17-1850100")</f>
        <v>0</v>
      </c>
      <c r="B4312" t="s">
        <v>12</v>
      </c>
      <c r="D4312" t="s">
        <v>15</v>
      </c>
      <c r="E4312" t="s">
        <v>16</v>
      </c>
      <c r="H4312" t="s">
        <v>20</v>
      </c>
    </row>
    <row r="4313" spans="1:8">
      <c r="A4313" s="1">
        <f>HYPERLINK("https://cms.ls-nyc.org/matter/dynamic-profile/view/1884268","18-1884268")</f>
        <v>0</v>
      </c>
      <c r="B4313" t="s">
        <v>9</v>
      </c>
      <c r="F4313" t="s">
        <v>17</v>
      </c>
      <c r="H4313" t="s">
        <v>20</v>
      </c>
    </row>
    <row r="4314" spans="1:8">
      <c r="A4314" s="1">
        <f>HYPERLINK("https://cms.ls-nyc.org/matter/dynamic-profile/view/1870821","18-1870821")</f>
        <v>0</v>
      </c>
      <c r="B4314" t="s">
        <v>12</v>
      </c>
      <c r="H4314" t="s">
        <v>19</v>
      </c>
    </row>
    <row r="4315" spans="1:8">
      <c r="A4315" s="1">
        <f>HYPERLINK("https://cms.ls-nyc.org/matter/dynamic-profile/view/1892521","19-1892521")</f>
        <v>0</v>
      </c>
      <c r="B4315" t="s">
        <v>9</v>
      </c>
      <c r="E4315" t="s">
        <v>16</v>
      </c>
      <c r="F4315" t="s">
        <v>17</v>
      </c>
      <c r="H4315" t="s">
        <v>20</v>
      </c>
    </row>
    <row r="4316" spans="1:8">
      <c r="A4316" s="1">
        <f>HYPERLINK("https://cms.ls-nyc.org/matter/dynamic-profile/view/1892522","19-1892522")</f>
        <v>0</v>
      </c>
      <c r="B4316" t="s">
        <v>9</v>
      </c>
      <c r="E4316" t="s">
        <v>16</v>
      </c>
      <c r="F4316" t="s">
        <v>17</v>
      </c>
      <c r="H4316" t="s">
        <v>20</v>
      </c>
    </row>
    <row r="4317" spans="1:8">
      <c r="A4317" s="1">
        <f>HYPERLINK("https://cms.ls-nyc.org/matter/dynamic-profile/view/1893454","19-1893454")</f>
        <v>0</v>
      </c>
      <c r="B4317" t="s">
        <v>9</v>
      </c>
      <c r="F4317" t="s">
        <v>17</v>
      </c>
      <c r="H4317" t="s">
        <v>20</v>
      </c>
    </row>
    <row r="4318" spans="1:8">
      <c r="A4318" s="1">
        <f>HYPERLINK("https://cms.ls-nyc.org/matter/dynamic-profile/view/1895969","19-1895969")</f>
        <v>0</v>
      </c>
      <c r="B4318" t="s">
        <v>11</v>
      </c>
      <c r="H4318" t="s">
        <v>19</v>
      </c>
    </row>
    <row r="4319" spans="1:8">
      <c r="A4319" s="1">
        <f>HYPERLINK("https://cms.ls-nyc.org/matter/dynamic-profile/view/1899902","19-1899902")</f>
        <v>0</v>
      </c>
      <c r="B4319" t="s">
        <v>10</v>
      </c>
      <c r="D4319" t="s">
        <v>14</v>
      </c>
      <c r="E4319" t="s">
        <v>16</v>
      </c>
      <c r="H4319" t="s">
        <v>20</v>
      </c>
    </row>
    <row r="4320" spans="1:8">
      <c r="A4320" s="1">
        <f>HYPERLINK("https://cms.ls-nyc.org/matter/dynamic-profile/view/1891565","19-1891565")</f>
        <v>0</v>
      </c>
      <c r="B4320" t="s">
        <v>9</v>
      </c>
      <c r="E4320" t="s">
        <v>16</v>
      </c>
      <c r="F4320" t="s">
        <v>17</v>
      </c>
      <c r="H4320" t="s">
        <v>20</v>
      </c>
    </row>
    <row r="4321" spans="1:8">
      <c r="A4321" s="1">
        <f>HYPERLINK("https://cms.ls-nyc.org/matter/dynamic-profile/view/1892069","19-1892069")</f>
        <v>0</v>
      </c>
      <c r="B4321" t="s">
        <v>9</v>
      </c>
      <c r="E4321" t="s">
        <v>16</v>
      </c>
      <c r="F4321" t="s">
        <v>17</v>
      </c>
      <c r="H4321" t="s">
        <v>20</v>
      </c>
    </row>
    <row r="4322" spans="1:8">
      <c r="A4322" s="1">
        <f>HYPERLINK("https://cms.ls-nyc.org/matter/dynamic-profile/view/1892764","19-1892764")</f>
        <v>0</v>
      </c>
      <c r="B4322" t="s">
        <v>9</v>
      </c>
      <c r="E4322" t="s">
        <v>16</v>
      </c>
      <c r="F4322" t="s">
        <v>17</v>
      </c>
      <c r="H4322" t="s">
        <v>20</v>
      </c>
    </row>
    <row r="4323" spans="1:8">
      <c r="A4323" s="1">
        <f>HYPERLINK("https://cms.ls-nyc.org/matter/dynamic-profile/view/1891566","19-1891566")</f>
        <v>0</v>
      </c>
      <c r="B4323" t="s">
        <v>9</v>
      </c>
      <c r="E4323" t="s">
        <v>16</v>
      </c>
      <c r="F4323" t="s">
        <v>17</v>
      </c>
      <c r="H4323" t="s">
        <v>20</v>
      </c>
    </row>
    <row r="4324" spans="1:8">
      <c r="A4324" s="1">
        <f>HYPERLINK("https://cms.ls-nyc.org/matter/dynamic-profile/view/1892076","19-1892076")</f>
        <v>0</v>
      </c>
      <c r="B4324" t="s">
        <v>9</v>
      </c>
      <c r="E4324" t="s">
        <v>16</v>
      </c>
      <c r="F4324" t="s">
        <v>17</v>
      </c>
      <c r="H4324" t="s">
        <v>20</v>
      </c>
    </row>
    <row r="4325" spans="1:8">
      <c r="A4325" s="1">
        <f>HYPERLINK("https://cms.ls-nyc.org/matter/dynamic-profile/view/1892770","19-1892770")</f>
        <v>0</v>
      </c>
      <c r="B4325" t="s">
        <v>9</v>
      </c>
      <c r="E4325" t="s">
        <v>16</v>
      </c>
      <c r="F4325" t="s">
        <v>17</v>
      </c>
      <c r="H4325" t="s">
        <v>20</v>
      </c>
    </row>
    <row r="4326" spans="1:8">
      <c r="A4326" s="1">
        <f>HYPERLINK("https://cms.ls-nyc.org/matter/dynamic-profile/view/1896972","19-1896972")</f>
        <v>0</v>
      </c>
      <c r="B4326" t="s">
        <v>9</v>
      </c>
      <c r="H4326" t="s">
        <v>19</v>
      </c>
    </row>
    <row r="4327" spans="1:8">
      <c r="A4327" s="1">
        <f>HYPERLINK("https://cms.ls-nyc.org/matter/dynamic-profile/view/1851102","17-1851102")</f>
        <v>0</v>
      </c>
      <c r="B4327" t="s">
        <v>9</v>
      </c>
      <c r="D4327" t="s">
        <v>15</v>
      </c>
      <c r="E4327" t="s">
        <v>16</v>
      </c>
      <c r="H4327" t="s">
        <v>20</v>
      </c>
    </row>
    <row r="4328" spans="1:8">
      <c r="A4328" s="1">
        <f>HYPERLINK("https://cms.ls-nyc.org/matter/dynamic-profile/view/1851096","17-1851096")</f>
        <v>0</v>
      </c>
      <c r="B4328" t="s">
        <v>9</v>
      </c>
      <c r="D4328" t="s">
        <v>15</v>
      </c>
      <c r="H4328" t="s">
        <v>20</v>
      </c>
    </row>
    <row r="4329" spans="1:8">
      <c r="A4329" s="1">
        <f>HYPERLINK("https://cms.ls-nyc.org/matter/dynamic-profile/view/1862099","18-1862099")</f>
        <v>0</v>
      </c>
      <c r="B4329" t="s">
        <v>11</v>
      </c>
      <c r="D4329" t="s">
        <v>15</v>
      </c>
      <c r="H4329" t="s">
        <v>20</v>
      </c>
    </row>
    <row r="4330" spans="1:8">
      <c r="A4330" s="1">
        <f>HYPERLINK("https://cms.ls-nyc.org/matter/dynamic-profile/view/1883361","18-1883361")</f>
        <v>0</v>
      </c>
      <c r="B4330" t="s">
        <v>11</v>
      </c>
      <c r="C4330" t="s">
        <v>13</v>
      </c>
      <c r="D4330" t="s">
        <v>14</v>
      </c>
      <c r="E4330" t="s">
        <v>16</v>
      </c>
      <c r="H4330" t="s">
        <v>20</v>
      </c>
    </row>
    <row r="4331" spans="1:8">
      <c r="A4331" s="1">
        <f>HYPERLINK("https://cms.ls-nyc.org/matter/dynamic-profile/view/1882535","18-1882535")</f>
        <v>0</v>
      </c>
      <c r="B4331" t="s">
        <v>10</v>
      </c>
      <c r="H4331" t="s">
        <v>19</v>
      </c>
    </row>
    <row r="4332" spans="1:8">
      <c r="A4332" s="1">
        <f>HYPERLINK("https://cms.ls-nyc.org/matter/dynamic-profile/view/1898058","19-1898058")</f>
        <v>0</v>
      </c>
      <c r="B4332" t="s">
        <v>9</v>
      </c>
      <c r="H4332" t="s">
        <v>19</v>
      </c>
    </row>
    <row r="4333" spans="1:8">
      <c r="A4333" s="1">
        <f>HYPERLINK("https://cms.ls-nyc.org/matter/dynamic-profile/view/1892761","19-1892761")</f>
        <v>0</v>
      </c>
      <c r="B4333" t="s">
        <v>9</v>
      </c>
      <c r="E4333" t="s">
        <v>16</v>
      </c>
      <c r="F4333" t="s">
        <v>17</v>
      </c>
      <c r="H4333" t="s">
        <v>20</v>
      </c>
    </row>
    <row r="4334" spans="1:8">
      <c r="A4334" s="1">
        <f>HYPERLINK("https://cms.ls-nyc.org/matter/dynamic-profile/view/1892762","19-1892762")</f>
        <v>0</v>
      </c>
      <c r="B4334" t="s">
        <v>9</v>
      </c>
      <c r="E4334" t="s">
        <v>16</v>
      </c>
      <c r="F4334" t="s">
        <v>17</v>
      </c>
      <c r="H4334" t="s">
        <v>20</v>
      </c>
    </row>
    <row r="4335" spans="1:8">
      <c r="A4335" s="1">
        <f>HYPERLINK("https://cms.ls-nyc.org/matter/dynamic-profile/view/1892410","19-1892410")</f>
        <v>0</v>
      </c>
      <c r="B4335" t="s">
        <v>10</v>
      </c>
      <c r="H4335" t="s">
        <v>19</v>
      </c>
    </row>
    <row r="4336" spans="1:8">
      <c r="A4336" s="1">
        <f>HYPERLINK("https://cms.ls-nyc.org/matter/dynamic-profile/view/1892006","19-1892006")</f>
        <v>0</v>
      </c>
      <c r="B4336" t="s">
        <v>10</v>
      </c>
      <c r="H4336" t="s">
        <v>19</v>
      </c>
    </row>
    <row r="4337" spans="1:8">
      <c r="A4337" s="1">
        <f>HYPERLINK("https://cms.ls-nyc.org/matter/dynamic-profile/view/1894612","19-1894612")</f>
        <v>0</v>
      </c>
      <c r="B4337" t="s">
        <v>11</v>
      </c>
      <c r="C4337" t="s">
        <v>13</v>
      </c>
      <c r="D4337" t="s">
        <v>14</v>
      </c>
      <c r="E4337" t="s">
        <v>16</v>
      </c>
      <c r="G4337" t="s">
        <v>18</v>
      </c>
      <c r="H4337" t="s">
        <v>20</v>
      </c>
    </row>
    <row r="4338" spans="1:8">
      <c r="A4338" s="1">
        <f>HYPERLINK("https://cms.ls-nyc.org/matter/dynamic-profile/view/1887973","19-1887973")</f>
        <v>0</v>
      </c>
      <c r="B4338" t="s">
        <v>10</v>
      </c>
      <c r="D4338" t="s">
        <v>14</v>
      </c>
      <c r="H4338" t="s">
        <v>20</v>
      </c>
    </row>
    <row r="4339" spans="1:8">
      <c r="A4339" s="1">
        <f>HYPERLINK("https://cms.ls-nyc.org/matter/dynamic-profile/view/1868610","18-1868610")</f>
        <v>0</v>
      </c>
      <c r="B4339" t="s">
        <v>10</v>
      </c>
      <c r="D4339" t="s">
        <v>15</v>
      </c>
      <c r="E4339" t="s">
        <v>16</v>
      </c>
      <c r="H4339" t="s">
        <v>20</v>
      </c>
    </row>
    <row r="4340" spans="1:8">
      <c r="A4340" s="1">
        <f>HYPERLINK("https://cms.ls-nyc.org/matter/dynamic-profile/view/0813524","16-0813524")</f>
        <v>0</v>
      </c>
      <c r="B4340" t="s">
        <v>9</v>
      </c>
      <c r="D4340" t="s">
        <v>15</v>
      </c>
      <c r="E4340" t="s">
        <v>16</v>
      </c>
      <c r="H4340" t="s">
        <v>20</v>
      </c>
    </row>
    <row r="4341" spans="1:8">
      <c r="A4341" s="1">
        <f>HYPERLINK("https://cms.ls-nyc.org/matter/dynamic-profile/view/0824141","17-0824141")</f>
        <v>0</v>
      </c>
      <c r="B4341" t="s">
        <v>9</v>
      </c>
      <c r="D4341" t="s">
        <v>15</v>
      </c>
      <c r="E4341" t="s">
        <v>16</v>
      </c>
      <c r="H4341" t="s">
        <v>20</v>
      </c>
    </row>
    <row r="4342" spans="1:8">
      <c r="A4342" s="1">
        <f>HYPERLINK("https://cms.ls-nyc.org/matter/dynamic-profile/view/0799967","16-0799967")</f>
        <v>0</v>
      </c>
      <c r="B4342" t="s">
        <v>10</v>
      </c>
      <c r="D4342" t="s">
        <v>15</v>
      </c>
      <c r="E4342" t="s">
        <v>16</v>
      </c>
      <c r="H4342" t="s">
        <v>20</v>
      </c>
    </row>
    <row r="4343" spans="1:8">
      <c r="A4343" s="1">
        <f>HYPERLINK("https://cms.ls-nyc.org/matter/dynamic-profile/view/1859972","18-1859972")</f>
        <v>0</v>
      </c>
      <c r="B4343" t="s">
        <v>9</v>
      </c>
      <c r="D4343" t="s">
        <v>15</v>
      </c>
      <c r="E4343" t="s">
        <v>16</v>
      </c>
      <c r="H4343" t="s">
        <v>20</v>
      </c>
    </row>
    <row r="4344" spans="1:8">
      <c r="A4344" s="1">
        <f>HYPERLINK("https://cms.ls-nyc.org/matter/dynamic-profile/view/1851302","17-1851302")</f>
        <v>0</v>
      </c>
      <c r="B4344" t="s">
        <v>10</v>
      </c>
      <c r="D4344" t="s">
        <v>15</v>
      </c>
      <c r="E4344" t="s">
        <v>16</v>
      </c>
      <c r="H4344" t="s">
        <v>20</v>
      </c>
    </row>
    <row r="4345" spans="1:8">
      <c r="A4345" s="1">
        <f>HYPERLINK("https://cms.ls-nyc.org/matter/dynamic-profile/view/1854865","17-1854865")</f>
        <v>0</v>
      </c>
      <c r="B4345" t="s">
        <v>12</v>
      </c>
      <c r="D4345" t="s">
        <v>15</v>
      </c>
      <c r="E4345" t="s">
        <v>16</v>
      </c>
      <c r="H4345" t="s">
        <v>20</v>
      </c>
    </row>
    <row r="4346" spans="1:8">
      <c r="A4346" s="1">
        <f>HYPERLINK("https://cms.ls-nyc.org/matter/dynamic-profile/view/1837327","17-1837327")</f>
        <v>0</v>
      </c>
      <c r="B4346" t="s">
        <v>9</v>
      </c>
      <c r="D4346" t="s">
        <v>15</v>
      </c>
      <c r="E4346" t="s">
        <v>16</v>
      </c>
      <c r="H4346" t="s">
        <v>20</v>
      </c>
    </row>
    <row r="4347" spans="1:8">
      <c r="A4347" s="1">
        <f>HYPERLINK("https://cms.ls-nyc.org/matter/dynamic-profile/view/0828933","17-0828933")</f>
        <v>0</v>
      </c>
      <c r="B4347" t="s">
        <v>10</v>
      </c>
      <c r="D4347" t="s">
        <v>15</v>
      </c>
      <c r="E4347" t="s">
        <v>16</v>
      </c>
      <c r="H4347" t="s">
        <v>20</v>
      </c>
    </row>
    <row r="4348" spans="1:8">
      <c r="A4348" s="1">
        <f>HYPERLINK("https://cms.ls-nyc.org/matter/dynamic-profile/view/1854278","17-1854278")</f>
        <v>0</v>
      </c>
      <c r="B4348" t="s">
        <v>10</v>
      </c>
      <c r="D4348" t="s">
        <v>15</v>
      </c>
      <c r="E4348" t="s">
        <v>16</v>
      </c>
      <c r="H4348" t="s">
        <v>20</v>
      </c>
    </row>
    <row r="4349" spans="1:8">
      <c r="A4349" s="1">
        <f>HYPERLINK("https://cms.ls-nyc.org/matter/dynamic-profile/view/1867061","18-1867061")</f>
        <v>0</v>
      </c>
      <c r="B4349" t="s">
        <v>9</v>
      </c>
      <c r="D4349" t="s">
        <v>15</v>
      </c>
      <c r="E4349" t="s">
        <v>16</v>
      </c>
      <c r="H4349" t="s">
        <v>20</v>
      </c>
    </row>
    <row r="4350" spans="1:8">
      <c r="A4350" s="1">
        <f>HYPERLINK("https://cms.ls-nyc.org/matter/dynamic-profile/view/1856374","18-1856374")</f>
        <v>0</v>
      </c>
      <c r="B4350" t="s">
        <v>10</v>
      </c>
      <c r="D4350" t="s">
        <v>15</v>
      </c>
      <c r="E4350" t="s">
        <v>16</v>
      </c>
      <c r="H4350" t="s">
        <v>20</v>
      </c>
    </row>
    <row r="4351" spans="1:8">
      <c r="A4351" s="1">
        <f>HYPERLINK("https://cms.ls-nyc.org/matter/dynamic-profile/view/1889957","19-1889957")</f>
        <v>0</v>
      </c>
      <c r="B4351" t="s">
        <v>10</v>
      </c>
      <c r="H4351" t="s">
        <v>19</v>
      </c>
    </row>
    <row r="4352" spans="1:8">
      <c r="A4352" s="1">
        <f>HYPERLINK("https://cms.ls-nyc.org/matter/dynamic-profile/view/1889951","19-1889951")</f>
        <v>0</v>
      </c>
      <c r="B4352" t="s">
        <v>10</v>
      </c>
      <c r="H4352" t="s">
        <v>19</v>
      </c>
    </row>
    <row r="4353" spans="1:8">
      <c r="A4353" s="1">
        <f>HYPERLINK("https://cms.ls-nyc.org/matter/dynamic-profile/view/1897806","19-1897806")</f>
        <v>0</v>
      </c>
      <c r="B4353" t="s">
        <v>10</v>
      </c>
      <c r="C4353" t="s">
        <v>13</v>
      </c>
      <c r="D4353" t="s">
        <v>14</v>
      </c>
      <c r="E4353" t="s">
        <v>16</v>
      </c>
      <c r="H4353" t="s">
        <v>20</v>
      </c>
    </row>
    <row r="4354" spans="1:8">
      <c r="A4354" s="1">
        <f>HYPERLINK("https://cms.ls-nyc.org/matter/dynamic-profile/view/1864170","18-1864170")</f>
        <v>0</v>
      </c>
      <c r="B4354" t="s">
        <v>12</v>
      </c>
      <c r="D4354" t="s">
        <v>15</v>
      </c>
      <c r="E4354" t="s">
        <v>16</v>
      </c>
      <c r="H4354" t="s">
        <v>20</v>
      </c>
    </row>
    <row r="4355" spans="1:8">
      <c r="A4355" s="1">
        <f>HYPERLINK("https://cms.ls-nyc.org/matter/dynamic-profile/view/1860891","18-1860891")</f>
        <v>0</v>
      </c>
      <c r="B4355" t="s">
        <v>10</v>
      </c>
      <c r="D4355" t="s">
        <v>15</v>
      </c>
      <c r="E4355" t="s">
        <v>16</v>
      </c>
      <c r="H4355" t="s">
        <v>20</v>
      </c>
    </row>
    <row r="4356" spans="1:8">
      <c r="A4356" s="1">
        <f>HYPERLINK("https://cms.ls-nyc.org/matter/dynamic-profile/view/1885755","18-1885755")</f>
        <v>0</v>
      </c>
      <c r="B4356" t="s">
        <v>10</v>
      </c>
      <c r="H4356" t="s">
        <v>19</v>
      </c>
    </row>
    <row r="4357" spans="1:8">
      <c r="A4357" s="1">
        <f>HYPERLINK("https://cms.ls-nyc.org/matter/dynamic-profile/view/0789377","15-0789377")</f>
        <v>0</v>
      </c>
      <c r="B4357" t="s">
        <v>10</v>
      </c>
      <c r="D4357" t="s">
        <v>15</v>
      </c>
      <c r="E4357" t="s">
        <v>16</v>
      </c>
      <c r="H4357" t="s">
        <v>20</v>
      </c>
    </row>
    <row r="4358" spans="1:8">
      <c r="A4358" s="1">
        <f>HYPERLINK("https://cms.ls-nyc.org/matter/dynamic-profile/view/1839011","17-1839011")</f>
        <v>0</v>
      </c>
      <c r="B4358" t="s">
        <v>10</v>
      </c>
      <c r="D4358" t="s">
        <v>15</v>
      </c>
      <c r="E4358" t="s">
        <v>16</v>
      </c>
      <c r="F4358" t="s">
        <v>17</v>
      </c>
      <c r="H4358" t="s">
        <v>20</v>
      </c>
    </row>
    <row r="4359" spans="1:8">
      <c r="A4359" s="1">
        <f>HYPERLINK("https://cms.ls-nyc.org/matter/dynamic-profile/view/1890018","19-1890018")</f>
        <v>0</v>
      </c>
      <c r="B4359" t="s">
        <v>12</v>
      </c>
      <c r="H4359" t="s">
        <v>19</v>
      </c>
    </row>
    <row r="4360" spans="1:8">
      <c r="A4360" s="1">
        <f>HYPERLINK("https://cms.ls-nyc.org/matter/dynamic-profile/view/1875586","18-1875586")</f>
        <v>0</v>
      </c>
      <c r="B4360" t="s">
        <v>9</v>
      </c>
      <c r="H4360" t="s">
        <v>19</v>
      </c>
    </row>
    <row r="4361" spans="1:8">
      <c r="A4361" s="1">
        <f>HYPERLINK("https://cms.ls-nyc.org/matter/dynamic-profile/view/1895639","19-1895639")</f>
        <v>0</v>
      </c>
      <c r="B4361" t="s">
        <v>9</v>
      </c>
      <c r="G4361" t="s">
        <v>18</v>
      </c>
      <c r="H4361" t="s">
        <v>20</v>
      </c>
    </row>
    <row r="4362" spans="1:8">
      <c r="A4362" s="1">
        <f>HYPERLINK("https://cms.ls-nyc.org/matter/dynamic-profile/view/1890734","19-1890734")</f>
        <v>0</v>
      </c>
      <c r="B4362" t="s">
        <v>9</v>
      </c>
      <c r="F4362" t="s">
        <v>17</v>
      </c>
      <c r="H4362" t="s">
        <v>20</v>
      </c>
    </row>
    <row r="4363" spans="1:8">
      <c r="A4363" s="1">
        <f>HYPERLINK("https://cms.ls-nyc.org/matter/dynamic-profile/view/1900060","19-1900060")</f>
        <v>0</v>
      </c>
      <c r="B4363" t="s">
        <v>10</v>
      </c>
      <c r="D4363" t="s">
        <v>14</v>
      </c>
      <c r="H4363" t="s">
        <v>20</v>
      </c>
    </row>
    <row r="4364" spans="1:8">
      <c r="A4364" s="1">
        <f>HYPERLINK("https://cms.ls-nyc.org/matter/dynamic-profile/view/1887964","19-1887964")</f>
        <v>0</v>
      </c>
      <c r="B4364" t="s">
        <v>9</v>
      </c>
      <c r="C4364" t="s">
        <v>13</v>
      </c>
      <c r="D4364" t="s">
        <v>14</v>
      </c>
      <c r="E4364" t="s">
        <v>16</v>
      </c>
      <c r="G4364" t="s">
        <v>18</v>
      </c>
      <c r="H4364" t="s">
        <v>20</v>
      </c>
    </row>
    <row r="4365" spans="1:8">
      <c r="A4365" s="1">
        <f>HYPERLINK("https://cms.ls-nyc.org/matter/dynamic-profile/view/1880411","18-1880411")</f>
        <v>0</v>
      </c>
      <c r="B4365" t="s">
        <v>10</v>
      </c>
      <c r="H4365" t="s">
        <v>19</v>
      </c>
    </row>
    <row r="4366" spans="1:8">
      <c r="A4366" s="1">
        <f>HYPERLINK("https://cms.ls-nyc.org/matter/dynamic-profile/view/1863740","18-1863740")</f>
        <v>0</v>
      </c>
      <c r="B4366" t="s">
        <v>9</v>
      </c>
      <c r="C4366" t="s">
        <v>13</v>
      </c>
      <c r="D4366" t="s">
        <v>14</v>
      </c>
      <c r="E4366" t="s">
        <v>16</v>
      </c>
      <c r="H4366" t="s">
        <v>20</v>
      </c>
    </row>
    <row r="4367" spans="1:8">
      <c r="A4367" s="1">
        <f>HYPERLINK("https://cms.ls-nyc.org/matter/dynamic-profile/view/1879561","18-1879561")</f>
        <v>0</v>
      </c>
      <c r="B4367" t="s">
        <v>9</v>
      </c>
      <c r="H4367" t="s">
        <v>19</v>
      </c>
    </row>
    <row r="4368" spans="1:8">
      <c r="A4368" s="1">
        <f>HYPERLINK("https://cms.ls-nyc.org/matter/dynamic-profile/view/1870000","18-1870000")</f>
        <v>0</v>
      </c>
      <c r="B4368" t="s">
        <v>10</v>
      </c>
      <c r="D4368" t="s">
        <v>15</v>
      </c>
      <c r="E4368" t="s">
        <v>16</v>
      </c>
      <c r="H4368" t="s">
        <v>20</v>
      </c>
    </row>
    <row r="4369" spans="1:8">
      <c r="A4369" s="1">
        <f>HYPERLINK("https://cms.ls-nyc.org/matter/dynamic-profile/view/1901228","19-1901228")</f>
        <v>0</v>
      </c>
      <c r="B4369" t="s">
        <v>12</v>
      </c>
      <c r="F4369" t="s">
        <v>17</v>
      </c>
      <c r="H4369" t="s">
        <v>20</v>
      </c>
    </row>
    <row r="4370" spans="1:8">
      <c r="A4370" s="1">
        <f>HYPERLINK("https://cms.ls-nyc.org/matter/dynamic-profile/view/1888294","19-1888294")</f>
        <v>0</v>
      </c>
      <c r="B4370" t="s">
        <v>12</v>
      </c>
      <c r="H4370" t="s">
        <v>19</v>
      </c>
    </row>
    <row r="4371" spans="1:8">
      <c r="A4371" s="1">
        <f>HYPERLINK("https://cms.ls-nyc.org/matter/dynamic-profile/view/1842847","17-1842847")</f>
        <v>0</v>
      </c>
      <c r="B4371" t="s">
        <v>11</v>
      </c>
      <c r="D4371" t="s">
        <v>15</v>
      </c>
      <c r="E4371" t="s">
        <v>16</v>
      </c>
      <c r="H4371" t="s">
        <v>20</v>
      </c>
    </row>
    <row r="4372" spans="1:8">
      <c r="A4372" s="1">
        <f>HYPERLINK("https://cms.ls-nyc.org/matter/dynamic-profile/view/1889916","19-1889916")</f>
        <v>0</v>
      </c>
      <c r="B4372" t="s">
        <v>10</v>
      </c>
      <c r="H4372" t="s">
        <v>19</v>
      </c>
    </row>
    <row r="4373" spans="1:8">
      <c r="A4373" s="1">
        <f>HYPERLINK("https://cms.ls-nyc.org/matter/dynamic-profile/view/1891413","19-1891413")</f>
        <v>0</v>
      </c>
      <c r="B4373" t="s">
        <v>10</v>
      </c>
      <c r="H4373" t="s">
        <v>19</v>
      </c>
    </row>
    <row r="4374" spans="1:8">
      <c r="A4374" s="1">
        <f>HYPERLINK("https://cms.ls-nyc.org/matter/dynamic-profile/view/1889911","19-1889911")</f>
        <v>0</v>
      </c>
      <c r="B4374" t="s">
        <v>10</v>
      </c>
      <c r="H4374" t="s">
        <v>19</v>
      </c>
    </row>
    <row r="4375" spans="1:8">
      <c r="A4375" s="1">
        <f>HYPERLINK("https://cms.ls-nyc.org/matter/dynamic-profile/view/1891412","19-1891412")</f>
        <v>0</v>
      </c>
      <c r="B4375" t="s">
        <v>10</v>
      </c>
      <c r="H4375" t="s">
        <v>19</v>
      </c>
    </row>
    <row r="4376" spans="1:8">
      <c r="A4376" s="1">
        <f>HYPERLINK("https://cms.ls-nyc.org/matter/dynamic-profile/view/1891010","19-1891010")</f>
        <v>0</v>
      </c>
      <c r="B4376" t="s">
        <v>12</v>
      </c>
      <c r="D4376" t="s">
        <v>15</v>
      </c>
      <c r="H4376" t="s">
        <v>20</v>
      </c>
    </row>
    <row r="4377" spans="1:8">
      <c r="A4377" s="1">
        <f>HYPERLINK("https://cms.ls-nyc.org/matter/dynamic-profile/view/1899738","19-1899738")</f>
        <v>0</v>
      </c>
      <c r="B4377" t="s">
        <v>12</v>
      </c>
      <c r="F4377" t="s">
        <v>17</v>
      </c>
      <c r="H4377" t="s">
        <v>20</v>
      </c>
    </row>
    <row r="4378" spans="1:8">
      <c r="A4378" s="1">
        <f>HYPERLINK("https://cms.ls-nyc.org/matter/dynamic-profile/view/1894526","19-1894526")</f>
        <v>0</v>
      </c>
      <c r="B4378" t="s">
        <v>9</v>
      </c>
      <c r="H4378" t="s">
        <v>19</v>
      </c>
    </row>
    <row r="4379" spans="1:8">
      <c r="A4379" s="1">
        <f>HYPERLINK("https://cms.ls-nyc.org/matter/dynamic-profile/view/1879105","18-1879105")</f>
        <v>0</v>
      </c>
      <c r="B4379" t="s">
        <v>9</v>
      </c>
      <c r="F4379" t="s">
        <v>17</v>
      </c>
      <c r="H4379" t="s">
        <v>20</v>
      </c>
    </row>
    <row r="4380" spans="1:8">
      <c r="A4380" s="1">
        <f>HYPERLINK("https://cms.ls-nyc.org/matter/dynamic-profile/view/1898404","19-1898404")</f>
        <v>0</v>
      </c>
      <c r="B4380" t="s">
        <v>9</v>
      </c>
      <c r="E4380" t="s">
        <v>16</v>
      </c>
      <c r="F4380" t="s">
        <v>17</v>
      </c>
      <c r="H4380" t="s">
        <v>20</v>
      </c>
    </row>
    <row r="4381" spans="1:8">
      <c r="A4381" s="1">
        <f>HYPERLINK("https://cms.ls-nyc.org/matter/dynamic-profile/view/1898406","19-1898406")</f>
        <v>0</v>
      </c>
      <c r="B4381" t="s">
        <v>9</v>
      </c>
      <c r="E4381" t="s">
        <v>16</v>
      </c>
      <c r="F4381" t="s">
        <v>17</v>
      </c>
      <c r="H4381" t="s">
        <v>20</v>
      </c>
    </row>
    <row r="4382" spans="1:8">
      <c r="A4382" s="1">
        <f>HYPERLINK("https://cms.ls-nyc.org/matter/dynamic-profile/view/1882266","18-1882266")</f>
        <v>0</v>
      </c>
      <c r="B4382" t="s">
        <v>9</v>
      </c>
      <c r="H4382" t="s">
        <v>19</v>
      </c>
    </row>
    <row r="4383" spans="1:8">
      <c r="A4383" s="1">
        <f>HYPERLINK("https://cms.ls-nyc.org/matter/dynamic-profile/view/1896465","19-1896465")</f>
        <v>0</v>
      </c>
      <c r="B4383" t="s">
        <v>8</v>
      </c>
      <c r="H4383" t="s">
        <v>19</v>
      </c>
    </row>
    <row r="4384" spans="1:8">
      <c r="A4384" s="1">
        <f>HYPERLINK("https://cms.ls-nyc.org/matter/dynamic-profile/view/1896466","19-1896466")</f>
        <v>0</v>
      </c>
      <c r="B4384" t="s">
        <v>8</v>
      </c>
      <c r="H4384" t="s">
        <v>19</v>
      </c>
    </row>
    <row r="4385" spans="1:8">
      <c r="A4385" s="1">
        <f>HYPERLINK("https://cms.ls-nyc.org/matter/dynamic-profile/view/1891559","19-1891559")</f>
        <v>0</v>
      </c>
      <c r="B4385" t="s">
        <v>9</v>
      </c>
      <c r="E4385" t="s">
        <v>16</v>
      </c>
      <c r="F4385" t="s">
        <v>17</v>
      </c>
      <c r="H4385" t="s">
        <v>20</v>
      </c>
    </row>
    <row r="4386" spans="1:8">
      <c r="A4386" s="1">
        <f>HYPERLINK("https://cms.ls-nyc.org/matter/dynamic-profile/view/1891560","19-1891560")</f>
        <v>0</v>
      </c>
      <c r="B4386" t="s">
        <v>9</v>
      </c>
      <c r="E4386" t="s">
        <v>16</v>
      </c>
      <c r="F4386" t="s">
        <v>17</v>
      </c>
      <c r="H4386" t="s">
        <v>20</v>
      </c>
    </row>
    <row r="4387" spans="1:8">
      <c r="A4387" s="1">
        <f>HYPERLINK("https://cms.ls-nyc.org/matter/dynamic-profile/view/1887111","19-1887111")</f>
        <v>0</v>
      </c>
      <c r="B4387" t="s">
        <v>10</v>
      </c>
      <c r="H4387" t="s">
        <v>19</v>
      </c>
    </row>
    <row r="4388" spans="1:8">
      <c r="A4388" s="1">
        <f>HYPERLINK("https://cms.ls-nyc.org/matter/dynamic-profile/view/1886680","18-1886680")</f>
        <v>0</v>
      </c>
      <c r="B4388" t="s">
        <v>12</v>
      </c>
      <c r="H4388" t="s">
        <v>19</v>
      </c>
    </row>
    <row r="4389" spans="1:8">
      <c r="A4389" s="1">
        <f>HYPERLINK("https://cms.ls-nyc.org/matter/dynamic-profile/view/0832237","17-0832237")</f>
        <v>0</v>
      </c>
      <c r="B4389" t="s">
        <v>12</v>
      </c>
      <c r="D4389" t="s">
        <v>15</v>
      </c>
      <c r="E4389" t="s">
        <v>16</v>
      </c>
      <c r="H4389" t="s">
        <v>20</v>
      </c>
    </row>
    <row r="4390" spans="1:8">
      <c r="A4390" s="1">
        <f>HYPERLINK("https://cms.ls-nyc.org/matter/dynamic-profile/view/1842901","17-1842901")</f>
        <v>0</v>
      </c>
      <c r="B4390" t="s">
        <v>9</v>
      </c>
      <c r="D4390" t="s">
        <v>15</v>
      </c>
      <c r="H4390" t="s">
        <v>20</v>
      </c>
    </row>
    <row r="4391" spans="1:8">
      <c r="A4391" s="1">
        <f>HYPERLINK("https://cms.ls-nyc.org/matter/dynamic-profile/view/1886103","18-1886103")</f>
        <v>0</v>
      </c>
      <c r="B4391" t="s">
        <v>12</v>
      </c>
      <c r="H4391" t="s">
        <v>19</v>
      </c>
    </row>
    <row r="4392" spans="1:8">
      <c r="A4392" s="1">
        <f>HYPERLINK("https://cms.ls-nyc.org/matter/dynamic-profile/view/1896013","19-1896013")</f>
        <v>0</v>
      </c>
      <c r="B4392" t="s">
        <v>10</v>
      </c>
      <c r="D4392" t="s">
        <v>14</v>
      </c>
      <c r="H4392" t="s">
        <v>20</v>
      </c>
    </row>
    <row r="4393" spans="1:8">
      <c r="A4393" s="1">
        <f>HYPERLINK("https://cms.ls-nyc.org/matter/dynamic-profile/view/1882951","18-1882951")</f>
        <v>0</v>
      </c>
      <c r="B4393" t="s">
        <v>10</v>
      </c>
      <c r="D4393" t="s">
        <v>14</v>
      </c>
      <c r="H4393" t="s">
        <v>20</v>
      </c>
    </row>
    <row r="4394" spans="1:8">
      <c r="A4394" s="1">
        <f>HYPERLINK("https://cms.ls-nyc.org/matter/dynamic-profile/view/1844244","17-1844244")</f>
        <v>0</v>
      </c>
      <c r="B4394" t="s">
        <v>10</v>
      </c>
      <c r="D4394" t="s">
        <v>15</v>
      </c>
      <c r="E4394" t="s">
        <v>16</v>
      </c>
      <c r="H4394" t="s">
        <v>20</v>
      </c>
    </row>
    <row r="4395" spans="1:8">
      <c r="A4395" s="1">
        <f>HYPERLINK("https://cms.ls-nyc.org/matter/dynamic-profile/view/1901231","19-1901231")</f>
        <v>0</v>
      </c>
      <c r="B4395" t="s">
        <v>12</v>
      </c>
      <c r="H4395" t="s">
        <v>19</v>
      </c>
    </row>
    <row r="4396" spans="1:8">
      <c r="A4396" s="1">
        <f>HYPERLINK("https://cms.ls-nyc.org/matter/dynamic-profile/view/1882194","18-1882194")</f>
        <v>0</v>
      </c>
      <c r="B4396" t="s">
        <v>9</v>
      </c>
      <c r="H4396" t="s">
        <v>19</v>
      </c>
    </row>
    <row r="4397" spans="1:8">
      <c r="A4397" s="1">
        <f>HYPERLINK("https://cms.ls-nyc.org/matter/dynamic-profile/view/1871756","18-1871756")</f>
        <v>0</v>
      </c>
      <c r="B4397" t="s">
        <v>9</v>
      </c>
      <c r="D4397" t="s">
        <v>15</v>
      </c>
      <c r="E4397" t="s">
        <v>16</v>
      </c>
      <c r="F4397" t="s">
        <v>17</v>
      </c>
      <c r="H4397" t="s">
        <v>20</v>
      </c>
    </row>
    <row r="4398" spans="1:8">
      <c r="A4398" s="1">
        <f>HYPERLINK("https://cms.ls-nyc.org/matter/dynamic-profile/view/1870851","18-1870851")</f>
        <v>0</v>
      </c>
      <c r="B4398" t="s">
        <v>10</v>
      </c>
      <c r="D4398" t="s">
        <v>15</v>
      </c>
      <c r="H4398" t="s">
        <v>20</v>
      </c>
    </row>
    <row r="4399" spans="1:8">
      <c r="A4399" s="1">
        <f>HYPERLINK("https://cms.ls-nyc.org/matter/dynamic-profile/view/1899820","19-1899820")</f>
        <v>0</v>
      </c>
      <c r="B4399" t="s">
        <v>10</v>
      </c>
      <c r="D4399" t="s">
        <v>14</v>
      </c>
      <c r="F4399" t="s">
        <v>17</v>
      </c>
      <c r="H4399" t="s">
        <v>20</v>
      </c>
    </row>
    <row r="4400" spans="1:8">
      <c r="A4400" s="1">
        <f>HYPERLINK("https://cms.ls-nyc.org/matter/dynamic-profile/view/1884464","18-1884464")</f>
        <v>0</v>
      </c>
      <c r="B4400" t="s">
        <v>9</v>
      </c>
      <c r="H4400" t="s">
        <v>19</v>
      </c>
    </row>
    <row r="4401" spans="1:8">
      <c r="A4401" s="1">
        <f>HYPERLINK("https://cms.ls-nyc.org/matter/dynamic-profile/view/1896355","19-1896355")</f>
        <v>0</v>
      </c>
      <c r="B4401" t="s">
        <v>12</v>
      </c>
      <c r="C4401" t="s">
        <v>13</v>
      </c>
      <c r="D4401" t="s">
        <v>14</v>
      </c>
      <c r="E4401" t="s">
        <v>16</v>
      </c>
      <c r="G4401" t="s">
        <v>18</v>
      </c>
      <c r="H4401" t="s">
        <v>20</v>
      </c>
    </row>
    <row r="4402" spans="1:8">
      <c r="A4402" s="1">
        <f>HYPERLINK("https://cms.ls-nyc.org/matter/dynamic-profile/view/0826190","17-0826190")</f>
        <v>0</v>
      </c>
      <c r="B4402" t="s">
        <v>12</v>
      </c>
      <c r="D4402" t="s">
        <v>15</v>
      </c>
      <c r="E4402" t="s">
        <v>16</v>
      </c>
      <c r="H4402" t="s">
        <v>20</v>
      </c>
    </row>
    <row r="4403" spans="1:8">
      <c r="A4403" s="1">
        <f>HYPERLINK("https://cms.ls-nyc.org/matter/dynamic-profile/view/1889991","19-1889991")</f>
        <v>0</v>
      </c>
      <c r="B4403" t="s">
        <v>10</v>
      </c>
      <c r="H4403" t="s">
        <v>19</v>
      </c>
    </row>
    <row r="4404" spans="1:8">
      <c r="A4404" s="1">
        <f>HYPERLINK("https://cms.ls-nyc.org/matter/dynamic-profile/view/1889986","19-1889986")</f>
        <v>0</v>
      </c>
      <c r="B4404" t="s">
        <v>10</v>
      </c>
      <c r="H4404" t="s">
        <v>19</v>
      </c>
    </row>
    <row r="4405" spans="1:8">
      <c r="A4405" s="1">
        <f>HYPERLINK("https://cms.ls-nyc.org/matter/dynamic-profile/view/1849799","17-1849799")</f>
        <v>0</v>
      </c>
      <c r="B4405" t="s">
        <v>12</v>
      </c>
      <c r="D4405" t="s">
        <v>15</v>
      </c>
      <c r="E4405" t="s">
        <v>16</v>
      </c>
      <c r="H4405" t="s">
        <v>20</v>
      </c>
    </row>
    <row r="4406" spans="1:8">
      <c r="A4406" s="1">
        <f>HYPERLINK("https://cms.ls-nyc.org/matter/dynamic-profile/view/1849246","17-1849246")</f>
        <v>0</v>
      </c>
      <c r="B4406" t="s">
        <v>12</v>
      </c>
      <c r="D4406" t="s">
        <v>15</v>
      </c>
      <c r="E4406" t="s">
        <v>16</v>
      </c>
      <c r="H4406" t="s">
        <v>20</v>
      </c>
    </row>
    <row r="4407" spans="1:8">
      <c r="A4407" s="1">
        <f>HYPERLINK("https://cms.ls-nyc.org/matter/dynamic-profile/view/1888915","19-1888915")</f>
        <v>0</v>
      </c>
      <c r="B4407" t="s">
        <v>9</v>
      </c>
      <c r="C4407" t="s">
        <v>13</v>
      </c>
      <c r="D4407" t="s">
        <v>14</v>
      </c>
      <c r="G4407" t="s">
        <v>18</v>
      </c>
      <c r="H4407" t="s">
        <v>20</v>
      </c>
    </row>
    <row r="4408" spans="1:8">
      <c r="A4408" s="1">
        <f>HYPERLINK("https://cms.ls-nyc.org/matter/dynamic-profile/view/1875658","18-1875658")</f>
        <v>0</v>
      </c>
      <c r="B4408" t="s">
        <v>10</v>
      </c>
      <c r="H4408" t="s">
        <v>19</v>
      </c>
    </row>
    <row r="4409" spans="1:8">
      <c r="A4409" s="1">
        <f>HYPERLINK("https://cms.ls-nyc.org/matter/dynamic-profile/view/1875655","18-1875655")</f>
        <v>0</v>
      </c>
      <c r="B4409" t="s">
        <v>10</v>
      </c>
      <c r="H4409" t="s">
        <v>19</v>
      </c>
    </row>
    <row r="4410" spans="1:8">
      <c r="A4410" s="1">
        <f>HYPERLINK("https://cms.ls-nyc.org/matter/dynamic-profile/view/0806286","16-0806286")</f>
        <v>0</v>
      </c>
      <c r="B4410" t="s">
        <v>9</v>
      </c>
      <c r="D4410" t="s">
        <v>15</v>
      </c>
      <c r="E4410" t="s">
        <v>16</v>
      </c>
      <c r="H4410" t="s">
        <v>20</v>
      </c>
    </row>
    <row r="4411" spans="1:8">
      <c r="A4411" s="1">
        <f>HYPERLINK("https://cms.ls-nyc.org/matter/dynamic-profile/view/1887829","19-1887829")</f>
        <v>0</v>
      </c>
      <c r="B4411" t="s">
        <v>9</v>
      </c>
      <c r="D4411" t="s">
        <v>15</v>
      </c>
      <c r="E4411" t="s">
        <v>16</v>
      </c>
      <c r="H4411" t="s">
        <v>20</v>
      </c>
    </row>
    <row r="4412" spans="1:8">
      <c r="A4412" s="1">
        <f>HYPERLINK("https://cms.ls-nyc.org/matter/dynamic-profile/view/1893524","19-1893524")</f>
        <v>0</v>
      </c>
      <c r="B4412" t="s">
        <v>9</v>
      </c>
      <c r="H4412" t="s">
        <v>19</v>
      </c>
    </row>
    <row r="4413" spans="1:8">
      <c r="A4413" s="1">
        <f>HYPERLINK("https://cms.ls-nyc.org/matter/dynamic-profile/view/1895447","19-1895447")</f>
        <v>0</v>
      </c>
      <c r="B4413" t="s">
        <v>9</v>
      </c>
      <c r="G4413" t="s">
        <v>18</v>
      </c>
      <c r="H4413" t="s">
        <v>20</v>
      </c>
    </row>
    <row r="4414" spans="1:8">
      <c r="A4414" s="1">
        <f>HYPERLINK("https://cms.ls-nyc.org/matter/dynamic-profile/view/0810502","16-0810502")</f>
        <v>0</v>
      </c>
      <c r="B4414" t="s">
        <v>9</v>
      </c>
      <c r="D4414" t="s">
        <v>14</v>
      </c>
      <c r="E4414" t="s">
        <v>16</v>
      </c>
      <c r="F4414" t="s">
        <v>17</v>
      </c>
      <c r="H4414" t="s">
        <v>20</v>
      </c>
    </row>
    <row r="4415" spans="1:8">
      <c r="A4415" s="1">
        <f>HYPERLINK("https://cms.ls-nyc.org/matter/dynamic-profile/view/1836760","17-1836760")</f>
        <v>0</v>
      </c>
      <c r="B4415" t="s">
        <v>12</v>
      </c>
      <c r="D4415" t="s">
        <v>15</v>
      </c>
      <c r="E4415" t="s">
        <v>16</v>
      </c>
      <c r="H4415" t="s">
        <v>20</v>
      </c>
    </row>
    <row r="4416" spans="1:8">
      <c r="A4416" s="1">
        <f>HYPERLINK("https://cms.ls-nyc.org/matter/dynamic-profile/view/1896309","19-1896309")</f>
        <v>0</v>
      </c>
      <c r="B4416" t="s">
        <v>8</v>
      </c>
      <c r="H4416" t="s">
        <v>19</v>
      </c>
    </row>
    <row r="4417" spans="1:8">
      <c r="A4417" s="1">
        <f>HYPERLINK("https://cms.ls-nyc.org/matter/dynamic-profile/view/1896320","19-1896320")</f>
        <v>0</v>
      </c>
      <c r="B4417" t="s">
        <v>8</v>
      </c>
      <c r="H4417" t="s">
        <v>19</v>
      </c>
    </row>
    <row r="4418" spans="1:8">
      <c r="A4418" s="1">
        <f>HYPERLINK("https://cms.ls-nyc.org/matter/dynamic-profile/view/1898259","19-1898259")</f>
        <v>0</v>
      </c>
      <c r="B4418" t="s">
        <v>9</v>
      </c>
      <c r="E4418" t="s">
        <v>16</v>
      </c>
      <c r="F4418" t="s">
        <v>17</v>
      </c>
      <c r="H4418" t="s">
        <v>20</v>
      </c>
    </row>
    <row r="4419" spans="1:8">
      <c r="A4419" s="1">
        <f>HYPERLINK("https://cms.ls-nyc.org/matter/dynamic-profile/view/1898848","19-1898848")</f>
        <v>0</v>
      </c>
      <c r="B4419" t="s">
        <v>9</v>
      </c>
      <c r="E4419" t="s">
        <v>16</v>
      </c>
      <c r="F4419" t="s">
        <v>17</v>
      </c>
      <c r="H4419" t="s">
        <v>20</v>
      </c>
    </row>
    <row r="4420" spans="1:8">
      <c r="A4420" s="1">
        <f>HYPERLINK("https://cms.ls-nyc.org/matter/dynamic-profile/view/1898851","19-1898851")</f>
        <v>0</v>
      </c>
      <c r="B4420" t="s">
        <v>9</v>
      </c>
      <c r="E4420" t="s">
        <v>16</v>
      </c>
      <c r="F4420" t="s">
        <v>17</v>
      </c>
      <c r="H4420" t="s">
        <v>20</v>
      </c>
    </row>
    <row r="4421" spans="1:8">
      <c r="A4421" s="1">
        <f>HYPERLINK("https://cms.ls-nyc.org/matter/dynamic-profile/view/1865455","18-1865455")</f>
        <v>0</v>
      </c>
      <c r="B4421" t="s">
        <v>12</v>
      </c>
      <c r="D4421" t="s">
        <v>15</v>
      </c>
      <c r="E4421" t="s">
        <v>16</v>
      </c>
      <c r="H4421" t="s">
        <v>20</v>
      </c>
    </row>
    <row r="4422" spans="1:8">
      <c r="A4422" s="1">
        <f>HYPERLINK("https://cms.ls-nyc.org/matter/dynamic-profile/view/1897721","19-1897721")</f>
        <v>0</v>
      </c>
      <c r="B4422" t="s">
        <v>12</v>
      </c>
      <c r="F4422" t="s">
        <v>17</v>
      </c>
      <c r="H4422" t="s">
        <v>20</v>
      </c>
    </row>
    <row r="4423" spans="1:8">
      <c r="A4423" s="1">
        <f>HYPERLINK("https://cms.ls-nyc.org/matter/dynamic-profile/view/1880130","18-1880130")</f>
        <v>0</v>
      </c>
      <c r="B4423" t="s">
        <v>12</v>
      </c>
      <c r="H4423" t="s">
        <v>19</v>
      </c>
    </row>
    <row r="4424" spans="1:8">
      <c r="A4424" s="1">
        <f>HYPERLINK("https://cms.ls-nyc.org/matter/dynamic-profile/view/1880432","18-1880432")</f>
        <v>0</v>
      </c>
      <c r="B4424" t="s">
        <v>11</v>
      </c>
      <c r="H4424" t="s">
        <v>19</v>
      </c>
    </row>
    <row r="4425" spans="1:8">
      <c r="A4425" s="1">
        <f>HYPERLINK("https://cms.ls-nyc.org/matter/dynamic-profile/view/1879530","18-1879530")</f>
        <v>0</v>
      </c>
      <c r="B4425" t="s">
        <v>9</v>
      </c>
      <c r="H4425" t="s">
        <v>19</v>
      </c>
    </row>
    <row r="4426" spans="1:8">
      <c r="A4426" s="1">
        <f>HYPERLINK("https://cms.ls-nyc.org/matter/dynamic-profile/view/1879525","18-1879525")</f>
        <v>0</v>
      </c>
      <c r="B4426" t="s">
        <v>9</v>
      </c>
      <c r="H4426" t="s">
        <v>19</v>
      </c>
    </row>
    <row r="4427" spans="1:8">
      <c r="A4427" s="1">
        <f>HYPERLINK("https://cms.ls-nyc.org/matter/dynamic-profile/view/1861146","18-1861146")</f>
        <v>0</v>
      </c>
      <c r="B4427" t="s">
        <v>9</v>
      </c>
      <c r="D4427" t="s">
        <v>15</v>
      </c>
      <c r="E4427" t="s">
        <v>16</v>
      </c>
      <c r="H4427" t="s">
        <v>20</v>
      </c>
    </row>
    <row r="4428" spans="1:8">
      <c r="A4428" s="1">
        <f>HYPERLINK("https://cms.ls-nyc.org/matter/dynamic-profile/view/1862652","18-1862652")</f>
        <v>0</v>
      </c>
      <c r="B4428" t="s">
        <v>9</v>
      </c>
      <c r="D4428" t="s">
        <v>15</v>
      </c>
      <c r="E4428" t="s">
        <v>16</v>
      </c>
      <c r="H4428" t="s">
        <v>20</v>
      </c>
    </row>
    <row r="4429" spans="1:8">
      <c r="A4429" s="1">
        <f>HYPERLINK("https://cms.ls-nyc.org/matter/dynamic-profile/view/1855069","18-1855069")</f>
        <v>0</v>
      </c>
      <c r="B4429" t="s">
        <v>10</v>
      </c>
      <c r="D4429" t="s">
        <v>15</v>
      </c>
      <c r="E4429" t="s">
        <v>16</v>
      </c>
      <c r="H4429" t="s">
        <v>20</v>
      </c>
    </row>
    <row r="4430" spans="1:8">
      <c r="A4430" s="1">
        <f>HYPERLINK("https://cms.ls-nyc.org/matter/dynamic-profile/view/1892523","19-1892523")</f>
        <v>0</v>
      </c>
      <c r="B4430" t="s">
        <v>11</v>
      </c>
      <c r="C4430" t="s">
        <v>13</v>
      </c>
      <c r="E4430" t="s">
        <v>16</v>
      </c>
      <c r="H4430" t="s">
        <v>20</v>
      </c>
    </row>
    <row r="4431" spans="1:8">
      <c r="A4431" s="1">
        <f>HYPERLINK("https://cms.ls-nyc.org/matter/dynamic-profile/view/1892641","19-1892641")</f>
        <v>0</v>
      </c>
      <c r="B4431" t="s">
        <v>9</v>
      </c>
      <c r="E4431" t="s">
        <v>16</v>
      </c>
      <c r="F4431" t="s">
        <v>17</v>
      </c>
      <c r="H4431" t="s">
        <v>20</v>
      </c>
    </row>
    <row r="4432" spans="1:8">
      <c r="A4432" s="1">
        <f>HYPERLINK("https://cms.ls-nyc.org/matter/dynamic-profile/view/1897392","19-1897392")</f>
        <v>0</v>
      </c>
      <c r="B4432" t="s">
        <v>9</v>
      </c>
      <c r="E4432" t="s">
        <v>16</v>
      </c>
      <c r="F4432" t="s">
        <v>17</v>
      </c>
      <c r="H4432" t="s">
        <v>20</v>
      </c>
    </row>
    <row r="4433" spans="1:8">
      <c r="A4433" s="1">
        <f>HYPERLINK("https://cms.ls-nyc.org/matter/dynamic-profile/view/1891444","19-1891444")</f>
        <v>0</v>
      </c>
      <c r="B4433" t="s">
        <v>9</v>
      </c>
      <c r="H4433" t="s">
        <v>19</v>
      </c>
    </row>
    <row r="4434" spans="1:8">
      <c r="A4434" s="1">
        <f>HYPERLINK("https://cms.ls-nyc.org/matter/dynamic-profile/view/1891556","19-1891556")</f>
        <v>0</v>
      </c>
      <c r="B4434" t="s">
        <v>9</v>
      </c>
      <c r="E4434" t="s">
        <v>16</v>
      </c>
      <c r="F4434" t="s">
        <v>17</v>
      </c>
      <c r="H4434" t="s">
        <v>20</v>
      </c>
    </row>
    <row r="4435" spans="1:8">
      <c r="A4435" s="1">
        <f>HYPERLINK("https://cms.ls-nyc.org/matter/dynamic-profile/view/1892643","19-1892643")</f>
        <v>0</v>
      </c>
      <c r="B4435" t="s">
        <v>9</v>
      </c>
      <c r="E4435" t="s">
        <v>16</v>
      </c>
      <c r="F4435" t="s">
        <v>17</v>
      </c>
      <c r="H4435" t="s">
        <v>20</v>
      </c>
    </row>
    <row r="4436" spans="1:8">
      <c r="A4436" s="1">
        <f>HYPERLINK("https://cms.ls-nyc.org/matter/dynamic-profile/view/1897393","19-1897393")</f>
        <v>0</v>
      </c>
      <c r="B4436" t="s">
        <v>9</v>
      </c>
      <c r="E4436" t="s">
        <v>16</v>
      </c>
      <c r="F4436" t="s">
        <v>17</v>
      </c>
      <c r="H4436" t="s">
        <v>20</v>
      </c>
    </row>
    <row r="4437" spans="1:8">
      <c r="A4437" s="1">
        <f>HYPERLINK("https://cms.ls-nyc.org/matter/dynamic-profile/view/1891367","19-1891367")</f>
        <v>0</v>
      </c>
      <c r="B4437" t="s">
        <v>9</v>
      </c>
      <c r="H4437" t="s">
        <v>19</v>
      </c>
    </row>
    <row r="4438" spans="1:8">
      <c r="A4438" s="1">
        <f>HYPERLINK("https://cms.ls-nyc.org/matter/dynamic-profile/view/1892931","19-1892931")</f>
        <v>0</v>
      </c>
      <c r="B4438" t="s">
        <v>9</v>
      </c>
      <c r="H4438" t="s">
        <v>19</v>
      </c>
    </row>
    <row r="4439" spans="1:8">
      <c r="A4439" s="1">
        <f>HYPERLINK("https://cms.ls-nyc.org/matter/dynamic-profile/view/1891037","19-1891037")</f>
        <v>0</v>
      </c>
      <c r="B4439" t="s">
        <v>10</v>
      </c>
      <c r="F4439" t="s">
        <v>17</v>
      </c>
      <c r="H4439" t="s">
        <v>20</v>
      </c>
    </row>
    <row r="4440" spans="1:8">
      <c r="A4440" s="1">
        <f>HYPERLINK("https://cms.ls-nyc.org/matter/dynamic-profile/view/1893132","19-1893132")</f>
        <v>0</v>
      </c>
      <c r="B4440" t="s">
        <v>10</v>
      </c>
      <c r="C4440" t="s">
        <v>13</v>
      </c>
      <c r="D4440" t="s">
        <v>14</v>
      </c>
      <c r="E4440" t="s">
        <v>16</v>
      </c>
      <c r="H4440" t="s">
        <v>20</v>
      </c>
    </row>
    <row r="4441" spans="1:8">
      <c r="A4441" s="1">
        <f>HYPERLINK("https://cms.ls-nyc.org/matter/dynamic-profile/view/1892587","19-1892587")</f>
        <v>0</v>
      </c>
      <c r="B4441" t="s">
        <v>11</v>
      </c>
      <c r="H4441" t="s">
        <v>19</v>
      </c>
    </row>
    <row r="4442" spans="1:8">
      <c r="A4442" s="1">
        <f>HYPERLINK("https://cms.ls-nyc.org/matter/dynamic-profile/view/1895540","19-1895540")</f>
        <v>0</v>
      </c>
      <c r="B4442" t="s">
        <v>12</v>
      </c>
      <c r="H4442" t="s">
        <v>19</v>
      </c>
    </row>
    <row r="4443" spans="1:8">
      <c r="A4443" s="1">
        <f>HYPERLINK("https://cms.ls-nyc.org/matter/dynamic-profile/view/1890455","19-1890455")</f>
        <v>0</v>
      </c>
      <c r="B4443" t="s">
        <v>11</v>
      </c>
      <c r="H4443" t="s">
        <v>19</v>
      </c>
    </row>
    <row r="4444" spans="1:8">
      <c r="A4444" s="1">
        <f>HYPERLINK("https://cms.ls-nyc.org/matter/dynamic-profile/view/1892879","19-1892879")</f>
        <v>0</v>
      </c>
      <c r="B4444" t="s">
        <v>10</v>
      </c>
      <c r="D4444" t="s">
        <v>14</v>
      </c>
      <c r="G4444" t="s">
        <v>18</v>
      </c>
      <c r="H4444" t="s">
        <v>20</v>
      </c>
    </row>
    <row r="4445" spans="1:8">
      <c r="A4445" s="1">
        <f>HYPERLINK("https://cms.ls-nyc.org/matter/dynamic-profile/view/1885636","18-1885636")</f>
        <v>0</v>
      </c>
      <c r="B4445" t="s">
        <v>10</v>
      </c>
      <c r="F4445" t="s">
        <v>17</v>
      </c>
      <c r="H4445" t="s">
        <v>20</v>
      </c>
    </row>
    <row r="4446" spans="1:8">
      <c r="A4446" s="1">
        <f>HYPERLINK("https://cms.ls-nyc.org/matter/dynamic-profile/view/1877920","18-1877920")</f>
        <v>0</v>
      </c>
      <c r="B4446" t="s">
        <v>12</v>
      </c>
      <c r="F4446" t="s">
        <v>17</v>
      </c>
      <c r="H4446" t="s">
        <v>20</v>
      </c>
    </row>
    <row r="4447" spans="1:8">
      <c r="A4447" s="1">
        <f>HYPERLINK("https://cms.ls-nyc.org/matter/dynamic-profile/view/1898334","19-1898334")</f>
        <v>0</v>
      </c>
      <c r="B4447" t="s">
        <v>9</v>
      </c>
      <c r="H4447" t="s">
        <v>19</v>
      </c>
    </row>
    <row r="4448" spans="1:8">
      <c r="A4448" s="1">
        <f>HYPERLINK("https://cms.ls-nyc.org/matter/dynamic-profile/view/1898336","19-1898336")</f>
        <v>0</v>
      </c>
      <c r="B4448" t="s">
        <v>9</v>
      </c>
      <c r="H4448" t="s">
        <v>19</v>
      </c>
    </row>
    <row r="4449" spans="1:8">
      <c r="A4449" s="1">
        <f>HYPERLINK("https://cms.ls-nyc.org/matter/dynamic-profile/view/1882385","18-1882385")</f>
        <v>0</v>
      </c>
      <c r="B4449" t="s">
        <v>10</v>
      </c>
      <c r="D4449" t="s">
        <v>14</v>
      </c>
      <c r="H4449" t="s">
        <v>20</v>
      </c>
    </row>
    <row r="4450" spans="1:8">
      <c r="A4450" s="1">
        <f>HYPERLINK("https://cms.ls-nyc.org/matter/dynamic-profile/view/1887025","19-1887025")</f>
        <v>0</v>
      </c>
      <c r="B4450" t="s">
        <v>10</v>
      </c>
      <c r="C4450" t="s">
        <v>13</v>
      </c>
      <c r="D4450" t="s">
        <v>14</v>
      </c>
      <c r="E4450" t="s">
        <v>16</v>
      </c>
      <c r="H4450" t="s">
        <v>20</v>
      </c>
    </row>
    <row r="4451" spans="1:8">
      <c r="A4451" s="1">
        <f>HYPERLINK("https://cms.ls-nyc.org/matter/dynamic-profile/view/1890584","19-1890584")</f>
        <v>0</v>
      </c>
      <c r="B4451" t="s">
        <v>9</v>
      </c>
      <c r="E4451" t="s">
        <v>16</v>
      </c>
      <c r="F4451" t="s">
        <v>17</v>
      </c>
      <c r="H4451" t="s">
        <v>20</v>
      </c>
    </row>
    <row r="4452" spans="1:8">
      <c r="A4452" s="1">
        <f>HYPERLINK("https://cms.ls-nyc.org/matter/dynamic-profile/view/1891600","19-1891600")</f>
        <v>0</v>
      </c>
      <c r="B4452" t="s">
        <v>9</v>
      </c>
      <c r="E4452" t="s">
        <v>16</v>
      </c>
      <c r="F4452" t="s">
        <v>17</v>
      </c>
      <c r="H4452" t="s">
        <v>20</v>
      </c>
    </row>
    <row r="4453" spans="1:8">
      <c r="A4453" s="1">
        <f>HYPERLINK("https://cms.ls-nyc.org/matter/dynamic-profile/view/1897759","19-1897759")</f>
        <v>0</v>
      </c>
      <c r="B4453" t="s">
        <v>12</v>
      </c>
      <c r="H4453" t="s">
        <v>19</v>
      </c>
    </row>
    <row r="4454" spans="1:8">
      <c r="A4454" s="1">
        <f>HYPERLINK("https://cms.ls-nyc.org/matter/dynamic-profile/view/1882754","18-1882754")</f>
        <v>0</v>
      </c>
      <c r="B4454" t="s">
        <v>10</v>
      </c>
      <c r="H4454" t="s">
        <v>19</v>
      </c>
    </row>
    <row r="4455" spans="1:8">
      <c r="A4455" s="1">
        <f>HYPERLINK("https://cms.ls-nyc.org/matter/dynamic-profile/view/1882738","18-1882738")</f>
        <v>0</v>
      </c>
      <c r="B4455" t="s">
        <v>10</v>
      </c>
      <c r="H4455" t="s">
        <v>19</v>
      </c>
    </row>
    <row r="4456" spans="1:8">
      <c r="A4456" s="1">
        <f>HYPERLINK("https://cms.ls-nyc.org/matter/dynamic-profile/view/1900719","19-1900719")</f>
        <v>0</v>
      </c>
      <c r="B4456" t="s">
        <v>9</v>
      </c>
      <c r="H4456" t="s">
        <v>19</v>
      </c>
    </row>
    <row r="4457" spans="1:8">
      <c r="A4457" s="1">
        <f>HYPERLINK("https://cms.ls-nyc.org/matter/dynamic-profile/view/1874136","18-1874136")</f>
        <v>0</v>
      </c>
      <c r="B4457" t="s">
        <v>12</v>
      </c>
      <c r="H4457" t="s">
        <v>19</v>
      </c>
    </row>
    <row r="4458" spans="1:8">
      <c r="A4458" s="1">
        <f>HYPERLINK("https://cms.ls-nyc.org/matter/dynamic-profile/view/1901046","19-1901046")</f>
        <v>0</v>
      </c>
      <c r="B4458" t="s">
        <v>10</v>
      </c>
      <c r="D4458" t="s">
        <v>14</v>
      </c>
      <c r="E4458" t="s">
        <v>16</v>
      </c>
      <c r="H4458" t="s">
        <v>20</v>
      </c>
    </row>
    <row r="4459" spans="1:8">
      <c r="A4459" s="1">
        <f>HYPERLINK("https://cms.ls-nyc.org/matter/dynamic-profile/view/1861203","18-1861203")</f>
        <v>0</v>
      </c>
      <c r="B4459" t="s">
        <v>9</v>
      </c>
      <c r="D4459" t="s">
        <v>15</v>
      </c>
      <c r="E4459" t="s">
        <v>16</v>
      </c>
      <c r="H4459" t="s">
        <v>20</v>
      </c>
    </row>
    <row r="4460" spans="1:8">
      <c r="A4460" s="1">
        <f>HYPERLINK("https://cms.ls-nyc.org/matter/dynamic-profile/view/1862641","18-1862641")</f>
        <v>0</v>
      </c>
      <c r="B4460" t="s">
        <v>9</v>
      </c>
      <c r="D4460" t="s">
        <v>15</v>
      </c>
      <c r="E4460" t="s">
        <v>16</v>
      </c>
      <c r="H4460" t="s">
        <v>20</v>
      </c>
    </row>
    <row r="4461" spans="1:8">
      <c r="A4461" s="1">
        <f>HYPERLINK("https://cms.ls-nyc.org/matter/dynamic-profile/view/1850555","17-1850555")</f>
        <v>0</v>
      </c>
      <c r="B4461" t="s">
        <v>12</v>
      </c>
      <c r="D4461" t="s">
        <v>15</v>
      </c>
      <c r="E4461" t="s">
        <v>16</v>
      </c>
      <c r="H4461" t="s">
        <v>20</v>
      </c>
    </row>
    <row r="4462" spans="1:8">
      <c r="A4462" s="1">
        <f>HYPERLINK("https://cms.ls-nyc.org/matter/dynamic-profile/view/1833138","17-1833138")</f>
        <v>0</v>
      </c>
      <c r="B4462" t="s">
        <v>12</v>
      </c>
      <c r="D4462" t="s">
        <v>15</v>
      </c>
      <c r="H4462" t="s">
        <v>20</v>
      </c>
    </row>
    <row r="4463" spans="1:8">
      <c r="A4463" s="1">
        <f>HYPERLINK("https://cms.ls-nyc.org/matter/dynamic-profile/view/1885256","18-1885256")</f>
        <v>0</v>
      </c>
      <c r="B4463" t="s">
        <v>12</v>
      </c>
      <c r="H4463" t="s">
        <v>19</v>
      </c>
    </row>
    <row r="4464" spans="1:8">
      <c r="A4464" s="1">
        <f>HYPERLINK("https://cms.ls-nyc.org/matter/dynamic-profile/view/1887499","19-1887499")</f>
        <v>0</v>
      </c>
      <c r="B4464" t="s">
        <v>10</v>
      </c>
      <c r="H4464" t="s">
        <v>19</v>
      </c>
    </row>
    <row r="4465" spans="1:8">
      <c r="A4465" s="1">
        <f>HYPERLINK("https://cms.ls-nyc.org/matter/dynamic-profile/view/0829631","17-0829631")</f>
        <v>0</v>
      </c>
      <c r="B4465" t="s">
        <v>12</v>
      </c>
      <c r="C4465" t="s">
        <v>13</v>
      </c>
      <c r="D4465" t="s">
        <v>15</v>
      </c>
      <c r="E4465" t="s">
        <v>16</v>
      </c>
      <c r="F4465" t="s">
        <v>17</v>
      </c>
      <c r="H4465" t="s">
        <v>20</v>
      </c>
    </row>
    <row r="4466" spans="1:8">
      <c r="A4466" s="1">
        <f>HYPERLINK("https://cms.ls-nyc.org/matter/dynamic-profile/view/1896710","19-1896710")</f>
        <v>0</v>
      </c>
      <c r="B4466" t="s">
        <v>9</v>
      </c>
      <c r="H4466" t="s">
        <v>19</v>
      </c>
    </row>
    <row r="4467" spans="1:8">
      <c r="A4467" s="1">
        <f>HYPERLINK("https://cms.ls-nyc.org/matter/dynamic-profile/view/1893001","19-1893001")</f>
        <v>0</v>
      </c>
      <c r="B4467" t="s">
        <v>10</v>
      </c>
      <c r="D4467" t="s">
        <v>14</v>
      </c>
      <c r="G4467" t="s">
        <v>18</v>
      </c>
      <c r="H4467" t="s">
        <v>20</v>
      </c>
    </row>
    <row r="4468" spans="1:8">
      <c r="A4468" s="1">
        <f>HYPERLINK("https://cms.ls-nyc.org/matter/dynamic-profile/view/1889904","19-1889904")</f>
        <v>0</v>
      </c>
      <c r="B4468" t="s">
        <v>10</v>
      </c>
      <c r="H4468" t="s">
        <v>19</v>
      </c>
    </row>
    <row r="4469" spans="1:8">
      <c r="A4469" s="1">
        <f>HYPERLINK("https://cms.ls-nyc.org/matter/dynamic-profile/view/1889883","19-1889883")</f>
        <v>0</v>
      </c>
      <c r="B4469" t="s">
        <v>10</v>
      </c>
      <c r="E4469" t="s">
        <v>16</v>
      </c>
      <c r="H4469" t="s">
        <v>20</v>
      </c>
    </row>
    <row r="4470" spans="1:8">
      <c r="A4470" s="1">
        <f>HYPERLINK("https://cms.ls-nyc.org/matter/dynamic-profile/view/1886109","18-1886109")</f>
        <v>0</v>
      </c>
      <c r="B4470" t="s">
        <v>9</v>
      </c>
      <c r="H4470" t="s">
        <v>19</v>
      </c>
    </row>
    <row r="4471" spans="1:8">
      <c r="A4471" s="1">
        <f>HYPERLINK("https://cms.ls-nyc.org/matter/dynamic-profile/view/1887156","19-1887156")</f>
        <v>0</v>
      </c>
      <c r="B4471" t="s">
        <v>9</v>
      </c>
      <c r="D4471" t="s">
        <v>14</v>
      </c>
      <c r="F4471" t="s">
        <v>17</v>
      </c>
      <c r="H4471" t="s">
        <v>20</v>
      </c>
    </row>
    <row r="4472" spans="1:8">
      <c r="A4472" s="1">
        <f>HYPERLINK("https://cms.ls-nyc.org/matter/dynamic-profile/view/1862189","18-1862189")</f>
        <v>0</v>
      </c>
      <c r="B4472" t="s">
        <v>12</v>
      </c>
      <c r="D4472" t="s">
        <v>15</v>
      </c>
      <c r="E4472" t="s">
        <v>16</v>
      </c>
      <c r="H4472" t="s">
        <v>20</v>
      </c>
    </row>
    <row r="4473" spans="1:8">
      <c r="A4473" s="1">
        <f>HYPERLINK("https://cms.ls-nyc.org/matter/dynamic-profile/view/1890567","19-1890567")</f>
        <v>0</v>
      </c>
      <c r="B4473" t="s">
        <v>9</v>
      </c>
      <c r="E4473" t="s">
        <v>16</v>
      </c>
      <c r="F4473" t="s">
        <v>17</v>
      </c>
      <c r="H4473" t="s">
        <v>20</v>
      </c>
    </row>
    <row r="4474" spans="1:8">
      <c r="A4474" s="1">
        <f>HYPERLINK("https://cms.ls-nyc.org/matter/dynamic-profile/view/1891869","19-1891869")</f>
        <v>0</v>
      </c>
      <c r="B4474" t="s">
        <v>9</v>
      </c>
      <c r="E4474" t="s">
        <v>16</v>
      </c>
      <c r="F4474" t="s">
        <v>17</v>
      </c>
      <c r="H4474" t="s">
        <v>20</v>
      </c>
    </row>
    <row r="4475" spans="1:8">
      <c r="A4475" s="1">
        <f>HYPERLINK("https://cms.ls-nyc.org/matter/dynamic-profile/view/1901214","19-1901214")</f>
        <v>0</v>
      </c>
      <c r="B4475" t="s">
        <v>12</v>
      </c>
      <c r="F4475" t="s">
        <v>17</v>
      </c>
      <c r="H4475" t="s">
        <v>20</v>
      </c>
    </row>
    <row r="4476" spans="1:8">
      <c r="A4476" s="1">
        <f>HYPERLINK("https://cms.ls-nyc.org/matter/dynamic-profile/view/1895818","19-1895818")</f>
        <v>0</v>
      </c>
      <c r="B4476" t="s">
        <v>9</v>
      </c>
      <c r="C4476" t="s">
        <v>13</v>
      </c>
      <c r="E4476" t="s">
        <v>16</v>
      </c>
      <c r="G4476" t="s">
        <v>18</v>
      </c>
      <c r="H4476" t="s">
        <v>20</v>
      </c>
    </row>
    <row r="4477" spans="1:8">
      <c r="A4477" s="1">
        <f>HYPERLINK("https://cms.ls-nyc.org/matter/dynamic-profile/view/1889342","19-1889342")</f>
        <v>0</v>
      </c>
      <c r="B4477" t="s">
        <v>9</v>
      </c>
      <c r="C4477" t="s">
        <v>13</v>
      </c>
      <c r="F4477" t="s">
        <v>17</v>
      </c>
      <c r="H4477" t="s">
        <v>20</v>
      </c>
    </row>
    <row r="4478" spans="1:8">
      <c r="A4478" s="1">
        <f>HYPERLINK("https://cms.ls-nyc.org/matter/dynamic-profile/view/1888758","19-1888758")</f>
        <v>0</v>
      </c>
      <c r="B4478" t="s">
        <v>9</v>
      </c>
      <c r="C4478" t="s">
        <v>13</v>
      </c>
      <c r="F4478" t="s">
        <v>17</v>
      </c>
      <c r="H4478" t="s">
        <v>20</v>
      </c>
    </row>
    <row r="4479" spans="1:8">
      <c r="A4479" s="1">
        <f>HYPERLINK("https://cms.ls-nyc.org/matter/dynamic-profile/view/1838220","17-1838220")</f>
        <v>0</v>
      </c>
      <c r="B4479" t="s">
        <v>10</v>
      </c>
      <c r="D4479" t="s">
        <v>15</v>
      </c>
      <c r="E4479" t="s">
        <v>16</v>
      </c>
      <c r="H4479" t="s">
        <v>20</v>
      </c>
    </row>
    <row r="4480" spans="1:8">
      <c r="A4480" s="1">
        <f>HYPERLINK("https://cms.ls-nyc.org/matter/dynamic-profile/view/1851960","17-1851960")</f>
        <v>0</v>
      </c>
      <c r="B4480" t="s">
        <v>10</v>
      </c>
      <c r="D4480" t="s">
        <v>15</v>
      </c>
      <c r="E4480" t="s">
        <v>16</v>
      </c>
      <c r="H4480" t="s">
        <v>20</v>
      </c>
    </row>
    <row r="4481" spans="1:8">
      <c r="A4481" s="1">
        <f>HYPERLINK("https://cms.ls-nyc.org/matter/dynamic-profile/view/1893003","19-1893003")</f>
        <v>0</v>
      </c>
      <c r="B4481" t="s">
        <v>12</v>
      </c>
      <c r="H4481" t="s">
        <v>19</v>
      </c>
    </row>
    <row r="4482" spans="1:8">
      <c r="A4482" s="1">
        <f>HYPERLINK("https://cms.ls-nyc.org/matter/dynamic-profile/view/1842036","17-1842036")</f>
        <v>0</v>
      </c>
      <c r="B4482" t="s">
        <v>12</v>
      </c>
      <c r="D4482" t="s">
        <v>15</v>
      </c>
      <c r="H4482" t="s">
        <v>20</v>
      </c>
    </row>
    <row r="4483" spans="1:8">
      <c r="A4483" s="1">
        <f>HYPERLINK("https://cms.ls-nyc.org/matter/dynamic-profile/view/1901175","19-1901175")</f>
        <v>0</v>
      </c>
      <c r="B4483" t="s">
        <v>12</v>
      </c>
      <c r="F4483" t="s">
        <v>17</v>
      </c>
      <c r="H4483" t="s">
        <v>20</v>
      </c>
    </row>
    <row r="4484" spans="1:8">
      <c r="A4484" s="1">
        <f>HYPERLINK("https://cms.ls-nyc.org/matter/dynamic-profile/view/1876511","18-1876511")</f>
        <v>0</v>
      </c>
      <c r="B4484" t="s">
        <v>9</v>
      </c>
      <c r="H4484" t="s">
        <v>19</v>
      </c>
    </row>
    <row r="4485" spans="1:8">
      <c r="A4485" s="1">
        <f>HYPERLINK("https://cms.ls-nyc.org/matter/dynamic-profile/view/1897828","19-1897828")</f>
        <v>0</v>
      </c>
      <c r="B4485" t="s">
        <v>12</v>
      </c>
      <c r="F4485" t="s">
        <v>17</v>
      </c>
      <c r="H4485" t="s">
        <v>20</v>
      </c>
    </row>
    <row r="4486" spans="1:8">
      <c r="A4486" s="1">
        <f>HYPERLINK("https://cms.ls-nyc.org/matter/dynamic-profile/view/1881561","18-1881561")</f>
        <v>0</v>
      </c>
      <c r="B4486" t="s">
        <v>9</v>
      </c>
      <c r="F4486" t="s">
        <v>17</v>
      </c>
      <c r="H4486" t="s">
        <v>20</v>
      </c>
    </row>
    <row r="4487" spans="1:8">
      <c r="A4487" s="1">
        <f>HYPERLINK("https://cms.ls-nyc.org/matter/dynamic-profile/view/1857861","18-1857861")</f>
        <v>0</v>
      </c>
      <c r="B4487" t="s">
        <v>10</v>
      </c>
      <c r="D4487" t="s">
        <v>15</v>
      </c>
      <c r="E4487" t="s">
        <v>16</v>
      </c>
      <c r="H4487" t="s">
        <v>20</v>
      </c>
    </row>
    <row r="4488" spans="1:8">
      <c r="A4488" s="1">
        <f>HYPERLINK("https://cms.ls-nyc.org/matter/dynamic-profile/view/1891710","19-1891710")</f>
        <v>0</v>
      </c>
      <c r="B4488" t="s">
        <v>9</v>
      </c>
      <c r="H4488" t="s">
        <v>19</v>
      </c>
    </row>
    <row r="4489" spans="1:8">
      <c r="A4489" s="1">
        <f>HYPERLINK("https://cms.ls-nyc.org/matter/dynamic-profile/view/1895374","19-1895374")</f>
        <v>0</v>
      </c>
      <c r="B4489" t="s">
        <v>9</v>
      </c>
      <c r="F4489" t="s">
        <v>17</v>
      </c>
      <c r="H4489" t="s">
        <v>20</v>
      </c>
    </row>
    <row r="4490" spans="1:8">
      <c r="A4490" s="1">
        <f>HYPERLINK("https://cms.ls-nyc.org/matter/dynamic-profile/view/1887834","19-1887834")</f>
        <v>0</v>
      </c>
      <c r="B4490" t="s">
        <v>9</v>
      </c>
      <c r="D4490" t="s">
        <v>15</v>
      </c>
      <c r="E4490" t="s">
        <v>16</v>
      </c>
      <c r="H4490" t="s">
        <v>20</v>
      </c>
    </row>
    <row r="4491" spans="1:8">
      <c r="A4491" s="1">
        <f>HYPERLINK("https://cms.ls-nyc.org/matter/dynamic-profile/view/1889772","19-1889772")</f>
        <v>0</v>
      </c>
      <c r="B4491" t="s">
        <v>10</v>
      </c>
      <c r="D4491" t="s">
        <v>14</v>
      </c>
      <c r="F4491" t="s">
        <v>17</v>
      </c>
      <c r="H4491" t="s">
        <v>20</v>
      </c>
    </row>
    <row r="4492" spans="1:8">
      <c r="A4492" s="1">
        <f>HYPERLINK("https://cms.ls-nyc.org/matter/dynamic-profile/view/1842840","17-1842840")</f>
        <v>0</v>
      </c>
      <c r="B4492" t="s">
        <v>11</v>
      </c>
      <c r="D4492" t="s">
        <v>15</v>
      </c>
      <c r="E4492" t="s">
        <v>16</v>
      </c>
      <c r="H4492" t="s">
        <v>20</v>
      </c>
    </row>
    <row r="4493" spans="1:8">
      <c r="A4493" s="1">
        <f>HYPERLINK("https://cms.ls-nyc.org/matter/dynamic-profile/view/0831584","17-0831584")</f>
        <v>0</v>
      </c>
      <c r="B4493" t="s">
        <v>12</v>
      </c>
      <c r="C4493" t="s">
        <v>13</v>
      </c>
      <c r="D4493" t="s">
        <v>15</v>
      </c>
      <c r="E4493" t="s">
        <v>16</v>
      </c>
      <c r="H4493" t="s">
        <v>20</v>
      </c>
    </row>
    <row r="4494" spans="1:8">
      <c r="A4494" s="1">
        <f>HYPERLINK("https://cms.ls-nyc.org/matter/dynamic-profile/view/1898235","19-1898235")</f>
        <v>0</v>
      </c>
      <c r="B4494" t="s">
        <v>10</v>
      </c>
      <c r="D4494" t="s">
        <v>14</v>
      </c>
      <c r="H4494" t="s">
        <v>20</v>
      </c>
    </row>
    <row r="4495" spans="1:8">
      <c r="A4495" s="1">
        <f>HYPERLINK("https://cms.ls-nyc.org/matter/dynamic-profile/view/1898330","19-1898330")</f>
        <v>0</v>
      </c>
      <c r="B4495" t="s">
        <v>10</v>
      </c>
      <c r="D4495" t="s">
        <v>14</v>
      </c>
      <c r="H4495" t="s">
        <v>20</v>
      </c>
    </row>
    <row r="4496" spans="1:8">
      <c r="A4496" s="1">
        <f>HYPERLINK("https://cms.ls-nyc.org/matter/dynamic-profile/view/1897739","19-1897739")</f>
        <v>0</v>
      </c>
      <c r="B4496" t="s">
        <v>10</v>
      </c>
      <c r="C4496" t="s">
        <v>13</v>
      </c>
      <c r="D4496" t="s">
        <v>14</v>
      </c>
      <c r="E4496" t="s">
        <v>16</v>
      </c>
      <c r="G4496" t="s">
        <v>18</v>
      </c>
      <c r="H4496" t="s">
        <v>20</v>
      </c>
    </row>
    <row r="4497" spans="1:8">
      <c r="A4497" s="1">
        <f>HYPERLINK("https://cms.ls-nyc.org/matter/dynamic-profile/view/1901021","19-1901021")</f>
        <v>0</v>
      </c>
      <c r="B4497" t="s">
        <v>12</v>
      </c>
      <c r="H4497" t="s">
        <v>19</v>
      </c>
    </row>
    <row r="4498" spans="1:8">
      <c r="A4498" s="1">
        <f>HYPERLINK("https://cms.ls-nyc.org/matter/dynamic-profile/view/1896342","19-1896342")</f>
        <v>0</v>
      </c>
      <c r="B4498" t="s">
        <v>8</v>
      </c>
      <c r="H4498" t="s">
        <v>19</v>
      </c>
    </row>
    <row r="4499" spans="1:8">
      <c r="A4499" s="1">
        <f>HYPERLINK("https://cms.ls-nyc.org/matter/dynamic-profile/view/1896347","19-1896347")</f>
        <v>0</v>
      </c>
      <c r="B4499" t="s">
        <v>8</v>
      </c>
      <c r="H4499" t="s">
        <v>19</v>
      </c>
    </row>
    <row r="4500" spans="1:8">
      <c r="A4500" s="1">
        <f>HYPERLINK("https://cms.ls-nyc.org/matter/dynamic-profile/view/1899910","19-1899910")</f>
        <v>0</v>
      </c>
      <c r="B4500" t="s">
        <v>10</v>
      </c>
      <c r="H4500" t="s">
        <v>19</v>
      </c>
    </row>
    <row r="4501" spans="1:8">
      <c r="A4501" s="1">
        <f>HYPERLINK("https://cms.ls-nyc.org/matter/dynamic-profile/view/1884532","18-1884532")</f>
        <v>0</v>
      </c>
      <c r="B4501" t="s">
        <v>10</v>
      </c>
      <c r="H4501" t="s">
        <v>19</v>
      </c>
    </row>
    <row r="4502" spans="1:8">
      <c r="A4502" s="1">
        <f>HYPERLINK("https://cms.ls-nyc.org/matter/dynamic-profile/view/1885359","18-1885359")</f>
        <v>0</v>
      </c>
      <c r="B4502" t="s">
        <v>10</v>
      </c>
      <c r="F4502" t="s">
        <v>17</v>
      </c>
      <c r="H4502" t="s">
        <v>20</v>
      </c>
    </row>
    <row r="4503" spans="1:8">
      <c r="A4503" s="1">
        <f>HYPERLINK("https://cms.ls-nyc.org/matter/dynamic-profile/view/1847006","17-1847006")</f>
        <v>0</v>
      </c>
      <c r="B4503" t="s">
        <v>11</v>
      </c>
      <c r="H4503" t="s">
        <v>19</v>
      </c>
    </row>
    <row r="4504" spans="1:8">
      <c r="A4504" s="1">
        <f>HYPERLINK("https://cms.ls-nyc.org/matter/dynamic-profile/view/1892850","19-1892850")</f>
        <v>0</v>
      </c>
      <c r="B4504" t="s">
        <v>9</v>
      </c>
      <c r="E4504" t="s">
        <v>16</v>
      </c>
      <c r="F4504" t="s">
        <v>17</v>
      </c>
      <c r="H4504" t="s">
        <v>20</v>
      </c>
    </row>
    <row r="4505" spans="1:8">
      <c r="A4505" s="1">
        <f>HYPERLINK("https://cms.ls-nyc.org/matter/dynamic-profile/view/1892854","19-1892854")</f>
        <v>0</v>
      </c>
      <c r="B4505" t="s">
        <v>9</v>
      </c>
      <c r="E4505" t="s">
        <v>16</v>
      </c>
      <c r="F4505" t="s">
        <v>17</v>
      </c>
      <c r="H4505" t="s">
        <v>20</v>
      </c>
    </row>
    <row r="4506" spans="1:8">
      <c r="A4506" s="1">
        <f>HYPERLINK("https://cms.ls-nyc.org/matter/dynamic-profile/view/1890779","19-1890779")</f>
        <v>0</v>
      </c>
      <c r="B4506" t="s">
        <v>10</v>
      </c>
      <c r="D4506" t="s">
        <v>14</v>
      </c>
      <c r="F4506" t="s">
        <v>17</v>
      </c>
      <c r="H4506" t="s">
        <v>20</v>
      </c>
    </row>
    <row r="4507" spans="1:8">
      <c r="A4507" s="1">
        <f>HYPERLINK("https://cms.ls-nyc.org/matter/dynamic-profile/view/1873081","18-1873081")</f>
        <v>0</v>
      </c>
      <c r="B4507" t="s">
        <v>10</v>
      </c>
      <c r="H4507" t="s">
        <v>19</v>
      </c>
    </row>
    <row r="4508" spans="1:8">
      <c r="A4508" s="1">
        <f>HYPERLINK("https://cms.ls-nyc.org/matter/dynamic-profile/view/1838143","17-1838143")</f>
        <v>0</v>
      </c>
      <c r="B4508" t="s">
        <v>10</v>
      </c>
      <c r="D4508" t="s">
        <v>15</v>
      </c>
      <c r="E4508" t="s">
        <v>16</v>
      </c>
      <c r="H4508" t="s">
        <v>20</v>
      </c>
    </row>
    <row r="4509" spans="1:8">
      <c r="A4509" s="1">
        <f>HYPERLINK("https://cms.ls-nyc.org/matter/dynamic-profile/view/1887160","19-1887160")</f>
        <v>0</v>
      </c>
      <c r="B4509" t="s">
        <v>9</v>
      </c>
      <c r="F4509" t="s">
        <v>17</v>
      </c>
      <c r="H4509" t="s">
        <v>20</v>
      </c>
    </row>
    <row r="4510" spans="1:8">
      <c r="A4510" s="1">
        <f>HYPERLINK("https://cms.ls-nyc.org/matter/dynamic-profile/view/1886163","18-1886163")</f>
        <v>0</v>
      </c>
      <c r="B4510" t="s">
        <v>9</v>
      </c>
      <c r="H4510" t="s">
        <v>19</v>
      </c>
    </row>
    <row r="4511" spans="1:8">
      <c r="A4511" s="1">
        <f>HYPERLINK("https://cms.ls-nyc.org/matter/dynamic-profile/view/1885014","18-1885014")</f>
        <v>0</v>
      </c>
      <c r="B4511" t="s">
        <v>9</v>
      </c>
      <c r="F4511" t="s">
        <v>17</v>
      </c>
      <c r="H4511" t="s">
        <v>20</v>
      </c>
    </row>
    <row r="4512" spans="1:8">
      <c r="A4512" s="1">
        <f>HYPERLINK("https://cms.ls-nyc.org/matter/dynamic-profile/view/1886867","19-1886867")</f>
        <v>0</v>
      </c>
      <c r="B4512" t="s">
        <v>10</v>
      </c>
      <c r="H4512" t="s">
        <v>19</v>
      </c>
    </row>
    <row r="4513" spans="1:8">
      <c r="A4513" s="1">
        <f>HYPERLINK("https://cms.ls-nyc.org/matter/dynamic-profile/view/1870530","18-1870530")</f>
        <v>0</v>
      </c>
      <c r="B4513" t="s">
        <v>10</v>
      </c>
      <c r="D4513" t="s">
        <v>15</v>
      </c>
      <c r="E4513" t="s">
        <v>16</v>
      </c>
      <c r="H4513" t="s">
        <v>20</v>
      </c>
    </row>
    <row r="4514" spans="1:8">
      <c r="A4514" s="1">
        <f>HYPERLINK("https://cms.ls-nyc.org/matter/dynamic-profile/view/1870528","18-1870528")</f>
        <v>0</v>
      </c>
      <c r="B4514" t="s">
        <v>10</v>
      </c>
      <c r="D4514" t="s">
        <v>15</v>
      </c>
      <c r="E4514" t="s">
        <v>16</v>
      </c>
      <c r="H4514" t="s">
        <v>20</v>
      </c>
    </row>
    <row r="4515" spans="1:8">
      <c r="A4515" s="1">
        <f>HYPERLINK("https://cms.ls-nyc.org/matter/dynamic-profile/view/1844953","17-1844953")</f>
        <v>0</v>
      </c>
      <c r="B4515" t="s">
        <v>9</v>
      </c>
      <c r="D4515" t="s">
        <v>15</v>
      </c>
      <c r="H4515" t="s">
        <v>20</v>
      </c>
    </row>
    <row r="4516" spans="1:8">
      <c r="A4516" s="1">
        <f>HYPERLINK("https://cms.ls-nyc.org/matter/dynamic-profile/view/1889283","19-1889283")</f>
        <v>0</v>
      </c>
      <c r="B4516" t="s">
        <v>11</v>
      </c>
      <c r="H4516" t="s">
        <v>19</v>
      </c>
    </row>
    <row r="4517" spans="1:8">
      <c r="A4517" s="1">
        <f>HYPERLINK("https://cms.ls-nyc.org/matter/dynamic-profile/view/1865395","18-1865395")</f>
        <v>0</v>
      </c>
      <c r="B4517" t="s">
        <v>10</v>
      </c>
      <c r="D4517" t="s">
        <v>15</v>
      </c>
      <c r="E4517" t="s">
        <v>16</v>
      </c>
      <c r="H4517" t="s">
        <v>20</v>
      </c>
    </row>
    <row r="4518" spans="1:8">
      <c r="A4518" s="1">
        <f>HYPERLINK("https://cms.ls-nyc.org/matter/dynamic-profile/view/1867697","18-1867697")</f>
        <v>0</v>
      </c>
      <c r="B4518" t="s">
        <v>10</v>
      </c>
      <c r="D4518" t="s">
        <v>15</v>
      </c>
      <c r="E4518" t="s">
        <v>16</v>
      </c>
      <c r="H4518" t="s">
        <v>20</v>
      </c>
    </row>
    <row r="4519" spans="1:8">
      <c r="A4519" s="1">
        <f>HYPERLINK("https://cms.ls-nyc.org/matter/dynamic-profile/view/1865427","18-1865427")</f>
        <v>0</v>
      </c>
      <c r="B4519" t="s">
        <v>10</v>
      </c>
      <c r="D4519" t="s">
        <v>15</v>
      </c>
      <c r="E4519" t="s">
        <v>16</v>
      </c>
      <c r="H4519" t="s">
        <v>20</v>
      </c>
    </row>
    <row r="4520" spans="1:8">
      <c r="A4520" s="1">
        <f>HYPERLINK("https://cms.ls-nyc.org/matter/dynamic-profile/view/1887832","19-1887832")</f>
        <v>0</v>
      </c>
      <c r="B4520" t="s">
        <v>10</v>
      </c>
      <c r="D4520" t="s">
        <v>14</v>
      </c>
      <c r="H4520" t="s">
        <v>20</v>
      </c>
    </row>
    <row r="4521" spans="1:8">
      <c r="A4521" s="1">
        <f>HYPERLINK("https://cms.ls-nyc.org/matter/dynamic-profile/view/1863916","18-1863916")</f>
        <v>0</v>
      </c>
      <c r="B4521" t="s">
        <v>12</v>
      </c>
      <c r="D4521" t="s">
        <v>15</v>
      </c>
      <c r="H4521" t="s">
        <v>20</v>
      </c>
    </row>
    <row r="4522" spans="1:8">
      <c r="A4522" s="1">
        <f>HYPERLINK("https://cms.ls-nyc.org/matter/dynamic-profile/view/1875504","18-1875504")</f>
        <v>0</v>
      </c>
      <c r="B4522" t="s">
        <v>12</v>
      </c>
      <c r="H4522" t="s">
        <v>19</v>
      </c>
    </row>
    <row r="4523" spans="1:8">
      <c r="A4523" s="1">
        <f>HYPERLINK("https://cms.ls-nyc.org/matter/dynamic-profile/view/1886662","18-1886662")</f>
        <v>0</v>
      </c>
      <c r="B4523" t="s">
        <v>12</v>
      </c>
      <c r="H4523" t="s">
        <v>19</v>
      </c>
    </row>
    <row r="4524" spans="1:8">
      <c r="A4524" s="1">
        <f>HYPERLINK("https://cms.ls-nyc.org/matter/dynamic-profile/view/1847334","17-1847334")</f>
        <v>0</v>
      </c>
      <c r="B4524" t="s">
        <v>10</v>
      </c>
      <c r="D4524" t="s">
        <v>15</v>
      </c>
      <c r="E4524" t="s">
        <v>16</v>
      </c>
      <c r="H4524" t="s">
        <v>20</v>
      </c>
    </row>
    <row r="4525" spans="1:8">
      <c r="A4525" s="1">
        <f>HYPERLINK("https://cms.ls-nyc.org/matter/dynamic-profile/view/1893325","19-1893325")</f>
        <v>0</v>
      </c>
      <c r="B4525" t="s">
        <v>9</v>
      </c>
      <c r="H4525" t="s">
        <v>19</v>
      </c>
    </row>
    <row r="4526" spans="1:8">
      <c r="A4526" s="1">
        <f>HYPERLINK("https://cms.ls-nyc.org/matter/dynamic-profile/view/1893317","19-1893317")</f>
        <v>0</v>
      </c>
      <c r="B4526" t="s">
        <v>9</v>
      </c>
      <c r="H4526" t="s">
        <v>19</v>
      </c>
    </row>
    <row r="4527" spans="1:8">
      <c r="A4527" s="1">
        <f>HYPERLINK("https://cms.ls-nyc.org/matter/dynamic-profile/view/1893328","19-1893328")</f>
        <v>0</v>
      </c>
      <c r="B4527" t="s">
        <v>9</v>
      </c>
      <c r="H4527" t="s">
        <v>19</v>
      </c>
    </row>
    <row r="4528" spans="1:8">
      <c r="A4528" s="1">
        <f>HYPERLINK("https://cms.ls-nyc.org/matter/dynamic-profile/view/1899894","19-1899894")</f>
        <v>0</v>
      </c>
      <c r="B4528" t="s">
        <v>10</v>
      </c>
      <c r="D4528" t="s">
        <v>14</v>
      </c>
      <c r="H4528" t="s">
        <v>20</v>
      </c>
    </row>
    <row r="4529" spans="1:8">
      <c r="A4529" s="1">
        <f>HYPERLINK("https://cms.ls-nyc.org/matter/dynamic-profile/view/1899804","19-1899804")</f>
        <v>0</v>
      </c>
      <c r="B4529" t="s">
        <v>10</v>
      </c>
      <c r="D4529" t="s">
        <v>14</v>
      </c>
      <c r="H4529" t="s">
        <v>20</v>
      </c>
    </row>
    <row r="4530" spans="1:8">
      <c r="A4530" s="1">
        <f>HYPERLINK("https://cms.ls-nyc.org/matter/dynamic-profile/view/1896395","19-1896395")</f>
        <v>0</v>
      </c>
      <c r="B4530" t="s">
        <v>8</v>
      </c>
      <c r="H4530" t="s">
        <v>19</v>
      </c>
    </row>
    <row r="4531" spans="1:8">
      <c r="A4531" s="1">
        <f>HYPERLINK("https://cms.ls-nyc.org/matter/dynamic-profile/view/1898845","19-1898845")</f>
        <v>0</v>
      </c>
      <c r="B4531" t="s">
        <v>9</v>
      </c>
      <c r="E4531" t="s">
        <v>16</v>
      </c>
      <c r="F4531" t="s">
        <v>17</v>
      </c>
      <c r="H4531" t="s">
        <v>20</v>
      </c>
    </row>
    <row r="4532" spans="1:8">
      <c r="A4532" s="1">
        <f>HYPERLINK("https://cms.ls-nyc.org/matter/dynamic-profile/view/1898951","19-1898951")</f>
        <v>0</v>
      </c>
      <c r="B4532" t="s">
        <v>9</v>
      </c>
      <c r="E4532" t="s">
        <v>16</v>
      </c>
      <c r="F4532" t="s">
        <v>17</v>
      </c>
      <c r="H4532" t="s">
        <v>20</v>
      </c>
    </row>
    <row r="4533" spans="1:8">
      <c r="A4533" s="1">
        <f>HYPERLINK("https://cms.ls-nyc.org/matter/dynamic-profile/view/1898847","19-1898847")</f>
        <v>0</v>
      </c>
      <c r="B4533" t="s">
        <v>9</v>
      </c>
      <c r="E4533" t="s">
        <v>16</v>
      </c>
      <c r="F4533" t="s">
        <v>17</v>
      </c>
      <c r="H4533" t="s">
        <v>20</v>
      </c>
    </row>
    <row r="4534" spans="1:8">
      <c r="A4534" s="1">
        <f>HYPERLINK("https://cms.ls-nyc.org/matter/dynamic-profile/view/1898953","19-1898953")</f>
        <v>0</v>
      </c>
      <c r="B4534" t="s">
        <v>9</v>
      </c>
      <c r="E4534" t="s">
        <v>16</v>
      </c>
      <c r="F4534" t="s">
        <v>17</v>
      </c>
      <c r="H4534" t="s">
        <v>20</v>
      </c>
    </row>
    <row r="4535" spans="1:8">
      <c r="A4535" s="1">
        <f>HYPERLINK("https://cms.ls-nyc.org/matter/dynamic-profile/view/1895343","19-1895343")</f>
        <v>0</v>
      </c>
      <c r="B4535" t="s">
        <v>9</v>
      </c>
      <c r="H4535" t="s">
        <v>19</v>
      </c>
    </row>
    <row r="4536" spans="1:8">
      <c r="A4536" s="1">
        <f>HYPERLINK("https://cms.ls-nyc.org/matter/dynamic-profile/view/1897234","19-1897234")</f>
        <v>0</v>
      </c>
      <c r="B4536" t="s">
        <v>9</v>
      </c>
      <c r="D4536" t="s">
        <v>14</v>
      </c>
      <c r="H4536" t="s">
        <v>20</v>
      </c>
    </row>
    <row r="4537" spans="1:8">
      <c r="A4537" s="1">
        <f>HYPERLINK("https://cms.ls-nyc.org/matter/dynamic-profile/view/1888939","19-1888939")</f>
        <v>0</v>
      </c>
      <c r="B4537" t="s">
        <v>10</v>
      </c>
      <c r="D4537" t="s">
        <v>14</v>
      </c>
      <c r="H4537" t="s">
        <v>20</v>
      </c>
    </row>
    <row r="4538" spans="1:8">
      <c r="A4538" s="1">
        <f>HYPERLINK("https://cms.ls-nyc.org/matter/dynamic-profile/view/1865285","18-1865285")</f>
        <v>0</v>
      </c>
      <c r="B4538" t="s">
        <v>10</v>
      </c>
      <c r="D4538" t="s">
        <v>15</v>
      </c>
      <c r="E4538" t="s">
        <v>16</v>
      </c>
      <c r="H4538" t="s">
        <v>20</v>
      </c>
    </row>
    <row r="4539" spans="1:8">
      <c r="A4539" s="1">
        <f>HYPERLINK("https://cms.ls-nyc.org/matter/dynamic-profile/view/1881231","18-1881231")</f>
        <v>0</v>
      </c>
      <c r="B4539" t="s">
        <v>12</v>
      </c>
      <c r="H4539" t="s">
        <v>19</v>
      </c>
    </row>
    <row r="4540" spans="1:8">
      <c r="A4540" s="1">
        <f>HYPERLINK("https://cms.ls-nyc.org/matter/dynamic-profile/view/1890850","19-1890850")</f>
        <v>0</v>
      </c>
      <c r="B4540" t="s">
        <v>12</v>
      </c>
      <c r="F4540" t="s">
        <v>17</v>
      </c>
      <c r="H4540" t="s">
        <v>20</v>
      </c>
    </row>
    <row r="4541" spans="1:8">
      <c r="A4541" s="1">
        <f>HYPERLINK("https://cms.ls-nyc.org/matter/dynamic-profile/view/1900725","19-1900725")</f>
        <v>0</v>
      </c>
      <c r="B4541" t="s">
        <v>9</v>
      </c>
      <c r="H4541" t="s">
        <v>19</v>
      </c>
    </row>
    <row r="4542" spans="1:8">
      <c r="A4542" s="1">
        <f>HYPERLINK("https://cms.ls-nyc.org/matter/dynamic-profile/view/1898982","19-1898982")</f>
        <v>0</v>
      </c>
      <c r="B4542" t="s">
        <v>9</v>
      </c>
      <c r="E4542" t="s">
        <v>16</v>
      </c>
      <c r="F4542" t="s">
        <v>17</v>
      </c>
      <c r="H4542" t="s">
        <v>20</v>
      </c>
    </row>
    <row r="4543" spans="1:8">
      <c r="A4543" s="1">
        <f>HYPERLINK("https://cms.ls-nyc.org/matter/dynamic-profile/view/1898983","19-1898983")</f>
        <v>0</v>
      </c>
      <c r="B4543" t="s">
        <v>9</v>
      </c>
      <c r="E4543" t="s">
        <v>16</v>
      </c>
      <c r="F4543" t="s">
        <v>17</v>
      </c>
      <c r="H4543" t="s">
        <v>20</v>
      </c>
    </row>
    <row r="4544" spans="1:8">
      <c r="A4544" s="1">
        <f>HYPERLINK("https://cms.ls-nyc.org/matter/dynamic-profile/view/1890842","19-1890842")</f>
        <v>0</v>
      </c>
      <c r="B4544" t="s">
        <v>12</v>
      </c>
      <c r="H4544" t="s">
        <v>19</v>
      </c>
    </row>
    <row r="4545" spans="1:8">
      <c r="A4545" s="1">
        <f>HYPERLINK("https://cms.ls-nyc.org/matter/dynamic-profile/view/1900977","19-1900977")</f>
        <v>0</v>
      </c>
      <c r="B4545" t="s">
        <v>12</v>
      </c>
      <c r="H4545" t="s">
        <v>19</v>
      </c>
    </row>
    <row r="4546" spans="1:8">
      <c r="A4546" s="1">
        <f>HYPERLINK("https://cms.ls-nyc.org/matter/dynamic-profile/view/1886683","18-1886683")</f>
        <v>0</v>
      </c>
      <c r="B4546" t="s">
        <v>10</v>
      </c>
      <c r="H4546" t="s">
        <v>19</v>
      </c>
    </row>
    <row r="4547" spans="1:8">
      <c r="A4547" s="1">
        <f>HYPERLINK("https://cms.ls-nyc.org/matter/dynamic-profile/view/1875766","18-1875766")</f>
        <v>0</v>
      </c>
      <c r="B4547" t="s">
        <v>9</v>
      </c>
      <c r="H4547" t="s">
        <v>19</v>
      </c>
    </row>
    <row r="4548" spans="1:8">
      <c r="A4548" s="1">
        <f>HYPERLINK("https://cms.ls-nyc.org/matter/dynamic-profile/view/1870547","18-1870547")</f>
        <v>0</v>
      </c>
      <c r="B4548" t="s">
        <v>9</v>
      </c>
      <c r="D4548" t="s">
        <v>15</v>
      </c>
      <c r="E4548" t="s">
        <v>16</v>
      </c>
      <c r="H4548" t="s">
        <v>20</v>
      </c>
    </row>
    <row r="4549" spans="1:8">
      <c r="A4549" s="1">
        <f>HYPERLINK("https://cms.ls-nyc.org/matter/dynamic-profile/view/1885558","18-1885558")</f>
        <v>0</v>
      </c>
      <c r="B4549" t="s">
        <v>10</v>
      </c>
      <c r="H4549" t="s">
        <v>19</v>
      </c>
    </row>
    <row r="4550" spans="1:8">
      <c r="A4550" s="1">
        <f>HYPERLINK("https://cms.ls-nyc.org/matter/dynamic-profile/view/1842832","17-1842832")</f>
        <v>0</v>
      </c>
      <c r="B4550" t="s">
        <v>11</v>
      </c>
      <c r="D4550" t="s">
        <v>15</v>
      </c>
      <c r="E4550" t="s">
        <v>16</v>
      </c>
      <c r="H4550" t="s">
        <v>20</v>
      </c>
    </row>
    <row r="4551" spans="1:8">
      <c r="A4551" s="1">
        <f>HYPERLINK("https://cms.ls-nyc.org/matter/dynamic-profile/view/1892094","19-1892094")</f>
        <v>0</v>
      </c>
      <c r="B4551" t="s">
        <v>9</v>
      </c>
      <c r="E4551" t="s">
        <v>16</v>
      </c>
      <c r="F4551" t="s">
        <v>17</v>
      </c>
      <c r="H4551" t="s">
        <v>20</v>
      </c>
    </row>
    <row r="4552" spans="1:8">
      <c r="A4552" s="1">
        <f>HYPERLINK("https://cms.ls-nyc.org/matter/dynamic-profile/view/1893980","19-1893980")</f>
        <v>0</v>
      </c>
      <c r="B4552" t="s">
        <v>10</v>
      </c>
      <c r="H4552" t="s">
        <v>19</v>
      </c>
    </row>
    <row r="4553" spans="1:8">
      <c r="A4553" s="1">
        <f>HYPERLINK("https://cms.ls-nyc.org/matter/dynamic-profile/view/1864253","18-1864253")</f>
        <v>0</v>
      </c>
      <c r="B4553" t="s">
        <v>10</v>
      </c>
      <c r="D4553" t="s">
        <v>15</v>
      </c>
      <c r="E4553" t="s">
        <v>16</v>
      </c>
      <c r="H4553" t="s">
        <v>20</v>
      </c>
    </row>
    <row r="4554" spans="1:8">
      <c r="A4554" s="1">
        <f>HYPERLINK("https://cms.ls-nyc.org/matter/dynamic-profile/view/1877027","18-1877027")</f>
        <v>0</v>
      </c>
      <c r="B4554" t="s">
        <v>12</v>
      </c>
      <c r="H4554" t="s">
        <v>19</v>
      </c>
    </row>
    <row r="4555" spans="1:8">
      <c r="A4555" s="1">
        <f>HYPERLINK("https://cms.ls-nyc.org/matter/dynamic-profile/view/1891594","19-1891594")</f>
        <v>0</v>
      </c>
      <c r="B4555" t="s">
        <v>9</v>
      </c>
      <c r="E4555" t="s">
        <v>16</v>
      </c>
      <c r="F4555" t="s">
        <v>17</v>
      </c>
      <c r="H4555" t="s">
        <v>20</v>
      </c>
    </row>
    <row r="4556" spans="1:8">
      <c r="A4556" s="1">
        <f>HYPERLINK("https://cms.ls-nyc.org/matter/dynamic-profile/view/1891599","19-1891599")</f>
        <v>0</v>
      </c>
      <c r="B4556" t="s">
        <v>9</v>
      </c>
      <c r="E4556" t="s">
        <v>16</v>
      </c>
      <c r="F4556" t="s">
        <v>17</v>
      </c>
      <c r="H4556" t="s">
        <v>20</v>
      </c>
    </row>
    <row r="4557" spans="1:8">
      <c r="A4557" s="1">
        <f>HYPERLINK("https://cms.ls-nyc.org/matter/dynamic-profile/view/0813896","16-0813896")</f>
        <v>0</v>
      </c>
      <c r="B4557" t="s">
        <v>10</v>
      </c>
      <c r="D4557" t="s">
        <v>15</v>
      </c>
      <c r="E4557" t="s">
        <v>16</v>
      </c>
      <c r="H4557" t="s">
        <v>20</v>
      </c>
    </row>
    <row r="4558" spans="1:8">
      <c r="A4558" s="1">
        <f>HYPERLINK("https://cms.ls-nyc.org/matter/dynamic-profile/view/1876516","18-1876516")</f>
        <v>0</v>
      </c>
      <c r="B4558" t="s">
        <v>9</v>
      </c>
      <c r="H4558" t="s">
        <v>19</v>
      </c>
    </row>
    <row r="4559" spans="1:8">
      <c r="A4559" s="1">
        <f>HYPERLINK("https://cms.ls-nyc.org/matter/dynamic-profile/view/0828960","17-0828960")</f>
        <v>0</v>
      </c>
      <c r="B4559" t="s">
        <v>9</v>
      </c>
      <c r="D4559" t="s">
        <v>15</v>
      </c>
      <c r="E4559" t="s">
        <v>16</v>
      </c>
      <c r="H4559" t="s">
        <v>20</v>
      </c>
    </row>
    <row r="4560" spans="1:8">
      <c r="A4560" s="1">
        <f>HYPERLINK("https://cms.ls-nyc.org/matter/dynamic-profile/view/1838920","17-1838920")</f>
        <v>0</v>
      </c>
      <c r="B4560" t="s">
        <v>10</v>
      </c>
      <c r="D4560" t="s">
        <v>15</v>
      </c>
      <c r="E4560" t="s">
        <v>16</v>
      </c>
      <c r="H4560" t="s">
        <v>20</v>
      </c>
    </row>
    <row r="4561" spans="1:8">
      <c r="A4561" s="1">
        <f>HYPERLINK("https://cms.ls-nyc.org/matter/dynamic-profile/view/1868160","18-1868160")</f>
        <v>0</v>
      </c>
      <c r="B4561" t="s">
        <v>12</v>
      </c>
      <c r="D4561" t="s">
        <v>15</v>
      </c>
      <c r="E4561" t="s">
        <v>16</v>
      </c>
      <c r="H4561" t="s">
        <v>20</v>
      </c>
    </row>
    <row r="4562" spans="1:8">
      <c r="A4562" s="1">
        <f>HYPERLINK("https://cms.ls-nyc.org/matter/dynamic-profile/view/1898306","19-1898306")</f>
        <v>0</v>
      </c>
      <c r="B4562" t="s">
        <v>10</v>
      </c>
      <c r="D4562" t="s">
        <v>14</v>
      </c>
      <c r="H4562" t="s">
        <v>20</v>
      </c>
    </row>
    <row r="4563" spans="1:8">
      <c r="A4563" s="1">
        <f>HYPERLINK("https://cms.ls-nyc.org/matter/dynamic-profile/view/1900714","19-1900714")</f>
        <v>0</v>
      </c>
      <c r="B4563" t="s">
        <v>9</v>
      </c>
      <c r="H4563" t="s">
        <v>19</v>
      </c>
    </row>
    <row r="4564" spans="1:8">
      <c r="A4564" s="1">
        <f>HYPERLINK("https://cms.ls-nyc.org/matter/dynamic-profile/view/1889380","19-1889380")</f>
        <v>0</v>
      </c>
      <c r="B4564" t="s">
        <v>10</v>
      </c>
      <c r="H4564" t="s">
        <v>19</v>
      </c>
    </row>
    <row r="4565" spans="1:8">
      <c r="A4565" s="1">
        <f>HYPERLINK("https://cms.ls-nyc.org/matter/dynamic-profile/view/1889386","19-1889386")</f>
        <v>0</v>
      </c>
      <c r="B4565" t="s">
        <v>10</v>
      </c>
      <c r="H4565" t="s">
        <v>19</v>
      </c>
    </row>
    <row r="4566" spans="1:8">
      <c r="A4566" s="1">
        <f>HYPERLINK("https://cms.ls-nyc.org/matter/dynamic-profile/view/1892382","19-1892382")</f>
        <v>0</v>
      </c>
      <c r="B4566" t="s">
        <v>10</v>
      </c>
      <c r="D4566" t="s">
        <v>14</v>
      </c>
      <c r="H4566" t="s">
        <v>20</v>
      </c>
    </row>
    <row r="4567" spans="1:8">
      <c r="A4567" s="1">
        <f>HYPERLINK("https://cms.ls-nyc.org/matter/dynamic-profile/view/1891962","19-1891962")</f>
        <v>0</v>
      </c>
      <c r="B4567" t="s">
        <v>10</v>
      </c>
      <c r="H4567" t="s">
        <v>19</v>
      </c>
    </row>
    <row r="4568" spans="1:8">
      <c r="A4568" s="1">
        <f>HYPERLINK("https://cms.ls-nyc.org/matter/dynamic-profile/view/1897601","19-1897601")</f>
        <v>0</v>
      </c>
      <c r="B4568" t="s">
        <v>12</v>
      </c>
      <c r="H4568" t="s">
        <v>19</v>
      </c>
    </row>
    <row r="4569" spans="1:8">
      <c r="A4569" s="1">
        <f>HYPERLINK("https://cms.ls-nyc.org/matter/dynamic-profile/view/1876630","18-1876630")</f>
        <v>0</v>
      </c>
      <c r="B4569" t="s">
        <v>9</v>
      </c>
      <c r="E4569" t="s">
        <v>16</v>
      </c>
      <c r="H4569" t="s">
        <v>20</v>
      </c>
    </row>
    <row r="4570" spans="1:8">
      <c r="A4570" s="1">
        <f>HYPERLINK("https://cms.ls-nyc.org/matter/dynamic-profile/view/1876621","18-1876621")</f>
        <v>0</v>
      </c>
      <c r="B4570" t="s">
        <v>9</v>
      </c>
      <c r="H4570" t="s">
        <v>19</v>
      </c>
    </row>
    <row r="4571" spans="1:8">
      <c r="A4571" s="1">
        <f>HYPERLINK("https://cms.ls-nyc.org/matter/dynamic-profile/view/1897408","19-1897408")</f>
        <v>0</v>
      </c>
      <c r="B4571" t="s">
        <v>9</v>
      </c>
      <c r="E4571" t="s">
        <v>16</v>
      </c>
      <c r="F4571" t="s">
        <v>17</v>
      </c>
      <c r="H4571" t="s">
        <v>20</v>
      </c>
    </row>
    <row r="4572" spans="1:8">
      <c r="A4572" s="1">
        <f>HYPERLINK("https://cms.ls-nyc.org/matter/dynamic-profile/view/1897410","19-1897410")</f>
        <v>0</v>
      </c>
      <c r="B4572" t="s">
        <v>9</v>
      </c>
      <c r="E4572" t="s">
        <v>16</v>
      </c>
      <c r="F4572" t="s">
        <v>17</v>
      </c>
      <c r="H4572" t="s">
        <v>20</v>
      </c>
    </row>
    <row r="4573" spans="1:8">
      <c r="A4573" s="1">
        <f>HYPERLINK("https://cms.ls-nyc.org/matter/dynamic-profile/view/1894530","19-1894530")</f>
        <v>0</v>
      </c>
      <c r="B4573" t="s">
        <v>12</v>
      </c>
      <c r="H4573" t="s">
        <v>19</v>
      </c>
    </row>
    <row r="4574" spans="1:8">
      <c r="A4574" s="1">
        <f>HYPERLINK("https://cms.ls-nyc.org/matter/dynamic-profile/view/1897572","19-1897572")</f>
        <v>0</v>
      </c>
      <c r="B4574" t="s">
        <v>8</v>
      </c>
      <c r="D4574" t="s">
        <v>14</v>
      </c>
      <c r="H4574" t="s">
        <v>20</v>
      </c>
    </row>
    <row r="4575" spans="1:8">
      <c r="A4575" s="1">
        <f>HYPERLINK("https://cms.ls-nyc.org/matter/dynamic-profile/view/1896649","19-1896649")</f>
        <v>0</v>
      </c>
      <c r="B4575" t="s">
        <v>10</v>
      </c>
      <c r="C4575" t="s">
        <v>13</v>
      </c>
      <c r="D4575" t="s">
        <v>14</v>
      </c>
      <c r="E4575" t="s">
        <v>16</v>
      </c>
      <c r="F4575" t="s">
        <v>17</v>
      </c>
      <c r="H4575" t="s">
        <v>20</v>
      </c>
    </row>
    <row r="4576" spans="1:8">
      <c r="A4576" s="1">
        <f>HYPERLINK("https://cms.ls-nyc.org/matter/dynamic-profile/view/1898227","19-1898227")</f>
        <v>0</v>
      </c>
      <c r="B4576" t="s">
        <v>10</v>
      </c>
      <c r="D4576" t="s">
        <v>14</v>
      </c>
      <c r="F4576" t="s">
        <v>17</v>
      </c>
      <c r="G4576" t="s">
        <v>18</v>
      </c>
      <c r="H4576" t="s">
        <v>20</v>
      </c>
    </row>
    <row r="4577" spans="1:8">
      <c r="A4577" s="1">
        <f>HYPERLINK("https://cms.ls-nyc.org/matter/dynamic-profile/view/1898503","19-1898503")</f>
        <v>0</v>
      </c>
      <c r="B4577" t="s">
        <v>8</v>
      </c>
      <c r="H4577" t="s">
        <v>19</v>
      </c>
    </row>
    <row r="4578" spans="1:8">
      <c r="A4578" s="1">
        <f>HYPERLINK("https://cms.ls-nyc.org/matter/dynamic-profile/view/1876814","18-1876814")</f>
        <v>0</v>
      </c>
      <c r="B4578" t="s">
        <v>9</v>
      </c>
      <c r="H4578" t="s">
        <v>19</v>
      </c>
    </row>
    <row r="4579" spans="1:8">
      <c r="A4579" s="1">
        <f>HYPERLINK("https://cms.ls-nyc.org/matter/dynamic-profile/view/1876812","18-1876812")</f>
        <v>0</v>
      </c>
      <c r="B4579" t="s">
        <v>9</v>
      </c>
      <c r="H4579" t="s">
        <v>19</v>
      </c>
    </row>
    <row r="4580" spans="1:8">
      <c r="A4580" s="1">
        <f>HYPERLINK("https://cms.ls-nyc.org/matter/dynamic-profile/view/1878961","18-1878961")</f>
        <v>0</v>
      </c>
      <c r="B4580" t="s">
        <v>12</v>
      </c>
      <c r="D4580" t="s">
        <v>15</v>
      </c>
      <c r="H4580" t="s">
        <v>20</v>
      </c>
    </row>
    <row r="4581" spans="1:8">
      <c r="A4581" s="1">
        <f>HYPERLINK("https://cms.ls-nyc.org/matter/dynamic-profile/view/1890972","19-1890972")</f>
        <v>0</v>
      </c>
      <c r="B4581" t="s">
        <v>10</v>
      </c>
      <c r="F4581" t="s">
        <v>17</v>
      </c>
      <c r="H4581" t="s">
        <v>20</v>
      </c>
    </row>
    <row r="4582" spans="1:8">
      <c r="A4582" s="1">
        <f>HYPERLINK("https://cms.ls-nyc.org/matter/dynamic-profile/view/1890970","19-1890970")</f>
        <v>0</v>
      </c>
      <c r="B4582" t="s">
        <v>10</v>
      </c>
      <c r="F4582" t="s">
        <v>17</v>
      </c>
      <c r="H4582" t="s">
        <v>20</v>
      </c>
    </row>
    <row r="4583" spans="1:8">
      <c r="A4583" s="1">
        <f>HYPERLINK("https://cms.ls-nyc.org/matter/dynamic-profile/view/1890966","19-1890966")</f>
        <v>0</v>
      </c>
      <c r="B4583" t="s">
        <v>10</v>
      </c>
      <c r="F4583" t="s">
        <v>17</v>
      </c>
      <c r="H4583" t="s">
        <v>20</v>
      </c>
    </row>
    <row r="4584" spans="1:8">
      <c r="A4584" s="1">
        <f>HYPERLINK("https://cms.ls-nyc.org/matter/dynamic-profile/view/1886949","19-1886949")</f>
        <v>0</v>
      </c>
      <c r="B4584" t="s">
        <v>10</v>
      </c>
      <c r="D4584" t="s">
        <v>14</v>
      </c>
      <c r="H4584" t="s">
        <v>20</v>
      </c>
    </row>
    <row r="4585" spans="1:8">
      <c r="A4585" s="1">
        <f>HYPERLINK("https://cms.ls-nyc.org/matter/dynamic-profile/view/1841122","17-1841122")</f>
        <v>0</v>
      </c>
      <c r="B4585" t="s">
        <v>10</v>
      </c>
      <c r="D4585" t="s">
        <v>15</v>
      </c>
      <c r="E4585" t="s">
        <v>16</v>
      </c>
      <c r="H4585" t="s">
        <v>20</v>
      </c>
    </row>
    <row r="4586" spans="1:8">
      <c r="A4586" s="1">
        <f>HYPERLINK("https://cms.ls-nyc.org/matter/dynamic-profile/view/1857452","18-1857452")</f>
        <v>0</v>
      </c>
      <c r="B4586" t="s">
        <v>10</v>
      </c>
      <c r="D4586" t="s">
        <v>15</v>
      </c>
      <c r="E4586" t="s">
        <v>16</v>
      </c>
      <c r="H4586" t="s">
        <v>20</v>
      </c>
    </row>
    <row r="4587" spans="1:8">
      <c r="A4587" s="1">
        <f>HYPERLINK("https://cms.ls-nyc.org/matter/dynamic-profile/view/1833145","17-1833145")</f>
        <v>0</v>
      </c>
      <c r="B4587" t="s">
        <v>12</v>
      </c>
      <c r="D4587" t="s">
        <v>15</v>
      </c>
      <c r="H4587" t="s">
        <v>20</v>
      </c>
    </row>
    <row r="4588" spans="1:8">
      <c r="A4588" s="1">
        <f>HYPERLINK("https://cms.ls-nyc.org/matter/dynamic-profile/view/0830179","17-0830179")</f>
        <v>0</v>
      </c>
      <c r="B4588" t="s">
        <v>9</v>
      </c>
      <c r="D4588" t="s">
        <v>15</v>
      </c>
      <c r="E4588" t="s">
        <v>16</v>
      </c>
      <c r="H4588" t="s">
        <v>20</v>
      </c>
    </row>
    <row r="4589" spans="1:8">
      <c r="A4589" s="1">
        <f>HYPERLINK("https://cms.ls-nyc.org/matter/dynamic-profile/view/1891145","19-1891145")</f>
        <v>0</v>
      </c>
      <c r="B4589" t="s">
        <v>10</v>
      </c>
      <c r="H4589" t="s">
        <v>19</v>
      </c>
    </row>
    <row r="4590" spans="1:8">
      <c r="A4590" s="1">
        <f>HYPERLINK("https://cms.ls-nyc.org/matter/dynamic-profile/view/1882696","18-1882696")</f>
        <v>0</v>
      </c>
      <c r="B4590" t="s">
        <v>10</v>
      </c>
      <c r="H4590" t="s">
        <v>19</v>
      </c>
    </row>
    <row r="4591" spans="1:8">
      <c r="A4591" s="1">
        <f>HYPERLINK("https://cms.ls-nyc.org/matter/dynamic-profile/view/1882693","18-1882693")</f>
        <v>0</v>
      </c>
      <c r="B4591" t="s">
        <v>10</v>
      </c>
      <c r="H4591" t="s">
        <v>19</v>
      </c>
    </row>
    <row r="4592" spans="1:8">
      <c r="A4592" s="1">
        <f>HYPERLINK("https://cms.ls-nyc.org/matter/dynamic-profile/view/1875757","18-1875757")</f>
        <v>0</v>
      </c>
      <c r="B4592" t="s">
        <v>10</v>
      </c>
      <c r="H4592" t="s">
        <v>19</v>
      </c>
    </row>
    <row r="4593" spans="1:8">
      <c r="A4593" s="1">
        <f>HYPERLINK("https://cms.ls-nyc.org/matter/dynamic-profile/view/1891563","19-1891563")</f>
        <v>0</v>
      </c>
      <c r="B4593" t="s">
        <v>9</v>
      </c>
      <c r="E4593" t="s">
        <v>16</v>
      </c>
      <c r="F4593" t="s">
        <v>17</v>
      </c>
      <c r="H4593" t="s">
        <v>20</v>
      </c>
    </row>
    <row r="4594" spans="1:8">
      <c r="A4594" s="1">
        <f>HYPERLINK("https://cms.ls-nyc.org/matter/dynamic-profile/view/1891564","19-1891564")</f>
        <v>0</v>
      </c>
      <c r="B4594" t="s">
        <v>9</v>
      </c>
      <c r="E4594" t="s">
        <v>16</v>
      </c>
      <c r="F4594" t="s">
        <v>17</v>
      </c>
      <c r="H4594" t="s">
        <v>20</v>
      </c>
    </row>
    <row r="4595" spans="1:8">
      <c r="A4595" s="1">
        <f>HYPERLINK("https://cms.ls-nyc.org/matter/dynamic-profile/view/1900676","19-1900676")</f>
        <v>0</v>
      </c>
      <c r="B4595" t="s">
        <v>9</v>
      </c>
      <c r="F4595" t="s">
        <v>17</v>
      </c>
      <c r="H4595" t="s">
        <v>20</v>
      </c>
    </row>
    <row r="4596" spans="1:8">
      <c r="A4596" s="1">
        <f>HYPERLINK("https://cms.ls-nyc.org/matter/dynamic-profile/view/1891193","19-1891193")</f>
        <v>0</v>
      </c>
      <c r="B4596" t="s">
        <v>9</v>
      </c>
      <c r="C4596" t="s">
        <v>13</v>
      </c>
      <c r="D4596" t="s">
        <v>14</v>
      </c>
      <c r="E4596" t="s">
        <v>16</v>
      </c>
      <c r="H4596" t="s">
        <v>20</v>
      </c>
    </row>
    <row r="4597" spans="1:8">
      <c r="A4597" s="1">
        <f>HYPERLINK("https://cms.ls-nyc.org/matter/dynamic-profile/view/1894172","19-1894172")</f>
        <v>0</v>
      </c>
      <c r="B4597" t="s">
        <v>9</v>
      </c>
      <c r="C4597" t="s">
        <v>13</v>
      </c>
      <c r="D4597" t="s">
        <v>14</v>
      </c>
      <c r="E4597" t="s">
        <v>16</v>
      </c>
      <c r="G4597" t="s">
        <v>18</v>
      </c>
      <c r="H4597" t="s">
        <v>20</v>
      </c>
    </row>
    <row r="4598" spans="1:8">
      <c r="A4598" s="1">
        <f>HYPERLINK("https://cms.ls-nyc.org/matter/dynamic-profile/view/1895330","19-1895330")</f>
        <v>0</v>
      </c>
      <c r="B4598" t="s">
        <v>9</v>
      </c>
      <c r="H4598" t="s">
        <v>19</v>
      </c>
    </row>
    <row r="4599" spans="1:8">
      <c r="A4599" s="1">
        <f>HYPERLINK("https://cms.ls-nyc.org/matter/dynamic-profile/view/1890628","19-1890628")</f>
        <v>0</v>
      </c>
      <c r="B4599" t="s">
        <v>9</v>
      </c>
      <c r="E4599" t="s">
        <v>16</v>
      </c>
      <c r="F4599" t="s">
        <v>17</v>
      </c>
      <c r="H4599" t="s">
        <v>20</v>
      </c>
    </row>
    <row r="4600" spans="1:8">
      <c r="A4600" s="1">
        <f>HYPERLINK("https://cms.ls-nyc.org/matter/dynamic-profile/view/1891940","19-1891940")</f>
        <v>0</v>
      </c>
      <c r="B4600" t="s">
        <v>9</v>
      </c>
      <c r="E4600" t="s">
        <v>16</v>
      </c>
      <c r="F4600" t="s">
        <v>17</v>
      </c>
      <c r="H4600" t="s">
        <v>20</v>
      </c>
    </row>
    <row r="4601" spans="1:8">
      <c r="A4601" s="1">
        <f>HYPERLINK("https://cms.ls-nyc.org/matter/dynamic-profile/view/1897337","19-1897337")</f>
        <v>0</v>
      </c>
      <c r="B4601" t="s">
        <v>9</v>
      </c>
      <c r="E4601" t="s">
        <v>16</v>
      </c>
      <c r="F4601" t="s">
        <v>17</v>
      </c>
      <c r="H4601" t="s">
        <v>20</v>
      </c>
    </row>
    <row r="4602" spans="1:8">
      <c r="A4602" s="1">
        <f>HYPERLINK("https://cms.ls-nyc.org/matter/dynamic-profile/view/1891616","19-1891616")</f>
        <v>0</v>
      </c>
      <c r="B4602" t="s">
        <v>9</v>
      </c>
      <c r="E4602" t="s">
        <v>16</v>
      </c>
      <c r="F4602" t="s">
        <v>17</v>
      </c>
      <c r="H4602" t="s">
        <v>20</v>
      </c>
    </row>
    <row r="4603" spans="1:8">
      <c r="A4603" s="1">
        <f>HYPERLINK("https://cms.ls-nyc.org/matter/dynamic-profile/view/1891944","19-1891944")</f>
        <v>0</v>
      </c>
      <c r="B4603" t="s">
        <v>9</v>
      </c>
      <c r="E4603" t="s">
        <v>16</v>
      </c>
      <c r="F4603" t="s">
        <v>17</v>
      </c>
      <c r="H4603" t="s">
        <v>20</v>
      </c>
    </row>
    <row r="4604" spans="1:8">
      <c r="A4604" s="1">
        <f>HYPERLINK("https://cms.ls-nyc.org/matter/dynamic-profile/view/1897341","19-1897341")</f>
        <v>0</v>
      </c>
      <c r="B4604" t="s">
        <v>9</v>
      </c>
      <c r="E4604" t="s">
        <v>16</v>
      </c>
      <c r="F4604" t="s">
        <v>17</v>
      </c>
      <c r="H4604" t="s">
        <v>20</v>
      </c>
    </row>
    <row r="4605" spans="1:8">
      <c r="A4605" s="1">
        <f>HYPERLINK("https://cms.ls-nyc.org/matter/dynamic-profile/view/1888587","19-1888587")</f>
        <v>0</v>
      </c>
      <c r="B4605" t="s">
        <v>10</v>
      </c>
      <c r="D4605" t="s">
        <v>14</v>
      </c>
      <c r="H4605" t="s">
        <v>20</v>
      </c>
    </row>
    <row r="4606" spans="1:8">
      <c r="A4606" s="1">
        <f>HYPERLINK("https://cms.ls-nyc.org/matter/dynamic-profile/view/1886569","18-1886569")</f>
        <v>0</v>
      </c>
      <c r="B4606" t="s">
        <v>10</v>
      </c>
      <c r="D4606" t="s">
        <v>14</v>
      </c>
      <c r="F4606" t="s">
        <v>17</v>
      </c>
      <c r="H4606" t="s">
        <v>20</v>
      </c>
    </row>
    <row r="4607" spans="1:8">
      <c r="A4607" s="1">
        <f>HYPERLINK("https://cms.ls-nyc.org/matter/dynamic-profile/view/1857114","18-1857114")</f>
        <v>0</v>
      </c>
      <c r="B4607" t="s">
        <v>12</v>
      </c>
      <c r="D4607" t="s">
        <v>15</v>
      </c>
      <c r="H4607" t="s">
        <v>20</v>
      </c>
    </row>
    <row r="4608" spans="1:8">
      <c r="A4608" s="1">
        <f>HYPERLINK("https://cms.ls-nyc.org/matter/dynamic-profile/view/1871571","18-1871571")</f>
        <v>0</v>
      </c>
      <c r="B4608" t="s">
        <v>12</v>
      </c>
      <c r="F4608" t="s">
        <v>17</v>
      </c>
      <c r="H4608" t="s">
        <v>20</v>
      </c>
    </row>
    <row r="4609" spans="1:8">
      <c r="A4609" s="1">
        <f>HYPERLINK("https://cms.ls-nyc.org/matter/dynamic-profile/view/1880592","18-1880592")</f>
        <v>0</v>
      </c>
      <c r="B4609" t="s">
        <v>10</v>
      </c>
      <c r="H4609" t="s">
        <v>19</v>
      </c>
    </row>
    <row r="4610" spans="1:8">
      <c r="A4610" s="1">
        <f>HYPERLINK("https://cms.ls-nyc.org/matter/dynamic-profile/view/1846325","17-1846325")</f>
        <v>0</v>
      </c>
      <c r="B4610" t="s">
        <v>12</v>
      </c>
      <c r="D4610" t="s">
        <v>15</v>
      </c>
      <c r="H4610" t="s">
        <v>20</v>
      </c>
    </row>
    <row r="4611" spans="1:8">
      <c r="A4611" s="1">
        <f>HYPERLINK("https://cms.ls-nyc.org/matter/dynamic-profile/view/1900428","19-1900428")</f>
        <v>0</v>
      </c>
      <c r="B4611" t="s">
        <v>9</v>
      </c>
      <c r="F4611" t="s">
        <v>17</v>
      </c>
      <c r="G4611" t="s">
        <v>18</v>
      </c>
      <c r="H4611" t="s">
        <v>20</v>
      </c>
    </row>
    <row r="4612" spans="1:8">
      <c r="A4612" s="1">
        <f>HYPERLINK("https://cms.ls-nyc.org/matter/dynamic-profile/view/1871869","18-1871869")</f>
        <v>0</v>
      </c>
      <c r="B4612" t="s">
        <v>9</v>
      </c>
      <c r="C4612" t="s">
        <v>13</v>
      </c>
      <c r="D4612" t="s">
        <v>14</v>
      </c>
      <c r="E4612" t="s">
        <v>16</v>
      </c>
      <c r="F4612" t="s">
        <v>17</v>
      </c>
      <c r="H4612" t="s">
        <v>20</v>
      </c>
    </row>
    <row r="4613" spans="1:8">
      <c r="A4613" s="1">
        <f>HYPERLINK("https://cms.ls-nyc.org/matter/dynamic-profile/view/1842715","17-1842715")</f>
        <v>0</v>
      </c>
      <c r="B4613" t="s">
        <v>9</v>
      </c>
      <c r="D4613" t="s">
        <v>15</v>
      </c>
      <c r="E4613" t="s">
        <v>16</v>
      </c>
      <c r="H4613" t="s">
        <v>20</v>
      </c>
    </row>
    <row r="4614" spans="1:8">
      <c r="A4614" s="1">
        <f>HYPERLINK("https://cms.ls-nyc.org/matter/dynamic-profile/view/1859473","18-1859473")</f>
        <v>0</v>
      </c>
      <c r="B4614" t="s">
        <v>9</v>
      </c>
      <c r="D4614" t="s">
        <v>15</v>
      </c>
      <c r="E4614" t="s">
        <v>16</v>
      </c>
      <c r="H4614" t="s">
        <v>20</v>
      </c>
    </row>
    <row r="4615" spans="1:8">
      <c r="A4615" s="1">
        <f>HYPERLINK("https://cms.ls-nyc.org/matter/dynamic-profile/view/1854617","17-1854617")</f>
        <v>0</v>
      </c>
      <c r="B4615" t="s">
        <v>12</v>
      </c>
      <c r="D4615" t="s">
        <v>15</v>
      </c>
      <c r="H4615" t="s">
        <v>20</v>
      </c>
    </row>
    <row r="4616" spans="1:8">
      <c r="A4616" s="1">
        <f>HYPERLINK("https://cms.ls-nyc.org/matter/dynamic-profile/view/1899097","19-1899097")</f>
        <v>0</v>
      </c>
      <c r="B4616" t="s">
        <v>9</v>
      </c>
      <c r="H4616" t="s">
        <v>19</v>
      </c>
    </row>
    <row r="4617" spans="1:8">
      <c r="A4617" s="1">
        <f>HYPERLINK("https://cms.ls-nyc.org/matter/dynamic-profile/view/1895821","19-1895821")</f>
        <v>0</v>
      </c>
      <c r="B4617" t="s">
        <v>9</v>
      </c>
      <c r="H4617" t="s">
        <v>19</v>
      </c>
    </row>
    <row r="4618" spans="1:8">
      <c r="A4618" s="1">
        <f>HYPERLINK("https://cms.ls-nyc.org/matter/dynamic-profile/view/0785443","15-0785443")</f>
        <v>0</v>
      </c>
      <c r="B4618" t="s">
        <v>10</v>
      </c>
      <c r="D4618" t="s">
        <v>15</v>
      </c>
      <c r="E4618" t="s">
        <v>16</v>
      </c>
      <c r="H4618" t="s">
        <v>20</v>
      </c>
    </row>
    <row r="4619" spans="1:8">
      <c r="A4619" s="1">
        <f>HYPERLINK("https://cms.ls-nyc.org/matter/dynamic-profile/view/1898331","19-1898331")</f>
        <v>0</v>
      </c>
      <c r="B4619" t="s">
        <v>9</v>
      </c>
      <c r="H4619" t="s">
        <v>19</v>
      </c>
    </row>
    <row r="4620" spans="1:8">
      <c r="A4620" s="1">
        <f>HYPERLINK("https://cms.ls-nyc.org/matter/dynamic-profile/view/1898333","19-1898333")</f>
        <v>0</v>
      </c>
      <c r="B4620" t="s">
        <v>9</v>
      </c>
      <c r="H4620" t="s">
        <v>19</v>
      </c>
    </row>
    <row r="4621" spans="1:8">
      <c r="A4621" s="1">
        <f>HYPERLINK("https://cms.ls-nyc.org/matter/dynamic-profile/view/0815733","16-0815733")</f>
        <v>0</v>
      </c>
      <c r="B4621" t="s">
        <v>12</v>
      </c>
      <c r="D4621" t="s">
        <v>15</v>
      </c>
      <c r="E4621" t="s">
        <v>16</v>
      </c>
      <c r="H4621" t="s">
        <v>20</v>
      </c>
    </row>
    <row r="4622" spans="1:8">
      <c r="A4622" s="1">
        <f>HYPERLINK("https://cms.ls-nyc.org/matter/dynamic-profile/view/1898368","19-1898368")</f>
        <v>0</v>
      </c>
      <c r="B4622" t="s">
        <v>9</v>
      </c>
      <c r="E4622" t="s">
        <v>16</v>
      </c>
      <c r="F4622" t="s">
        <v>17</v>
      </c>
      <c r="H4622" t="s">
        <v>20</v>
      </c>
    </row>
    <row r="4623" spans="1:8">
      <c r="A4623" s="1">
        <f>HYPERLINK("https://cms.ls-nyc.org/matter/dynamic-profile/view/1898370","19-1898370")</f>
        <v>0</v>
      </c>
      <c r="B4623" t="s">
        <v>9</v>
      </c>
      <c r="E4623" t="s">
        <v>16</v>
      </c>
      <c r="F4623" t="s">
        <v>17</v>
      </c>
      <c r="H4623" t="s">
        <v>20</v>
      </c>
    </row>
    <row r="4624" spans="1:8">
      <c r="A4624" s="1">
        <f>HYPERLINK("https://cms.ls-nyc.org/matter/dynamic-profile/view/1854133","17-1854133")</f>
        <v>0</v>
      </c>
      <c r="B4624" t="s">
        <v>10</v>
      </c>
      <c r="D4624" t="s">
        <v>15</v>
      </c>
      <c r="H4624" t="s">
        <v>20</v>
      </c>
    </row>
    <row r="4625" spans="1:8">
      <c r="A4625" s="1">
        <f>HYPERLINK("https://cms.ls-nyc.org/matter/dynamic-profile/view/1880271","18-1880271")</f>
        <v>0</v>
      </c>
      <c r="B4625" t="s">
        <v>9</v>
      </c>
      <c r="F4625" t="s">
        <v>17</v>
      </c>
      <c r="H4625" t="s">
        <v>20</v>
      </c>
    </row>
    <row r="4626" spans="1:8">
      <c r="A4626" s="1">
        <f>HYPERLINK("https://cms.ls-nyc.org/matter/dynamic-profile/view/1878674","18-1878674")</f>
        <v>0</v>
      </c>
      <c r="B4626" t="s">
        <v>9</v>
      </c>
      <c r="H4626" t="s">
        <v>19</v>
      </c>
    </row>
    <row r="4627" spans="1:8">
      <c r="A4627" s="1">
        <f>HYPERLINK("https://cms.ls-nyc.org/matter/dynamic-profile/view/1876938","18-1876938")</f>
        <v>0</v>
      </c>
      <c r="B4627" t="s">
        <v>9</v>
      </c>
      <c r="H4627" t="s">
        <v>19</v>
      </c>
    </row>
    <row r="4628" spans="1:8">
      <c r="A4628" s="1">
        <f>HYPERLINK("https://cms.ls-nyc.org/matter/dynamic-profile/view/1885572","18-1885572")</f>
        <v>0</v>
      </c>
      <c r="B4628" t="s">
        <v>10</v>
      </c>
      <c r="F4628" t="s">
        <v>17</v>
      </c>
      <c r="H4628" t="s">
        <v>20</v>
      </c>
    </row>
    <row r="4629" spans="1:8">
      <c r="A4629" s="1">
        <f>HYPERLINK("https://cms.ls-nyc.org/matter/dynamic-profile/view/1876326","18-1876326")</f>
        <v>0</v>
      </c>
      <c r="B4629" t="s">
        <v>12</v>
      </c>
      <c r="H4629" t="s">
        <v>19</v>
      </c>
    </row>
    <row r="4630" spans="1:8">
      <c r="A4630" s="1">
        <f>HYPERLINK("https://cms.ls-nyc.org/matter/dynamic-profile/view/1901179","19-1901179")</f>
        <v>0</v>
      </c>
      <c r="B4630" t="s">
        <v>12</v>
      </c>
      <c r="F4630" t="s">
        <v>17</v>
      </c>
      <c r="H4630" t="s">
        <v>20</v>
      </c>
    </row>
    <row r="4631" spans="1:8">
      <c r="A4631" s="1">
        <f>HYPERLINK("https://cms.ls-nyc.org/matter/dynamic-profile/view/1838120","17-1838120")</f>
        <v>0</v>
      </c>
      <c r="B4631" t="s">
        <v>10</v>
      </c>
      <c r="D4631" t="s">
        <v>15</v>
      </c>
      <c r="E4631" t="s">
        <v>16</v>
      </c>
      <c r="H4631" t="s">
        <v>20</v>
      </c>
    </row>
    <row r="4632" spans="1:8">
      <c r="A4632" s="1">
        <f>HYPERLINK("https://cms.ls-nyc.org/matter/dynamic-profile/view/1895344","19-1895344")</f>
        <v>0</v>
      </c>
      <c r="B4632" t="s">
        <v>9</v>
      </c>
      <c r="C4632" t="s">
        <v>13</v>
      </c>
      <c r="E4632" t="s">
        <v>16</v>
      </c>
      <c r="H4632" t="s">
        <v>20</v>
      </c>
    </row>
    <row r="4633" spans="1:8">
      <c r="A4633" s="1">
        <f>HYPERLINK("https://cms.ls-nyc.org/matter/dynamic-profile/view/1897605","19-1897605")</f>
        <v>0</v>
      </c>
      <c r="B4633" t="s">
        <v>9</v>
      </c>
      <c r="E4633" t="s">
        <v>16</v>
      </c>
      <c r="F4633" t="s">
        <v>17</v>
      </c>
      <c r="H4633" t="s">
        <v>20</v>
      </c>
    </row>
    <row r="4634" spans="1:8">
      <c r="A4634" s="1">
        <f>HYPERLINK("https://cms.ls-nyc.org/matter/dynamic-profile/view/1897606","19-1897606")</f>
        <v>0</v>
      </c>
      <c r="B4634" t="s">
        <v>9</v>
      </c>
      <c r="E4634" t="s">
        <v>16</v>
      </c>
      <c r="F4634" t="s">
        <v>17</v>
      </c>
      <c r="H4634" t="s">
        <v>20</v>
      </c>
    </row>
    <row r="4635" spans="1:8">
      <c r="A4635" s="1">
        <f>HYPERLINK("https://cms.ls-nyc.org/matter/dynamic-profile/view/1892569","19-1892569")</f>
        <v>0</v>
      </c>
      <c r="B4635" t="s">
        <v>10</v>
      </c>
      <c r="H4635" t="s">
        <v>19</v>
      </c>
    </row>
    <row r="4636" spans="1:8">
      <c r="A4636" s="1">
        <f>HYPERLINK("https://cms.ls-nyc.org/matter/dynamic-profile/view/1896017","19-1896017")</f>
        <v>0</v>
      </c>
      <c r="B4636" t="s">
        <v>10</v>
      </c>
      <c r="C4636" t="s">
        <v>13</v>
      </c>
      <c r="D4636" t="s">
        <v>14</v>
      </c>
      <c r="E4636" t="s">
        <v>16</v>
      </c>
      <c r="H4636" t="s">
        <v>20</v>
      </c>
    </row>
    <row r="4637" spans="1:8">
      <c r="A4637" s="1">
        <f>HYPERLINK("https://cms.ls-nyc.org/matter/dynamic-profile/view/1899062","19-1899062")</f>
        <v>0</v>
      </c>
      <c r="B4637" t="s">
        <v>8</v>
      </c>
      <c r="H4637" t="s">
        <v>19</v>
      </c>
    </row>
    <row r="4638" spans="1:8">
      <c r="A4638" s="1">
        <f>HYPERLINK("https://cms.ls-nyc.org/matter/dynamic-profile/view/1897589","19-1897589")</f>
        <v>0</v>
      </c>
      <c r="B4638" t="s">
        <v>8</v>
      </c>
      <c r="D4638" t="s">
        <v>14</v>
      </c>
      <c r="H4638" t="s">
        <v>20</v>
      </c>
    </row>
    <row r="4639" spans="1:8">
      <c r="A4639" s="1">
        <f>HYPERLINK("https://cms.ls-nyc.org/matter/dynamic-profile/view/1892978","19-1892978")</f>
        <v>0</v>
      </c>
      <c r="B4639" t="s">
        <v>10</v>
      </c>
      <c r="D4639" t="s">
        <v>14</v>
      </c>
      <c r="G4639" t="s">
        <v>18</v>
      </c>
      <c r="H4639" t="s">
        <v>20</v>
      </c>
    </row>
    <row r="4640" spans="1:8">
      <c r="A4640" s="1">
        <f>HYPERLINK("https://cms.ls-nyc.org/matter/dynamic-profile/view/1893040","19-1893040")</f>
        <v>0</v>
      </c>
      <c r="B4640" t="s">
        <v>10</v>
      </c>
      <c r="D4640" t="s">
        <v>14</v>
      </c>
      <c r="G4640" t="s">
        <v>18</v>
      </c>
      <c r="H4640" t="s">
        <v>20</v>
      </c>
    </row>
    <row r="4641" spans="1:8">
      <c r="A4641" s="1">
        <f>HYPERLINK("https://cms.ls-nyc.org/matter/dynamic-profile/view/1891151","19-1891151")</f>
        <v>0</v>
      </c>
      <c r="B4641" t="s">
        <v>10</v>
      </c>
      <c r="H4641" t="s">
        <v>19</v>
      </c>
    </row>
    <row r="4642" spans="1:8">
      <c r="A4642" s="1">
        <f>HYPERLINK("https://cms.ls-nyc.org/matter/dynamic-profile/view/1900549","19-1900549")</f>
        <v>0</v>
      </c>
      <c r="B4642" t="s">
        <v>10</v>
      </c>
      <c r="D4642" t="s">
        <v>14</v>
      </c>
      <c r="F4642" t="s">
        <v>17</v>
      </c>
      <c r="H4642" t="s">
        <v>20</v>
      </c>
    </row>
    <row r="4643" spans="1:8">
      <c r="A4643" s="1">
        <f>HYPERLINK("https://cms.ls-nyc.org/matter/dynamic-profile/view/1899106","19-1899106")</f>
        <v>0</v>
      </c>
      <c r="B4643" t="s">
        <v>10</v>
      </c>
      <c r="H4643" t="s">
        <v>19</v>
      </c>
    </row>
    <row r="4644" spans="1:8">
      <c r="A4644" s="1">
        <f>HYPERLINK("https://cms.ls-nyc.org/matter/dynamic-profile/view/1856067","18-1856067")</f>
        <v>0</v>
      </c>
      <c r="B4644" t="s">
        <v>12</v>
      </c>
      <c r="D4644" t="s">
        <v>15</v>
      </c>
      <c r="E4644" t="s">
        <v>16</v>
      </c>
      <c r="F4644" t="s">
        <v>17</v>
      </c>
      <c r="H4644" t="s">
        <v>20</v>
      </c>
    </row>
    <row r="4645" spans="1:8">
      <c r="A4645" s="1">
        <f>HYPERLINK("https://cms.ls-nyc.org/matter/dynamic-profile/view/1868401","18-1868401")</f>
        <v>0</v>
      </c>
      <c r="B4645" t="s">
        <v>9</v>
      </c>
      <c r="F4645" t="s">
        <v>17</v>
      </c>
      <c r="H4645" t="s">
        <v>20</v>
      </c>
    </row>
    <row r="4646" spans="1:8">
      <c r="A4646" s="1">
        <f>HYPERLINK("https://cms.ls-nyc.org/matter/dynamic-profile/view/1845640","17-1845640")</f>
        <v>0</v>
      </c>
      <c r="B4646" t="s">
        <v>9</v>
      </c>
      <c r="D4646" t="s">
        <v>15</v>
      </c>
      <c r="E4646" t="s">
        <v>16</v>
      </c>
      <c r="F4646" t="s">
        <v>17</v>
      </c>
      <c r="H4646" t="s">
        <v>20</v>
      </c>
    </row>
    <row r="4647" spans="1:8">
      <c r="A4647" s="1">
        <f>HYPERLINK("https://cms.ls-nyc.org/matter/dynamic-profile/view/1840992","17-1840992")</f>
        <v>0</v>
      </c>
      <c r="B4647" t="s">
        <v>9</v>
      </c>
      <c r="D4647" t="s">
        <v>15</v>
      </c>
      <c r="E4647" t="s">
        <v>16</v>
      </c>
      <c r="F4647" t="s">
        <v>17</v>
      </c>
      <c r="H4647" t="s">
        <v>20</v>
      </c>
    </row>
    <row r="4648" spans="1:8">
      <c r="A4648" s="1">
        <f>HYPERLINK("https://cms.ls-nyc.org/matter/dynamic-profile/view/0829640","17-0829640")</f>
        <v>0</v>
      </c>
      <c r="B4648" t="s">
        <v>12</v>
      </c>
      <c r="D4648" t="s">
        <v>15</v>
      </c>
      <c r="E4648" t="s">
        <v>16</v>
      </c>
      <c r="F4648" t="s">
        <v>17</v>
      </c>
      <c r="H4648" t="s">
        <v>20</v>
      </c>
    </row>
    <row r="4649" spans="1:8">
      <c r="A4649" s="1">
        <f>HYPERLINK("https://cms.ls-nyc.org/matter/dynamic-profile/view/1897390","19-1897390")</f>
        <v>0</v>
      </c>
      <c r="B4649" t="s">
        <v>9</v>
      </c>
      <c r="F4649" t="s">
        <v>17</v>
      </c>
      <c r="H4649" t="s">
        <v>20</v>
      </c>
    </row>
    <row r="4650" spans="1:8">
      <c r="A4650" s="1">
        <f>HYPERLINK("https://cms.ls-nyc.org/matter/dynamic-profile/view/1900727","19-1900727")</f>
        <v>0</v>
      </c>
      <c r="B4650" t="s">
        <v>9</v>
      </c>
      <c r="E4650" t="s">
        <v>16</v>
      </c>
      <c r="F4650" t="s">
        <v>17</v>
      </c>
      <c r="H4650" t="s">
        <v>20</v>
      </c>
    </row>
    <row r="4651" spans="1:8">
      <c r="A4651" s="1">
        <f>HYPERLINK("https://cms.ls-nyc.org/matter/dynamic-profile/view/1891541","19-1891541")</f>
        <v>0</v>
      </c>
      <c r="B4651" t="s">
        <v>9</v>
      </c>
      <c r="E4651" t="s">
        <v>16</v>
      </c>
      <c r="F4651" t="s">
        <v>17</v>
      </c>
      <c r="H4651" t="s">
        <v>20</v>
      </c>
    </row>
    <row r="4652" spans="1:8">
      <c r="A4652" s="1">
        <f>HYPERLINK("https://cms.ls-nyc.org/matter/dynamic-profile/view/1891544","19-1891544")</f>
        <v>0</v>
      </c>
      <c r="B4652" t="s">
        <v>9</v>
      </c>
      <c r="E4652" t="s">
        <v>16</v>
      </c>
      <c r="F4652" t="s">
        <v>17</v>
      </c>
      <c r="H4652" t="s">
        <v>20</v>
      </c>
    </row>
    <row r="4653" spans="1:8">
      <c r="A4653" s="1">
        <f>HYPERLINK("https://cms.ls-nyc.org/matter/dynamic-profile/view/1897064","19-1897064")</f>
        <v>0</v>
      </c>
      <c r="B4653" t="s">
        <v>8</v>
      </c>
      <c r="H4653" t="s">
        <v>19</v>
      </c>
    </row>
    <row r="4654" spans="1:8">
      <c r="A4654" s="1">
        <f>HYPERLINK("https://cms.ls-nyc.org/matter/dynamic-profile/view/1897069","19-1897069")</f>
        <v>0</v>
      </c>
      <c r="B4654" t="s">
        <v>8</v>
      </c>
      <c r="H4654" t="s">
        <v>19</v>
      </c>
    </row>
    <row r="4655" spans="1:8">
      <c r="A4655" s="1">
        <f>HYPERLINK("https://cms.ls-nyc.org/matter/dynamic-profile/view/1892863","19-1892863")</f>
        <v>0</v>
      </c>
      <c r="B4655" t="s">
        <v>9</v>
      </c>
      <c r="E4655" t="s">
        <v>16</v>
      </c>
      <c r="F4655" t="s">
        <v>17</v>
      </c>
      <c r="H4655" t="s">
        <v>20</v>
      </c>
    </row>
    <row r="4656" spans="1:8">
      <c r="A4656" s="1">
        <f>HYPERLINK("https://cms.ls-nyc.org/matter/dynamic-profile/view/1892865","19-1892865")</f>
        <v>0</v>
      </c>
      <c r="B4656" t="s">
        <v>9</v>
      </c>
      <c r="E4656" t="s">
        <v>16</v>
      </c>
      <c r="F4656" t="s">
        <v>17</v>
      </c>
      <c r="H4656" t="s">
        <v>20</v>
      </c>
    </row>
    <row r="4657" spans="1:8">
      <c r="A4657" s="1">
        <f>HYPERLINK("https://cms.ls-nyc.org/matter/dynamic-profile/view/1878950","18-1878950")</f>
        <v>0</v>
      </c>
      <c r="B4657" t="s">
        <v>9</v>
      </c>
      <c r="H4657" t="s">
        <v>19</v>
      </c>
    </row>
    <row r="4658" spans="1:8">
      <c r="A4658" s="1">
        <f>HYPERLINK("https://cms.ls-nyc.org/matter/dynamic-profile/view/1878953","18-1878953")</f>
        <v>0</v>
      </c>
      <c r="B4658" t="s">
        <v>9</v>
      </c>
      <c r="H4658" t="s">
        <v>19</v>
      </c>
    </row>
    <row r="4659" spans="1:8">
      <c r="A4659" s="1">
        <f>HYPERLINK("https://cms.ls-nyc.org/matter/dynamic-profile/view/1885720","18-1885720")</f>
        <v>0</v>
      </c>
      <c r="B4659" t="s">
        <v>10</v>
      </c>
      <c r="F4659" t="s">
        <v>17</v>
      </c>
      <c r="H4659" t="s">
        <v>20</v>
      </c>
    </row>
    <row r="4660" spans="1:8">
      <c r="A4660" s="1">
        <f>HYPERLINK("https://cms.ls-nyc.org/matter/dynamic-profile/view/1875115","18-1875115")</f>
        <v>0</v>
      </c>
      <c r="B4660" t="s">
        <v>10</v>
      </c>
      <c r="D4660" t="s">
        <v>14</v>
      </c>
      <c r="H4660" t="s">
        <v>20</v>
      </c>
    </row>
    <row r="4661" spans="1:8">
      <c r="A4661" s="1">
        <f>HYPERLINK("https://cms.ls-nyc.org/matter/dynamic-profile/view/1883414","18-1883414")</f>
        <v>0</v>
      </c>
      <c r="B4661" t="s">
        <v>10</v>
      </c>
      <c r="H4661" t="s">
        <v>19</v>
      </c>
    </row>
    <row r="4662" spans="1:8">
      <c r="A4662" s="1">
        <f>HYPERLINK("https://cms.ls-nyc.org/matter/dynamic-profile/view/1868368","18-1868368")</f>
        <v>0</v>
      </c>
      <c r="B4662" t="s">
        <v>12</v>
      </c>
      <c r="D4662" t="s">
        <v>15</v>
      </c>
      <c r="E4662" t="s">
        <v>16</v>
      </c>
      <c r="H4662" t="s">
        <v>20</v>
      </c>
    </row>
    <row r="4663" spans="1:8">
      <c r="A4663" s="1">
        <f>HYPERLINK("https://cms.ls-nyc.org/matter/dynamic-profile/view/1892433","19-1892433")</f>
        <v>0</v>
      </c>
      <c r="B4663" t="s">
        <v>10</v>
      </c>
      <c r="H4663" t="s">
        <v>19</v>
      </c>
    </row>
    <row r="4664" spans="1:8">
      <c r="A4664" s="1">
        <f>HYPERLINK("https://cms.ls-nyc.org/matter/dynamic-profile/view/1892158","19-1892158")</f>
        <v>0</v>
      </c>
      <c r="B4664" t="s">
        <v>10</v>
      </c>
      <c r="H4664" t="s">
        <v>19</v>
      </c>
    </row>
    <row r="4665" spans="1:8">
      <c r="A4665" s="1">
        <f>HYPERLINK("https://cms.ls-nyc.org/matter/dynamic-profile/view/1897686","19-1897686")</f>
        <v>0</v>
      </c>
      <c r="B4665" t="s">
        <v>12</v>
      </c>
      <c r="H4665" t="s">
        <v>19</v>
      </c>
    </row>
    <row r="4666" spans="1:8">
      <c r="A4666" s="1">
        <f>HYPERLINK("https://cms.ls-nyc.org/matter/dynamic-profile/view/0821529","16-0821529")</f>
        <v>0</v>
      </c>
      <c r="B4666" t="s">
        <v>10</v>
      </c>
      <c r="D4666" t="s">
        <v>15</v>
      </c>
      <c r="E4666" t="s">
        <v>16</v>
      </c>
      <c r="H4666" t="s">
        <v>20</v>
      </c>
    </row>
    <row r="4667" spans="1:8">
      <c r="A4667" s="1">
        <f>HYPERLINK("https://cms.ls-nyc.org/matter/dynamic-profile/view/0829654","17-0829654")</f>
        <v>0</v>
      </c>
      <c r="B4667" t="s">
        <v>12</v>
      </c>
      <c r="D4667" t="s">
        <v>15</v>
      </c>
      <c r="E4667" t="s">
        <v>16</v>
      </c>
      <c r="H4667" t="s">
        <v>20</v>
      </c>
    </row>
    <row r="4668" spans="1:8">
      <c r="A4668" s="1">
        <f>HYPERLINK("https://cms.ls-nyc.org/matter/dynamic-profile/view/0832916","17-0832916")</f>
        <v>0</v>
      </c>
      <c r="B4668" t="s">
        <v>9</v>
      </c>
      <c r="D4668" t="s">
        <v>14</v>
      </c>
      <c r="E4668" t="s">
        <v>16</v>
      </c>
      <c r="H4668" t="s">
        <v>20</v>
      </c>
    </row>
    <row r="4669" spans="1:8">
      <c r="A4669" s="1">
        <f>HYPERLINK("https://cms.ls-nyc.org/matter/dynamic-profile/view/1891586","19-1891586")</f>
        <v>0</v>
      </c>
      <c r="B4669" t="s">
        <v>9</v>
      </c>
      <c r="E4669" t="s">
        <v>16</v>
      </c>
      <c r="F4669" t="s">
        <v>17</v>
      </c>
      <c r="H4669" t="s">
        <v>20</v>
      </c>
    </row>
    <row r="4670" spans="1:8">
      <c r="A4670" s="1">
        <f>HYPERLINK("https://cms.ls-nyc.org/matter/dynamic-profile/view/1891589","19-1891589")</f>
        <v>0</v>
      </c>
      <c r="B4670" t="s">
        <v>9</v>
      </c>
      <c r="E4670" t="s">
        <v>16</v>
      </c>
      <c r="F4670" t="s">
        <v>17</v>
      </c>
      <c r="H4670" t="s">
        <v>20</v>
      </c>
    </row>
    <row r="4671" spans="1:8">
      <c r="A4671" s="1">
        <f>HYPERLINK("https://cms.ls-nyc.org/matter/dynamic-profile/view/1893050","19-1893050")</f>
        <v>0</v>
      </c>
      <c r="B4671" t="s">
        <v>10</v>
      </c>
      <c r="D4671" t="s">
        <v>14</v>
      </c>
      <c r="G4671" t="s">
        <v>18</v>
      </c>
      <c r="H4671" t="s">
        <v>20</v>
      </c>
    </row>
    <row r="4672" spans="1:8">
      <c r="A4672" s="1">
        <f>HYPERLINK("https://cms.ls-nyc.org/matter/dynamic-profile/view/1891044","19-1891044")</f>
        <v>0</v>
      </c>
      <c r="B4672" t="s">
        <v>12</v>
      </c>
      <c r="H4672" t="s">
        <v>19</v>
      </c>
    </row>
    <row r="4673" spans="1:8">
      <c r="A4673" s="1">
        <f>HYPERLINK("https://cms.ls-nyc.org/matter/dynamic-profile/view/1881067","18-1881067")</f>
        <v>0</v>
      </c>
      <c r="B4673" t="s">
        <v>9</v>
      </c>
      <c r="H4673" t="s">
        <v>19</v>
      </c>
    </row>
    <row r="4674" spans="1:8">
      <c r="A4674" s="1">
        <f>HYPERLINK("https://cms.ls-nyc.org/matter/dynamic-profile/view/1885229","18-1885229")</f>
        <v>0</v>
      </c>
      <c r="B4674" t="s">
        <v>12</v>
      </c>
      <c r="H4674" t="s">
        <v>19</v>
      </c>
    </row>
    <row r="4675" spans="1:8">
      <c r="A4675" s="1">
        <f>HYPERLINK("https://cms.ls-nyc.org/matter/dynamic-profile/view/1900516","19-1900516")</f>
        <v>0</v>
      </c>
      <c r="B4675" t="s">
        <v>12</v>
      </c>
      <c r="F4675" t="s">
        <v>17</v>
      </c>
      <c r="H4675" t="s">
        <v>20</v>
      </c>
    </row>
    <row r="4676" spans="1:8">
      <c r="A4676" s="1">
        <f>HYPERLINK("https://cms.ls-nyc.org/matter/dynamic-profile/view/1889601","19-1889601")</f>
        <v>0</v>
      </c>
      <c r="B4676" t="s">
        <v>9</v>
      </c>
      <c r="H4676" t="s">
        <v>19</v>
      </c>
    </row>
    <row r="4677" spans="1:8">
      <c r="A4677" s="1">
        <f>HYPERLINK("https://cms.ls-nyc.org/matter/dynamic-profile/view/1879974","18-1879974")</f>
        <v>0</v>
      </c>
      <c r="B4677" t="s">
        <v>9</v>
      </c>
      <c r="F4677" t="s">
        <v>17</v>
      </c>
      <c r="H4677" t="s">
        <v>20</v>
      </c>
    </row>
    <row r="4678" spans="1:8">
      <c r="A4678" s="1">
        <f>HYPERLINK("https://cms.ls-nyc.org/matter/dynamic-profile/view/1867935","18-1867935")</f>
        <v>0</v>
      </c>
      <c r="B4678" t="s">
        <v>9</v>
      </c>
      <c r="F4678" t="s">
        <v>17</v>
      </c>
      <c r="H4678" t="s">
        <v>20</v>
      </c>
    </row>
    <row r="4679" spans="1:8">
      <c r="A4679" s="1">
        <f>HYPERLINK("https://cms.ls-nyc.org/matter/dynamic-profile/view/1890526","19-1890526")</f>
        <v>0</v>
      </c>
      <c r="B4679" t="s">
        <v>9</v>
      </c>
      <c r="E4679" t="s">
        <v>16</v>
      </c>
      <c r="F4679" t="s">
        <v>17</v>
      </c>
      <c r="H4679" t="s">
        <v>20</v>
      </c>
    </row>
    <row r="4680" spans="1:8">
      <c r="A4680" s="1">
        <f>HYPERLINK("https://cms.ls-nyc.org/matter/dynamic-profile/view/1891464","19-1891464")</f>
        <v>0</v>
      </c>
      <c r="B4680" t="s">
        <v>9</v>
      </c>
      <c r="E4680" t="s">
        <v>16</v>
      </c>
      <c r="F4680" t="s">
        <v>17</v>
      </c>
      <c r="H4680" t="s">
        <v>20</v>
      </c>
    </row>
    <row r="4681" spans="1:8">
      <c r="A4681" s="1">
        <f>HYPERLINK("https://cms.ls-nyc.org/matter/dynamic-profile/view/1887822","19-1887822")</f>
        <v>0</v>
      </c>
      <c r="B4681" t="s">
        <v>9</v>
      </c>
      <c r="D4681" t="s">
        <v>15</v>
      </c>
      <c r="E4681" t="s">
        <v>16</v>
      </c>
      <c r="H4681" t="s">
        <v>20</v>
      </c>
    </row>
    <row r="4682" spans="1:8">
      <c r="A4682" s="1">
        <f>HYPERLINK("https://cms.ls-nyc.org/matter/dynamic-profile/view/0824111","17-0824111")</f>
        <v>0</v>
      </c>
      <c r="B4682" t="s">
        <v>10</v>
      </c>
      <c r="D4682" t="s">
        <v>15</v>
      </c>
      <c r="E4682" t="s">
        <v>16</v>
      </c>
      <c r="H4682" t="s">
        <v>20</v>
      </c>
    </row>
    <row r="4683" spans="1:8">
      <c r="A4683" s="1">
        <f>HYPERLINK("https://cms.ls-nyc.org/matter/dynamic-profile/view/0822324","16-0822324")</f>
        <v>0</v>
      </c>
      <c r="B4683" t="s">
        <v>12</v>
      </c>
      <c r="D4683" t="s">
        <v>15</v>
      </c>
      <c r="E4683" t="s">
        <v>16</v>
      </c>
      <c r="F4683" t="s">
        <v>17</v>
      </c>
      <c r="H4683" t="s">
        <v>20</v>
      </c>
    </row>
    <row r="4684" spans="1:8">
      <c r="A4684" s="1">
        <f>HYPERLINK("https://cms.ls-nyc.org/matter/dynamic-profile/view/0822327","16-0822327")</f>
        <v>0</v>
      </c>
      <c r="B4684" t="s">
        <v>12</v>
      </c>
      <c r="D4684" t="s">
        <v>15</v>
      </c>
      <c r="E4684" t="s">
        <v>16</v>
      </c>
      <c r="F4684" t="s">
        <v>17</v>
      </c>
      <c r="H4684" t="s">
        <v>20</v>
      </c>
    </row>
    <row r="4685" spans="1:8">
      <c r="A4685" s="1">
        <f>HYPERLINK("https://cms.ls-nyc.org/matter/dynamic-profile/view/1900688","19-1900688")</f>
        <v>0</v>
      </c>
      <c r="B4685" t="s">
        <v>9</v>
      </c>
      <c r="D4685" t="s">
        <v>14</v>
      </c>
      <c r="H4685" t="s">
        <v>20</v>
      </c>
    </row>
    <row r="4686" spans="1:8">
      <c r="A4686" s="1">
        <f>HYPERLINK("https://cms.ls-nyc.org/matter/dynamic-profile/view/1849210","17-1849210")</f>
        <v>0</v>
      </c>
      <c r="B4686" t="s">
        <v>10</v>
      </c>
      <c r="D4686" t="s">
        <v>15</v>
      </c>
      <c r="E4686" t="s">
        <v>16</v>
      </c>
      <c r="H4686" t="s">
        <v>20</v>
      </c>
    </row>
    <row r="4687" spans="1:8">
      <c r="A4687" s="1">
        <f>HYPERLINK("https://cms.ls-nyc.org/matter/dynamic-profile/view/1878058","18-1878058")</f>
        <v>0</v>
      </c>
      <c r="B4687" t="s">
        <v>9</v>
      </c>
      <c r="F4687" t="s">
        <v>17</v>
      </c>
      <c r="H4687" t="s">
        <v>20</v>
      </c>
    </row>
    <row r="4688" spans="1:8">
      <c r="A4688" s="1">
        <f>HYPERLINK("https://cms.ls-nyc.org/matter/dynamic-profile/view/1878057","18-1878057")</f>
        <v>0</v>
      </c>
      <c r="B4688" t="s">
        <v>9</v>
      </c>
      <c r="F4688" t="s">
        <v>17</v>
      </c>
      <c r="H4688" t="s">
        <v>20</v>
      </c>
    </row>
    <row r="4689" spans="1:8">
      <c r="A4689" s="1">
        <f>HYPERLINK("https://cms.ls-nyc.org/matter/dynamic-profile/view/1881824","18-1881824")</f>
        <v>0</v>
      </c>
      <c r="B4689" t="s">
        <v>10</v>
      </c>
      <c r="H4689" t="s">
        <v>19</v>
      </c>
    </row>
    <row r="4690" spans="1:8">
      <c r="A4690" s="1">
        <f>HYPERLINK("https://cms.ls-nyc.org/matter/dynamic-profile/view/1864972","18-1864972")</f>
        <v>0</v>
      </c>
      <c r="B4690" t="s">
        <v>9</v>
      </c>
      <c r="D4690" t="s">
        <v>15</v>
      </c>
      <c r="E4690" t="s">
        <v>16</v>
      </c>
      <c r="H4690" t="s">
        <v>20</v>
      </c>
    </row>
    <row r="4691" spans="1:8">
      <c r="A4691" s="1">
        <f>HYPERLINK("https://cms.ls-nyc.org/matter/dynamic-profile/view/1892828","19-1892828")</f>
        <v>0</v>
      </c>
      <c r="B4691" t="s">
        <v>12</v>
      </c>
      <c r="F4691" t="s">
        <v>17</v>
      </c>
      <c r="H4691" t="s">
        <v>20</v>
      </c>
    </row>
    <row r="4692" spans="1:8">
      <c r="A4692" s="1">
        <f>HYPERLINK("https://cms.ls-nyc.org/matter/dynamic-profile/view/1890550","19-1890550")</f>
        <v>0</v>
      </c>
      <c r="B4692" t="s">
        <v>9</v>
      </c>
      <c r="E4692" t="s">
        <v>16</v>
      </c>
      <c r="F4692" t="s">
        <v>17</v>
      </c>
      <c r="H4692" t="s">
        <v>20</v>
      </c>
    </row>
    <row r="4693" spans="1:8">
      <c r="A4693" s="1">
        <f>HYPERLINK("https://cms.ls-nyc.org/matter/dynamic-profile/view/1891485","19-1891485")</f>
        <v>0</v>
      </c>
      <c r="B4693" t="s">
        <v>9</v>
      </c>
      <c r="E4693" t="s">
        <v>16</v>
      </c>
      <c r="F4693" t="s">
        <v>17</v>
      </c>
      <c r="H4693" t="s">
        <v>20</v>
      </c>
    </row>
    <row r="4694" spans="1:8">
      <c r="A4694" s="1">
        <f>HYPERLINK("https://cms.ls-nyc.org/matter/dynamic-profile/view/1882158","18-1882158")</f>
        <v>0</v>
      </c>
      <c r="B4694" t="s">
        <v>9</v>
      </c>
      <c r="H4694" t="s">
        <v>19</v>
      </c>
    </row>
    <row r="4695" spans="1:8">
      <c r="A4695" s="1">
        <f>HYPERLINK("https://cms.ls-nyc.org/matter/dynamic-profile/view/1890581","19-1890581")</f>
        <v>0</v>
      </c>
      <c r="B4695" t="s">
        <v>9</v>
      </c>
      <c r="E4695" t="s">
        <v>16</v>
      </c>
      <c r="F4695" t="s">
        <v>17</v>
      </c>
      <c r="H4695" t="s">
        <v>20</v>
      </c>
    </row>
    <row r="4696" spans="1:8">
      <c r="A4696" s="1">
        <f>HYPERLINK("https://cms.ls-nyc.org/matter/dynamic-profile/view/1891597","19-1891597")</f>
        <v>0</v>
      </c>
      <c r="B4696" t="s">
        <v>9</v>
      </c>
      <c r="E4696" t="s">
        <v>16</v>
      </c>
      <c r="F4696" t="s">
        <v>17</v>
      </c>
      <c r="H4696" t="s">
        <v>20</v>
      </c>
    </row>
    <row r="4697" spans="1:8">
      <c r="A4697" s="1">
        <f>HYPERLINK("https://cms.ls-nyc.org/matter/dynamic-profile/view/1846770","17-1846770")</f>
        <v>0</v>
      </c>
      <c r="B4697" t="s">
        <v>12</v>
      </c>
      <c r="D4697" t="s">
        <v>15</v>
      </c>
      <c r="F4697" t="s">
        <v>17</v>
      </c>
      <c r="H4697" t="s">
        <v>20</v>
      </c>
    </row>
    <row r="4698" spans="1:8">
      <c r="A4698" s="1">
        <f>HYPERLINK("https://cms.ls-nyc.org/matter/dynamic-profile/view/1890575","19-1890575")</f>
        <v>0</v>
      </c>
      <c r="B4698" t="s">
        <v>9</v>
      </c>
      <c r="E4698" t="s">
        <v>16</v>
      </c>
      <c r="F4698" t="s">
        <v>17</v>
      </c>
      <c r="H4698" t="s">
        <v>20</v>
      </c>
    </row>
    <row r="4699" spans="1:8">
      <c r="A4699" s="1">
        <f>HYPERLINK("https://cms.ls-nyc.org/matter/dynamic-profile/view/1891590","19-1891590")</f>
        <v>0</v>
      </c>
      <c r="B4699" t="s">
        <v>9</v>
      </c>
      <c r="E4699" t="s">
        <v>16</v>
      </c>
      <c r="F4699" t="s">
        <v>17</v>
      </c>
      <c r="H4699" t="s">
        <v>20</v>
      </c>
    </row>
    <row r="4700" spans="1:8">
      <c r="A4700" s="1">
        <f>HYPERLINK("https://cms.ls-nyc.org/matter/dynamic-profile/view/1899127","19-1899127")</f>
        <v>0</v>
      </c>
      <c r="B4700" t="s">
        <v>12</v>
      </c>
      <c r="H4700" t="s">
        <v>19</v>
      </c>
    </row>
    <row r="4701" spans="1:8">
      <c r="A4701" s="1">
        <f>HYPERLINK("https://cms.ls-nyc.org/matter/dynamic-profile/view/1838190","17-1838190")</f>
        <v>0</v>
      </c>
      <c r="B4701" t="s">
        <v>10</v>
      </c>
      <c r="D4701" t="s">
        <v>15</v>
      </c>
      <c r="E4701" t="s">
        <v>16</v>
      </c>
      <c r="H4701" t="s">
        <v>20</v>
      </c>
    </row>
    <row r="4702" spans="1:8">
      <c r="A4702" s="1">
        <f>HYPERLINK("https://cms.ls-nyc.org/matter/dynamic-profile/view/1836023","17-1836023")</f>
        <v>0</v>
      </c>
      <c r="B4702" t="s">
        <v>12</v>
      </c>
      <c r="D4702" t="s">
        <v>15</v>
      </c>
      <c r="H4702" t="s">
        <v>20</v>
      </c>
    </row>
    <row r="4703" spans="1:8">
      <c r="A4703" s="1">
        <f>HYPERLINK("https://cms.ls-nyc.org/matter/dynamic-profile/view/1842721","17-1842721")</f>
        <v>0</v>
      </c>
      <c r="B4703" t="s">
        <v>12</v>
      </c>
      <c r="D4703" t="s">
        <v>15</v>
      </c>
      <c r="H4703" t="s">
        <v>20</v>
      </c>
    </row>
    <row r="4704" spans="1:8">
      <c r="A4704" s="1">
        <f>HYPERLINK("https://cms.ls-nyc.org/matter/dynamic-profile/view/1892999","19-1892999")</f>
        <v>0</v>
      </c>
      <c r="B4704" t="s">
        <v>10</v>
      </c>
      <c r="D4704" t="s">
        <v>14</v>
      </c>
      <c r="G4704" t="s">
        <v>18</v>
      </c>
      <c r="H4704" t="s">
        <v>20</v>
      </c>
    </row>
    <row r="4705" spans="1:8">
      <c r="A4705" s="1">
        <f>HYPERLINK("https://cms.ls-nyc.org/matter/dynamic-profile/view/1870368","18-1870368")</f>
        <v>0</v>
      </c>
      <c r="B4705" t="s">
        <v>8</v>
      </c>
      <c r="D4705" t="s">
        <v>14</v>
      </c>
      <c r="E4705" t="s">
        <v>16</v>
      </c>
      <c r="H4705" t="s">
        <v>20</v>
      </c>
    </row>
    <row r="4706" spans="1:8">
      <c r="A4706" s="1">
        <f>HYPERLINK("https://cms.ls-nyc.org/matter/dynamic-profile/view/1900712","19-1900712")</f>
        <v>0</v>
      </c>
      <c r="B4706" t="s">
        <v>9</v>
      </c>
      <c r="D4706" t="s">
        <v>14</v>
      </c>
      <c r="H4706" t="s">
        <v>20</v>
      </c>
    </row>
    <row r="4707" spans="1:8">
      <c r="A4707" s="1">
        <f>HYPERLINK("https://cms.ls-nyc.org/matter/dynamic-profile/view/1890587","19-1890587")</f>
        <v>0</v>
      </c>
      <c r="B4707" t="s">
        <v>9</v>
      </c>
      <c r="E4707" t="s">
        <v>16</v>
      </c>
      <c r="F4707" t="s">
        <v>17</v>
      </c>
      <c r="H4707" t="s">
        <v>20</v>
      </c>
    </row>
    <row r="4708" spans="1:8">
      <c r="A4708" s="1">
        <f>HYPERLINK("https://cms.ls-nyc.org/matter/dynamic-profile/view/1891610","19-1891610")</f>
        <v>0</v>
      </c>
      <c r="B4708" t="s">
        <v>9</v>
      </c>
      <c r="E4708" t="s">
        <v>16</v>
      </c>
      <c r="F4708" t="s">
        <v>17</v>
      </c>
      <c r="H4708" t="s">
        <v>20</v>
      </c>
    </row>
    <row r="4709" spans="1:8">
      <c r="A4709" s="1">
        <f>HYPERLINK("https://cms.ls-nyc.org/matter/dynamic-profile/view/1847293","17-1847293")</f>
        <v>0</v>
      </c>
      <c r="B4709" t="s">
        <v>12</v>
      </c>
      <c r="D4709" t="s">
        <v>15</v>
      </c>
      <c r="E4709" t="s">
        <v>16</v>
      </c>
      <c r="H4709" t="s">
        <v>20</v>
      </c>
    </row>
    <row r="4710" spans="1:8">
      <c r="A4710" s="1">
        <f>HYPERLINK("https://cms.ls-nyc.org/matter/dynamic-profile/view/1838642","17-1838642")</f>
        <v>0</v>
      </c>
      <c r="B4710" t="s">
        <v>12</v>
      </c>
      <c r="D4710" t="s">
        <v>15</v>
      </c>
      <c r="E4710" t="s">
        <v>16</v>
      </c>
      <c r="H4710" t="s">
        <v>20</v>
      </c>
    </row>
    <row r="4711" spans="1:8">
      <c r="A4711" s="1">
        <f>HYPERLINK("https://cms.ls-nyc.org/matter/dynamic-profile/view/1889094","19-1889094")</f>
        <v>0</v>
      </c>
      <c r="B4711" t="s">
        <v>9</v>
      </c>
      <c r="C4711" t="s">
        <v>13</v>
      </c>
      <c r="E4711" t="s">
        <v>16</v>
      </c>
      <c r="H4711" t="s">
        <v>20</v>
      </c>
    </row>
    <row r="4712" spans="1:8">
      <c r="A4712" s="1">
        <f>HYPERLINK("https://cms.ls-nyc.org/matter/dynamic-profile/view/1889260","19-1889260")</f>
        <v>0</v>
      </c>
      <c r="B4712" t="s">
        <v>9</v>
      </c>
      <c r="C4712" t="s">
        <v>13</v>
      </c>
      <c r="E4712" t="s">
        <v>16</v>
      </c>
      <c r="H4712" t="s">
        <v>20</v>
      </c>
    </row>
    <row r="4713" spans="1:8">
      <c r="A4713" s="1">
        <f>HYPERLINK("https://cms.ls-nyc.org/matter/dynamic-profile/view/1900809","19-1900809")</f>
        <v>0</v>
      </c>
      <c r="B4713" t="s">
        <v>9</v>
      </c>
      <c r="D4713" t="s">
        <v>14</v>
      </c>
      <c r="H4713" t="s">
        <v>20</v>
      </c>
    </row>
    <row r="4714" spans="1:8">
      <c r="A4714" s="1">
        <f>HYPERLINK("https://cms.ls-nyc.org/matter/dynamic-profile/view/1890994","19-1890994")</f>
        <v>0</v>
      </c>
      <c r="B4714" t="s">
        <v>10</v>
      </c>
      <c r="F4714" t="s">
        <v>17</v>
      </c>
      <c r="H4714" t="s">
        <v>20</v>
      </c>
    </row>
    <row r="4715" spans="1:8">
      <c r="A4715" s="1">
        <f>HYPERLINK("https://cms.ls-nyc.org/matter/dynamic-profile/view/1892403","19-1892403")</f>
        <v>0</v>
      </c>
      <c r="B4715" t="s">
        <v>10</v>
      </c>
      <c r="F4715" t="s">
        <v>17</v>
      </c>
      <c r="H4715" t="s">
        <v>20</v>
      </c>
    </row>
    <row r="4716" spans="1:8">
      <c r="A4716" s="1">
        <f>HYPERLINK("https://cms.ls-nyc.org/matter/dynamic-profile/view/1891975","19-1891975")</f>
        <v>0</v>
      </c>
      <c r="B4716" t="s">
        <v>10</v>
      </c>
      <c r="F4716" t="s">
        <v>17</v>
      </c>
      <c r="H4716" t="s">
        <v>20</v>
      </c>
    </row>
    <row r="4717" spans="1:8">
      <c r="A4717" s="1">
        <f>HYPERLINK("https://cms.ls-nyc.org/matter/dynamic-profile/view/1876927","18-1876927")</f>
        <v>0</v>
      </c>
      <c r="B4717" t="s">
        <v>9</v>
      </c>
      <c r="F4717" t="s">
        <v>17</v>
      </c>
      <c r="H4717" t="s">
        <v>20</v>
      </c>
    </row>
    <row r="4718" spans="1:8">
      <c r="A4718" s="1">
        <f>HYPERLINK("https://cms.ls-nyc.org/matter/dynamic-profile/view/1876925","18-1876925")</f>
        <v>0</v>
      </c>
      <c r="B4718" t="s">
        <v>9</v>
      </c>
      <c r="F4718" t="s">
        <v>17</v>
      </c>
      <c r="H4718" t="s">
        <v>20</v>
      </c>
    </row>
    <row r="4719" spans="1:8">
      <c r="A4719" s="1">
        <f>HYPERLINK("https://cms.ls-nyc.org/matter/dynamic-profile/view/1864874","18-1864874")</f>
        <v>0</v>
      </c>
      <c r="B4719" t="s">
        <v>12</v>
      </c>
      <c r="D4719" t="s">
        <v>15</v>
      </c>
      <c r="H4719" t="s">
        <v>20</v>
      </c>
    </row>
    <row r="4720" spans="1:8">
      <c r="A4720" s="1">
        <f>HYPERLINK("https://cms.ls-nyc.org/matter/dynamic-profile/view/1893258","19-1893258")</f>
        <v>0</v>
      </c>
      <c r="B4720" t="s">
        <v>9</v>
      </c>
      <c r="E4720" t="s">
        <v>16</v>
      </c>
      <c r="F4720" t="s">
        <v>17</v>
      </c>
      <c r="H4720" t="s">
        <v>20</v>
      </c>
    </row>
    <row r="4721" spans="1:8">
      <c r="A4721" s="1">
        <f>HYPERLINK("https://cms.ls-nyc.org/matter/dynamic-profile/view/1893262","19-1893262")</f>
        <v>0</v>
      </c>
      <c r="B4721" t="s">
        <v>9</v>
      </c>
      <c r="E4721" t="s">
        <v>16</v>
      </c>
      <c r="F4721" t="s">
        <v>17</v>
      </c>
      <c r="H4721" t="s">
        <v>20</v>
      </c>
    </row>
    <row r="4722" spans="1:8">
      <c r="A4722" s="1">
        <f>HYPERLINK("https://cms.ls-nyc.org/matter/dynamic-profile/view/1862815","18-1862815")</f>
        <v>0</v>
      </c>
      <c r="B4722" t="s">
        <v>10</v>
      </c>
      <c r="D4722" t="s">
        <v>14</v>
      </c>
      <c r="E4722" t="s">
        <v>16</v>
      </c>
      <c r="H4722" t="s">
        <v>20</v>
      </c>
    </row>
    <row r="4723" spans="1:8">
      <c r="A4723" s="1">
        <f>HYPERLINK("https://cms.ls-nyc.org/matter/dynamic-profile/view/1901226","19-1901226")</f>
        <v>0</v>
      </c>
      <c r="B4723" t="s">
        <v>12</v>
      </c>
      <c r="F4723" t="s">
        <v>17</v>
      </c>
      <c r="H4723" t="s">
        <v>20</v>
      </c>
    </row>
    <row r="4724" spans="1:8">
      <c r="A4724" s="1">
        <f>HYPERLINK("https://cms.ls-nyc.org/matter/dynamic-profile/view/1885317","18-1885317")</f>
        <v>0</v>
      </c>
      <c r="B4724" t="s">
        <v>9</v>
      </c>
      <c r="H4724" t="s">
        <v>19</v>
      </c>
    </row>
    <row r="4725" spans="1:8">
      <c r="A4725" s="1">
        <f>HYPERLINK("https://cms.ls-nyc.org/matter/dynamic-profile/view/1880097","18-1880097")</f>
        <v>0</v>
      </c>
      <c r="B4725" t="s">
        <v>9</v>
      </c>
      <c r="H4725" t="s">
        <v>19</v>
      </c>
    </row>
    <row r="4726" spans="1:8">
      <c r="A4726" s="1">
        <f>HYPERLINK("https://cms.ls-nyc.org/matter/dynamic-profile/view/1893215","19-1893215")</f>
        <v>0</v>
      </c>
      <c r="B4726" t="s">
        <v>10</v>
      </c>
      <c r="D4726" t="s">
        <v>14</v>
      </c>
      <c r="F4726" t="s">
        <v>17</v>
      </c>
      <c r="H4726" t="s">
        <v>20</v>
      </c>
    </row>
    <row r="4727" spans="1:8">
      <c r="A4727" s="1">
        <f>HYPERLINK("https://cms.ls-nyc.org/matter/dynamic-profile/view/1871454","18-1871454")</f>
        <v>0</v>
      </c>
      <c r="B4727" t="s">
        <v>10</v>
      </c>
      <c r="H4727" t="s">
        <v>19</v>
      </c>
    </row>
    <row r="4728" spans="1:8">
      <c r="A4728" s="1">
        <f>HYPERLINK("https://cms.ls-nyc.org/matter/dynamic-profile/view/0800116","16-0800116")</f>
        <v>0</v>
      </c>
      <c r="B4728" t="s">
        <v>10</v>
      </c>
      <c r="D4728" t="s">
        <v>15</v>
      </c>
      <c r="E4728" t="s">
        <v>16</v>
      </c>
      <c r="H4728" t="s">
        <v>20</v>
      </c>
    </row>
    <row r="4729" spans="1:8">
      <c r="A4729" s="1">
        <f>HYPERLINK("https://cms.ls-nyc.org/matter/dynamic-profile/view/0816914","16-0816914")</f>
        <v>0</v>
      </c>
      <c r="B4729" t="s">
        <v>10</v>
      </c>
      <c r="D4729" t="s">
        <v>15</v>
      </c>
      <c r="E4729" t="s">
        <v>16</v>
      </c>
      <c r="H4729" t="s">
        <v>20</v>
      </c>
    </row>
    <row r="4730" spans="1:8">
      <c r="A4730" s="1">
        <f>HYPERLINK("https://cms.ls-nyc.org/matter/dynamic-profile/view/0800114","16-0800114")</f>
        <v>0</v>
      </c>
      <c r="B4730" t="s">
        <v>10</v>
      </c>
      <c r="D4730" t="s">
        <v>15</v>
      </c>
      <c r="E4730" t="s">
        <v>16</v>
      </c>
      <c r="H4730" t="s">
        <v>20</v>
      </c>
    </row>
    <row r="4731" spans="1:8">
      <c r="A4731" s="1">
        <f>HYPERLINK("https://cms.ls-nyc.org/matter/dynamic-profile/view/1899643","19-1899643")</f>
        <v>0</v>
      </c>
      <c r="B4731" t="s">
        <v>9</v>
      </c>
      <c r="H4731" t="s">
        <v>19</v>
      </c>
    </row>
    <row r="4732" spans="1:8">
      <c r="A4732" s="1">
        <f>HYPERLINK("https://cms.ls-nyc.org/matter/dynamic-profile/view/1901091","19-1901091")</f>
        <v>0</v>
      </c>
      <c r="B4732" t="s">
        <v>9</v>
      </c>
      <c r="H4732" t="s">
        <v>19</v>
      </c>
    </row>
    <row r="4733" spans="1:8">
      <c r="A4733" s="1">
        <f>HYPERLINK("https://cms.ls-nyc.org/matter/dynamic-profile/view/1874267","18-1874267")</f>
        <v>0</v>
      </c>
      <c r="B4733" t="s">
        <v>10</v>
      </c>
      <c r="E4733" t="s">
        <v>16</v>
      </c>
      <c r="H4733" t="s">
        <v>20</v>
      </c>
    </row>
    <row r="4734" spans="1:8">
      <c r="A4734" s="1">
        <f>HYPERLINK("https://cms.ls-nyc.org/matter/dynamic-profile/view/1891914","19-1891914")</f>
        <v>0</v>
      </c>
      <c r="B4734" t="s">
        <v>9</v>
      </c>
      <c r="E4734" t="s">
        <v>16</v>
      </c>
      <c r="F4734" t="s">
        <v>17</v>
      </c>
      <c r="H4734" t="s">
        <v>20</v>
      </c>
    </row>
    <row r="4735" spans="1:8">
      <c r="A4735" s="1">
        <f>HYPERLINK("https://cms.ls-nyc.org/matter/dynamic-profile/view/1891920","19-1891920")</f>
        <v>0</v>
      </c>
      <c r="B4735" t="s">
        <v>9</v>
      </c>
      <c r="E4735" t="s">
        <v>16</v>
      </c>
      <c r="F4735" t="s">
        <v>17</v>
      </c>
      <c r="H4735" t="s">
        <v>20</v>
      </c>
    </row>
    <row r="4736" spans="1:8">
      <c r="A4736" s="1">
        <f>HYPERLINK("https://cms.ls-nyc.org/matter/dynamic-profile/view/1892467","19-1892467")</f>
        <v>0</v>
      </c>
      <c r="B4736" t="s">
        <v>9</v>
      </c>
      <c r="F4736" t="s">
        <v>17</v>
      </c>
      <c r="H4736" t="s">
        <v>20</v>
      </c>
    </row>
    <row r="4737" spans="1:8">
      <c r="A4737" s="1">
        <f>HYPERLINK("https://cms.ls-nyc.org/matter/dynamic-profile/view/1854704","17-1854704")</f>
        <v>0</v>
      </c>
      <c r="B4737" t="s">
        <v>10</v>
      </c>
      <c r="D4737" t="s">
        <v>15</v>
      </c>
      <c r="E4737" t="s">
        <v>16</v>
      </c>
      <c r="H4737" t="s">
        <v>20</v>
      </c>
    </row>
    <row r="4738" spans="1:8">
      <c r="A4738" s="1">
        <f>HYPERLINK("https://cms.ls-nyc.org/matter/dynamic-profile/view/1894310","19-1894310")</f>
        <v>0</v>
      </c>
      <c r="B4738" t="s">
        <v>9</v>
      </c>
      <c r="F4738" t="s">
        <v>17</v>
      </c>
      <c r="H4738" t="s">
        <v>20</v>
      </c>
    </row>
    <row r="4739" spans="1:8">
      <c r="A4739" s="1">
        <f>HYPERLINK("https://cms.ls-nyc.org/matter/dynamic-profile/view/1900045","19-1900045")</f>
        <v>0</v>
      </c>
      <c r="B4739" t="s">
        <v>10</v>
      </c>
      <c r="D4739" t="s">
        <v>14</v>
      </c>
      <c r="E4739" t="s">
        <v>16</v>
      </c>
      <c r="H4739" t="s">
        <v>20</v>
      </c>
    </row>
    <row r="4740" spans="1:8">
      <c r="A4740" s="1">
        <f>HYPERLINK("https://cms.ls-nyc.org/matter/dynamic-profile/view/1835983","17-1835983")</f>
        <v>0</v>
      </c>
      <c r="B4740" t="s">
        <v>12</v>
      </c>
      <c r="D4740" t="s">
        <v>15</v>
      </c>
      <c r="E4740" t="s">
        <v>16</v>
      </c>
      <c r="H4740" t="s">
        <v>20</v>
      </c>
    </row>
    <row r="4741" spans="1:8">
      <c r="A4741" s="1">
        <f>HYPERLINK("https://cms.ls-nyc.org/matter/dynamic-profile/view/1890005","19-1890005")</f>
        <v>0</v>
      </c>
      <c r="B4741" t="s">
        <v>10</v>
      </c>
      <c r="H4741" t="s">
        <v>19</v>
      </c>
    </row>
    <row r="4742" spans="1:8">
      <c r="A4742" s="1">
        <f>HYPERLINK("https://cms.ls-nyc.org/matter/dynamic-profile/view/1889994","19-1889994")</f>
        <v>0</v>
      </c>
      <c r="B4742" t="s">
        <v>10</v>
      </c>
      <c r="H4742" t="s">
        <v>19</v>
      </c>
    </row>
    <row r="4743" spans="1:8">
      <c r="A4743" s="1">
        <f>HYPERLINK("https://cms.ls-nyc.org/matter/dynamic-profile/view/1866845","18-1866845")</f>
        <v>0</v>
      </c>
      <c r="B4743" t="s">
        <v>9</v>
      </c>
      <c r="D4743" t="s">
        <v>15</v>
      </c>
      <c r="E4743" t="s">
        <v>16</v>
      </c>
      <c r="H4743" t="s">
        <v>20</v>
      </c>
    </row>
    <row r="4744" spans="1:8">
      <c r="A4744" s="1">
        <f>HYPERLINK("https://cms.ls-nyc.org/matter/dynamic-profile/view/1865239","18-1865239")</f>
        <v>0</v>
      </c>
      <c r="B4744" t="s">
        <v>8</v>
      </c>
      <c r="C4744" t="s">
        <v>13</v>
      </c>
      <c r="D4744" t="s">
        <v>14</v>
      </c>
      <c r="E4744" t="s">
        <v>16</v>
      </c>
      <c r="H4744" t="s">
        <v>20</v>
      </c>
    </row>
    <row r="4745" spans="1:8">
      <c r="A4745" s="1">
        <f>HYPERLINK("https://cms.ls-nyc.org/matter/dynamic-profile/view/1896149","19-1896149")</f>
        <v>0</v>
      </c>
      <c r="B4745" t="s">
        <v>9</v>
      </c>
      <c r="D4745" t="s">
        <v>14</v>
      </c>
      <c r="H4745" t="s">
        <v>20</v>
      </c>
    </row>
    <row r="4746" spans="1:8">
      <c r="A4746" s="1">
        <f>HYPERLINK("https://cms.ls-nyc.org/matter/dynamic-profile/view/0799256","16-0799256")</f>
        <v>0</v>
      </c>
      <c r="B4746" t="s">
        <v>10</v>
      </c>
      <c r="D4746" t="s">
        <v>15</v>
      </c>
      <c r="E4746" t="s">
        <v>16</v>
      </c>
      <c r="H4746" t="s">
        <v>20</v>
      </c>
    </row>
    <row r="4747" spans="1:8">
      <c r="A4747" s="1">
        <f>HYPERLINK("https://cms.ls-nyc.org/matter/dynamic-profile/view/0816982","16-0816982")</f>
        <v>0</v>
      </c>
      <c r="B4747" t="s">
        <v>10</v>
      </c>
      <c r="D4747" t="s">
        <v>15</v>
      </c>
      <c r="E4747" t="s">
        <v>16</v>
      </c>
      <c r="H4747" t="s">
        <v>20</v>
      </c>
    </row>
    <row r="4748" spans="1:8">
      <c r="A4748" s="1">
        <f>HYPERLINK("https://cms.ls-nyc.org/matter/dynamic-profile/view/0822233","16-0822233")</f>
        <v>0</v>
      </c>
      <c r="B4748" t="s">
        <v>10</v>
      </c>
      <c r="D4748" t="s">
        <v>15</v>
      </c>
      <c r="E4748" t="s">
        <v>16</v>
      </c>
      <c r="H4748" t="s">
        <v>20</v>
      </c>
    </row>
    <row r="4749" spans="1:8">
      <c r="A4749" s="1">
        <f>HYPERLINK("https://cms.ls-nyc.org/matter/dynamic-profile/view/1856063","18-1856063")</f>
        <v>0</v>
      </c>
      <c r="B4749" t="s">
        <v>12</v>
      </c>
      <c r="D4749" t="s">
        <v>15</v>
      </c>
      <c r="E4749" t="s">
        <v>16</v>
      </c>
      <c r="F4749" t="s">
        <v>17</v>
      </c>
      <c r="H4749" t="s">
        <v>20</v>
      </c>
    </row>
    <row r="4750" spans="1:8">
      <c r="A4750" s="1">
        <f>HYPERLINK("https://cms.ls-nyc.org/matter/dynamic-profile/view/1888917","19-1888917")</f>
        <v>0</v>
      </c>
      <c r="B4750" t="s">
        <v>10</v>
      </c>
      <c r="D4750" t="s">
        <v>14</v>
      </c>
      <c r="H4750" t="s">
        <v>20</v>
      </c>
    </row>
    <row r="4751" spans="1:8">
      <c r="A4751" s="1">
        <f>HYPERLINK("https://cms.ls-nyc.org/matter/dynamic-profile/view/0829646","17-0829646")</f>
        <v>0</v>
      </c>
      <c r="B4751" t="s">
        <v>12</v>
      </c>
      <c r="C4751" t="s">
        <v>13</v>
      </c>
      <c r="D4751" t="s">
        <v>15</v>
      </c>
      <c r="E4751" t="s">
        <v>16</v>
      </c>
      <c r="H4751" t="s">
        <v>20</v>
      </c>
    </row>
    <row r="4752" spans="1:8">
      <c r="A4752" s="1">
        <f>HYPERLINK("https://cms.ls-nyc.org/matter/dynamic-profile/view/1882523","18-1882523")</f>
        <v>0</v>
      </c>
      <c r="B4752" t="s">
        <v>9</v>
      </c>
      <c r="F4752" t="s">
        <v>17</v>
      </c>
      <c r="H4752" t="s">
        <v>20</v>
      </c>
    </row>
    <row r="4753" spans="1:8">
      <c r="A4753" s="1">
        <f>HYPERLINK("https://cms.ls-nyc.org/matter/dynamic-profile/view/1886506","18-1886506")</f>
        <v>0</v>
      </c>
      <c r="B4753" t="s">
        <v>10</v>
      </c>
      <c r="H4753" t="s">
        <v>19</v>
      </c>
    </row>
    <row r="4754" spans="1:8">
      <c r="A4754" s="1">
        <f>HYPERLINK("https://cms.ls-nyc.org/matter/dynamic-profile/view/1876914","18-1876914")</f>
        <v>0</v>
      </c>
      <c r="B4754" t="s">
        <v>9</v>
      </c>
      <c r="H4754" t="s">
        <v>19</v>
      </c>
    </row>
    <row r="4755" spans="1:8">
      <c r="A4755" s="1">
        <f>HYPERLINK("https://cms.ls-nyc.org/matter/dynamic-profile/view/1876913","18-1876913")</f>
        <v>0</v>
      </c>
      <c r="B4755" t="s">
        <v>9</v>
      </c>
      <c r="H4755" t="s">
        <v>19</v>
      </c>
    </row>
    <row r="4756" spans="1:8">
      <c r="A4756" s="1">
        <f>HYPERLINK("https://cms.ls-nyc.org/matter/dynamic-profile/view/1879671","18-1879671")</f>
        <v>0</v>
      </c>
      <c r="B4756" t="s">
        <v>9</v>
      </c>
      <c r="C4756" t="s">
        <v>13</v>
      </c>
      <c r="E4756" t="s">
        <v>16</v>
      </c>
      <c r="F4756" t="s">
        <v>17</v>
      </c>
      <c r="H4756" t="s">
        <v>20</v>
      </c>
    </row>
    <row r="4757" spans="1:8">
      <c r="A4757" s="1">
        <f>HYPERLINK("https://cms.ls-nyc.org/matter/dynamic-profile/view/1879674","18-1879674")</f>
        <v>0</v>
      </c>
      <c r="B4757" t="s">
        <v>9</v>
      </c>
      <c r="C4757" t="s">
        <v>13</v>
      </c>
      <c r="E4757" t="s">
        <v>16</v>
      </c>
      <c r="F4757" t="s">
        <v>17</v>
      </c>
      <c r="H4757" t="s">
        <v>20</v>
      </c>
    </row>
    <row r="4758" spans="1:8">
      <c r="A4758" s="1">
        <f>HYPERLINK("https://cms.ls-nyc.org/matter/dynamic-profile/view/1879665","18-1879665")</f>
        <v>0</v>
      </c>
      <c r="B4758" t="s">
        <v>9</v>
      </c>
      <c r="C4758" t="s">
        <v>13</v>
      </c>
      <c r="D4758" t="s">
        <v>15</v>
      </c>
      <c r="E4758" t="s">
        <v>16</v>
      </c>
      <c r="F4758" t="s">
        <v>17</v>
      </c>
      <c r="H4758" t="s">
        <v>20</v>
      </c>
    </row>
    <row r="4759" spans="1:8">
      <c r="A4759" s="1">
        <f>HYPERLINK("https://cms.ls-nyc.org/matter/dynamic-profile/view/1879667","18-1879667")</f>
        <v>0</v>
      </c>
      <c r="B4759" t="s">
        <v>9</v>
      </c>
      <c r="C4759" t="s">
        <v>13</v>
      </c>
      <c r="E4759" t="s">
        <v>16</v>
      </c>
      <c r="F4759" t="s">
        <v>17</v>
      </c>
      <c r="H4759" t="s">
        <v>20</v>
      </c>
    </row>
    <row r="4760" spans="1:8">
      <c r="A4760" s="1">
        <f>HYPERLINK("https://cms.ls-nyc.org/matter/dynamic-profile/view/1879657","18-1879657")</f>
        <v>0</v>
      </c>
      <c r="B4760" t="s">
        <v>9</v>
      </c>
      <c r="C4760" t="s">
        <v>13</v>
      </c>
      <c r="E4760" t="s">
        <v>16</v>
      </c>
      <c r="F4760" t="s">
        <v>17</v>
      </c>
      <c r="H4760" t="s">
        <v>20</v>
      </c>
    </row>
    <row r="4761" spans="1:8">
      <c r="A4761" s="1">
        <f>HYPERLINK("https://cms.ls-nyc.org/matter/dynamic-profile/view/1879662","18-1879662")</f>
        <v>0</v>
      </c>
      <c r="B4761" t="s">
        <v>9</v>
      </c>
      <c r="C4761" t="s">
        <v>13</v>
      </c>
      <c r="D4761" t="s">
        <v>15</v>
      </c>
      <c r="E4761" t="s">
        <v>16</v>
      </c>
      <c r="F4761" t="s">
        <v>17</v>
      </c>
      <c r="H4761" t="s">
        <v>20</v>
      </c>
    </row>
    <row r="4762" spans="1:8">
      <c r="A4762" s="1">
        <f>HYPERLINK("https://cms.ls-nyc.org/matter/dynamic-profile/view/1854566","17-1854566")</f>
        <v>0</v>
      </c>
      <c r="B4762" t="s">
        <v>9</v>
      </c>
      <c r="D4762" t="s">
        <v>15</v>
      </c>
      <c r="E4762" t="s">
        <v>16</v>
      </c>
      <c r="F4762" t="s">
        <v>17</v>
      </c>
      <c r="H4762" t="s">
        <v>20</v>
      </c>
    </row>
    <row r="4763" spans="1:8">
      <c r="A4763" s="1">
        <f>HYPERLINK("https://cms.ls-nyc.org/matter/dynamic-profile/view/1842842","17-1842842")</f>
        <v>0</v>
      </c>
      <c r="B4763" t="s">
        <v>11</v>
      </c>
      <c r="D4763" t="s">
        <v>15</v>
      </c>
      <c r="E4763" t="s">
        <v>16</v>
      </c>
      <c r="H4763" t="s">
        <v>20</v>
      </c>
    </row>
    <row r="4764" spans="1:8">
      <c r="A4764" s="1">
        <f>HYPERLINK("https://cms.ls-nyc.org/matter/dynamic-profile/view/1863626","18-1863626")</f>
        <v>0</v>
      </c>
      <c r="B4764" t="s">
        <v>10</v>
      </c>
      <c r="D4764" t="s">
        <v>15</v>
      </c>
      <c r="E4764" t="s">
        <v>16</v>
      </c>
      <c r="H4764" t="s">
        <v>20</v>
      </c>
    </row>
    <row r="4765" spans="1:8">
      <c r="A4765" s="1">
        <f>HYPERLINK("https://cms.ls-nyc.org/matter/dynamic-profile/view/1887820","19-1887820")</f>
        <v>0</v>
      </c>
      <c r="B4765" t="s">
        <v>9</v>
      </c>
      <c r="D4765" t="s">
        <v>15</v>
      </c>
      <c r="E4765" t="s">
        <v>16</v>
      </c>
      <c r="H4765" t="s">
        <v>20</v>
      </c>
    </row>
    <row r="4766" spans="1:8">
      <c r="A4766" s="1">
        <f>HYPERLINK("https://cms.ls-nyc.org/matter/dynamic-profile/view/1898394","19-1898394")</f>
        <v>0</v>
      </c>
      <c r="B4766" t="s">
        <v>9</v>
      </c>
      <c r="E4766" t="s">
        <v>16</v>
      </c>
      <c r="F4766" t="s">
        <v>17</v>
      </c>
      <c r="H4766" t="s">
        <v>20</v>
      </c>
    </row>
    <row r="4767" spans="1:8">
      <c r="A4767" s="1">
        <f>HYPERLINK("https://cms.ls-nyc.org/matter/dynamic-profile/view/1898399","19-1898399")</f>
        <v>0</v>
      </c>
      <c r="B4767" t="s">
        <v>9</v>
      </c>
      <c r="E4767" t="s">
        <v>16</v>
      </c>
      <c r="F4767" t="s">
        <v>17</v>
      </c>
      <c r="H4767" t="s">
        <v>20</v>
      </c>
    </row>
    <row r="4768" spans="1:8">
      <c r="A4768" s="1">
        <f>HYPERLINK("https://cms.ls-nyc.org/matter/dynamic-profile/view/1890552","19-1890552")</f>
        <v>0</v>
      </c>
      <c r="B4768" t="s">
        <v>9</v>
      </c>
      <c r="E4768" t="s">
        <v>16</v>
      </c>
      <c r="F4768" t="s">
        <v>17</v>
      </c>
      <c r="H4768" t="s">
        <v>20</v>
      </c>
    </row>
    <row r="4769" spans="1:8">
      <c r="A4769" s="1">
        <f>HYPERLINK("https://cms.ls-nyc.org/matter/dynamic-profile/view/1891861","19-1891861")</f>
        <v>0</v>
      </c>
      <c r="B4769" t="s">
        <v>9</v>
      </c>
      <c r="E4769" t="s">
        <v>16</v>
      </c>
      <c r="F4769" t="s">
        <v>17</v>
      </c>
      <c r="H4769" t="s">
        <v>20</v>
      </c>
    </row>
    <row r="4770" spans="1:8">
      <c r="A4770" s="1">
        <f>HYPERLINK("https://cms.ls-nyc.org/matter/dynamic-profile/view/1896194","19-1896194")</f>
        <v>0</v>
      </c>
      <c r="B4770" t="s">
        <v>10</v>
      </c>
      <c r="D4770" t="s">
        <v>14</v>
      </c>
      <c r="H4770" t="s">
        <v>20</v>
      </c>
    </row>
    <row r="4771" spans="1:8">
      <c r="A4771" s="1">
        <f>HYPERLINK("https://cms.ls-nyc.org/matter/dynamic-profile/view/0822904","16-0822904")</f>
        <v>0</v>
      </c>
      <c r="B4771" t="s">
        <v>9</v>
      </c>
      <c r="D4771" t="s">
        <v>15</v>
      </c>
      <c r="E4771" t="s">
        <v>16</v>
      </c>
      <c r="F4771" t="s">
        <v>17</v>
      </c>
      <c r="H4771" t="s">
        <v>20</v>
      </c>
    </row>
    <row r="4772" spans="1:8">
      <c r="A4772" s="1">
        <f>HYPERLINK("https://cms.ls-nyc.org/matter/dynamic-profile/view/0812567","16-0812567")</f>
        <v>0</v>
      </c>
      <c r="B4772" t="s">
        <v>10</v>
      </c>
      <c r="D4772" t="s">
        <v>15</v>
      </c>
      <c r="E4772" t="s">
        <v>16</v>
      </c>
      <c r="H4772" t="s">
        <v>20</v>
      </c>
    </row>
    <row r="4773" spans="1:8">
      <c r="A4773" s="1">
        <f>HYPERLINK("https://cms.ls-nyc.org/matter/dynamic-profile/view/1894051","19-1894051")</f>
        <v>0</v>
      </c>
      <c r="B4773" t="s">
        <v>10</v>
      </c>
      <c r="H4773" t="s">
        <v>19</v>
      </c>
    </row>
    <row r="4774" spans="1:8">
      <c r="A4774" s="1">
        <f>HYPERLINK("https://cms.ls-nyc.org/matter/dynamic-profile/view/1894050","19-1894050")</f>
        <v>0</v>
      </c>
      <c r="B4774" t="s">
        <v>10</v>
      </c>
      <c r="H4774" t="s">
        <v>19</v>
      </c>
    </row>
    <row r="4775" spans="1:8">
      <c r="A4775" s="1">
        <f>HYPERLINK("https://cms.ls-nyc.org/matter/dynamic-profile/view/1885657","18-1885657")</f>
        <v>0</v>
      </c>
      <c r="B4775" t="s">
        <v>8</v>
      </c>
      <c r="H4775" t="s">
        <v>19</v>
      </c>
    </row>
    <row r="4776" spans="1:8">
      <c r="A4776" s="1">
        <f>HYPERLINK("https://cms.ls-nyc.org/matter/dynamic-profile/view/1898826","19-1898826")</f>
        <v>0</v>
      </c>
      <c r="B4776" t="s">
        <v>9</v>
      </c>
      <c r="E4776" t="s">
        <v>16</v>
      </c>
      <c r="F4776" t="s">
        <v>17</v>
      </c>
      <c r="H4776" t="s">
        <v>20</v>
      </c>
    </row>
    <row r="4777" spans="1:8">
      <c r="A4777" s="1">
        <f>HYPERLINK("https://cms.ls-nyc.org/matter/dynamic-profile/view/1898836","19-1898836")</f>
        <v>0</v>
      </c>
      <c r="B4777" t="s">
        <v>9</v>
      </c>
      <c r="E4777" t="s">
        <v>16</v>
      </c>
      <c r="F4777" t="s">
        <v>17</v>
      </c>
      <c r="H4777" t="s">
        <v>20</v>
      </c>
    </row>
    <row r="4778" spans="1:8">
      <c r="A4778" s="1">
        <f>HYPERLINK("https://cms.ls-nyc.org/matter/dynamic-profile/view/0830619","17-0830619")</f>
        <v>0</v>
      </c>
      <c r="B4778" t="s">
        <v>10</v>
      </c>
      <c r="D4778" t="s">
        <v>15</v>
      </c>
      <c r="E4778" t="s">
        <v>16</v>
      </c>
      <c r="H4778" t="s">
        <v>20</v>
      </c>
    </row>
    <row r="4779" spans="1:8">
      <c r="A4779" s="1">
        <f>HYPERLINK("https://cms.ls-nyc.org/matter/dynamic-profile/view/1896653","19-1896653")</f>
        <v>0</v>
      </c>
      <c r="B4779" t="s">
        <v>9</v>
      </c>
      <c r="H4779" t="s">
        <v>19</v>
      </c>
    </row>
    <row r="4780" spans="1:8">
      <c r="A4780" s="1">
        <f>HYPERLINK("https://cms.ls-nyc.org/matter/dynamic-profile/view/1896659","19-1896659")</f>
        <v>0</v>
      </c>
      <c r="B4780" t="s">
        <v>9</v>
      </c>
      <c r="D4780" t="s">
        <v>15</v>
      </c>
      <c r="H4780" t="s">
        <v>20</v>
      </c>
    </row>
    <row r="4781" spans="1:8">
      <c r="A4781" s="1">
        <f>HYPERLINK("https://cms.ls-nyc.org/matter/dynamic-profile/view/1896656","19-1896656")</f>
        <v>0</v>
      </c>
      <c r="B4781" t="s">
        <v>9</v>
      </c>
      <c r="H4781" t="s">
        <v>19</v>
      </c>
    </row>
    <row r="4782" spans="1:8">
      <c r="A4782" s="1">
        <f>HYPERLINK("https://cms.ls-nyc.org/matter/dynamic-profile/view/1896646","19-1896646")</f>
        <v>0</v>
      </c>
      <c r="B4782" t="s">
        <v>9</v>
      </c>
      <c r="H4782" t="s">
        <v>19</v>
      </c>
    </row>
    <row r="4783" spans="1:8">
      <c r="A4783" s="1">
        <f>HYPERLINK("https://cms.ls-nyc.org/matter/dynamic-profile/view/1896648","19-1896648")</f>
        <v>0</v>
      </c>
      <c r="B4783" t="s">
        <v>9</v>
      </c>
      <c r="H4783" t="s">
        <v>19</v>
      </c>
    </row>
    <row r="4784" spans="1:8">
      <c r="A4784" s="1">
        <f>HYPERLINK("https://cms.ls-nyc.org/matter/dynamic-profile/view/1900482","19-1900482")</f>
        <v>0</v>
      </c>
      <c r="B4784" t="s">
        <v>9</v>
      </c>
      <c r="C4784" t="s">
        <v>13</v>
      </c>
      <c r="E4784" t="s">
        <v>16</v>
      </c>
      <c r="H4784" t="s">
        <v>20</v>
      </c>
    </row>
    <row r="4785" spans="1:8">
      <c r="A4785" s="1">
        <f>HYPERLINK("https://cms.ls-nyc.org/matter/dynamic-profile/view/1894525","19-1894525")</f>
        <v>0</v>
      </c>
      <c r="B4785" t="s">
        <v>10</v>
      </c>
      <c r="D4785" t="s">
        <v>14</v>
      </c>
      <c r="H4785" t="s">
        <v>20</v>
      </c>
    </row>
    <row r="4786" spans="1:8">
      <c r="A4786" s="1">
        <f>HYPERLINK("https://cms.ls-nyc.org/matter/dynamic-profile/view/1894519","19-1894519")</f>
        <v>0</v>
      </c>
      <c r="B4786" t="s">
        <v>10</v>
      </c>
      <c r="D4786" t="s">
        <v>14</v>
      </c>
      <c r="H4786" t="s">
        <v>20</v>
      </c>
    </row>
    <row r="4787" spans="1:8">
      <c r="A4787" s="1">
        <f>HYPERLINK("https://cms.ls-nyc.org/matter/dynamic-profile/view/1878068","18-1878068")</f>
        <v>0</v>
      </c>
      <c r="B4787" t="s">
        <v>9</v>
      </c>
      <c r="H4787" t="s">
        <v>19</v>
      </c>
    </row>
    <row r="4788" spans="1:8">
      <c r="A4788" s="1">
        <f>HYPERLINK("https://cms.ls-nyc.org/matter/dynamic-profile/view/1878063","18-1878063")</f>
        <v>0</v>
      </c>
      <c r="B4788" t="s">
        <v>9</v>
      </c>
      <c r="H4788" t="s">
        <v>19</v>
      </c>
    </row>
    <row r="4789" spans="1:8">
      <c r="A4789" s="1">
        <f>HYPERLINK("https://cms.ls-nyc.org/matter/dynamic-profile/view/1886079","18-1886079")</f>
        <v>0</v>
      </c>
      <c r="B4789" t="s">
        <v>12</v>
      </c>
      <c r="H4789" t="s">
        <v>19</v>
      </c>
    </row>
    <row r="4790" spans="1:8">
      <c r="A4790" s="1">
        <f>HYPERLINK("https://cms.ls-nyc.org/matter/dynamic-profile/view/1897510","19-1897510")</f>
        <v>0</v>
      </c>
      <c r="B4790" t="s">
        <v>8</v>
      </c>
      <c r="D4790" t="s">
        <v>14</v>
      </c>
      <c r="H4790" t="s">
        <v>20</v>
      </c>
    </row>
    <row r="4791" spans="1:8">
      <c r="A4791" s="1">
        <f>HYPERLINK("https://cms.ls-nyc.org/matter/dynamic-profile/view/1895704","19-1895704")</f>
        <v>0</v>
      </c>
      <c r="B4791" t="s">
        <v>9</v>
      </c>
      <c r="H4791" t="s">
        <v>19</v>
      </c>
    </row>
    <row r="4792" spans="1:8">
      <c r="A4792" s="1">
        <f>HYPERLINK("https://cms.ls-nyc.org/matter/dynamic-profile/view/1892920","19-1892920")</f>
        <v>0</v>
      </c>
      <c r="B4792" t="s">
        <v>9</v>
      </c>
      <c r="H4792" t="s">
        <v>19</v>
      </c>
    </row>
    <row r="4793" spans="1:8">
      <c r="A4793" s="1">
        <f>HYPERLINK("https://cms.ls-nyc.org/matter/dynamic-profile/view/1900143","19-1900143")</f>
        <v>0</v>
      </c>
      <c r="B4793" t="s">
        <v>10</v>
      </c>
      <c r="F4793" t="s">
        <v>17</v>
      </c>
      <c r="H4793" t="s">
        <v>20</v>
      </c>
    </row>
    <row r="4794" spans="1:8">
      <c r="A4794" s="1">
        <f>HYPERLINK("https://cms.ls-nyc.org/matter/dynamic-profile/view/1896237","19-1896237")</f>
        <v>0</v>
      </c>
      <c r="B4794" t="s">
        <v>10</v>
      </c>
      <c r="H4794" t="s">
        <v>19</v>
      </c>
    </row>
    <row r="4795" spans="1:8">
      <c r="A4795" s="1">
        <f>HYPERLINK("https://cms.ls-nyc.org/matter/dynamic-profile/view/1898945","19-1898945")</f>
        <v>0</v>
      </c>
      <c r="B4795" t="s">
        <v>10</v>
      </c>
      <c r="D4795" t="s">
        <v>14</v>
      </c>
      <c r="H4795" t="s">
        <v>20</v>
      </c>
    </row>
    <row r="4796" spans="1:8">
      <c r="A4796" s="1">
        <f>HYPERLINK("https://cms.ls-nyc.org/matter/dynamic-profile/view/1890836","19-1890836")</f>
        <v>0</v>
      </c>
      <c r="B4796" t="s">
        <v>12</v>
      </c>
      <c r="H4796" t="s">
        <v>19</v>
      </c>
    </row>
    <row r="4797" spans="1:8">
      <c r="A4797" s="1">
        <f>HYPERLINK("https://cms.ls-nyc.org/matter/dynamic-profile/view/1846417","17-1846417")</f>
        <v>0</v>
      </c>
      <c r="B4797" t="s">
        <v>12</v>
      </c>
      <c r="D4797" t="s">
        <v>15</v>
      </c>
      <c r="H4797" t="s">
        <v>20</v>
      </c>
    </row>
    <row r="4798" spans="1:8">
      <c r="A4798" s="1">
        <f>HYPERLINK("https://cms.ls-nyc.org/matter/dynamic-profile/view/1882728","18-1882728")</f>
        <v>0</v>
      </c>
      <c r="B4798" t="s">
        <v>10</v>
      </c>
      <c r="H4798" t="s">
        <v>19</v>
      </c>
    </row>
    <row r="4799" spans="1:8">
      <c r="A4799" s="1">
        <f>HYPERLINK("https://cms.ls-nyc.org/matter/dynamic-profile/view/0812548","16-0812548")</f>
        <v>0</v>
      </c>
      <c r="B4799" t="s">
        <v>10</v>
      </c>
      <c r="D4799" t="s">
        <v>15</v>
      </c>
      <c r="E4799" t="s">
        <v>16</v>
      </c>
      <c r="H4799" t="s">
        <v>20</v>
      </c>
    </row>
    <row r="4800" spans="1:8">
      <c r="A4800" s="1">
        <f>HYPERLINK("https://cms.ls-nyc.org/matter/dynamic-profile/view/1891795","19-1891795")</f>
        <v>0</v>
      </c>
      <c r="B4800" t="s">
        <v>9</v>
      </c>
      <c r="H4800" t="s">
        <v>19</v>
      </c>
    </row>
    <row r="4801" spans="1:8">
      <c r="A4801" s="1">
        <f>HYPERLINK("https://cms.ls-nyc.org/matter/dynamic-profile/view/1892956","19-1892956")</f>
        <v>0</v>
      </c>
      <c r="B4801" t="s">
        <v>9</v>
      </c>
      <c r="H4801" t="s">
        <v>19</v>
      </c>
    </row>
    <row r="4802" spans="1:8">
      <c r="A4802" s="1">
        <f>HYPERLINK("https://cms.ls-nyc.org/matter/dynamic-profile/view/1887827","19-1887827")</f>
        <v>0</v>
      </c>
      <c r="B4802" t="s">
        <v>9</v>
      </c>
      <c r="D4802" t="s">
        <v>15</v>
      </c>
      <c r="E4802" t="s">
        <v>16</v>
      </c>
      <c r="H4802" t="s">
        <v>20</v>
      </c>
    </row>
    <row r="4803" spans="1:8">
      <c r="A4803" s="1">
        <f>HYPERLINK("https://cms.ls-nyc.org/matter/dynamic-profile/view/1887826","19-1887826")</f>
        <v>0</v>
      </c>
      <c r="B4803" t="s">
        <v>9</v>
      </c>
      <c r="D4803" t="s">
        <v>14</v>
      </c>
      <c r="E4803" t="s">
        <v>16</v>
      </c>
      <c r="H4803" t="s">
        <v>20</v>
      </c>
    </row>
    <row r="4804" spans="1:8">
      <c r="A4804" s="1">
        <f>HYPERLINK("https://cms.ls-nyc.org/matter/dynamic-profile/view/1876766","18-1876766")</f>
        <v>0</v>
      </c>
      <c r="B4804" t="s">
        <v>9</v>
      </c>
      <c r="F4804" t="s">
        <v>17</v>
      </c>
      <c r="H4804" t="s">
        <v>20</v>
      </c>
    </row>
    <row r="4805" spans="1:8">
      <c r="A4805" s="1">
        <f>HYPERLINK("https://cms.ls-nyc.org/matter/dynamic-profile/view/1876749","18-1876749")</f>
        <v>0</v>
      </c>
      <c r="B4805" t="s">
        <v>9</v>
      </c>
      <c r="F4805" t="s">
        <v>17</v>
      </c>
      <c r="H4805" t="s">
        <v>20</v>
      </c>
    </row>
    <row r="4806" spans="1:8">
      <c r="A4806" s="1">
        <f>HYPERLINK("https://cms.ls-nyc.org/matter/dynamic-profile/view/1871396","18-1871396")</f>
        <v>0</v>
      </c>
      <c r="B4806" t="s">
        <v>10</v>
      </c>
      <c r="H4806" t="s">
        <v>19</v>
      </c>
    </row>
    <row r="4807" spans="1:8">
      <c r="A4807" s="1">
        <f>HYPERLINK("https://cms.ls-nyc.org/matter/dynamic-profile/view/1871390","18-1871390")</f>
        <v>0</v>
      </c>
      <c r="B4807" t="s">
        <v>10</v>
      </c>
      <c r="H4807" t="s">
        <v>19</v>
      </c>
    </row>
    <row r="4808" spans="1:8">
      <c r="A4808" s="1">
        <f>HYPERLINK("https://cms.ls-nyc.org/matter/dynamic-profile/view/1863590","18-1863590")</f>
        <v>0</v>
      </c>
      <c r="B4808" t="s">
        <v>10</v>
      </c>
      <c r="D4808" t="s">
        <v>15</v>
      </c>
      <c r="E4808" t="s">
        <v>16</v>
      </c>
      <c r="H4808" t="s">
        <v>20</v>
      </c>
    </row>
    <row r="4809" spans="1:8">
      <c r="A4809" s="1">
        <f>HYPERLINK("https://cms.ls-nyc.org/matter/dynamic-profile/view/1874199","18-1874199")</f>
        <v>0</v>
      </c>
      <c r="B4809" t="s">
        <v>12</v>
      </c>
      <c r="H4809" t="s">
        <v>19</v>
      </c>
    </row>
    <row r="4810" spans="1:8">
      <c r="A4810" s="1">
        <f>HYPERLINK("https://cms.ls-nyc.org/matter/dynamic-profile/view/1899152","19-1899152")</f>
        <v>0</v>
      </c>
      <c r="B4810" t="s">
        <v>10</v>
      </c>
      <c r="H4810" t="s">
        <v>19</v>
      </c>
    </row>
    <row r="4811" spans="1:8">
      <c r="A4811" s="1">
        <f>HYPERLINK("https://cms.ls-nyc.org/matter/dynamic-profile/view/1876539","18-1876539")</f>
        <v>0</v>
      </c>
      <c r="B4811" t="s">
        <v>9</v>
      </c>
      <c r="H4811" t="s">
        <v>19</v>
      </c>
    </row>
    <row r="4812" spans="1:8">
      <c r="A4812" s="1">
        <f>HYPERLINK("https://cms.ls-nyc.org/matter/dynamic-profile/view/1838174","17-1838174")</f>
        <v>0</v>
      </c>
      <c r="B4812" t="s">
        <v>10</v>
      </c>
      <c r="D4812" t="s">
        <v>15</v>
      </c>
      <c r="E4812" t="s">
        <v>16</v>
      </c>
      <c r="H4812" t="s">
        <v>20</v>
      </c>
    </row>
    <row r="4813" spans="1:8">
      <c r="A4813" s="1">
        <f>HYPERLINK("https://cms.ls-nyc.org/matter/dynamic-profile/view/1890634","19-1890634")</f>
        <v>0</v>
      </c>
      <c r="B4813" t="s">
        <v>9</v>
      </c>
      <c r="E4813" t="s">
        <v>16</v>
      </c>
      <c r="F4813" t="s">
        <v>17</v>
      </c>
      <c r="H4813" t="s">
        <v>20</v>
      </c>
    </row>
    <row r="4814" spans="1:8">
      <c r="A4814" s="1">
        <f>HYPERLINK("https://cms.ls-nyc.org/matter/dynamic-profile/view/1891621","19-1891621")</f>
        <v>0</v>
      </c>
      <c r="B4814" t="s">
        <v>9</v>
      </c>
      <c r="E4814" t="s">
        <v>16</v>
      </c>
      <c r="F4814" t="s">
        <v>17</v>
      </c>
      <c r="H4814" t="s">
        <v>20</v>
      </c>
    </row>
    <row r="4815" spans="1:8">
      <c r="A4815" s="1">
        <f>HYPERLINK("https://cms.ls-nyc.org/matter/dynamic-profile/view/1876746","18-1876746")</f>
        <v>0</v>
      </c>
      <c r="B4815" t="s">
        <v>9</v>
      </c>
      <c r="H4815" t="s">
        <v>19</v>
      </c>
    </row>
    <row r="4816" spans="1:8">
      <c r="A4816" s="1">
        <f>HYPERLINK("https://cms.ls-nyc.org/matter/dynamic-profile/view/1876744","18-1876744")</f>
        <v>0</v>
      </c>
      <c r="B4816" t="s">
        <v>9</v>
      </c>
      <c r="H4816" t="s">
        <v>19</v>
      </c>
    </row>
    <row r="4817" spans="1:8">
      <c r="A4817" s="1">
        <f>HYPERLINK("https://cms.ls-nyc.org/matter/dynamic-profile/view/1876618","18-1876618")</f>
        <v>0</v>
      </c>
      <c r="B4817" t="s">
        <v>9</v>
      </c>
      <c r="H4817" t="s">
        <v>19</v>
      </c>
    </row>
    <row r="4818" spans="1:8">
      <c r="A4818" s="1">
        <f>HYPERLINK("https://cms.ls-nyc.org/matter/dynamic-profile/view/1876613","18-1876613")</f>
        <v>0</v>
      </c>
      <c r="B4818" t="s">
        <v>9</v>
      </c>
      <c r="H4818" t="s">
        <v>19</v>
      </c>
    </row>
    <row r="4819" spans="1:8">
      <c r="A4819" s="1">
        <f>HYPERLINK("https://cms.ls-nyc.org/matter/dynamic-profile/view/1889908","19-1889908")</f>
        <v>0</v>
      </c>
      <c r="B4819" t="s">
        <v>10</v>
      </c>
      <c r="H4819" t="s">
        <v>19</v>
      </c>
    </row>
    <row r="4820" spans="1:8">
      <c r="A4820" s="1">
        <f>HYPERLINK("https://cms.ls-nyc.org/matter/dynamic-profile/view/1889905","19-1889905")</f>
        <v>0</v>
      </c>
      <c r="B4820" t="s">
        <v>10</v>
      </c>
      <c r="H4820" t="s">
        <v>19</v>
      </c>
    </row>
    <row r="4821" spans="1:8">
      <c r="A4821" s="1">
        <f>HYPERLINK("https://cms.ls-nyc.org/matter/dynamic-profile/view/1876606","18-1876606")</f>
        <v>0</v>
      </c>
      <c r="B4821" t="s">
        <v>9</v>
      </c>
      <c r="H4821" t="s">
        <v>19</v>
      </c>
    </row>
    <row r="4822" spans="1:8">
      <c r="A4822" s="1">
        <f>HYPERLINK("https://cms.ls-nyc.org/matter/dynamic-profile/view/1876602","18-1876602")</f>
        <v>0</v>
      </c>
      <c r="B4822" t="s">
        <v>9</v>
      </c>
      <c r="H4822" t="s">
        <v>19</v>
      </c>
    </row>
    <row r="4823" spans="1:8">
      <c r="A4823" s="1">
        <f>HYPERLINK("https://cms.ls-nyc.org/matter/dynamic-profile/view/1853703","17-1853703")</f>
        <v>0</v>
      </c>
      <c r="B4823" t="s">
        <v>10</v>
      </c>
      <c r="D4823" t="s">
        <v>15</v>
      </c>
      <c r="E4823" t="s">
        <v>16</v>
      </c>
      <c r="H4823" t="s">
        <v>20</v>
      </c>
    </row>
    <row r="4824" spans="1:8">
      <c r="A4824" s="1">
        <f>HYPERLINK("https://cms.ls-nyc.org/matter/dynamic-profile/view/1884053","18-1884053")</f>
        <v>0</v>
      </c>
      <c r="B4824" t="s">
        <v>10</v>
      </c>
      <c r="H4824" t="s">
        <v>19</v>
      </c>
    </row>
    <row r="4825" spans="1:8">
      <c r="A4825" s="1">
        <f>HYPERLINK("https://cms.ls-nyc.org/matter/dynamic-profile/view/1883436","18-1883436")</f>
        <v>0</v>
      </c>
      <c r="B4825" t="s">
        <v>10</v>
      </c>
      <c r="H4825" t="s">
        <v>19</v>
      </c>
    </row>
    <row r="4826" spans="1:8">
      <c r="A4826" s="1">
        <f>HYPERLINK("https://cms.ls-nyc.org/matter/dynamic-profile/view/1900472","19-1900472")</f>
        <v>0</v>
      </c>
      <c r="B4826" t="s">
        <v>8</v>
      </c>
      <c r="C4826" t="s">
        <v>13</v>
      </c>
      <c r="D4826" t="s">
        <v>14</v>
      </c>
      <c r="E4826" t="s">
        <v>16</v>
      </c>
      <c r="H4826" t="s">
        <v>20</v>
      </c>
    </row>
    <row r="4827" spans="1:8">
      <c r="A4827" s="1">
        <f>HYPERLINK("https://cms.ls-nyc.org/matter/dynamic-profile/view/1878115","18-1878115")</f>
        <v>0</v>
      </c>
      <c r="B4827" t="s">
        <v>9</v>
      </c>
      <c r="E4827" t="s">
        <v>16</v>
      </c>
      <c r="F4827" t="s">
        <v>17</v>
      </c>
      <c r="H4827" t="s">
        <v>20</v>
      </c>
    </row>
    <row r="4828" spans="1:8">
      <c r="A4828" s="1">
        <f>HYPERLINK("https://cms.ls-nyc.org/matter/dynamic-profile/view/1878112","18-1878112")</f>
        <v>0</v>
      </c>
      <c r="B4828" t="s">
        <v>9</v>
      </c>
      <c r="E4828" t="s">
        <v>16</v>
      </c>
      <c r="F4828" t="s">
        <v>17</v>
      </c>
      <c r="H4828" t="s">
        <v>20</v>
      </c>
    </row>
    <row r="4829" spans="1:8">
      <c r="A4829" s="1">
        <f>HYPERLINK("https://cms.ls-nyc.org/matter/dynamic-profile/view/1898855","19-1898855")</f>
        <v>0</v>
      </c>
      <c r="B4829" t="s">
        <v>12</v>
      </c>
      <c r="H4829" t="s">
        <v>19</v>
      </c>
    </row>
    <row r="4830" spans="1:8">
      <c r="A4830" s="1">
        <f>HYPERLINK("https://cms.ls-nyc.org/matter/dynamic-profile/view/1838994","17-1838994")</f>
        <v>0</v>
      </c>
      <c r="B4830" t="s">
        <v>10</v>
      </c>
      <c r="D4830" t="s">
        <v>15</v>
      </c>
      <c r="E4830" t="s">
        <v>16</v>
      </c>
      <c r="H4830" t="s">
        <v>20</v>
      </c>
    </row>
    <row r="4831" spans="1:8">
      <c r="A4831" s="1">
        <f>HYPERLINK("https://cms.ls-nyc.org/matter/dynamic-profile/view/1894881","19-1894881")</f>
        <v>0</v>
      </c>
      <c r="B4831" t="s">
        <v>12</v>
      </c>
      <c r="H4831" t="s">
        <v>19</v>
      </c>
    </row>
    <row r="4832" spans="1:8">
      <c r="A4832" s="1">
        <f>HYPERLINK("https://cms.ls-nyc.org/matter/dynamic-profile/view/1893963","19-1893963")</f>
        <v>0</v>
      </c>
      <c r="B4832" t="s">
        <v>10</v>
      </c>
      <c r="D4832" t="s">
        <v>14</v>
      </c>
      <c r="H4832" t="s">
        <v>20</v>
      </c>
    </row>
    <row r="4833" spans="1:8">
      <c r="A4833" s="1">
        <f>HYPERLINK("https://cms.ls-nyc.org/matter/dynamic-profile/view/1891983","19-1891983")</f>
        <v>0</v>
      </c>
      <c r="B4833" t="s">
        <v>9</v>
      </c>
      <c r="E4833" t="s">
        <v>16</v>
      </c>
      <c r="F4833" t="s">
        <v>17</v>
      </c>
      <c r="H4833" t="s">
        <v>20</v>
      </c>
    </row>
    <row r="4834" spans="1:8">
      <c r="A4834" s="1">
        <f>HYPERLINK("https://cms.ls-nyc.org/matter/dynamic-profile/view/1891988","19-1891988")</f>
        <v>0</v>
      </c>
      <c r="B4834" t="s">
        <v>9</v>
      </c>
      <c r="E4834" t="s">
        <v>16</v>
      </c>
      <c r="F4834" t="s">
        <v>17</v>
      </c>
      <c r="H4834" t="s">
        <v>20</v>
      </c>
    </row>
    <row r="4835" spans="1:8">
      <c r="A4835" s="1">
        <f>HYPERLINK("https://cms.ls-nyc.org/matter/dynamic-profile/view/1876838","18-1876838")</f>
        <v>0</v>
      </c>
      <c r="B4835" t="s">
        <v>9</v>
      </c>
      <c r="H4835" t="s">
        <v>19</v>
      </c>
    </row>
    <row r="4836" spans="1:8">
      <c r="A4836" s="1">
        <f>HYPERLINK("https://cms.ls-nyc.org/matter/dynamic-profile/view/1876837","18-1876837")</f>
        <v>0</v>
      </c>
      <c r="B4836" t="s">
        <v>9</v>
      </c>
      <c r="H4836" t="s">
        <v>19</v>
      </c>
    </row>
    <row r="4837" spans="1:8">
      <c r="A4837" s="1">
        <f>HYPERLINK("https://cms.ls-nyc.org/matter/dynamic-profile/view/1865769","18-1865769")</f>
        <v>0</v>
      </c>
      <c r="B4837" t="s">
        <v>10</v>
      </c>
      <c r="D4837" t="s">
        <v>15</v>
      </c>
      <c r="E4837" t="s">
        <v>16</v>
      </c>
      <c r="H4837" t="s">
        <v>20</v>
      </c>
    </row>
    <row r="4838" spans="1:8">
      <c r="A4838" s="1">
        <f>HYPERLINK("https://cms.ls-nyc.org/matter/dynamic-profile/view/1838835","17-1838835")</f>
        <v>0</v>
      </c>
      <c r="B4838" t="s">
        <v>10</v>
      </c>
      <c r="D4838" t="s">
        <v>15</v>
      </c>
      <c r="E4838" t="s">
        <v>16</v>
      </c>
      <c r="H4838" t="s">
        <v>20</v>
      </c>
    </row>
    <row r="4839" spans="1:8">
      <c r="A4839" s="1">
        <f>HYPERLINK("https://cms.ls-nyc.org/matter/dynamic-profile/view/1887691","19-1887691")</f>
        <v>0</v>
      </c>
      <c r="B4839" t="s">
        <v>9</v>
      </c>
      <c r="H4839" t="s">
        <v>19</v>
      </c>
    </row>
    <row r="4840" spans="1:8">
      <c r="A4840" s="1">
        <f>HYPERLINK("https://cms.ls-nyc.org/matter/dynamic-profile/view/1876591","18-1876591")</f>
        <v>0</v>
      </c>
      <c r="B4840" t="s">
        <v>9</v>
      </c>
      <c r="F4840" t="s">
        <v>17</v>
      </c>
      <c r="H4840" t="s">
        <v>20</v>
      </c>
    </row>
    <row r="4841" spans="1:8">
      <c r="A4841" s="1">
        <f>HYPERLINK("https://cms.ls-nyc.org/matter/dynamic-profile/view/1876587","18-1876587")</f>
        <v>0</v>
      </c>
      <c r="B4841" t="s">
        <v>9</v>
      </c>
      <c r="F4841" t="s">
        <v>17</v>
      </c>
      <c r="H4841" t="s">
        <v>20</v>
      </c>
    </row>
    <row r="4842" spans="1:8">
      <c r="A4842" s="1">
        <f>HYPERLINK("https://cms.ls-nyc.org/matter/dynamic-profile/view/1890830","19-1890830")</f>
        <v>0</v>
      </c>
      <c r="B4842" t="s">
        <v>12</v>
      </c>
      <c r="H4842" t="s">
        <v>19</v>
      </c>
    </row>
    <row r="4843" spans="1:8">
      <c r="A4843" s="1">
        <f>HYPERLINK("https://cms.ls-nyc.org/matter/dynamic-profile/view/1876808","18-1876808")</f>
        <v>0</v>
      </c>
      <c r="B4843" t="s">
        <v>9</v>
      </c>
      <c r="H4843" t="s">
        <v>19</v>
      </c>
    </row>
    <row r="4844" spans="1:8">
      <c r="A4844" s="1">
        <f>HYPERLINK("https://cms.ls-nyc.org/matter/dynamic-profile/view/1876806","18-1876806")</f>
        <v>0</v>
      </c>
      <c r="B4844" t="s">
        <v>9</v>
      </c>
      <c r="H4844" t="s">
        <v>19</v>
      </c>
    </row>
    <row r="4845" spans="1:8">
      <c r="A4845" s="1">
        <f>HYPERLINK("https://cms.ls-nyc.org/matter/dynamic-profile/view/1891992","19-1891992")</f>
        <v>0</v>
      </c>
      <c r="B4845" t="s">
        <v>10</v>
      </c>
      <c r="H4845" t="s">
        <v>19</v>
      </c>
    </row>
    <row r="4846" spans="1:8">
      <c r="A4846" s="1">
        <f>HYPERLINK("https://cms.ls-nyc.org/matter/dynamic-profile/view/1871583","18-1871583")</f>
        <v>0</v>
      </c>
      <c r="B4846" t="s">
        <v>12</v>
      </c>
      <c r="F4846" t="s">
        <v>17</v>
      </c>
      <c r="H4846" t="s">
        <v>20</v>
      </c>
    </row>
    <row r="4847" spans="1:8">
      <c r="A4847" s="1">
        <f>HYPERLINK("https://cms.ls-nyc.org/matter/dynamic-profile/view/1867785","18-1867785")</f>
        <v>0</v>
      </c>
      <c r="B4847" t="s">
        <v>12</v>
      </c>
      <c r="D4847" t="s">
        <v>15</v>
      </c>
      <c r="E4847" t="s">
        <v>16</v>
      </c>
      <c r="H4847" t="s">
        <v>20</v>
      </c>
    </row>
    <row r="4848" spans="1:8">
      <c r="A4848" s="1">
        <f>HYPERLINK("https://cms.ls-nyc.org/matter/dynamic-profile/view/1887967","19-1887967")</f>
        <v>0</v>
      </c>
      <c r="B4848" t="s">
        <v>12</v>
      </c>
      <c r="H4848" t="s">
        <v>19</v>
      </c>
    </row>
    <row r="4849" spans="1:8">
      <c r="A4849" s="1">
        <f>HYPERLINK("https://cms.ls-nyc.org/matter/dynamic-profile/view/1900598","19-1900598")</f>
        <v>0</v>
      </c>
      <c r="B4849" t="s">
        <v>9</v>
      </c>
      <c r="E4849" t="s">
        <v>16</v>
      </c>
      <c r="G4849" t="s">
        <v>18</v>
      </c>
      <c r="H4849" t="s">
        <v>20</v>
      </c>
    </row>
    <row r="4850" spans="1:8">
      <c r="A4850" s="1">
        <f>HYPERLINK("https://cms.ls-nyc.org/matter/dynamic-profile/view/1855940","18-1855940")</f>
        <v>0</v>
      </c>
      <c r="B4850" t="s">
        <v>10</v>
      </c>
      <c r="D4850" t="s">
        <v>15</v>
      </c>
      <c r="E4850" t="s">
        <v>16</v>
      </c>
      <c r="H4850" t="s">
        <v>20</v>
      </c>
    </row>
    <row r="4851" spans="1:8">
      <c r="A4851" s="1">
        <f>HYPERLINK("https://cms.ls-nyc.org/matter/dynamic-profile/view/1858397","18-1858397")</f>
        <v>0</v>
      </c>
      <c r="B4851" t="s">
        <v>10</v>
      </c>
      <c r="D4851" t="s">
        <v>15</v>
      </c>
      <c r="E4851" t="s">
        <v>16</v>
      </c>
      <c r="H4851" t="s">
        <v>20</v>
      </c>
    </row>
    <row r="4852" spans="1:8">
      <c r="A4852" s="1">
        <f>HYPERLINK("https://cms.ls-nyc.org/matter/dynamic-profile/view/1878081","18-1878081")</f>
        <v>0</v>
      </c>
      <c r="B4852" t="s">
        <v>9</v>
      </c>
      <c r="H4852" t="s">
        <v>19</v>
      </c>
    </row>
    <row r="4853" spans="1:8">
      <c r="A4853" s="1">
        <f>HYPERLINK("https://cms.ls-nyc.org/matter/dynamic-profile/view/1878074","18-1878074")</f>
        <v>0</v>
      </c>
      <c r="B4853" t="s">
        <v>9</v>
      </c>
      <c r="H4853" t="s">
        <v>19</v>
      </c>
    </row>
    <row r="4854" spans="1:8">
      <c r="A4854" s="1">
        <f>HYPERLINK("https://cms.ls-nyc.org/matter/dynamic-profile/view/1890019","19-1890019")</f>
        <v>0</v>
      </c>
      <c r="B4854" t="s">
        <v>10</v>
      </c>
      <c r="H4854" t="s">
        <v>19</v>
      </c>
    </row>
    <row r="4855" spans="1:8">
      <c r="A4855" s="1">
        <f>HYPERLINK("https://cms.ls-nyc.org/matter/dynamic-profile/view/1890015","19-1890015")</f>
        <v>0</v>
      </c>
      <c r="B4855" t="s">
        <v>10</v>
      </c>
      <c r="H4855" t="s">
        <v>19</v>
      </c>
    </row>
    <row r="4856" spans="1:8">
      <c r="A4856" s="1">
        <f>HYPERLINK("https://cms.ls-nyc.org/matter/dynamic-profile/view/1862268","18-1862268")</f>
        <v>0</v>
      </c>
      <c r="B4856" t="s">
        <v>10</v>
      </c>
      <c r="D4856" t="s">
        <v>15</v>
      </c>
      <c r="E4856" t="s">
        <v>16</v>
      </c>
      <c r="H4856" t="s">
        <v>20</v>
      </c>
    </row>
    <row r="4857" spans="1:8">
      <c r="A4857" s="1">
        <f>HYPERLINK("https://cms.ls-nyc.org/matter/dynamic-profile/view/1876344","18-1876344")</f>
        <v>0</v>
      </c>
      <c r="B4857" t="s">
        <v>10</v>
      </c>
      <c r="H4857" t="s">
        <v>19</v>
      </c>
    </row>
    <row r="4858" spans="1:8">
      <c r="A4858" s="1">
        <f>HYPERLINK("https://cms.ls-nyc.org/matter/dynamic-profile/view/0800070","16-0800070")</f>
        <v>0</v>
      </c>
      <c r="B4858" t="s">
        <v>10</v>
      </c>
      <c r="D4858" t="s">
        <v>15</v>
      </c>
      <c r="E4858" t="s">
        <v>16</v>
      </c>
      <c r="H4858" t="s">
        <v>20</v>
      </c>
    </row>
    <row r="4859" spans="1:8">
      <c r="A4859" s="1">
        <f>HYPERLINK("https://cms.ls-nyc.org/matter/dynamic-profile/view/0816919","16-0816919")</f>
        <v>0</v>
      </c>
      <c r="B4859" t="s">
        <v>10</v>
      </c>
      <c r="D4859" t="s">
        <v>15</v>
      </c>
      <c r="E4859" t="s">
        <v>16</v>
      </c>
      <c r="H4859" t="s">
        <v>20</v>
      </c>
    </row>
    <row r="4860" spans="1:8">
      <c r="A4860" s="1">
        <f>HYPERLINK("https://cms.ls-nyc.org/matter/dynamic-profile/view/1869099","18-1869099")</f>
        <v>0</v>
      </c>
      <c r="B4860" t="s">
        <v>12</v>
      </c>
      <c r="D4860" t="s">
        <v>15</v>
      </c>
      <c r="E4860" t="s">
        <v>16</v>
      </c>
      <c r="H4860" t="s">
        <v>20</v>
      </c>
    </row>
    <row r="4861" spans="1:8">
      <c r="A4861" s="1">
        <f>HYPERLINK("https://cms.ls-nyc.org/matter/dynamic-profile/view/1869102","18-1869102")</f>
        <v>0</v>
      </c>
      <c r="B4861" t="s">
        <v>12</v>
      </c>
      <c r="D4861" t="s">
        <v>15</v>
      </c>
      <c r="E4861" t="s">
        <v>16</v>
      </c>
      <c r="H4861" t="s">
        <v>20</v>
      </c>
    </row>
    <row r="4862" spans="1:8">
      <c r="A4862" s="1">
        <f>HYPERLINK("https://cms.ls-nyc.org/matter/dynamic-profile/view/0796462","16-0796462")</f>
        <v>0</v>
      </c>
      <c r="B4862" t="s">
        <v>10</v>
      </c>
      <c r="D4862" t="s">
        <v>15</v>
      </c>
      <c r="E4862" t="s">
        <v>16</v>
      </c>
      <c r="H4862" t="s">
        <v>20</v>
      </c>
    </row>
    <row r="4863" spans="1:8">
      <c r="A4863" s="1">
        <f>HYPERLINK("https://cms.ls-nyc.org/matter/dynamic-profile/view/1891146","19-1891146")</f>
        <v>0</v>
      </c>
      <c r="B4863" t="s">
        <v>10</v>
      </c>
      <c r="F4863" t="s">
        <v>17</v>
      </c>
      <c r="H4863" t="s">
        <v>20</v>
      </c>
    </row>
    <row r="4864" spans="1:8">
      <c r="A4864" s="1">
        <f>HYPERLINK("https://cms.ls-nyc.org/matter/dynamic-profile/view/1869088","18-1869088")</f>
        <v>0</v>
      </c>
      <c r="B4864" t="s">
        <v>12</v>
      </c>
      <c r="D4864" t="s">
        <v>15</v>
      </c>
      <c r="E4864" t="s">
        <v>16</v>
      </c>
      <c r="H4864" t="s">
        <v>20</v>
      </c>
    </row>
    <row r="4865" spans="1:8">
      <c r="A4865" s="1">
        <f>HYPERLINK("https://cms.ls-nyc.org/matter/dynamic-profile/view/1869096","18-1869096")</f>
        <v>0</v>
      </c>
      <c r="B4865" t="s">
        <v>12</v>
      </c>
      <c r="D4865" t="s">
        <v>15</v>
      </c>
      <c r="E4865" t="s">
        <v>16</v>
      </c>
      <c r="H4865" t="s">
        <v>20</v>
      </c>
    </row>
    <row r="4866" spans="1:8">
      <c r="A4866" s="1">
        <f>HYPERLINK("https://cms.ls-nyc.org/matter/dynamic-profile/view/1845615","17-1845615")</f>
        <v>0</v>
      </c>
      <c r="B4866" t="s">
        <v>9</v>
      </c>
      <c r="D4866" t="s">
        <v>15</v>
      </c>
      <c r="E4866" t="s">
        <v>16</v>
      </c>
      <c r="F4866" t="s">
        <v>17</v>
      </c>
      <c r="H4866" t="s">
        <v>20</v>
      </c>
    </row>
    <row r="4867" spans="1:8">
      <c r="A4867" s="1">
        <f>HYPERLINK("https://cms.ls-nyc.org/matter/dynamic-profile/view/0824155","17-0824155")</f>
        <v>0</v>
      </c>
      <c r="B4867" t="s">
        <v>12</v>
      </c>
      <c r="D4867" t="s">
        <v>15</v>
      </c>
      <c r="E4867" t="s">
        <v>16</v>
      </c>
      <c r="H4867" t="s">
        <v>20</v>
      </c>
    </row>
    <row r="4868" spans="1:8">
      <c r="A4868" s="1">
        <f>HYPERLINK("https://cms.ls-nyc.org/matter/dynamic-profile/view/1899107","19-1899107")</f>
        <v>0</v>
      </c>
      <c r="B4868" t="s">
        <v>10</v>
      </c>
      <c r="F4868" t="s">
        <v>17</v>
      </c>
      <c r="H4868" t="s">
        <v>20</v>
      </c>
    </row>
    <row r="4869" spans="1:8">
      <c r="A4869" s="1">
        <f>HYPERLINK("https://cms.ls-nyc.org/matter/dynamic-profile/view/1892318","19-1892318")</f>
        <v>0</v>
      </c>
      <c r="B4869" t="s">
        <v>9</v>
      </c>
      <c r="H4869" t="s">
        <v>19</v>
      </c>
    </row>
    <row r="4870" spans="1:8">
      <c r="A4870" s="1">
        <f>HYPERLINK("https://cms.ls-nyc.org/matter/dynamic-profile/view/1892896","19-1892896")</f>
        <v>0</v>
      </c>
      <c r="B4870" t="s">
        <v>9</v>
      </c>
      <c r="H4870" t="s">
        <v>19</v>
      </c>
    </row>
    <row r="4871" spans="1:8">
      <c r="A4871" s="1">
        <f>HYPERLINK("https://cms.ls-nyc.org/matter/dynamic-profile/view/1892363","19-1892363")</f>
        <v>0</v>
      </c>
      <c r="B4871" t="s">
        <v>9</v>
      </c>
      <c r="H4871" t="s">
        <v>19</v>
      </c>
    </row>
    <row r="4872" spans="1:8">
      <c r="A4872" s="1">
        <f>HYPERLINK("https://cms.ls-nyc.org/matter/dynamic-profile/view/1880269","18-1880269")</f>
        <v>0</v>
      </c>
      <c r="B4872" t="s">
        <v>12</v>
      </c>
      <c r="F4872" t="s">
        <v>17</v>
      </c>
      <c r="H4872" t="s">
        <v>20</v>
      </c>
    </row>
    <row r="4873" spans="1:8">
      <c r="A4873" s="1">
        <f>HYPERLINK("https://cms.ls-nyc.org/matter/dynamic-profile/view/1863061","18-1863061")</f>
        <v>0</v>
      </c>
      <c r="B4873" t="s">
        <v>12</v>
      </c>
      <c r="D4873" t="s">
        <v>15</v>
      </c>
      <c r="H4873" t="s">
        <v>20</v>
      </c>
    </row>
    <row r="4874" spans="1:8">
      <c r="A4874" s="1">
        <f>HYPERLINK("https://cms.ls-nyc.org/matter/dynamic-profile/view/1853338","17-1853338")</f>
        <v>0</v>
      </c>
      <c r="B4874" t="s">
        <v>10</v>
      </c>
      <c r="D4874" t="s">
        <v>15</v>
      </c>
      <c r="E4874" t="s">
        <v>16</v>
      </c>
      <c r="H4874" t="s">
        <v>20</v>
      </c>
    </row>
    <row r="4875" spans="1:8">
      <c r="A4875" s="1">
        <f>HYPERLINK("https://cms.ls-nyc.org/matter/dynamic-profile/view/1876628","18-1876628")</f>
        <v>0</v>
      </c>
      <c r="B4875" t="s">
        <v>10</v>
      </c>
      <c r="H4875" t="s">
        <v>19</v>
      </c>
    </row>
    <row r="4876" spans="1:8">
      <c r="A4876" s="1">
        <f>HYPERLINK("https://cms.ls-nyc.org/matter/dynamic-profile/view/1883398","18-1883398")</f>
        <v>0</v>
      </c>
      <c r="B4876" t="s">
        <v>10</v>
      </c>
      <c r="F4876" t="s">
        <v>17</v>
      </c>
      <c r="H4876" t="s">
        <v>20</v>
      </c>
    </row>
    <row r="4877" spans="1:8">
      <c r="A4877" s="1">
        <f>HYPERLINK("https://cms.ls-nyc.org/matter/dynamic-profile/view/1891452","19-1891452")</f>
        <v>0</v>
      </c>
      <c r="B4877" t="s">
        <v>9</v>
      </c>
      <c r="H4877" t="s">
        <v>19</v>
      </c>
    </row>
    <row r="4878" spans="1:8">
      <c r="A4878" s="1">
        <f>HYPERLINK("https://cms.ls-nyc.org/matter/dynamic-profile/view/1886541","18-1886541")</f>
        <v>0</v>
      </c>
      <c r="B4878" t="s">
        <v>9</v>
      </c>
      <c r="H4878" t="s">
        <v>19</v>
      </c>
    </row>
    <row r="4879" spans="1:8">
      <c r="A4879" s="1">
        <f>HYPERLINK("https://cms.ls-nyc.org/matter/dynamic-profile/view/0824249","17-0824249")</f>
        <v>0</v>
      </c>
      <c r="B4879" t="s">
        <v>12</v>
      </c>
      <c r="D4879" t="s">
        <v>15</v>
      </c>
      <c r="E4879" t="s">
        <v>16</v>
      </c>
      <c r="H4879" t="s">
        <v>20</v>
      </c>
    </row>
    <row r="4880" spans="1:8">
      <c r="A4880" s="1">
        <f>HYPERLINK("https://cms.ls-nyc.org/matter/dynamic-profile/view/1897050","19-1897050")</f>
        <v>0</v>
      </c>
      <c r="B4880" t="s">
        <v>8</v>
      </c>
      <c r="H4880" t="s">
        <v>19</v>
      </c>
    </row>
    <row r="4881" spans="1:8">
      <c r="A4881" s="1">
        <f>HYPERLINK("https://cms.ls-nyc.org/matter/dynamic-profile/view/1894909","19-1894909")</f>
        <v>0</v>
      </c>
      <c r="B4881" t="s">
        <v>12</v>
      </c>
      <c r="H4881" t="s">
        <v>19</v>
      </c>
    </row>
    <row r="4882" spans="1:8">
      <c r="A4882" s="1">
        <f>HYPERLINK("https://cms.ls-nyc.org/matter/dynamic-profile/view/1870331","18-1870331")</f>
        <v>0</v>
      </c>
      <c r="B4882" t="s">
        <v>12</v>
      </c>
      <c r="D4882" t="s">
        <v>15</v>
      </c>
      <c r="E4882" t="s">
        <v>16</v>
      </c>
      <c r="H4882" t="s">
        <v>20</v>
      </c>
    </row>
    <row r="4883" spans="1:8">
      <c r="A4883" s="1">
        <f>HYPERLINK("https://cms.ls-nyc.org/matter/dynamic-profile/view/1870334","18-1870334")</f>
        <v>0</v>
      </c>
      <c r="B4883" t="s">
        <v>12</v>
      </c>
      <c r="D4883" t="s">
        <v>15</v>
      </c>
      <c r="E4883" t="s">
        <v>16</v>
      </c>
      <c r="H4883" t="s">
        <v>20</v>
      </c>
    </row>
    <row r="4884" spans="1:8">
      <c r="A4884" s="1">
        <f>HYPERLINK("https://cms.ls-nyc.org/matter/dynamic-profile/view/1881503","18-1881503")</f>
        <v>0</v>
      </c>
      <c r="B4884" t="s">
        <v>9</v>
      </c>
      <c r="H4884" t="s">
        <v>19</v>
      </c>
    </row>
    <row r="4885" spans="1:8">
      <c r="A4885" s="1">
        <f>HYPERLINK("https://cms.ls-nyc.org/matter/dynamic-profile/view/1881496","18-1881496")</f>
        <v>0</v>
      </c>
      <c r="B4885" t="s">
        <v>9</v>
      </c>
      <c r="H4885" t="s">
        <v>19</v>
      </c>
    </row>
    <row r="4886" spans="1:8">
      <c r="A4886" s="1">
        <f>HYPERLINK("https://cms.ls-nyc.org/matter/dynamic-profile/view/1898268","19-1898268")</f>
        <v>0</v>
      </c>
      <c r="B4886" t="s">
        <v>9</v>
      </c>
      <c r="E4886" t="s">
        <v>16</v>
      </c>
      <c r="F4886" t="s">
        <v>17</v>
      </c>
      <c r="H4886" t="s">
        <v>20</v>
      </c>
    </row>
    <row r="4887" spans="1:8">
      <c r="A4887" s="1">
        <f>HYPERLINK("https://cms.ls-nyc.org/matter/dynamic-profile/view/1898269","19-1898269")</f>
        <v>0</v>
      </c>
      <c r="B4887" t="s">
        <v>9</v>
      </c>
      <c r="E4887" t="s">
        <v>16</v>
      </c>
      <c r="F4887" t="s">
        <v>17</v>
      </c>
      <c r="H4887" t="s">
        <v>20</v>
      </c>
    </row>
    <row r="4888" spans="1:8">
      <c r="A4888" s="1">
        <f>HYPERLINK("https://cms.ls-nyc.org/matter/dynamic-profile/view/1890497","19-1890497")</f>
        <v>0</v>
      </c>
      <c r="B4888" t="s">
        <v>10</v>
      </c>
      <c r="H4888" t="s">
        <v>19</v>
      </c>
    </row>
    <row r="4889" spans="1:8">
      <c r="A4889" s="1">
        <f>HYPERLINK("https://cms.ls-nyc.org/matter/dynamic-profile/view/1869108","18-1869108")</f>
        <v>0</v>
      </c>
      <c r="B4889" t="s">
        <v>12</v>
      </c>
      <c r="D4889" t="s">
        <v>15</v>
      </c>
      <c r="E4889" t="s">
        <v>16</v>
      </c>
      <c r="H4889" t="s">
        <v>20</v>
      </c>
    </row>
    <row r="4890" spans="1:8">
      <c r="A4890" s="1">
        <f>HYPERLINK("https://cms.ls-nyc.org/matter/dynamic-profile/view/1869110","18-1869110")</f>
        <v>0</v>
      </c>
      <c r="B4890" t="s">
        <v>12</v>
      </c>
      <c r="D4890" t="s">
        <v>15</v>
      </c>
      <c r="E4890" t="s">
        <v>16</v>
      </c>
      <c r="H4890" t="s">
        <v>20</v>
      </c>
    </row>
    <row r="4891" spans="1:8">
      <c r="A4891" s="1">
        <f>HYPERLINK("https://cms.ls-nyc.org/matter/dynamic-profile/view/0808962","16-0808962")</f>
        <v>0</v>
      </c>
      <c r="B4891" t="s">
        <v>10</v>
      </c>
      <c r="D4891" t="s">
        <v>15</v>
      </c>
      <c r="E4891" t="s">
        <v>16</v>
      </c>
      <c r="H4891" t="s">
        <v>20</v>
      </c>
    </row>
    <row r="4892" spans="1:8">
      <c r="A4892" s="1">
        <f>HYPERLINK("https://cms.ls-nyc.org/matter/dynamic-profile/view/1889220","19-1889220")</f>
        <v>0</v>
      </c>
      <c r="B4892" t="s">
        <v>9</v>
      </c>
      <c r="H4892" t="s">
        <v>19</v>
      </c>
    </row>
    <row r="4893" spans="1:8">
      <c r="A4893" s="1">
        <f>HYPERLINK("https://cms.ls-nyc.org/matter/dynamic-profile/view/1871582","18-1871582")</f>
        <v>0</v>
      </c>
      <c r="B4893" t="s">
        <v>12</v>
      </c>
      <c r="H4893" t="s">
        <v>19</v>
      </c>
    </row>
    <row r="4894" spans="1:8">
      <c r="A4894" s="1">
        <f>HYPERLINK("https://cms.ls-nyc.org/matter/dynamic-profile/view/1872554","18-1872554")</f>
        <v>0</v>
      </c>
      <c r="B4894" t="s">
        <v>8</v>
      </c>
      <c r="D4894" t="s">
        <v>14</v>
      </c>
      <c r="H4894" t="s">
        <v>20</v>
      </c>
    </row>
    <row r="4895" spans="1:8">
      <c r="A4895" s="1">
        <f>HYPERLINK("https://cms.ls-nyc.org/matter/dynamic-profile/view/0831069","17-0831069")</f>
        <v>0</v>
      </c>
      <c r="B4895" t="s">
        <v>12</v>
      </c>
      <c r="C4895" t="s">
        <v>13</v>
      </c>
      <c r="D4895" t="s">
        <v>15</v>
      </c>
      <c r="E4895" t="s">
        <v>16</v>
      </c>
      <c r="F4895" t="s">
        <v>17</v>
      </c>
      <c r="H4895" t="s">
        <v>20</v>
      </c>
    </row>
    <row r="4896" spans="1:8">
      <c r="A4896" s="1">
        <f>HYPERLINK("https://cms.ls-nyc.org/matter/dynamic-profile/view/0831075","17-0831075")</f>
        <v>0</v>
      </c>
      <c r="B4896" t="s">
        <v>12</v>
      </c>
      <c r="C4896" t="s">
        <v>13</v>
      </c>
      <c r="D4896" t="s">
        <v>15</v>
      </c>
      <c r="E4896" t="s">
        <v>16</v>
      </c>
      <c r="F4896" t="s">
        <v>17</v>
      </c>
      <c r="H4896" t="s">
        <v>20</v>
      </c>
    </row>
    <row r="4897" spans="1:8">
      <c r="A4897" s="1">
        <f>HYPERLINK("https://cms.ls-nyc.org/matter/dynamic-profile/view/1870384","18-1870384")</f>
        <v>0</v>
      </c>
      <c r="B4897" t="s">
        <v>8</v>
      </c>
      <c r="D4897" t="s">
        <v>14</v>
      </c>
      <c r="E4897" t="s">
        <v>16</v>
      </c>
      <c r="H4897" t="s">
        <v>20</v>
      </c>
    </row>
    <row r="4898" spans="1:8">
      <c r="A4898" s="1">
        <f>HYPERLINK("https://cms.ls-nyc.org/matter/dynamic-profile/view/1891137","19-1891137")</f>
        <v>0</v>
      </c>
      <c r="B4898" t="s">
        <v>9</v>
      </c>
      <c r="H4898" t="s">
        <v>19</v>
      </c>
    </row>
    <row r="4899" spans="1:8">
      <c r="A4899" s="1">
        <f>HYPERLINK("https://cms.ls-nyc.org/matter/dynamic-profile/view/1892946","19-1892946")</f>
        <v>0</v>
      </c>
      <c r="B4899" t="s">
        <v>9</v>
      </c>
      <c r="H4899" t="s">
        <v>19</v>
      </c>
    </row>
    <row r="4900" spans="1:8">
      <c r="A4900" s="1">
        <f>HYPERLINK("https://cms.ls-nyc.org/matter/dynamic-profile/view/1876541","18-1876541")</f>
        <v>0</v>
      </c>
      <c r="B4900" t="s">
        <v>9</v>
      </c>
      <c r="H4900" t="s">
        <v>19</v>
      </c>
    </row>
    <row r="4901" spans="1:8">
      <c r="A4901" s="1">
        <f>HYPERLINK("https://cms.ls-nyc.org/matter/dynamic-profile/view/1876803","18-1876803")</f>
        <v>0</v>
      </c>
      <c r="B4901" t="s">
        <v>9</v>
      </c>
      <c r="F4901" t="s">
        <v>17</v>
      </c>
      <c r="H4901" t="s">
        <v>20</v>
      </c>
    </row>
    <row r="4902" spans="1:8">
      <c r="A4902" s="1">
        <f>HYPERLINK("https://cms.ls-nyc.org/matter/dynamic-profile/view/1876799","18-1876799")</f>
        <v>0</v>
      </c>
      <c r="B4902" t="s">
        <v>9</v>
      </c>
      <c r="F4902" t="s">
        <v>17</v>
      </c>
      <c r="H4902" t="s">
        <v>20</v>
      </c>
    </row>
    <row r="4903" spans="1:8">
      <c r="A4903" s="1">
        <f>HYPERLINK("https://cms.ls-nyc.org/matter/dynamic-profile/view/1876833","18-1876833")</f>
        <v>0</v>
      </c>
      <c r="B4903" t="s">
        <v>9</v>
      </c>
      <c r="H4903" t="s">
        <v>19</v>
      </c>
    </row>
    <row r="4904" spans="1:8">
      <c r="A4904" s="1">
        <f>HYPERLINK("https://cms.ls-nyc.org/matter/dynamic-profile/view/1876828","18-1876828")</f>
        <v>0</v>
      </c>
      <c r="B4904" t="s">
        <v>9</v>
      </c>
      <c r="H4904" t="s">
        <v>19</v>
      </c>
    </row>
    <row r="4905" spans="1:8">
      <c r="A4905" s="1">
        <f>HYPERLINK("https://cms.ls-nyc.org/matter/dynamic-profile/view/1871568","18-1871568")</f>
        <v>0</v>
      </c>
      <c r="B4905" t="s">
        <v>12</v>
      </c>
      <c r="H4905" t="s">
        <v>19</v>
      </c>
    </row>
    <row r="4906" spans="1:8">
      <c r="A4906" s="1">
        <f>HYPERLINK("https://cms.ls-nyc.org/matter/dynamic-profile/view/1876797","18-1876797")</f>
        <v>0</v>
      </c>
      <c r="B4906" t="s">
        <v>9</v>
      </c>
      <c r="H4906" t="s">
        <v>19</v>
      </c>
    </row>
    <row r="4907" spans="1:8">
      <c r="A4907" s="1">
        <f>HYPERLINK("https://cms.ls-nyc.org/matter/dynamic-profile/view/1876793","18-1876793")</f>
        <v>0</v>
      </c>
      <c r="B4907" t="s">
        <v>9</v>
      </c>
      <c r="H4907" t="s">
        <v>19</v>
      </c>
    </row>
    <row r="4908" spans="1:8">
      <c r="A4908" s="1">
        <f>HYPERLINK("https://cms.ls-nyc.org/matter/dynamic-profile/view/1889442","19-1889442")</f>
        <v>0</v>
      </c>
      <c r="B4908" t="s">
        <v>9</v>
      </c>
      <c r="F4908" t="s">
        <v>17</v>
      </c>
      <c r="H4908" t="s">
        <v>20</v>
      </c>
    </row>
    <row r="4909" spans="1:8">
      <c r="A4909" s="1">
        <f>HYPERLINK("https://cms.ls-nyc.org/matter/dynamic-profile/view/1891458","19-1891458")</f>
        <v>0</v>
      </c>
      <c r="B4909" t="s">
        <v>9</v>
      </c>
      <c r="F4909" t="s">
        <v>17</v>
      </c>
      <c r="H4909" t="s">
        <v>20</v>
      </c>
    </row>
    <row r="4910" spans="1:8">
      <c r="A4910" s="1">
        <f>HYPERLINK("https://cms.ls-nyc.org/matter/dynamic-profile/view/1901164","19-1901164")</f>
        <v>0</v>
      </c>
      <c r="B4910" t="s">
        <v>12</v>
      </c>
      <c r="H4910" t="s">
        <v>19</v>
      </c>
    </row>
    <row r="4911" spans="1:8">
      <c r="A4911" s="1">
        <f>HYPERLINK("https://cms.ls-nyc.org/matter/dynamic-profile/view/0826989","17-0826989")</f>
        <v>0</v>
      </c>
      <c r="B4911" t="s">
        <v>12</v>
      </c>
      <c r="D4911" t="s">
        <v>15</v>
      </c>
      <c r="E4911" t="s">
        <v>16</v>
      </c>
      <c r="H4911" t="s">
        <v>20</v>
      </c>
    </row>
    <row r="4912" spans="1:8">
      <c r="A4912" s="1">
        <f>HYPERLINK("https://cms.ls-nyc.org/matter/dynamic-profile/view/1871586","18-1871586")</f>
        <v>0</v>
      </c>
      <c r="B4912" t="s">
        <v>12</v>
      </c>
      <c r="E4912" t="s">
        <v>16</v>
      </c>
      <c r="F4912" t="s">
        <v>17</v>
      </c>
      <c r="H4912" t="s">
        <v>20</v>
      </c>
    </row>
    <row r="4913" spans="1:8">
      <c r="A4913" s="1">
        <f>HYPERLINK("https://cms.ls-nyc.org/matter/dynamic-profile/view/0831104","17-0831104")</f>
        <v>0</v>
      </c>
      <c r="B4913" t="s">
        <v>12</v>
      </c>
      <c r="C4913" t="s">
        <v>13</v>
      </c>
      <c r="D4913" t="s">
        <v>15</v>
      </c>
      <c r="E4913" t="s">
        <v>16</v>
      </c>
      <c r="F4913" t="s">
        <v>17</v>
      </c>
      <c r="H4913" t="s">
        <v>20</v>
      </c>
    </row>
    <row r="4914" spans="1:8">
      <c r="A4914" s="1">
        <f>HYPERLINK("https://cms.ls-nyc.org/matter/dynamic-profile/view/0831108","17-0831108")</f>
        <v>0</v>
      </c>
      <c r="B4914" t="s">
        <v>12</v>
      </c>
      <c r="C4914" t="s">
        <v>13</v>
      </c>
      <c r="D4914" t="s">
        <v>15</v>
      </c>
      <c r="E4914" t="s">
        <v>16</v>
      </c>
      <c r="F4914" t="s">
        <v>17</v>
      </c>
      <c r="H4914" t="s">
        <v>20</v>
      </c>
    </row>
    <row r="4915" spans="1:8">
      <c r="A4915" s="1">
        <f>HYPERLINK("https://cms.ls-nyc.org/matter/dynamic-profile/view/1876947","18-1876947")</f>
        <v>0</v>
      </c>
      <c r="B4915" t="s">
        <v>9</v>
      </c>
      <c r="H4915" t="s">
        <v>19</v>
      </c>
    </row>
    <row r="4916" spans="1:8">
      <c r="A4916" s="1">
        <f>HYPERLINK("https://cms.ls-nyc.org/matter/dynamic-profile/view/1876941","18-1876941")</f>
        <v>0</v>
      </c>
      <c r="B4916" t="s">
        <v>9</v>
      </c>
      <c r="H4916" t="s">
        <v>19</v>
      </c>
    </row>
    <row r="4917" spans="1:8">
      <c r="A4917" s="1">
        <f>HYPERLINK("https://cms.ls-nyc.org/matter/dynamic-profile/view/1901178","19-1901178")</f>
        <v>0</v>
      </c>
      <c r="B4917" t="s">
        <v>12</v>
      </c>
      <c r="H4917" t="s">
        <v>19</v>
      </c>
    </row>
    <row r="4918" spans="1:8">
      <c r="A4918" s="1">
        <f>HYPERLINK("https://cms.ls-nyc.org/matter/dynamic-profile/view/0831141","17-0831141")</f>
        <v>0</v>
      </c>
      <c r="B4918" t="s">
        <v>12</v>
      </c>
      <c r="C4918" t="s">
        <v>13</v>
      </c>
      <c r="D4918" t="s">
        <v>15</v>
      </c>
      <c r="E4918" t="s">
        <v>16</v>
      </c>
      <c r="F4918" t="s">
        <v>17</v>
      </c>
      <c r="H4918" t="s">
        <v>20</v>
      </c>
    </row>
    <row r="4919" spans="1:8">
      <c r="A4919" s="1">
        <f>HYPERLINK("https://cms.ls-nyc.org/matter/dynamic-profile/view/1891049","19-1891049")</f>
        <v>0</v>
      </c>
      <c r="B4919" t="s">
        <v>12</v>
      </c>
      <c r="F4919" t="s">
        <v>17</v>
      </c>
      <c r="H4919" t="s">
        <v>20</v>
      </c>
    </row>
    <row r="4920" spans="1:8">
      <c r="A4920" s="1">
        <f>HYPERLINK("https://cms.ls-nyc.org/matter/dynamic-profile/view/0827033","17-0827033")</f>
        <v>0</v>
      </c>
      <c r="B4920" t="s">
        <v>12</v>
      </c>
      <c r="D4920" t="s">
        <v>15</v>
      </c>
      <c r="E4920" t="s">
        <v>16</v>
      </c>
      <c r="H4920" t="s">
        <v>20</v>
      </c>
    </row>
    <row r="4921" spans="1:8">
      <c r="A4921" s="1">
        <f>HYPERLINK("https://cms.ls-nyc.org/matter/dynamic-profile/view/1884554","18-1884554")</f>
        <v>0</v>
      </c>
      <c r="B4921" t="s">
        <v>9</v>
      </c>
      <c r="C4921" t="s">
        <v>13</v>
      </c>
      <c r="D4921" t="s">
        <v>14</v>
      </c>
      <c r="E4921" t="s">
        <v>16</v>
      </c>
      <c r="F4921" t="s">
        <v>17</v>
      </c>
      <c r="H4921" t="s">
        <v>20</v>
      </c>
    </row>
    <row r="4922" spans="1:8">
      <c r="A4922" s="1">
        <f>HYPERLINK("https://cms.ls-nyc.org/matter/dynamic-profile/view/1884563","18-1884563")</f>
        <v>0</v>
      </c>
      <c r="B4922" t="s">
        <v>9</v>
      </c>
      <c r="C4922" t="s">
        <v>13</v>
      </c>
      <c r="D4922" t="s">
        <v>14</v>
      </c>
      <c r="E4922" t="s">
        <v>16</v>
      </c>
      <c r="F4922" t="s">
        <v>17</v>
      </c>
      <c r="H4922" t="s">
        <v>20</v>
      </c>
    </row>
    <row r="4923" spans="1:8">
      <c r="A4923" s="1">
        <f>HYPERLINK("https://cms.ls-nyc.org/matter/dynamic-profile/view/0830990","17-0830990")</f>
        <v>0</v>
      </c>
      <c r="B4923" t="s">
        <v>8</v>
      </c>
      <c r="D4923" t="s">
        <v>15</v>
      </c>
      <c r="E4923" t="s">
        <v>16</v>
      </c>
      <c r="H4923" t="s">
        <v>20</v>
      </c>
    </row>
    <row r="4924" spans="1:8">
      <c r="A4924" s="1">
        <f>HYPERLINK("https://cms.ls-nyc.org/matter/dynamic-profile/view/1896713","19-1896713")</f>
        <v>0</v>
      </c>
      <c r="B4924" t="s">
        <v>9</v>
      </c>
      <c r="F4924" t="s">
        <v>17</v>
      </c>
      <c r="H4924" t="s">
        <v>20</v>
      </c>
    </row>
    <row r="4925" spans="1:8">
      <c r="A4925" s="1">
        <f>HYPERLINK("https://cms.ls-nyc.org/matter/dynamic-profile/view/0822127","16-0822127")</f>
        <v>0</v>
      </c>
      <c r="B4925" t="s">
        <v>10</v>
      </c>
      <c r="D4925" t="s">
        <v>15</v>
      </c>
      <c r="E4925" t="s">
        <v>16</v>
      </c>
      <c r="H4925" t="s">
        <v>20</v>
      </c>
    </row>
    <row r="4926" spans="1:8">
      <c r="A4926" s="1">
        <f>HYPERLINK("https://cms.ls-nyc.org/matter/dynamic-profile/view/0822131","16-0822131")</f>
        <v>0</v>
      </c>
      <c r="B4926" t="s">
        <v>10</v>
      </c>
      <c r="D4926" t="s">
        <v>15</v>
      </c>
      <c r="E4926" t="s">
        <v>16</v>
      </c>
      <c r="H4926" t="s">
        <v>20</v>
      </c>
    </row>
    <row r="4927" spans="1:8">
      <c r="A4927" s="1">
        <f>HYPERLINK("https://cms.ls-nyc.org/matter/dynamic-profile/view/1900008","19-1900008")</f>
        <v>0</v>
      </c>
      <c r="B4927" t="s">
        <v>10</v>
      </c>
      <c r="D4927" t="s">
        <v>14</v>
      </c>
      <c r="G4927" t="s">
        <v>18</v>
      </c>
      <c r="H4927" t="s">
        <v>20</v>
      </c>
    </row>
    <row r="4928" spans="1:8">
      <c r="A4928" s="1">
        <f>HYPERLINK("https://cms.ls-nyc.org/matter/dynamic-profile/view/1889415","19-1889415")</f>
        <v>0</v>
      </c>
      <c r="B4928" t="s">
        <v>9</v>
      </c>
      <c r="C4928" t="s">
        <v>13</v>
      </c>
      <c r="E4928" t="s">
        <v>16</v>
      </c>
      <c r="H4928" t="s">
        <v>20</v>
      </c>
    </row>
    <row r="4929" spans="1:8">
      <c r="A4929" s="1">
        <f>HYPERLINK("https://cms.ls-nyc.org/matter/dynamic-profile/view/1898451","19-1898451")</f>
        <v>0</v>
      </c>
      <c r="B4929" t="s">
        <v>9</v>
      </c>
      <c r="C4929" t="s">
        <v>13</v>
      </c>
      <c r="D4929" t="s">
        <v>14</v>
      </c>
      <c r="E4929" t="s">
        <v>16</v>
      </c>
      <c r="H4929" t="s">
        <v>20</v>
      </c>
    </row>
    <row r="4930" spans="1:8">
      <c r="A4930" s="1">
        <f>HYPERLINK("https://cms.ls-nyc.org/matter/dynamic-profile/view/1889235","19-1889235")</f>
        <v>0</v>
      </c>
      <c r="B4930" t="s">
        <v>9</v>
      </c>
      <c r="H4930" t="s">
        <v>19</v>
      </c>
    </row>
    <row r="4931" spans="1:8">
      <c r="A4931" s="1">
        <f>HYPERLINK("https://cms.ls-nyc.org/matter/dynamic-profile/view/1898263","19-1898263")</f>
        <v>0</v>
      </c>
      <c r="B4931" t="s">
        <v>9</v>
      </c>
      <c r="E4931" t="s">
        <v>16</v>
      </c>
      <c r="F4931" t="s">
        <v>17</v>
      </c>
      <c r="H4931" t="s">
        <v>20</v>
      </c>
    </row>
    <row r="4932" spans="1:8">
      <c r="A4932" s="1">
        <f>HYPERLINK("https://cms.ls-nyc.org/matter/dynamic-profile/view/1892098","19-1892098")</f>
        <v>0</v>
      </c>
      <c r="B4932" t="s">
        <v>9</v>
      </c>
      <c r="E4932" t="s">
        <v>16</v>
      </c>
      <c r="F4932" t="s">
        <v>17</v>
      </c>
      <c r="H4932" t="s">
        <v>20</v>
      </c>
    </row>
    <row r="4933" spans="1:8">
      <c r="A4933" s="1">
        <f>HYPERLINK("https://cms.ls-nyc.org/matter/dynamic-profile/view/1870381","18-1870381")</f>
        <v>0</v>
      </c>
      <c r="B4933" t="s">
        <v>8</v>
      </c>
      <c r="D4933" t="s">
        <v>14</v>
      </c>
      <c r="E4933" t="s">
        <v>16</v>
      </c>
      <c r="H4933" t="s">
        <v>20</v>
      </c>
    </row>
    <row r="4934" spans="1:8">
      <c r="A4934" s="1">
        <f>HYPERLINK("https://cms.ls-nyc.org/matter/dynamic-profile/view/1894378","19-1894378")</f>
        <v>0</v>
      </c>
      <c r="B4934" t="s">
        <v>9</v>
      </c>
      <c r="H4934" t="s">
        <v>19</v>
      </c>
    </row>
    <row r="4935" spans="1:8">
      <c r="A4935" s="1">
        <f>HYPERLINK("https://cms.ls-nyc.org/matter/dynamic-profile/view/1892994","19-1892994")</f>
        <v>0</v>
      </c>
      <c r="B4935" t="s">
        <v>9</v>
      </c>
      <c r="F4935" t="s">
        <v>17</v>
      </c>
      <c r="H4935" t="s">
        <v>20</v>
      </c>
    </row>
    <row r="4936" spans="1:8">
      <c r="A4936" s="1">
        <f>HYPERLINK("https://cms.ls-nyc.org/matter/dynamic-profile/view/1891818","19-1891818")</f>
        <v>0</v>
      </c>
      <c r="B4936" t="s">
        <v>9</v>
      </c>
      <c r="H4936" t="s">
        <v>19</v>
      </c>
    </row>
    <row r="4937" spans="1:8">
      <c r="A4937" s="1">
        <f>HYPERLINK("https://cms.ls-nyc.org/matter/dynamic-profile/view/1895305","19-1895305")</f>
        <v>0</v>
      </c>
      <c r="B4937" t="s">
        <v>9</v>
      </c>
      <c r="C4937" t="s">
        <v>13</v>
      </c>
      <c r="D4937" t="s">
        <v>14</v>
      </c>
      <c r="E4937" t="s">
        <v>16</v>
      </c>
      <c r="H4937" t="s">
        <v>20</v>
      </c>
    </row>
    <row r="4938" spans="1:8">
      <c r="A4938" s="1">
        <f>HYPERLINK("https://cms.ls-nyc.org/matter/dynamic-profile/view/0806528","16-0806528")</f>
        <v>0</v>
      </c>
      <c r="B4938" t="s">
        <v>12</v>
      </c>
      <c r="C4938" t="s">
        <v>13</v>
      </c>
      <c r="D4938" t="s">
        <v>14</v>
      </c>
      <c r="E4938" t="s">
        <v>16</v>
      </c>
      <c r="F4938" t="s">
        <v>17</v>
      </c>
      <c r="G4938" t="s">
        <v>18</v>
      </c>
      <c r="H493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3" width="20.7109375" customWidth="1"/>
  </cols>
  <sheetData>
    <row r="1" spans="1:3">
      <c r="A1" s="2"/>
      <c r="B1" s="2" t="s">
        <v>0</v>
      </c>
      <c r="C1" s="2"/>
    </row>
    <row r="2" spans="1:3">
      <c r="A2" s="2" t="s">
        <v>7</v>
      </c>
      <c r="B2" s="2" t="s">
        <v>20</v>
      </c>
      <c r="C2" s="2" t="s">
        <v>19</v>
      </c>
    </row>
    <row r="3" spans="1:3">
      <c r="A3" s="2" t="s">
        <v>1</v>
      </c>
    </row>
    <row r="4" spans="1:3">
      <c r="A4" s="2" t="s">
        <v>9</v>
      </c>
      <c r="B4">
        <v>1193</v>
      </c>
      <c r="C4">
        <v>556</v>
      </c>
    </row>
    <row r="5" spans="1:3">
      <c r="A5" s="2" t="s">
        <v>10</v>
      </c>
      <c r="B5">
        <v>1113</v>
      </c>
      <c r="C5">
        <v>539</v>
      </c>
    </row>
    <row r="6" spans="1:3">
      <c r="A6" s="2" t="s">
        <v>12</v>
      </c>
      <c r="B6">
        <v>605</v>
      </c>
      <c r="C6">
        <v>315</v>
      </c>
    </row>
    <row r="7" spans="1:3">
      <c r="A7" s="2" t="s">
        <v>8</v>
      </c>
      <c r="B7">
        <v>202</v>
      </c>
      <c r="C7">
        <v>194</v>
      </c>
    </row>
    <row r="8" spans="1:3">
      <c r="A8" s="2" t="s">
        <v>11</v>
      </c>
      <c r="B8">
        <v>149</v>
      </c>
      <c r="C8">
        <v>71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3" width="20.7109375" customWidth="1"/>
  </cols>
  <sheetData>
    <row r="1" spans="1:3">
      <c r="A1" s="2"/>
      <c r="B1" s="2" t="s">
        <v>0</v>
      </c>
      <c r="C1" s="2"/>
    </row>
    <row r="2" spans="1:3">
      <c r="A2" s="2" t="s">
        <v>2</v>
      </c>
      <c r="B2" s="2"/>
      <c r="C2" s="2" t="s">
        <v>13</v>
      </c>
    </row>
    <row r="3" spans="1:3">
      <c r="A3" s="2" t="s">
        <v>1</v>
      </c>
    </row>
    <row r="4" spans="1:3">
      <c r="A4" s="2" t="s">
        <v>9</v>
      </c>
      <c r="B4">
        <v>1420</v>
      </c>
      <c r="C4">
        <v>329</v>
      </c>
    </row>
    <row r="5" spans="1:3">
      <c r="A5" s="2" t="s">
        <v>10</v>
      </c>
      <c r="B5">
        <v>1559</v>
      </c>
      <c r="C5">
        <v>93</v>
      </c>
    </row>
    <row r="6" spans="1:3">
      <c r="A6" s="2" t="s">
        <v>12</v>
      </c>
      <c r="B6">
        <v>822</v>
      </c>
      <c r="C6">
        <v>98</v>
      </c>
    </row>
    <row r="7" spans="1:3">
      <c r="A7" s="2" t="s">
        <v>8</v>
      </c>
      <c r="B7">
        <v>361</v>
      </c>
      <c r="C7">
        <v>35</v>
      </c>
    </row>
    <row r="8" spans="1:3">
      <c r="A8" s="2" t="s">
        <v>11</v>
      </c>
      <c r="B8">
        <v>166</v>
      </c>
      <c r="C8">
        <v>54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3" width="20.7109375" customWidth="1"/>
  </cols>
  <sheetData>
    <row r="1" spans="1:3">
      <c r="A1" s="2"/>
      <c r="B1" s="2" t="s">
        <v>0</v>
      </c>
      <c r="C1" s="2"/>
    </row>
    <row r="2" spans="1:3">
      <c r="A2" s="2" t="s">
        <v>4</v>
      </c>
      <c r="B2" s="2"/>
      <c r="C2" s="2" t="s">
        <v>16</v>
      </c>
    </row>
    <row r="3" spans="1:3">
      <c r="A3" s="2" t="s">
        <v>1</v>
      </c>
    </row>
    <row r="4" spans="1:3">
      <c r="A4" s="2" t="s">
        <v>9</v>
      </c>
      <c r="B4">
        <v>843</v>
      </c>
      <c r="C4">
        <v>906</v>
      </c>
    </row>
    <row r="5" spans="1:3">
      <c r="A5" s="2" t="s">
        <v>10</v>
      </c>
      <c r="B5">
        <v>912</v>
      </c>
      <c r="C5">
        <v>740</v>
      </c>
    </row>
    <row r="6" spans="1:3">
      <c r="A6" s="2" t="s">
        <v>12</v>
      </c>
      <c r="B6">
        <v>507</v>
      </c>
      <c r="C6">
        <v>413</v>
      </c>
    </row>
    <row r="7" spans="1:3">
      <c r="A7" s="2" t="s">
        <v>8</v>
      </c>
      <c r="B7">
        <v>238</v>
      </c>
      <c r="C7">
        <v>158</v>
      </c>
    </row>
    <row r="8" spans="1:3">
      <c r="A8" s="2" t="s">
        <v>11</v>
      </c>
      <c r="B8">
        <v>110</v>
      </c>
      <c r="C8">
        <v>110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34.7109375" customWidth="1"/>
    <col min="2" max="4" width="20.7109375" customWidth="1"/>
  </cols>
  <sheetData>
    <row r="1" spans="1:4">
      <c r="A1" s="2"/>
      <c r="B1" s="2" t="s">
        <v>0</v>
      </c>
      <c r="C1" s="2"/>
      <c r="D1" s="2"/>
    </row>
    <row r="2" spans="1:4">
      <c r="A2" s="2" t="s">
        <v>3</v>
      </c>
      <c r="B2" s="2"/>
      <c r="C2" s="2" t="s">
        <v>14</v>
      </c>
      <c r="D2" s="2" t="s">
        <v>15</v>
      </c>
    </row>
    <row r="3" spans="1:4">
      <c r="A3" s="2" t="s">
        <v>1</v>
      </c>
    </row>
    <row r="4" spans="1:4">
      <c r="A4" s="2" t="s">
        <v>9</v>
      </c>
      <c r="B4">
        <v>1023</v>
      </c>
      <c r="C4">
        <v>264</v>
      </c>
      <c r="D4">
        <v>462</v>
      </c>
    </row>
    <row r="5" spans="1:4">
      <c r="A5" s="2" t="s">
        <v>10</v>
      </c>
      <c r="B5">
        <v>630</v>
      </c>
      <c r="C5">
        <v>367</v>
      </c>
      <c r="D5">
        <v>655</v>
      </c>
    </row>
    <row r="6" spans="1:4">
      <c r="A6" s="2" t="s">
        <v>12</v>
      </c>
      <c r="B6">
        <v>377</v>
      </c>
      <c r="C6">
        <v>59</v>
      </c>
      <c r="D6">
        <v>484</v>
      </c>
    </row>
    <row r="7" spans="1:4">
      <c r="A7" s="2" t="s">
        <v>8</v>
      </c>
      <c r="B7">
        <v>219</v>
      </c>
      <c r="C7">
        <v>49</v>
      </c>
      <c r="D7">
        <v>128</v>
      </c>
    </row>
    <row r="8" spans="1:4">
      <c r="A8" s="2" t="s">
        <v>11</v>
      </c>
      <c r="B8">
        <v>87</v>
      </c>
      <c r="C8">
        <v>58</v>
      </c>
      <c r="D8">
        <v>75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3" width="20.7109375" customWidth="1"/>
  </cols>
  <sheetData>
    <row r="1" spans="1:3">
      <c r="A1" s="2"/>
      <c r="B1" s="2" t="s">
        <v>0</v>
      </c>
      <c r="C1" s="2"/>
    </row>
    <row r="2" spans="1:3">
      <c r="A2" s="2" t="s">
        <v>5</v>
      </c>
      <c r="B2" s="2"/>
      <c r="C2" s="2" t="s">
        <v>17</v>
      </c>
    </row>
    <row r="3" spans="1:3">
      <c r="A3" s="2" t="s">
        <v>1</v>
      </c>
    </row>
    <row r="4" spans="1:3">
      <c r="A4" s="2" t="s">
        <v>9</v>
      </c>
      <c r="B4">
        <v>1277</v>
      </c>
      <c r="C4">
        <v>472</v>
      </c>
    </row>
    <row r="5" spans="1:3">
      <c r="A5" s="2" t="s">
        <v>10</v>
      </c>
      <c r="B5">
        <v>1422</v>
      </c>
      <c r="C5">
        <v>230</v>
      </c>
    </row>
    <row r="6" spans="1:3">
      <c r="A6" s="2" t="s">
        <v>12</v>
      </c>
      <c r="B6">
        <v>789</v>
      </c>
      <c r="C6">
        <v>131</v>
      </c>
    </row>
    <row r="7" spans="1:3">
      <c r="A7" s="2" t="s">
        <v>8</v>
      </c>
      <c r="B7">
        <v>373</v>
      </c>
      <c r="C7">
        <v>23</v>
      </c>
    </row>
    <row r="8" spans="1:3">
      <c r="A8" s="2" t="s">
        <v>11</v>
      </c>
      <c r="B8">
        <v>204</v>
      </c>
      <c r="C8">
        <v>16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3" width="20.7109375" customWidth="1"/>
  </cols>
  <sheetData>
    <row r="1" spans="1:3">
      <c r="A1" s="2"/>
      <c r="B1" s="2" t="s">
        <v>0</v>
      </c>
      <c r="C1" s="2"/>
    </row>
    <row r="2" spans="1:3">
      <c r="A2" s="2" t="s">
        <v>6</v>
      </c>
      <c r="B2" s="2"/>
      <c r="C2" s="2" t="s">
        <v>18</v>
      </c>
    </row>
    <row r="3" spans="1:3">
      <c r="A3" s="2" t="s">
        <v>1</v>
      </c>
    </row>
    <row r="4" spans="1:3">
      <c r="A4" s="2" t="s">
        <v>9</v>
      </c>
      <c r="B4">
        <v>1583</v>
      </c>
      <c r="C4">
        <v>166</v>
      </c>
    </row>
    <row r="5" spans="1:3">
      <c r="A5" s="2" t="s">
        <v>10</v>
      </c>
      <c r="B5">
        <v>1605</v>
      </c>
      <c r="C5">
        <v>47</v>
      </c>
    </row>
    <row r="6" spans="1:3">
      <c r="A6" s="2" t="s">
        <v>12</v>
      </c>
      <c r="B6">
        <v>896</v>
      </c>
      <c r="C6">
        <v>24</v>
      </c>
    </row>
    <row r="7" spans="1:3">
      <c r="A7" s="2" t="s">
        <v>8</v>
      </c>
      <c r="B7">
        <v>393</v>
      </c>
      <c r="C7">
        <v>3</v>
      </c>
    </row>
    <row r="8" spans="1:3">
      <c r="A8" s="2" t="s">
        <v>11</v>
      </c>
      <c r="B8">
        <v>175</v>
      </c>
      <c r="C8">
        <v>45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List</vt:lpstr>
      <vt:lpstr>Cases Summary</vt:lpstr>
      <vt:lpstr>Needs Release Summary</vt:lpstr>
      <vt:lpstr>Income Verified Summary</vt:lpstr>
      <vt:lpstr>Eligibility Date Summary</vt:lpstr>
      <vt:lpstr>SSA PA Summary</vt:lpstr>
      <vt:lpstr>Level of Service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2019-06-21T14:54:56Z</dcterms:created>
  <dcterms:modified xsi:type="dcterms:W3CDTF">2019-06-21T14:54:56Z</dcterms:modified>
</cp:coreProperties>
</file>