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<sst xmlns="http://schemas.openxmlformats.org/spreadsheetml/2006/main" count="13861" uniqueCount="3316">
  <si>
    <t>Hyperlinked Case #</t>
  </si>
  <si>
    <t>Primary Advocate</t>
  </si>
  <si>
    <t>Date Opened</t>
  </si>
  <si>
    <t>Date Closed</t>
  </si>
  <si>
    <t>Client First Name</t>
  </si>
  <si>
    <t>Client Last Name</t>
  </si>
  <si>
    <t>Street Address</t>
  </si>
  <si>
    <t>Unit</t>
  </si>
  <si>
    <t>City</t>
  </si>
  <si>
    <t>Zip Code</t>
  </si>
  <si>
    <t>HRA Release?</t>
  </si>
  <si>
    <t>Housing Signed DHCI Form</t>
  </si>
  <si>
    <t>Housing Income Verification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</si>
  <si>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</si>
  <si>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</si>
  <si>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</si>
  <si>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</si>
  <si>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</si>
  <si>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</si>
  <si>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</si>
  <si>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</si>
  <si>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</si>
  <si>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</si>
  <si>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</si>
  <si>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</si>
  <si>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</si>
  <si>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</si>
  <si>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</si>
  <si>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</si>
  <si>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</si>
  <si>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</si>
  <si>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</si>
  <si>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</si>
  <si>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</si>
  <si>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</si>
  <si>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</si>
  <si>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</si>
  <si>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</si>
  <si>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</si>
  <si>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</si>
  <si>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</si>
  <si>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</si>
  <si>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</si>
  <si>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</si>
  <si>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</si>
  <si>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Lam, Kevin</t>
  </si>
  <si>
    <t>Jacobs, Alex</t>
  </si>
  <si>
    <t>Barrett, Samantha</t>
  </si>
  <si>
    <t>Hoque, Shatti</t>
  </si>
  <si>
    <t>Rubin, Jenn</t>
  </si>
  <si>
    <t>Schiff, Logan</t>
  </si>
  <si>
    <t>Pepe, Lailah</t>
  </si>
  <si>
    <t>Patel, Mona</t>
  </si>
  <si>
    <t>Landry-Reyes, Jane</t>
  </si>
  <si>
    <t>McCowen, Tamella</t>
  </si>
  <si>
    <t>DeLong, Sarah</t>
  </si>
  <si>
    <t>Crisona, Kathryn</t>
  </si>
  <si>
    <t>McCormick, James</t>
  </si>
  <si>
    <t>Corsaro, Veronica</t>
  </si>
  <si>
    <t>Frizell, Catherine</t>
  </si>
  <si>
    <t>Watson, Michael</t>
  </si>
  <si>
    <t>Costa, Stephanie</t>
  </si>
  <si>
    <t>Betances, Gabriella</t>
  </si>
  <si>
    <t>Succop, Steven</t>
  </si>
  <si>
    <t>Falco, Fara</t>
  </si>
  <si>
    <t>Almanzar, Milagros</t>
  </si>
  <si>
    <t>Kelly, Kitanya</t>
  </si>
  <si>
    <t>Porcelli, Ronald</t>
  </si>
  <si>
    <t>Goncharov-Cruickshnk, Natalie</t>
  </si>
  <si>
    <t>Wong, Humbert</t>
  </si>
  <si>
    <t>Delgadillo, Omar</t>
  </si>
  <si>
    <t>Heller, Steven</t>
  </si>
  <si>
    <t>Hammond, Robert</t>
  </si>
  <si>
    <t>James, Lelia</t>
  </si>
  <si>
    <t>Barreda, Catherine</t>
  </si>
  <si>
    <t>Osei, Dionne</t>
  </si>
  <si>
    <t>Chew, Thomas</t>
  </si>
  <si>
    <t>Farrell, Emily</t>
  </si>
  <si>
    <t>Hecht-Felella, Laura</t>
  </si>
  <si>
    <t>MacRae, John</t>
  </si>
  <si>
    <t>Spencer, Eleanor</t>
  </si>
  <si>
    <t>Bailey, Michael</t>
  </si>
  <si>
    <t>Briggs, John</t>
  </si>
  <si>
    <t>Mottley, Darlene</t>
  </si>
  <si>
    <t>Honan, Thomas</t>
  </si>
  <si>
    <t>Puleo Jr, Michael</t>
  </si>
  <si>
    <t>Chen, Eugene</t>
  </si>
  <si>
    <t>Tan, Andrea</t>
  </si>
  <si>
    <t>Golden, Tashanna</t>
  </si>
  <si>
    <t>Santos, Marisol</t>
  </si>
  <si>
    <t>Gonzalez, Atenedoro</t>
  </si>
  <si>
    <t>Reardon, Elizabeth</t>
  </si>
  <si>
    <t>Burns, Erin</t>
  </si>
  <si>
    <t>Cappellini, Bianca</t>
  </si>
  <si>
    <t>Sharma, Sagar</t>
  </si>
  <si>
    <t>Hong, Connie</t>
  </si>
  <si>
    <t>Cowen, Lindsay</t>
  </si>
  <si>
    <t>Braudy, Erica</t>
  </si>
  <si>
    <t>Bernardez, Florencita</t>
  </si>
  <si>
    <t>Kelly, Dawn</t>
  </si>
  <si>
    <t>Ma, Chiansan</t>
  </si>
  <si>
    <t>Elmore, Josh</t>
  </si>
  <si>
    <t>Sanderman, Robert</t>
  </si>
  <si>
    <t>Brand, Holdyn</t>
  </si>
  <si>
    <t>Rave, Helen</t>
  </si>
  <si>
    <t>Treadwell, Nathan</t>
  </si>
  <si>
    <t>Ukegbu, Ezi</t>
  </si>
  <si>
    <t>Anunkor, Ifeoma</t>
  </si>
  <si>
    <t>Ross, Jasmine</t>
  </si>
  <si>
    <t>Mui, Ernie</t>
  </si>
  <si>
    <t>Vega, Rita</t>
  </si>
  <si>
    <t>Cisneros, Marisol</t>
  </si>
  <si>
    <t>Englard, Rubin</t>
  </si>
  <si>
    <t>He, Ricky</t>
  </si>
  <si>
    <t>Schafler, Eliza</t>
  </si>
  <si>
    <t>Carwin, Mikailla</t>
  </si>
  <si>
    <t>Taylor, Mark</t>
  </si>
  <si>
    <t>Roman, Melissa</t>
  </si>
  <si>
    <t>Dolin, Brett</t>
  </si>
  <si>
    <t>Ijaz, Kulsoom</t>
  </si>
  <si>
    <t>Xie, Vivian</t>
  </si>
  <si>
    <t>McCune, Mary</t>
  </si>
  <si>
    <t>Diaz, Lino</t>
  </si>
  <si>
    <t>Evers, Erin</t>
  </si>
  <si>
    <t>Lin, Tina</t>
  </si>
  <si>
    <t>Rookwood, Shardae</t>
  </si>
  <si>
    <t>Allen, Sharette</t>
  </si>
  <si>
    <t>Yamasaki, Emily Woo</t>
  </si>
  <si>
    <t>Umoke, Jacob</t>
  </si>
  <si>
    <t>Latterner, Matt</t>
  </si>
  <si>
    <t>Nilsson, Erik</t>
  </si>
  <si>
    <t>Rhee, Bohee</t>
  </si>
  <si>
    <t>Hardy, Le`Shera</t>
  </si>
  <si>
    <t>Saywack, Priam</t>
  </si>
  <si>
    <t>09/26/2019</t>
  </si>
  <si>
    <t>07/09/2019</t>
  </si>
  <si>
    <t>06/13/2019</t>
  </si>
  <si>
    <t>07/05/2019</t>
  </si>
  <si>
    <t>09/12/2019</t>
  </si>
  <si>
    <t>08/15/2019</t>
  </si>
  <si>
    <t>07/30/2019</t>
  </si>
  <si>
    <t>09/10/2019</t>
  </si>
  <si>
    <t>10/01/2019</t>
  </si>
  <si>
    <t>09/27/2019</t>
  </si>
  <si>
    <t>09/25/2019</t>
  </si>
  <si>
    <t>07/24/2019</t>
  </si>
  <si>
    <t>07/29/2019</t>
  </si>
  <si>
    <t>07/08/2019</t>
  </si>
  <si>
    <t>08/14/2019</t>
  </si>
  <si>
    <t>08/27/2019</t>
  </si>
  <si>
    <t>09/24/2019</t>
  </si>
  <si>
    <t>07/17/2019</t>
  </si>
  <si>
    <t>08/08/2019</t>
  </si>
  <si>
    <t>03/29/2019</t>
  </si>
  <si>
    <t>08/20/2019</t>
  </si>
  <si>
    <t>08/22/2019</t>
  </si>
  <si>
    <t>08/13/2019</t>
  </si>
  <si>
    <t>09/09/2019</t>
  </si>
  <si>
    <t>08/06/2019</t>
  </si>
  <si>
    <t>09/04/2019</t>
  </si>
  <si>
    <t>08/16/2019</t>
  </si>
  <si>
    <t>08/01/2019</t>
  </si>
  <si>
    <t>07/12/2019</t>
  </si>
  <si>
    <t>08/09/2019</t>
  </si>
  <si>
    <t>09/11/2019</t>
  </si>
  <si>
    <t>08/05/2019</t>
  </si>
  <si>
    <t>09/17/2019</t>
  </si>
  <si>
    <t>07/18/2019</t>
  </si>
  <si>
    <t>07/02/2019</t>
  </si>
  <si>
    <t>07/11/2019</t>
  </si>
  <si>
    <t>07/19/2019</t>
  </si>
  <si>
    <t>08/23/2019</t>
  </si>
  <si>
    <t>07/22/2019</t>
  </si>
  <si>
    <t>08/12/2019</t>
  </si>
  <si>
    <t>09/03/2019</t>
  </si>
  <si>
    <t>03/27/2017</t>
  </si>
  <si>
    <t>07/16/2019</t>
  </si>
  <si>
    <t>09/19/2019</t>
  </si>
  <si>
    <t>09/06/2019</t>
  </si>
  <si>
    <t>04/30/2019</t>
  </si>
  <si>
    <t>09/30/2019</t>
  </si>
  <si>
    <t>04/11/2019</t>
  </si>
  <si>
    <t>08/30/2019</t>
  </si>
  <si>
    <t>04/22/2019</t>
  </si>
  <si>
    <t>07/31/2019</t>
  </si>
  <si>
    <t>08/19/2019</t>
  </si>
  <si>
    <t>07/26/2019</t>
  </si>
  <si>
    <t>10/29/2018</t>
  </si>
  <si>
    <t>10/02/2019</t>
  </si>
  <si>
    <t>03/26/2019</t>
  </si>
  <si>
    <t>02/19/2019</t>
  </si>
  <si>
    <t>07/10/2019</t>
  </si>
  <si>
    <t>09/23/2019</t>
  </si>
  <si>
    <t>04/12/2019</t>
  </si>
  <si>
    <t>06/03/2019</t>
  </si>
  <si>
    <t>08/28/2019</t>
  </si>
  <si>
    <t>09/05/2019</t>
  </si>
  <si>
    <t>06/06/2019</t>
  </si>
  <si>
    <t>08/07/2019</t>
  </si>
  <si>
    <t>10/16/2018</t>
  </si>
  <si>
    <t>04/16/2019</t>
  </si>
  <si>
    <t>08/29/2019</t>
  </si>
  <si>
    <t>09/13/2019</t>
  </si>
  <si>
    <t>09/20/2019</t>
  </si>
  <si>
    <t>09/19/2018</t>
  </si>
  <si>
    <t>08/02/2019</t>
  </si>
  <si>
    <t>02/21/2019</t>
  </si>
  <si>
    <t>06/27/2019</t>
  </si>
  <si>
    <t>08/21/2019</t>
  </si>
  <si>
    <t>10/12/2018</t>
  </si>
  <si>
    <t>05/09/2019</t>
  </si>
  <si>
    <t>06/28/2019</t>
  </si>
  <si>
    <t>06/20/2019</t>
  </si>
  <si>
    <t>07/01/2019</t>
  </si>
  <si>
    <t>05/30/2019</t>
  </si>
  <si>
    <t>06/05/2019</t>
  </si>
  <si>
    <t>09/16/2019</t>
  </si>
  <si>
    <t>03/11/2019</t>
  </si>
  <si>
    <t>06/17/2019</t>
  </si>
  <si>
    <t>06/21/2019</t>
  </si>
  <si>
    <t>02/13/2019</t>
  </si>
  <si>
    <t>08/11/2019</t>
  </si>
  <si>
    <t>03/29/2018</t>
  </si>
  <si>
    <t>07/03/2019</t>
  </si>
  <si>
    <t>06/04/2019</t>
  </si>
  <si>
    <t>05/27/2019</t>
  </si>
  <si>
    <t>07/23/2019</t>
  </si>
  <si>
    <t>07/15/2019</t>
  </si>
  <si>
    <t>06/12/2019</t>
  </si>
  <si>
    <t>05/02/2019</t>
  </si>
  <si>
    <t>06/24/2019</t>
  </si>
  <si>
    <t>06/07/2019</t>
  </si>
  <si>
    <t>09/18/2019</t>
  </si>
  <si>
    <t>09/21/2019</t>
  </si>
  <si>
    <t>01/15/2019</t>
  </si>
  <si>
    <t>02/22/2019</t>
  </si>
  <si>
    <t>05/15/2019</t>
  </si>
  <si>
    <t>06/18/2019</t>
  </si>
  <si>
    <t>08/26/2019</t>
  </si>
  <si>
    <t>04/20/2018</t>
  </si>
  <si>
    <t>04/08/2019</t>
  </si>
  <si>
    <t>09/15/2019</t>
  </si>
  <si>
    <t>08/04/2019</t>
  </si>
  <si>
    <t>10/04/2019</t>
  </si>
  <si>
    <t>06/14/2019</t>
  </si>
  <si>
    <t>10/03/2019</t>
  </si>
  <si>
    <t>07/25/2019</t>
  </si>
  <si>
    <t>Marquise</t>
  </si>
  <si>
    <t>Lisa</t>
  </si>
  <si>
    <t>Elizabeth</t>
  </si>
  <si>
    <t>Karen</t>
  </si>
  <si>
    <t>Jessica</t>
  </si>
  <si>
    <t>Leidy Yesenia Escandon</t>
  </si>
  <si>
    <t>Anthony</t>
  </si>
  <si>
    <t>Bridget</t>
  </si>
  <si>
    <t>Brendan</t>
  </si>
  <si>
    <t>Paulette</t>
  </si>
  <si>
    <t>Sidi</t>
  </si>
  <si>
    <t>Luis</t>
  </si>
  <si>
    <t>Rachel</t>
  </si>
  <si>
    <t>Antoine</t>
  </si>
  <si>
    <t>Roberta</t>
  </si>
  <si>
    <t>Tumininu</t>
  </si>
  <si>
    <t>Shemaine</t>
  </si>
  <si>
    <t>Georgette</t>
  </si>
  <si>
    <t>John</t>
  </si>
  <si>
    <t>Cristal</t>
  </si>
  <si>
    <t>Vincent</t>
  </si>
  <si>
    <t>Raphel</t>
  </si>
  <si>
    <t>Denise</t>
  </si>
  <si>
    <t>Deborah</t>
  </si>
  <si>
    <t>Donna</t>
  </si>
  <si>
    <t>Takeisha</t>
  </si>
  <si>
    <t>Fatima</t>
  </si>
  <si>
    <t>Sarah</t>
  </si>
  <si>
    <t>Gabby</t>
  </si>
  <si>
    <t>Valicia</t>
  </si>
  <si>
    <t>Halimeh</t>
  </si>
  <si>
    <t>Salisha</t>
  </si>
  <si>
    <t>Margarita</t>
  </si>
  <si>
    <t>Ferney</t>
  </si>
  <si>
    <t>Oumaima</t>
  </si>
  <si>
    <t>Natacha</t>
  </si>
  <si>
    <t>Dania</t>
  </si>
  <si>
    <t>Jasmine</t>
  </si>
  <si>
    <t>Georgina</t>
  </si>
  <si>
    <t>Maureen</t>
  </si>
  <si>
    <t>Stephanie</t>
  </si>
  <si>
    <t>Felesha</t>
  </si>
  <si>
    <t>Vernice</t>
  </si>
  <si>
    <t>Debra</t>
  </si>
  <si>
    <t>Marvilin</t>
  </si>
  <si>
    <t>Maria</t>
  </si>
  <si>
    <t>Janice</t>
  </si>
  <si>
    <t>Gael</t>
  </si>
  <si>
    <t>Mark</t>
  </si>
  <si>
    <t>Quyen</t>
  </si>
  <si>
    <t>Alexander</t>
  </si>
  <si>
    <t>Ana</t>
  </si>
  <si>
    <t>Emma</t>
  </si>
  <si>
    <t>Talitha</t>
  </si>
  <si>
    <t>Candice</t>
  </si>
  <si>
    <t>Amanda</t>
  </si>
  <si>
    <t>Dawna</t>
  </si>
  <si>
    <t>Tiyanna</t>
  </si>
  <si>
    <t>Hosnahara</t>
  </si>
  <si>
    <t>Lourenco</t>
  </si>
  <si>
    <t>Abdul</t>
  </si>
  <si>
    <t>Sheena</t>
  </si>
  <si>
    <t>Felipa</t>
  </si>
  <si>
    <t>April</t>
  </si>
  <si>
    <t>Andrej</t>
  </si>
  <si>
    <t>Patricia</t>
  </si>
  <si>
    <t>Carmen</t>
  </si>
  <si>
    <t>Flavia</t>
  </si>
  <si>
    <t>Arinola</t>
  </si>
  <si>
    <t>Anderson</t>
  </si>
  <si>
    <t>Michele</t>
  </si>
  <si>
    <t>Liza</t>
  </si>
  <si>
    <t>Erica</t>
  </si>
  <si>
    <t>Jade</t>
  </si>
  <si>
    <t>Richard</t>
  </si>
  <si>
    <t>Rosemae</t>
  </si>
  <si>
    <t>Mirely</t>
  </si>
  <si>
    <t>Hope</t>
  </si>
  <si>
    <t>Reynaldo</t>
  </si>
  <si>
    <t>Racquel</t>
  </si>
  <si>
    <t>Angelica</t>
  </si>
  <si>
    <t>Ryanna</t>
  </si>
  <si>
    <t>Ruth</t>
  </si>
  <si>
    <t>Jacqueline</t>
  </si>
  <si>
    <t>Dulce</t>
  </si>
  <si>
    <t>Malana</t>
  </si>
  <si>
    <t>Zeribel</t>
  </si>
  <si>
    <t>Danielle</t>
  </si>
  <si>
    <t>Miguel</t>
  </si>
  <si>
    <t>Nichole</t>
  </si>
  <si>
    <t>Isabel</t>
  </si>
  <si>
    <t>Vivian</t>
  </si>
  <si>
    <t>Viela</t>
  </si>
  <si>
    <t>Aquilina</t>
  </si>
  <si>
    <t>Lorraine</t>
  </si>
  <si>
    <t>Cherly</t>
  </si>
  <si>
    <t>Peta</t>
  </si>
  <si>
    <t>Hanirka</t>
  </si>
  <si>
    <t>Danesha</t>
  </si>
  <si>
    <t>Tiara</t>
  </si>
  <si>
    <t>Gregory</t>
  </si>
  <si>
    <t>Brooke</t>
  </si>
  <si>
    <t>Gisela</t>
  </si>
  <si>
    <t>Lourdes</t>
  </si>
  <si>
    <t>Marie</t>
  </si>
  <si>
    <t>Asuncion</t>
  </si>
  <si>
    <t>Jae</t>
  </si>
  <si>
    <t>Johny</t>
  </si>
  <si>
    <t>Marcia</t>
  </si>
  <si>
    <t>Celia</t>
  </si>
  <si>
    <t>Malisha</t>
  </si>
  <si>
    <t>Keith</t>
  </si>
  <si>
    <t>Ivette</t>
  </si>
  <si>
    <t>Ralph</t>
  </si>
  <si>
    <t>Marina</t>
  </si>
  <si>
    <t>Susana</t>
  </si>
  <si>
    <t>Rafael</t>
  </si>
  <si>
    <t>Latoya</t>
  </si>
  <si>
    <t>Luisa</t>
  </si>
  <si>
    <t>Jennifer</t>
  </si>
  <si>
    <t>Angel</t>
  </si>
  <si>
    <t>Gwendolyn</t>
  </si>
  <si>
    <t>Betty</t>
  </si>
  <si>
    <t>Tyrone</t>
  </si>
  <si>
    <t>Felia</t>
  </si>
  <si>
    <t>Norma</t>
  </si>
  <si>
    <t>Rebecca</t>
  </si>
  <si>
    <t>Raisa</t>
  </si>
  <si>
    <t>Yadira</t>
  </si>
  <si>
    <t>Temistocles</t>
  </si>
  <si>
    <t>Nicole</t>
  </si>
  <si>
    <t>Heather</t>
  </si>
  <si>
    <t>Kimberly</t>
  </si>
  <si>
    <t>Jardi</t>
  </si>
  <si>
    <t>Ada</t>
  </si>
  <si>
    <t>Adenike</t>
  </si>
  <si>
    <t>Fossillon</t>
  </si>
  <si>
    <t>Carol</t>
  </si>
  <si>
    <t>Jeannette</t>
  </si>
  <si>
    <t>Hector</t>
  </si>
  <si>
    <t>Govchlya</t>
  </si>
  <si>
    <t>Gordon</t>
  </si>
  <si>
    <t>Evelyn</t>
  </si>
  <si>
    <t>Joshua</t>
  </si>
  <si>
    <t>Erasmo</t>
  </si>
  <si>
    <t>Migdalia</t>
  </si>
  <si>
    <t>Magdalia</t>
  </si>
  <si>
    <t>Avian</t>
  </si>
  <si>
    <t>Barbara</t>
  </si>
  <si>
    <t>Thomas</t>
  </si>
  <si>
    <t>Arias</t>
  </si>
  <si>
    <t>Juan</t>
  </si>
  <si>
    <t>Leslie</t>
  </si>
  <si>
    <t>Gladys</t>
  </si>
  <si>
    <t>Clyde</t>
  </si>
  <si>
    <t>Obiaba</t>
  </si>
  <si>
    <t>Jose</t>
  </si>
  <si>
    <t>Massa</t>
  </si>
  <si>
    <t>Ramona</t>
  </si>
  <si>
    <t>Aneicia</t>
  </si>
  <si>
    <t>Carrie</t>
  </si>
  <si>
    <t>Archie</t>
  </si>
  <si>
    <t>Maritza</t>
  </si>
  <si>
    <t>Kin Sau</t>
  </si>
  <si>
    <t>Yvonne</t>
  </si>
  <si>
    <t>Mireya</t>
  </si>
  <si>
    <t>Zulma</t>
  </si>
  <si>
    <t>Brender</t>
  </si>
  <si>
    <t>Bart</t>
  </si>
  <si>
    <t>Beryl</t>
  </si>
  <si>
    <t>Joseph</t>
  </si>
  <si>
    <t>Juana</t>
  </si>
  <si>
    <t>Soribel</t>
  </si>
  <si>
    <t>Elva</t>
  </si>
  <si>
    <t>Mario</t>
  </si>
  <si>
    <t>Kim</t>
  </si>
  <si>
    <t>Cindy</t>
  </si>
  <si>
    <t>I</t>
  </si>
  <si>
    <t>Tori</t>
  </si>
  <si>
    <t>Santa</t>
  </si>
  <si>
    <t>Magnolia</t>
  </si>
  <si>
    <t>Wandy</t>
  </si>
  <si>
    <t>Stefanie</t>
  </si>
  <si>
    <t>Morris</t>
  </si>
  <si>
    <t>Sonia</t>
  </si>
  <si>
    <t>Albert</t>
  </si>
  <si>
    <t>Evita</t>
  </si>
  <si>
    <t>Helen</t>
  </si>
  <si>
    <t>Liautaud</t>
  </si>
  <si>
    <t>Christina</t>
  </si>
  <si>
    <t>Kneysha</t>
  </si>
  <si>
    <t>Harry</t>
  </si>
  <si>
    <t>Krystyna</t>
  </si>
  <si>
    <t>Peter</t>
  </si>
  <si>
    <t>Megnal</t>
  </si>
  <si>
    <t>Zhen Guang</t>
  </si>
  <si>
    <t>Dorothy</t>
  </si>
  <si>
    <t>Maleja</t>
  </si>
  <si>
    <t>Bill</t>
  </si>
  <si>
    <t>Alexandria</t>
  </si>
  <si>
    <t>Yara</t>
  </si>
  <si>
    <t>Carolyn</t>
  </si>
  <si>
    <t>Leonora</t>
  </si>
  <si>
    <t>Mildred</t>
  </si>
  <si>
    <t>Victoria</t>
  </si>
  <si>
    <t>Sara</t>
  </si>
  <si>
    <t>Nelson</t>
  </si>
  <si>
    <t>Bernadette</t>
  </si>
  <si>
    <t>Hongjie</t>
  </si>
  <si>
    <t>In Sun</t>
  </si>
  <si>
    <t>Lakisha</t>
  </si>
  <si>
    <t>Ingrid</t>
  </si>
  <si>
    <t>Zul-qarnain</t>
  </si>
  <si>
    <t>Yvette</t>
  </si>
  <si>
    <t>Nikita</t>
  </si>
  <si>
    <t>Oscar</t>
  </si>
  <si>
    <t>Rosalind</t>
  </si>
  <si>
    <t>Tomicka</t>
  </si>
  <si>
    <t>Erica Gomez</t>
  </si>
  <si>
    <t>Prestina</t>
  </si>
  <si>
    <t>David</t>
  </si>
  <si>
    <t>Loretta</t>
  </si>
  <si>
    <t>Gail</t>
  </si>
  <si>
    <t>Jacinto</t>
  </si>
  <si>
    <t>Esperanza</t>
  </si>
  <si>
    <t>Abeda</t>
  </si>
  <si>
    <t>Robert</t>
  </si>
  <si>
    <t>Manuelita</t>
  </si>
  <si>
    <t>Martiza</t>
  </si>
  <si>
    <t>Jhana</t>
  </si>
  <si>
    <t>Blondy</t>
  </si>
  <si>
    <t>Digna</t>
  </si>
  <si>
    <t>Mariano</t>
  </si>
  <si>
    <t>Mayra</t>
  </si>
  <si>
    <t>Modesta</t>
  </si>
  <si>
    <t>Jenaire</t>
  </si>
  <si>
    <t>Therese</t>
  </si>
  <si>
    <t>Diana</t>
  </si>
  <si>
    <t>Phyllis</t>
  </si>
  <si>
    <t>Marcel</t>
  </si>
  <si>
    <t>Karyn</t>
  </si>
  <si>
    <t>Lola</t>
  </si>
  <si>
    <t>Murris</t>
  </si>
  <si>
    <t>Yesenia</t>
  </si>
  <si>
    <t>Md</t>
  </si>
  <si>
    <t>Adiel</t>
  </si>
  <si>
    <t>Bartola</t>
  </si>
  <si>
    <t>Virginia</t>
  </si>
  <si>
    <t>Faruk</t>
  </si>
  <si>
    <t>Jeanette</t>
  </si>
  <si>
    <t>Daewoo</t>
  </si>
  <si>
    <t>Otha</t>
  </si>
  <si>
    <t>Sheila</t>
  </si>
  <si>
    <t>Renee</t>
  </si>
  <si>
    <t>Yomaira</t>
  </si>
  <si>
    <t>Daina</t>
  </si>
  <si>
    <t>Colleen</t>
  </si>
  <si>
    <t>Marien</t>
  </si>
  <si>
    <t>Jean</t>
  </si>
  <si>
    <t>Rosa</t>
  </si>
  <si>
    <t>Brette</t>
  </si>
  <si>
    <t>Saabirah</t>
  </si>
  <si>
    <t>Loida</t>
  </si>
  <si>
    <t>Sherika</t>
  </si>
  <si>
    <t>Narcisa</t>
  </si>
  <si>
    <t>Mercedes</t>
  </si>
  <si>
    <t>Hazel</t>
  </si>
  <si>
    <t>Inocencio</t>
  </si>
  <si>
    <t>Roxanne</t>
  </si>
  <si>
    <t>Xenia</t>
  </si>
  <si>
    <t>Ray</t>
  </si>
  <si>
    <t>Angellica</t>
  </si>
  <si>
    <t>Aracelly</t>
  </si>
  <si>
    <t>Mahbub</t>
  </si>
  <si>
    <t>Andrew</t>
  </si>
  <si>
    <t>Joe</t>
  </si>
  <si>
    <t>Karla</t>
  </si>
  <si>
    <t>Katherine</t>
  </si>
  <si>
    <t>Vilma</t>
  </si>
  <si>
    <t>Paul</t>
  </si>
  <si>
    <t>Michael</t>
  </si>
  <si>
    <t>Waquar</t>
  </si>
  <si>
    <t>Venice</t>
  </si>
  <si>
    <t>Socorro</t>
  </si>
  <si>
    <t>Jaime</t>
  </si>
  <si>
    <t>Francisco</t>
  </si>
  <si>
    <t>Dawn</t>
  </si>
  <si>
    <t>Desmond</t>
  </si>
  <si>
    <t>Yukie</t>
  </si>
  <si>
    <t>James</t>
  </si>
  <si>
    <t>Samantha</t>
  </si>
  <si>
    <t>Joy</t>
  </si>
  <si>
    <t>Regina</t>
  </si>
  <si>
    <t>Nadine</t>
  </si>
  <si>
    <t>Elvida</t>
  </si>
  <si>
    <t>Anna</t>
  </si>
  <si>
    <t>Eugene</t>
  </si>
  <si>
    <t>Roberto</t>
  </si>
  <si>
    <t>Valerine</t>
  </si>
  <si>
    <t>Frederica</t>
  </si>
  <si>
    <t>Maurenee</t>
  </si>
  <si>
    <t>Cassandra</t>
  </si>
  <si>
    <t>Cesar</t>
  </si>
  <si>
    <t>Marian Valdez</t>
  </si>
  <si>
    <t>Agnes</t>
  </si>
  <si>
    <t>Margaret</t>
  </si>
  <si>
    <t>Myrna</t>
  </si>
  <si>
    <t>Selwyn</t>
  </si>
  <si>
    <t>Ted</t>
  </si>
  <si>
    <t>Jane</t>
  </si>
  <si>
    <t>Stann</t>
  </si>
  <si>
    <t>Armanda</t>
  </si>
  <si>
    <t>Kenneshea</t>
  </si>
  <si>
    <t>Rosalia</t>
  </si>
  <si>
    <t>Oneal</t>
  </si>
  <si>
    <t>Amy</t>
  </si>
  <si>
    <t>Gary</t>
  </si>
  <si>
    <t>Dane</t>
  </si>
  <si>
    <t>Marilyn</t>
  </si>
  <si>
    <t>Daisy</t>
  </si>
  <si>
    <t>Monirul</t>
  </si>
  <si>
    <t>Vere</t>
  </si>
  <si>
    <t>Edna</t>
  </si>
  <si>
    <t>Trent</t>
  </si>
  <si>
    <t>Lucy</t>
  </si>
  <si>
    <t>Laura</t>
  </si>
  <si>
    <t>Magino</t>
  </si>
  <si>
    <t>Sherry</t>
  </si>
  <si>
    <t>Naomi</t>
  </si>
  <si>
    <t>Sharon</t>
  </si>
  <si>
    <t>Vicente</t>
  </si>
  <si>
    <t>Florence</t>
  </si>
  <si>
    <t>Jodi</t>
  </si>
  <si>
    <t>Beatriz</t>
  </si>
  <si>
    <t>Arthur</t>
  </si>
  <si>
    <t>Dolores</t>
  </si>
  <si>
    <t>Aysha</t>
  </si>
  <si>
    <t>Charisse</t>
  </si>
  <si>
    <t>Tonia</t>
  </si>
  <si>
    <t>Marisol</t>
  </si>
  <si>
    <t>Jermaine</t>
  </si>
  <si>
    <t>Shani</t>
  </si>
  <si>
    <t>Maude</t>
  </si>
  <si>
    <t>Gloria</t>
  </si>
  <si>
    <t>Theresa</t>
  </si>
  <si>
    <t>Nermine</t>
  </si>
  <si>
    <t>Francesca</t>
  </si>
  <si>
    <t>Wanda</t>
  </si>
  <si>
    <t>Altagracia</t>
  </si>
  <si>
    <t>Raquel</t>
  </si>
  <si>
    <t>Frank</t>
  </si>
  <si>
    <t>Rachael</t>
  </si>
  <si>
    <t>Melissa</t>
  </si>
  <si>
    <t>Roma</t>
  </si>
  <si>
    <t>Eulogia</t>
  </si>
  <si>
    <t>Clarice</t>
  </si>
  <si>
    <t>Pedro</t>
  </si>
  <si>
    <t>Jenneha</t>
  </si>
  <si>
    <t>Quantika</t>
  </si>
  <si>
    <t>Alejandra</t>
  </si>
  <si>
    <t>Carla</t>
  </si>
  <si>
    <t>Moduju</t>
  </si>
  <si>
    <t>Rhonda</t>
  </si>
  <si>
    <t>Ziola</t>
  </si>
  <si>
    <t>Dylan</t>
  </si>
  <si>
    <t>Melvin</t>
  </si>
  <si>
    <t>Nedia</t>
  </si>
  <si>
    <t>Nancy</t>
  </si>
  <si>
    <t>Johnathan</t>
  </si>
  <si>
    <t>Brandon</t>
  </si>
  <si>
    <t>Vera</t>
  </si>
  <si>
    <t>Selvyn</t>
  </si>
  <si>
    <t>Ernesto</t>
  </si>
  <si>
    <t>Dazil</t>
  </si>
  <si>
    <t>Kevin</t>
  </si>
  <si>
    <t>Aracelis</t>
  </si>
  <si>
    <t>Antoinette</t>
  </si>
  <si>
    <t>Gretelle</t>
  </si>
  <si>
    <t>Kyianna</t>
  </si>
  <si>
    <t>Janean</t>
  </si>
  <si>
    <t>Cathy</t>
  </si>
  <si>
    <t>Sabrina</t>
  </si>
  <si>
    <t>Tamika</t>
  </si>
  <si>
    <t>Phon</t>
  </si>
  <si>
    <t>Ariel</t>
  </si>
  <si>
    <t>Edith</t>
  </si>
  <si>
    <t>Gautam</t>
  </si>
  <si>
    <t>Ruben</t>
  </si>
  <si>
    <t>Sana</t>
  </si>
  <si>
    <t>Clarence</t>
  </si>
  <si>
    <t>Bernardo</t>
  </si>
  <si>
    <t>Herlin</t>
  </si>
  <si>
    <t>Timothy</t>
  </si>
  <si>
    <t>Shelly Ann</t>
  </si>
  <si>
    <t>Norberto</t>
  </si>
  <si>
    <t>Trilbie</t>
  </si>
  <si>
    <t>Kameeka</t>
  </si>
  <si>
    <t>Desra</t>
  </si>
  <si>
    <t>Milagro</t>
  </si>
  <si>
    <t>Delia</t>
  </si>
  <si>
    <t>Ramesh</t>
  </si>
  <si>
    <t>Natalie</t>
  </si>
  <si>
    <t>Ronald</t>
  </si>
  <si>
    <t>Bukola</t>
  </si>
  <si>
    <t>Mehira</t>
  </si>
  <si>
    <t>Kieran</t>
  </si>
  <si>
    <t>Efrat</t>
  </si>
  <si>
    <t>Ben</t>
  </si>
  <si>
    <t>Calvin</t>
  </si>
  <si>
    <t>Dian</t>
  </si>
  <si>
    <t>Katy</t>
  </si>
  <si>
    <t>Monica</t>
  </si>
  <si>
    <t>Alyssa</t>
  </si>
  <si>
    <t>Judith</t>
  </si>
  <si>
    <t>Suheylee</t>
  </si>
  <si>
    <t>Jessie</t>
  </si>
  <si>
    <t>Teresita</t>
  </si>
  <si>
    <t>Aquanetta</t>
  </si>
  <si>
    <t>Wilmer</t>
  </si>
  <si>
    <t>Deidre</t>
  </si>
  <si>
    <t>Rob</t>
  </si>
  <si>
    <t>George</t>
  </si>
  <si>
    <t>Gabriella</t>
  </si>
  <si>
    <t>Sing Hang</t>
  </si>
  <si>
    <t>Marc</t>
  </si>
  <si>
    <t>Kayla</t>
  </si>
  <si>
    <t>Ryan</t>
  </si>
  <si>
    <t>William</t>
  </si>
  <si>
    <t>Eric</t>
  </si>
  <si>
    <t>Nedra</t>
  </si>
  <si>
    <t>Emily</t>
  </si>
  <si>
    <t>Jorinda</t>
  </si>
  <si>
    <t>Halima</t>
  </si>
  <si>
    <t>Dara</t>
  </si>
  <si>
    <t>Livia</t>
  </si>
  <si>
    <t>Robinson</t>
  </si>
  <si>
    <t>Adams</t>
  </si>
  <si>
    <t>Tejada</t>
  </si>
  <si>
    <t>Williams</t>
  </si>
  <si>
    <t>Suarez</t>
  </si>
  <si>
    <t>Jackson</t>
  </si>
  <si>
    <t>Black</t>
  </si>
  <si>
    <t>Buckley</t>
  </si>
  <si>
    <t>Durham</t>
  </si>
  <si>
    <t>Somorin</t>
  </si>
  <si>
    <t>Santos</t>
  </si>
  <si>
    <t>Carbonell</t>
  </si>
  <si>
    <t>Brown</t>
  </si>
  <si>
    <t>Butler</t>
  </si>
  <si>
    <t>Adesanya</t>
  </si>
  <si>
    <t>Torres</t>
  </si>
  <si>
    <t>Mitchell</t>
  </si>
  <si>
    <t>Sykes</t>
  </si>
  <si>
    <t>Calderon</t>
  </si>
  <si>
    <t>Gorham</t>
  </si>
  <si>
    <t>Faison</t>
  </si>
  <si>
    <t>Fogarty</t>
  </si>
  <si>
    <t>Creighton</t>
  </si>
  <si>
    <t>Matthews</t>
  </si>
  <si>
    <t>Walkes</t>
  </si>
  <si>
    <t>Khatib</t>
  </si>
  <si>
    <t>Boyko</t>
  </si>
  <si>
    <t>Sepuya</t>
  </si>
  <si>
    <t>Solis</t>
  </si>
  <si>
    <t>Thompson</t>
  </si>
  <si>
    <t>Abuzahrieh</t>
  </si>
  <si>
    <t>Ali</t>
  </si>
  <si>
    <t>Avelino</t>
  </si>
  <si>
    <t>Herrera</t>
  </si>
  <si>
    <t>Gaston-Alaoui</t>
  </si>
  <si>
    <t>Morales</t>
  </si>
  <si>
    <t>Solano</t>
  </si>
  <si>
    <t>Wynns</t>
  </si>
  <si>
    <t>Ithier</t>
  </si>
  <si>
    <t>Reyes Fernandez</t>
  </si>
  <si>
    <t>Nicholas</t>
  </si>
  <si>
    <t>Lucas</t>
  </si>
  <si>
    <t>Elmore</t>
  </si>
  <si>
    <t>Santiago</t>
  </si>
  <si>
    <t>Patterson</t>
  </si>
  <si>
    <t>White</t>
  </si>
  <si>
    <t>Del Pilar Cabrera</t>
  </si>
  <si>
    <t>De Rojas</t>
  </si>
  <si>
    <t>Nicolas</t>
  </si>
  <si>
    <t>Handy</t>
  </si>
  <si>
    <t>Hong</t>
  </si>
  <si>
    <t>Ortiz</t>
  </si>
  <si>
    <t>Santana</t>
  </si>
  <si>
    <t>Davila</t>
  </si>
  <si>
    <t>Kinsey</t>
  </si>
  <si>
    <t>Rodriguez</t>
  </si>
  <si>
    <t>Denis</t>
  </si>
  <si>
    <t>Cameron</t>
  </si>
  <si>
    <t>Akter</t>
  </si>
  <si>
    <t>Almeida</t>
  </si>
  <si>
    <t>Valentine</t>
  </si>
  <si>
    <t>Mullings</t>
  </si>
  <si>
    <t>Hernandez</t>
  </si>
  <si>
    <t>Sumler</t>
  </si>
  <si>
    <t>Klewicki</t>
  </si>
  <si>
    <t>Romano</t>
  </si>
  <si>
    <t>Cabrera</t>
  </si>
  <si>
    <t>Brooks</t>
  </si>
  <si>
    <t>Barlon</t>
  </si>
  <si>
    <t>Bell</t>
  </si>
  <si>
    <t>Frazier</t>
  </si>
  <si>
    <t>Meracdo</t>
  </si>
  <si>
    <t>Engesser</t>
  </si>
  <si>
    <t>Shaw</t>
  </si>
  <si>
    <t>Briggs</t>
  </si>
  <si>
    <t>Piper</t>
  </si>
  <si>
    <t>Aristomene</t>
  </si>
  <si>
    <t>Tarantola</t>
  </si>
  <si>
    <t>Cochran</t>
  </si>
  <si>
    <t>Tavarez</t>
  </si>
  <si>
    <t>Burgess</t>
  </si>
  <si>
    <t>Cuatle</t>
  </si>
  <si>
    <t>McDowell-Butts</t>
  </si>
  <si>
    <t>Mayo</t>
  </si>
  <si>
    <t>Veras</t>
  </si>
  <si>
    <t>Reese</t>
  </si>
  <si>
    <t>Batista</t>
  </si>
  <si>
    <t>Cruz</t>
  </si>
  <si>
    <t>Rivera</t>
  </si>
  <si>
    <t>Guzman</t>
  </si>
  <si>
    <t>Fenton</t>
  </si>
  <si>
    <t>Paca</t>
  </si>
  <si>
    <t>Dargan</t>
  </si>
  <si>
    <t>Garcia</t>
  </si>
  <si>
    <t>Gay Campbell</t>
  </si>
  <si>
    <t>Segura</t>
  </si>
  <si>
    <t>Francis</t>
  </si>
  <si>
    <t>Lawrence</t>
  </si>
  <si>
    <t>Delaine</t>
  </si>
  <si>
    <t>Dowdell</t>
  </si>
  <si>
    <t>Checo</t>
  </si>
  <si>
    <t>Baltazer</t>
  </si>
  <si>
    <t>Newkirk</t>
  </si>
  <si>
    <t>Pierre</t>
  </si>
  <si>
    <t>Saint Louis</t>
  </si>
  <si>
    <t>Martinez</t>
  </si>
  <si>
    <t>Waiters</t>
  </si>
  <si>
    <t>Banks</t>
  </si>
  <si>
    <t>Calise</t>
  </si>
  <si>
    <t>Zollo</t>
  </si>
  <si>
    <t>Dejesus</t>
  </si>
  <si>
    <t>Bossa -Venecia</t>
  </si>
  <si>
    <t>Brathwaite</t>
  </si>
  <si>
    <t>Daley</t>
  </si>
  <si>
    <t>Rojas</t>
  </si>
  <si>
    <t>Jones</t>
  </si>
  <si>
    <t>Franco-Delawrence</t>
  </si>
  <si>
    <t>Suru</t>
  </si>
  <si>
    <t>Taylor</t>
  </si>
  <si>
    <t>Vanwagoner</t>
  </si>
  <si>
    <t>Villanueva</t>
  </si>
  <si>
    <t>Reyes</t>
  </si>
  <si>
    <t>Gonzalez</t>
  </si>
  <si>
    <t>Gil Abreu</t>
  </si>
  <si>
    <t>Despinosse</t>
  </si>
  <si>
    <t>Curley</t>
  </si>
  <si>
    <t>Ruiz</t>
  </si>
  <si>
    <t>Cepeda</t>
  </si>
  <si>
    <t>Barrett</t>
  </si>
  <si>
    <t>Gbadamosie</t>
  </si>
  <si>
    <t>Durandisse</t>
  </si>
  <si>
    <t>Willson</t>
  </si>
  <si>
    <t>Porro</t>
  </si>
  <si>
    <t>Aleman</t>
  </si>
  <si>
    <t>Sepulveda</t>
  </si>
  <si>
    <t>Lumchan</t>
  </si>
  <si>
    <t>Duesbury</t>
  </si>
  <si>
    <t>Medina</t>
  </si>
  <si>
    <t>Zarzuela</t>
  </si>
  <si>
    <t>Rotger</t>
  </si>
  <si>
    <t>Bailey</t>
  </si>
  <si>
    <t>Cervantes</t>
  </si>
  <si>
    <t>Lopes Malave</t>
  </si>
  <si>
    <t>Woody</t>
  </si>
  <si>
    <t>Castro</t>
  </si>
  <si>
    <t>Rushmore</t>
  </si>
  <si>
    <t>Reid</t>
  </si>
  <si>
    <t>Ofulue</t>
  </si>
  <si>
    <t>Fernandez</t>
  </si>
  <si>
    <t>Swaray</t>
  </si>
  <si>
    <t>McClendon</t>
  </si>
  <si>
    <t>Novak</t>
  </si>
  <si>
    <t>Tucker</t>
  </si>
  <si>
    <t>Washington</t>
  </si>
  <si>
    <t>Clemencia</t>
  </si>
  <si>
    <t>Jeffrey</t>
  </si>
  <si>
    <t>Wong</t>
  </si>
  <si>
    <t>Paulino</t>
  </si>
  <si>
    <t>Montano</t>
  </si>
  <si>
    <t>Taveras</t>
  </si>
  <si>
    <t>Stackhouse</t>
  </si>
  <si>
    <t>Chavez</t>
  </si>
  <si>
    <t>Reynoso</t>
  </si>
  <si>
    <t>Vecchione</t>
  </si>
  <si>
    <t>Stewart</t>
  </si>
  <si>
    <t>Doolen</t>
  </si>
  <si>
    <t>Jacobsen</t>
  </si>
  <si>
    <t>Espinal</t>
  </si>
  <si>
    <t>Murphy</t>
  </si>
  <si>
    <t>DelCarmen</t>
  </si>
  <si>
    <t>Osorio</t>
  </si>
  <si>
    <t>Joa</t>
  </si>
  <si>
    <t>Martin</t>
  </si>
  <si>
    <t>Lewis</t>
  </si>
  <si>
    <t>Brea</t>
  </si>
  <si>
    <t>Ospina</t>
  </si>
  <si>
    <t>Valentin</t>
  </si>
  <si>
    <t>Hill</t>
  </si>
  <si>
    <t>Lane</t>
  </si>
  <si>
    <t>Perez</t>
  </si>
  <si>
    <t>Ponce</t>
  </si>
  <si>
    <t>Davis</t>
  </si>
  <si>
    <t>Vallejo</t>
  </si>
  <si>
    <t>Bestman</t>
  </si>
  <si>
    <t>Bracy</t>
  </si>
  <si>
    <t>Baker</t>
  </si>
  <si>
    <t>Lemelin</t>
  </si>
  <si>
    <t>Smith</t>
  </si>
  <si>
    <t>Werts</t>
  </si>
  <si>
    <t>Bozek</t>
  </si>
  <si>
    <t>Diaz</t>
  </si>
  <si>
    <t>Bautista</t>
  </si>
  <si>
    <t>Javier</t>
  </si>
  <si>
    <t>Chen</t>
  </si>
  <si>
    <t>Romain</t>
  </si>
  <si>
    <t>Alvarez</t>
  </si>
  <si>
    <t>Fermin</t>
  </si>
  <si>
    <t>Lindsey</t>
  </si>
  <si>
    <t>Marizan</t>
  </si>
  <si>
    <t>Dennis</t>
  </si>
  <si>
    <t>Saravia</t>
  </si>
  <si>
    <t>Jose Rosado</t>
  </si>
  <si>
    <t>Foster</t>
  </si>
  <si>
    <t>Zou</t>
  </si>
  <si>
    <t>de Souza-King</t>
  </si>
  <si>
    <t>Choe</t>
  </si>
  <si>
    <t>Stubbs</t>
  </si>
  <si>
    <t>Justin</t>
  </si>
  <si>
    <t>Abdu-Shahid</t>
  </si>
  <si>
    <t>Augustus</t>
  </si>
  <si>
    <t>Bethea</t>
  </si>
  <si>
    <t>Price</t>
  </si>
  <si>
    <t>Austin</t>
  </si>
  <si>
    <t>Uriel</t>
  </si>
  <si>
    <t>Solis Verdesoto</t>
  </si>
  <si>
    <t>Marrero</t>
  </si>
  <si>
    <t>Orta</t>
  </si>
  <si>
    <t>Huitzil Paleta</t>
  </si>
  <si>
    <t>Pena</t>
  </si>
  <si>
    <t>Sultana</t>
  </si>
  <si>
    <t>Knight</t>
  </si>
  <si>
    <t>Carter</t>
  </si>
  <si>
    <t>Deoleo</t>
  </si>
  <si>
    <t>McCarthy</t>
  </si>
  <si>
    <t>Cheeks</t>
  </si>
  <si>
    <t>Weekes</t>
  </si>
  <si>
    <t>Colon</t>
  </si>
  <si>
    <t>Moreno</t>
  </si>
  <si>
    <t>Abreu</t>
  </si>
  <si>
    <t>Pimentel</t>
  </si>
  <si>
    <t>Velez</t>
  </si>
  <si>
    <t>Tweel</t>
  </si>
  <si>
    <t>Pestano</t>
  </si>
  <si>
    <t>Benitez</t>
  </si>
  <si>
    <t>Campbell</t>
  </si>
  <si>
    <t>Portella</t>
  </si>
  <si>
    <t>Weinstein</t>
  </si>
  <si>
    <t>Vazquez</t>
  </si>
  <si>
    <t>Swartzon</t>
  </si>
  <si>
    <t>Bedoya</t>
  </si>
  <si>
    <t>Coleman</t>
  </si>
  <si>
    <t>Rahman</t>
  </si>
  <si>
    <t>Eshkenazi</t>
  </si>
  <si>
    <t>Hargett</t>
  </si>
  <si>
    <t>Salas</t>
  </si>
  <si>
    <t>Ahamed</t>
  </si>
  <si>
    <t>Rolling</t>
  </si>
  <si>
    <t>Furs</t>
  </si>
  <si>
    <t>Soriano</t>
  </si>
  <si>
    <t>Henry</t>
  </si>
  <si>
    <t>Soskind</t>
  </si>
  <si>
    <t>Medrano</t>
  </si>
  <si>
    <t>Guerrero</t>
  </si>
  <si>
    <t>Vaca</t>
  </si>
  <si>
    <t>Morningstar</t>
  </si>
  <si>
    <t>Emanuel</t>
  </si>
  <si>
    <t>Fabian</t>
  </si>
  <si>
    <t>Colinet</t>
  </si>
  <si>
    <t>King</t>
  </si>
  <si>
    <t>Owolabi</t>
  </si>
  <si>
    <t>Coronel</t>
  </si>
  <si>
    <t>Hazell</t>
  </si>
  <si>
    <t>Silva Sideris</t>
  </si>
  <si>
    <t>Lynch</t>
  </si>
  <si>
    <t>Farrell</t>
  </si>
  <si>
    <t>Henriquez</t>
  </si>
  <si>
    <t>Elvy</t>
  </si>
  <si>
    <t>Piedrahita</t>
  </si>
  <si>
    <t>Sanchez</t>
  </si>
  <si>
    <t>Khan</t>
  </si>
  <si>
    <t>Weiner</t>
  </si>
  <si>
    <t>Robletto</t>
  </si>
  <si>
    <t>Carrington</t>
  </si>
  <si>
    <t>Parker</t>
  </si>
  <si>
    <t>Spielmann</t>
  </si>
  <si>
    <t>England</t>
  </si>
  <si>
    <t>Chowdhury</t>
  </si>
  <si>
    <t>Thompson-Dean Bailey</t>
  </si>
  <si>
    <t>Portuondo</t>
  </si>
  <si>
    <t>Pagan</t>
  </si>
  <si>
    <t>Acevedo</t>
  </si>
  <si>
    <t>Wells</t>
  </si>
  <si>
    <t>Pickens</t>
  </si>
  <si>
    <t>Sankar</t>
  </si>
  <si>
    <t>Bragg</t>
  </si>
  <si>
    <t>Randolph</t>
  </si>
  <si>
    <t>Hooks</t>
  </si>
  <si>
    <t>Hailstalk</t>
  </si>
  <si>
    <t>Dor</t>
  </si>
  <si>
    <t>De la Rosa</t>
  </si>
  <si>
    <t>Fitzgerald</t>
  </si>
  <si>
    <t>Korostyshevskiy</t>
  </si>
  <si>
    <t>Clare</t>
  </si>
  <si>
    <t>Hayes</t>
  </si>
  <si>
    <t>Cousins</t>
  </si>
  <si>
    <t>Heslin</t>
  </si>
  <si>
    <t>Coello</t>
  </si>
  <si>
    <t>Cousin</t>
  </si>
  <si>
    <t>Marte</t>
  </si>
  <si>
    <t>Flores</t>
  </si>
  <si>
    <t>Fallah</t>
  </si>
  <si>
    <t>Gillen</t>
  </si>
  <si>
    <t>Stephen</t>
  </si>
  <si>
    <t>Sidorovich</t>
  </si>
  <si>
    <t>Palmer</t>
  </si>
  <si>
    <t>St. Louis</t>
  </si>
  <si>
    <t>Brewer</t>
  </si>
  <si>
    <t>Allums</t>
  </si>
  <si>
    <t>Maura</t>
  </si>
  <si>
    <t>Rosas-Mejia</t>
  </si>
  <si>
    <t>Johnson</t>
  </si>
  <si>
    <t>Poirier</t>
  </si>
  <si>
    <t>Ganz</t>
  </si>
  <si>
    <t>Jack</t>
  </si>
  <si>
    <t>Quinones</t>
  </si>
  <si>
    <t>Lara</t>
  </si>
  <si>
    <t>Collins</t>
  </si>
  <si>
    <t>Islam</t>
  </si>
  <si>
    <t>Lotmore</t>
  </si>
  <si>
    <t>Lopez</t>
  </si>
  <si>
    <t>Rodriguez Rodado</t>
  </si>
  <si>
    <t>Acosta-De la Cruz</t>
  </si>
  <si>
    <t>Lowery</t>
  </si>
  <si>
    <t>Ogutu</t>
  </si>
  <si>
    <t>Ellis</t>
  </si>
  <si>
    <t>Edwards</t>
  </si>
  <si>
    <t>Gibson</t>
  </si>
  <si>
    <t>Conway</t>
  </si>
  <si>
    <t>Zarate</t>
  </si>
  <si>
    <t>Khanam</t>
  </si>
  <si>
    <t>Christian</t>
  </si>
  <si>
    <t>Hucey</t>
  </si>
  <si>
    <t>Adames</t>
  </si>
  <si>
    <t>Donaldson</t>
  </si>
  <si>
    <t>Hinton</t>
  </si>
  <si>
    <t>Blanc</t>
  </si>
  <si>
    <t>Speller</t>
  </si>
  <si>
    <t>Edwards-Joseph</t>
  </si>
  <si>
    <t>Tapia</t>
  </si>
  <si>
    <t>Hussein</t>
  </si>
  <si>
    <t>Mojica</t>
  </si>
  <si>
    <t>Smartt</t>
  </si>
  <si>
    <t>Nuredin</t>
  </si>
  <si>
    <t>Wojtylak</t>
  </si>
  <si>
    <t>Joakim</t>
  </si>
  <si>
    <t>Almonor</t>
  </si>
  <si>
    <t>Irizarry</t>
  </si>
  <si>
    <t>Laroche</t>
  </si>
  <si>
    <t>Adjeyi</t>
  </si>
  <si>
    <t>Aponte</t>
  </si>
  <si>
    <t>Cooper</t>
  </si>
  <si>
    <t>Faulkner</t>
  </si>
  <si>
    <t>Aguilar</t>
  </si>
  <si>
    <t>Adigun</t>
  </si>
  <si>
    <t>Sylvster</t>
  </si>
  <si>
    <t>Ross</t>
  </si>
  <si>
    <t>Rosado</t>
  </si>
  <si>
    <t>Manosalvas</t>
  </si>
  <si>
    <t>Manoslavas</t>
  </si>
  <si>
    <t>Ciancimino</t>
  </si>
  <si>
    <t>Burnett</t>
  </si>
  <si>
    <t>Allen</t>
  </si>
  <si>
    <t>Tlatelpa</t>
  </si>
  <si>
    <t>Glenn</t>
  </si>
  <si>
    <t>Prescott</t>
  </si>
  <si>
    <t>De Aza</t>
  </si>
  <si>
    <t>Buchanan</t>
  </si>
  <si>
    <t>Phillips</t>
  </si>
  <si>
    <t>Murray</t>
  </si>
  <si>
    <t>Stephens</t>
  </si>
  <si>
    <t>Hamilton</t>
  </si>
  <si>
    <t>Tuitt</t>
  </si>
  <si>
    <t>Herrera Avalos</t>
  </si>
  <si>
    <t>Quach</t>
  </si>
  <si>
    <t>Munzer</t>
  </si>
  <si>
    <t>Chase</t>
  </si>
  <si>
    <t>Fortuna</t>
  </si>
  <si>
    <t>Choudhury</t>
  </si>
  <si>
    <t>Iglesias</t>
  </si>
  <si>
    <t>Jaffery</t>
  </si>
  <si>
    <t>Marquez</t>
  </si>
  <si>
    <t>Walsh</t>
  </si>
  <si>
    <t>Ramirez</t>
  </si>
  <si>
    <t>Romero</t>
  </si>
  <si>
    <t>Wright</t>
  </si>
  <si>
    <t>Moss</t>
  </si>
  <si>
    <t>Andujar</t>
  </si>
  <si>
    <t>Pope</t>
  </si>
  <si>
    <t>Bogdanova</t>
  </si>
  <si>
    <t>Mercado</t>
  </si>
  <si>
    <t>Roman</t>
  </si>
  <si>
    <t>Shrestha</t>
  </si>
  <si>
    <t>Hargrove</t>
  </si>
  <si>
    <t>Rosario</t>
  </si>
  <si>
    <t>Makinde</t>
  </si>
  <si>
    <t>Newton</t>
  </si>
  <si>
    <t>Shoval</t>
  </si>
  <si>
    <t>Willmorth</t>
  </si>
  <si>
    <t>Robateau</t>
  </si>
  <si>
    <t>Serby</t>
  </si>
  <si>
    <t>Samios</t>
  </si>
  <si>
    <t>Holder</t>
  </si>
  <si>
    <t>Capell</t>
  </si>
  <si>
    <t>Prado</t>
  </si>
  <si>
    <t>Carlucci</t>
  </si>
  <si>
    <t>Randall</t>
  </si>
  <si>
    <t>Maillard</t>
  </si>
  <si>
    <t>Saun</t>
  </si>
  <si>
    <t>Fragoso</t>
  </si>
  <si>
    <t>Leibowitz</t>
  </si>
  <si>
    <t>Levandov</t>
  </si>
  <si>
    <t>Yepez</t>
  </si>
  <si>
    <t>Haft</t>
  </si>
  <si>
    <t>Hartley</t>
  </si>
  <si>
    <t>Roche</t>
  </si>
  <si>
    <t>Hinds</t>
  </si>
  <si>
    <t>Cardenas</t>
  </si>
  <si>
    <t>McGhee</t>
  </si>
  <si>
    <t>Sotiroff</t>
  </si>
  <si>
    <t>McLennan</t>
  </si>
  <si>
    <t>Mancuso</t>
  </si>
  <si>
    <t>Gutierrez</t>
  </si>
  <si>
    <t>Chan</t>
  </si>
  <si>
    <t>Mooren</t>
  </si>
  <si>
    <t>Shifrin</t>
  </si>
  <si>
    <t>Sneddon</t>
  </si>
  <si>
    <t>Shea</t>
  </si>
  <si>
    <t>Shoup</t>
  </si>
  <si>
    <t>Silverstein</t>
  </si>
  <si>
    <t>Fuller</t>
  </si>
  <si>
    <t>Soukamneuth</t>
  </si>
  <si>
    <t>Veneziano</t>
  </si>
  <si>
    <t>6919 Hillmeyer Ave</t>
  </si>
  <si>
    <t>1130 Grassmere Ter</t>
  </si>
  <si>
    <t>125 Beach 17th St</t>
  </si>
  <si>
    <t>10306 Remington St</t>
  </si>
  <si>
    <t>10704 Liverpool St</t>
  </si>
  <si>
    <t>107-04 Liverpool Street</t>
  </si>
  <si>
    <t>14920 124th St</t>
  </si>
  <si>
    <t>9830 57th Ave</t>
  </si>
  <si>
    <t>571 Sterling Pl</t>
  </si>
  <si>
    <t>435 GRAND AVE</t>
  </si>
  <si>
    <t>249 Thomas S Boyland St</t>
  </si>
  <si>
    <t>21 Truxton St</t>
  </si>
  <si>
    <t>246 Bainbridge St</t>
  </si>
  <si>
    <t>216 Rockaway Ave</t>
  </si>
  <si>
    <t>1711 Fulton St</t>
  </si>
  <si>
    <t>1743 Prospect Pl</t>
  </si>
  <si>
    <t>779 4th Ave</t>
  </si>
  <si>
    <t>15 B Dwight Street</t>
  </si>
  <si>
    <t>1030 Carroll St</t>
  </si>
  <si>
    <t>572 Manhattan Ave</t>
  </si>
  <si>
    <t>232 Stuyvesant Ave</t>
  </si>
  <si>
    <t>6623 Ridge Blvd</t>
  </si>
  <si>
    <t>372 New York Ave</t>
  </si>
  <si>
    <t>257 Mother Gaston Blvd</t>
  </si>
  <si>
    <t>1406 New York Ave</t>
  </si>
  <si>
    <t>985 Halsey St</t>
  </si>
  <si>
    <t>3433 30th St</t>
  </si>
  <si>
    <t>4754 Richardson Ave</t>
  </si>
  <si>
    <t>1080 Anderson Ave</t>
  </si>
  <si>
    <t>47 Featherbed Ln</t>
  </si>
  <si>
    <t>142 Hillcrest Ter</t>
  </si>
  <si>
    <t>231 Steuben St</t>
  </si>
  <si>
    <t>14 Thayer St</t>
  </si>
  <si>
    <t>30 Sickles St</t>
  </si>
  <si>
    <t>113 Nassau St</t>
  </si>
  <si>
    <t>129 Sherman Ave</t>
  </si>
  <si>
    <t>580 Academy St</t>
  </si>
  <si>
    <t>621 W 171st St</t>
  </si>
  <si>
    <t>655 W 160th St</t>
  </si>
  <si>
    <t>9427 Kings Hwy</t>
  </si>
  <si>
    <t>899 Montgomery St</t>
  </si>
  <si>
    <t>675 Lincoln Ave</t>
  </si>
  <si>
    <t>381 Sumpter St</t>
  </si>
  <si>
    <t>1305 Delmar Loope</t>
  </si>
  <si>
    <t>902 Drew St</t>
  </si>
  <si>
    <t>454 E 119th St</t>
  </si>
  <si>
    <t>167 W 83rd St</t>
  </si>
  <si>
    <t>9264 218th PL</t>
  </si>
  <si>
    <t>674 Academy St</t>
  </si>
  <si>
    <t>14220 Franklin Ave</t>
  </si>
  <si>
    <t>1967 Bergen St</t>
  </si>
  <si>
    <t>101 Post Ave</t>
  </si>
  <si>
    <t>624 Howard Ave</t>
  </si>
  <si>
    <t>18364 Dunlop Ave</t>
  </si>
  <si>
    <t>13418 133rd Ave</t>
  </si>
  <si>
    <t>968 Bronx Park S</t>
  </si>
  <si>
    <t>1460 Sterling Pl</t>
  </si>
  <si>
    <t>25 utica Ave</t>
  </si>
  <si>
    <t>8912 183rd St</t>
  </si>
  <si>
    <t>3428 44th St</t>
  </si>
  <si>
    <t>14144 182nd St</t>
  </si>
  <si>
    <t>498 Vermont St</t>
  </si>
  <si>
    <t>4135 53rd St</t>
  </si>
  <si>
    <t>558 Ralph Ave</t>
  </si>
  <si>
    <t>975 42nd St</t>
  </si>
  <si>
    <t>333 Beach 32nd St</t>
  </si>
  <si>
    <t>11609 Francis Lewis Blvd</t>
  </si>
  <si>
    <t>556 W 181st St</t>
  </si>
  <si>
    <t>5124 Beach Channel Dr</t>
  </si>
  <si>
    <t>216 Rockaway ave</t>
  </si>
  <si>
    <t>973 Saint Marks Ave</t>
  </si>
  <si>
    <t>343 Herzl St</t>
  </si>
  <si>
    <t>8 Rutland Rd</t>
  </si>
  <si>
    <t>7002 Parsons Blvd</t>
  </si>
  <si>
    <t>11618 147th St</t>
  </si>
  <si>
    <t>30 E 95th St</t>
  </si>
  <si>
    <t>91 Junius St</t>
  </si>
  <si>
    <t>248 Audubon Ave</t>
  </si>
  <si>
    <t>9102 Sutter Ave</t>
  </si>
  <si>
    <t>554 W 181st St</t>
  </si>
  <si>
    <t>966 Saint Nicholas Ave</t>
  </si>
  <si>
    <t>91 Brook St</t>
  </si>
  <si>
    <t>2328 28th Ave</t>
  </si>
  <si>
    <t>327 Franklin Ave</t>
  </si>
  <si>
    <t>1314 Eastern Pkwy</t>
  </si>
  <si>
    <t>8 W 169th St</t>
  </si>
  <si>
    <t>1777 Grand Concourse</t>
  </si>
  <si>
    <t>631 W 207th St</t>
  </si>
  <si>
    <t>5039 61st St</t>
  </si>
  <si>
    <t>11560 204th St</t>
  </si>
  <si>
    <t>550 Snediker Ave</t>
  </si>
  <si>
    <t>14 prospect ave</t>
  </si>
  <si>
    <t>160 Vermilyea Ave</t>
  </si>
  <si>
    <t>3706 107th St</t>
  </si>
  <si>
    <t>180 E 18th St</t>
  </si>
  <si>
    <t>941 Jerome ave</t>
  </si>
  <si>
    <t>392 Rockaway Pkwy</t>
  </si>
  <si>
    <t>5763 wadsworth terrace</t>
  </si>
  <si>
    <t>411 Westervelt Ave</t>
  </si>
  <si>
    <t>232 Schenectady Ave</t>
  </si>
  <si>
    <t>1880 Valentine Ave</t>
  </si>
  <si>
    <t>435 Grand Ave</t>
  </si>
  <si>
    <t>1740 Prospect Pl</t>
  </si>
  <si>
    <t>711 W 180th St</t>
  </si>
  <si>
    <t>2111 Lafontaine Ave</t>
  </si>
  <si>
    <t>2511 Newkirk Ave</t>
  </si>
  <si>
    <t>205 Avenue C</t>
  </si>
  <si>
    <t>180 Broad St</t>
  </si>
  <si>
    <t>693 Flatbush Ave</t>
  </si>
  <si>
    <t>395 Autumn Ave</t>
  </si>
  <si>
    <t>164 Winter Ave</t>
  </si>
  <si>
    <t>1336 Herkimer St</t>
  </si>
  <si>
    <t>444 State St</t>
  </si>
  <si>
    <t>19619 Jamaica Ave</t>
  </si>
  <si>
    <t>1370 Saint Nicholas Ave</t>
  </si>
  <si>
    <t>1 Jacobus Pl</t>
  </si>
  <si>
    <t>737 Southern Blvd</t>
  </si>
  <si>
    <t>211 W 101st St</t>
  </si>
  <si>
    <t>329 Beach 86th St</t>
  </si>
  <si>
    <t>1661 Saint Johns Pl</t>
  </si>
  <si>
    <t>1447 Gipson St</t>
  </si>
  <si>
    <t>408 Lincoln Ave</t>
  </si>
  <si>
    <t>2092 Dean St</t>
  </si>
  <si>
    <t>461 Dean St</t>
  </si>
  <si>
    <t>555 Lincoln Ave</t>
  </si>
  <si>
    <t>321 Milford St</t>
  </si>
  <si>
    <t>1920 Union St</t>
  </si>
  <si>
    <t>8510 148th St</t>
  </si>
  <si>
    <t>4455 Broadway</t>
  </si>
  <si>
    <t>119 Vermilyea Ave</t>
  </si>
  <si>
    <t>284 Eastern Pkwy</t>
  </si>
  <si>
    <t>393 Montauk Ave</t>
  </si>
  <si>
    <t>150 Hendricks Ave</t>
  </si>
  <si>
    <t>598 W 191st St</t>
  </si>
  <si>
    <t>1452 Beach Ave</t>
  </si>
  <si>
    <t>501 W 189th St</t>
  </si>
  <si>
    <t>1081 Stanley Ave</t>
  </si>
  <si>
    <t>3413 Avenue H</t>
  </si>
  <si>
    <t>2999 8th Ave</t>
  </si>
  <si>
    <t>521 W 186th St</t>
  </si>
  <si>
    <t>2351 Pacific St</t>
  </si>
  <si>
    <t>60 Thayer St</t>
  </si>
  <si>
    <t>257 Linden St</t>
  </si>
  <si>
    <t>14412 28th Ave</t>
  </si>
  <si>
    <t>234 E 119th St</t>
  </si>
  <si>
    <t>2985 Botanical Sq</t>
  </si>
  <si>
    <t>3405 Putnam Pl</t>
  </si>
  <si>
    <t>174 Riverdale Ave</t>
  </si>
  <si>
    <t>1325 Lafayette Ave</t>
  </si>
  <si>
    <t>124 E 117th St</t>
  </si>
  <si>
    <t>655 Morris Ave</t>
  </si>
  <si>
    <t>2305 2nd Ave</t>
  </si>
  <si>
    <t>420 Watkins St</t>
  </si>
  <si>
    <t>165 Saint Marks Pl</t>
  </si>
  <si>
    <t>131 BROOME ST</t>
  </si>
  <si>
    <t>180 Park Hill Ave</t>
  </si>
  <si>
    <t>1510 Jesup Ave</t>
  </si>
  <si>
    <t>2160 dean st</t>
  </si>
  <si>
    <t>310 E 25th St</t>
  </si>
  <si>
    <t>45 Pinehurst Ave</t>
  </si>
  <si>
    <t>140 Park Hill Ave</t>
  </si>
  <si>
    <t>1873 Park Pl</t>
  </si>
  <si>
    <t>15754 21st Ave</t>
  </si>
  <si>
    <t>765 Lincon Ave</t>
  </si>
  <si>
    <t>516 W 156th St</t>
  </si>
  <si>
    <t>67 Manhattan Ave</t>
  </si>
  <si>
    <t>520 Isham St</t>
  </si>
  <si>
    <t>517 W 160th St</t>
  </si>
  <si>
    <t>331 Beach 31st St</t>
  </si>
  <si>
    <t>1269 Grand Concourse</t>
  </si>
  <si>
    <t>803 W 180th St</t>
  </si>
  <si>
    <t>127 E 107th St</t>
  </si>
  <si>
    <t>509 Flatbush Ave</t>
  </si>
  <si>
    <t>39 Hegeman Ave</t>
  </si>
  <si>
    <t>2714 Frederick Douglass Blvd</t>
  </si>
  <si>
    <t>258 67th St</t>
  </si>
  <si>
    <t>615 W 184th St</t>
  </si>
  <si>
    <t>100 Belmont Pl</t>
  </si>
  <si>
    <t>2374 Amsterdam Ave</t>
  </si>
  <si>
    <t>91 E 116th St</t>
  </si>
  <si>
    <t>9407 75th St</t>
  </si>
  <si>
    <t>2108 Amsterdam Ave</t>
  </si>
  <si>
    <t>5929 Queens Blvd</t>
  </si>
  <si>
    <t>903 Drew St</t>
  </si>
  <si>
    <t>430 New Jersey Ave</t>
  </si>
  <si>
    <t>521 Fort Washington Ave</t>
  </si>
  <si>
    <t>125 E 118th St</t>
  </si>
  <si>
    <t>4706 49th St</t>
  </si>
  <si>
    <t>1490 Boone Ave</t>
  </si>
  <si>
    <t>4513 10th Ave</t>
  </si>
  <si>
    <t>136 Seaman Ave</t>
  </si>
  <si>
    <t>765 lincoln ave</t>
  </si>
  <si>
    <t>14750 72nd Dr</t>
  </si>
  <si>
    <t>83 Crescent Ave</t>
  </si>
  <si>
    <t>185 Saint Marks Pl</t>
  </si>
  <si>
    <t>1018 Eastern Pkwy</t>
  </si>
  <si>
    <t>34 Layton Ave</t>
  </si>
  <si>
    <t>304 W 148th St</t>
  </si>
  <si>
    <t>702 44th St</t>
  </si>
  <si>
    <t>3805 Crescent St</t>
  </si>
  <si>
    <t>536 E 96th St</t>
  </si>
  <si>
    <t>2260 Webster Ave</t>
  </si>
  <si>
    <t>595 W 207th St</t>
  </si>
  <si>
    <t>95 Clinton St</t>
  </si>
  <si>
    <t>49 Curtis Pl</t>
  </si>
  <si>
    <t>4328 Murray St</t>
  </si>
  <si>
    <t>1120 Loring Ave</t>
  </si>
  <si>
    <t>1415 Wythe Pl</t>
  </si>
  <si>
    <t>1238 Simpson St</t>
  </si>
  <si>
    <t>9428 86th Rd</t>
  </si>
  <si>
    <t>500 W 176th St</t>
  </si>
  <si>
    <t>10934 221st St</t>
  </si>
  <si>
    <t>13324 Sanford Ave</t>
  </si>
  <si>
    <t>54 S Elliott Pl</t>
  </si>
  <si>
    <t>14308 Roosevelt Ave</t>
  </si>
  <si>
    <t>611 W 158th St</t>
  </si>
  <si>
    <t>1036 President St</t>
  </si>
  <si>
    <t>119 Clark Ln</t>
  </si>
  <si>
    <t>1705 Stanhope St</t>
  </si>
  <si>
    <t>293 Martense St</t>
  </si>
  <si>
    <t>10921 Van Wyck Expy</t>
  </si>
  <si>
    <t>997 Summit Ave</t>
  </si>
  <si>
    <t>217 Van Brunt St</t>
  </si>
  <si>
    <t>11539 135th St</t>
  </si>
  <si>
    <t>110 Chauncey st</t>
  </si>
  <si>
    <t>449 W 206th St</t>
  </si>
  <si>
    <t>662 6th Ave</t>
  </si>
  <si>
    <t>51 E 129th St</t>
  </si>
  <si>
    <t>2545 Linden Blvd</t>
  </si>
  <si>
    <t>790 Riverside Dr</t>
  </si>
  <si>
    <t>14435 37th Ave</t>
  </si>
  <si>
    <t>9863 Corona Ave</t>
  </si>
  <si>
    <t>1954 1st Ave</t>
  </si>
  <si>
    <t>549 Isham St</t>
  </si>
  <si>
    <t>82 Rockaway Pkwy</t>
  </si>
  <si>
    <t>117 Sherman Ave</t>
  </si>
  <si>
    <t>701 Bay St</t>
  </si>
  <si>
    <t>4516 49th St</t>
  </si>
  <si>
    <t>670 E 32nd St</t>
  </si>
  <si>
    <t>15 Post ave</t>
  </si>
  <si>
    <t>1805 Pitkin Ave</t>
  </si>
  <si>
    <t>1 Beach 105th St</t>
  </si>
  <si>
    <t>615 W 164th St</t>
  </si>
  <si>
    <t>152 E 84th St</t>
  </si>
  <si>
    <t>1325 Eastern Pkwy</t>
  </si>
  <si>
    <t>478 Herzl St</t>
  </si>
  <si>
    <t>177 Sheffield Ave</t>
  </si>
  <si>
    <t>530 W 122nd st</t>
  </si>
  <si>
    <t>2860 Ocean Ave</t>
  </si>
  <si>
    <t>483 Pacific St</t>
  </si>
  <si>
    <t>4530 Broadway</t>
  </si>
  <si>
    <t>600 W 186th St</t>
  </si>
  <si>
    <t>356 Arlington Ave</t>
  </si>
  <si>
    <t>87 Taft Ave</t>
  </si>
  <si>
    <t>16836 88th Ave</t>
  </si>
  <si>
    <t>4410 30th Ave</t>
  </si>
  <si>
    <t>1652 Park Ave</t>
  </si>
  <si>
    <t>160 Prospect Ave</t>
  </si>
  <si>
    <t>122 E 104th St</t>
  </si>
  <si>
    <t>4011 149th St</t>
  </si>
  <si>
    <t>19215 A 64th Cir</t>
  </si>
  <si>
    <t>249 Thomas S Boyland st</t>
  </si>
  <si>
    <t>588 Decatur St</t>
  </si>
  <si>
    <t>210 Sherman Ave</t>
  </si>
  <si>
    <t>1409 E 98th St</t>
  </si>
  <si>
    <t>670 W 193rd St</t>
  </si>
  <si>
    <t>1617 Eastern Pkwy</t>
  </si>
  <si>
    <t>8607 101st St</t>
  </si>
  <si>
    <t>9724 93rd St</t>
  </si>
  <si>
    <t>5024 31st Ave</t>
  </si>
  <si>
    <t>427 Fort Washington Ave</t>
  </si>
  <si>
    <t>738 Bradford St</t>
  </si>
  <si>
    <t>700 Victory Blvd</t>
  </si>
  <si>
    <t>3721 80th St</t>
  </si>
  <si>
    <t>19523 Station Rd</t>
  </si>
  <si>
    <t>9608 57th Ave</t>
  </si>
  <si>
    <t>13 E 124th St</t>
  </si>
  <si>
    <t>1001 Woodycrest Ave</t>
  </si>
  <si>
    <t>2276 2nd Ave</t>
  </si>
  <si>
    <t>961 42nd St</t>
  </si>
  <si>
    <t>200 Haven Ave</t>
  </si>
  <si>
    <t>11814 83rd Ave</t>
  </si>
  <si>
    <t>815 W 180th St</t>
  </si>
  <si>
    <t>364 Stuyvesant Ave</t>
  </si>
  <si>
    <t>226 Naples Ter</t>
  </si>
  <si>
    <t>716 W 180th St</t>
  </si>
  <si>
    <t>215 Audubon Ave</t>
  </si>
  <si>
    <t>1050 Anderson Ave</t>
  </si>
  <si>
    <t>15119 34th Ave</t>
  </si>
  <si>
    <t>168 1st Ave</t>
  </si>
  <si>
    <t>4308 40th St</t>
  </si>
  <si>
    <t>24207 149th Ave</t>
  </si>
  <si>
    <t>620 W 189th St</t>
  </si>
  <si>
    <t>14911 Edgewood St</t>
  </si>
  <si>
    <t>22 Post Ave</t>
  </si>
  <si>
    <t>5707 Shore Front Pkwy # Pwy</t>
  </si>
  <si>
    <t>12514 Jamaica Ave</t>
  </si>
  <si>
    <t>699 Pennsylvania Ave</t>
  </si>
  <si>
    <t>30 Dongan Hills Ave</t>
  </si>
  <si>
    <t>1074 Eastern Pkwy</t>
  </si>
  <si>
    <t>645 W 160th St</t>
  </si>
  <si>
    <t>124 Pelican Cir</t>
  </si>
  <si>
    <t>3750 81st St</t>
  </si>
  <si>
    <t>501 Hegeman Ave</t>
  </si>
  <si>
    <t>5 Saint Marks Pl</t>
  </si>
  <si>
    <t>607 Flatbush Ave</t>
  </si>
  <si>
    <t>168 E 93rd St</t>
  </si>
  <si>
    <t>19 Slosson Ter</t>
  </si>
  <si>
    <t>1940 Pacific St</t>
  </si>
  <si>
    <t>66 Vermilyea Ave</t>
  </si>
  <si>
    <t>89 Seaman Ave</t>
  </si>
  <si>
    <t>320 Vanderbilt Ave</t>
  </si>
  <si>
    <t>800 Grand Concourse</t>
  </si>
  <si>
    <t>178 Rockaway Pkwy</t>
  </si>
  <si>
    <t>292 Westervelt Ave</t>
  </si>
  <si>
    <t>1374 York Ave</t>
  </si>
  <si>
    <t>26204 Hungry Harbor Rd</t>
  </si>
  <si>
    <t>140 Ralph Ave</t>
  </si>
  <si>
    <t>20 Sky Ln</t>
  </si>
  <si>
    <t>67 W 107th St</t>
  </si>
  <si>
    <t>1118 Winthrop St</t>
  </si>
  <si>
    <t>122 Hamilton Ave</t>
  </si>
  <si>
    <t>5706 Farragut Rd</t>
  </si>
  <si>
    <t>6115 163rd St</t>
  </si>
  <si>
    <t>1795 Riverside Dr</t>
  </si>
  <si>
    <t>500 W 213th St</t>
  </si>
  <si>
    <t>385 Chestnut St</t>
  </si>
  <si>
    <t>1165 Elton St</t>
  </si>
  <si>
    <t>601 W 156th St</t>
  </si>
  <si>
    <t>121 Sherman Ave</t>
  </si>
  <si>
    <t>777 Macdonough St</t>
  </si>
  <si>
    <t>336 E 117th St</t>
  </si>
  <si>
    <t>100 W 83rd St</t>
  </si>
  <si>
    <t>3432 43rd ST</t>
  </si>
  <si>
    <t>289 Vermont St</t>
  </si>
  <si>
    <t>13146 Laurelton Pkwy</t>
  </si>
  <si>
    <t>502 W 213th St</t>
  </si>
  <si>
    <t>7222 Austin St</t>
  </si>
  <si>
    <t>185 Park Hill Ave</t>
  </si>
  <si>
    <t>74 5th ave</t>
  </si>
  <si>
    <t>99 Osgood Ave</t>
  </si>
  <si>
    <t>506 Decatur St</t>
  </si>
  <si>
    <t>1760 Madison Ave</t>
  </si>
  <si>
    <t>650 W 173rd St</t>
  </si>
  <si>
    <t>8903 146th St</t>
  </si>
  <si>
    <t>200 Schermerhorn St</t>
  </si>
  <si>
    <t>711 Herkimer St</t>
  </si>
  <si>
    <t>4325 Hunter St</t>
  </si>
  <si>
    <t>300 10th St</t>
  </si>
  <si>
    <t>15a Chester Pl</t>
  </si>
  <si>
    <t>648 Kings Hwy</t>
  </si>
  <si>
    <t>9507 Kings Hwy</t>
  </si>
  <si>
    <t>620 Baychester Ave</t>
  </si>
  <si>
    <t>145 Elmira Loop</t>
  </si>
  <si>
    <t>1204 Shakespeare Ave</t>
  </si>
  <si>
    <t>14809 Northern Blvd</t>
  </si>
  <si>
    <t>455 101st St</t>
  </si>
  <si>
    <t>1129 43rd St</t>
  </si>
  <si>
    <t>3114 42nd St</t>
  </si>
  <si>
    <t>121 Seaman Ave</t>
  </si>
  <si>
    <t>2273 Adam Clayton Powell Jr Blvd</t>
  </si>
  <si>
    <t>917 Ogden Ave</t>
  </si>
  <si>
    <t>1155 E 35th St</t>
  </si>
  <si>
    <t>1105 Elder Ave</t>
  </si>
  <si>
    <t>519 W 157th St</t>
  </si>
  <si>
    <t>2919 Lewmay Rd</t>
  </si>
  <si>
    <t>27 W 181st St</t>
  </si>
  <si>
    <t>266 Nagle Ave</t>
  </si>
  <si>
    <t>38 West St</t>
  </si>
  <si>
    <t>240 Park Hill Ave</t>
  </si>
  <si>
    <t>1908 N Railroad Ave</t>
  </si>
  <si>
    <t>996 Hegeman Ave</t>
  </si>
  <si>
    <t>2510 Collier Ave</t>
  </si>
  <si>
    <t>985 Halsey st</t>
  </si>
  <si>
    <t>116 Seaman Ave</t>
  </si>
  <si>
    <t>450 Schenck Ave</t>
  </si>
  <si>
    <t>14070 Ash Ave</t>
  </si>
  <si>
    <t>1176 President St</t>
  </si>
  <si>
    <t>1857 Coney Island Ave</t>
  </si>
  <si>
    <t>642 Eldert Ln</t>
  </si>
  <si>
    <t>315 Pulaski St</t>
  </si>
  <si>
    <t>254 Seaman Ave</t>
  </si>
  <si>
    <t>904 Winthrop St</t>
  </si>
  <si>
    <t>63 Rockaway Pkwy</t>
  </si>
  <si>
    <t>2099 Bergen St</t>
  </si>
  <si>
    <t>147 Rockaway Pkwy</t>
  </si>
  <si>
    <t>790 Eldert Ln</t>
  </si>
  <si>
    <t>4536 49th St</t>
  </si>
  <si>
    <t>792 Sterling Pl</t>
  </si>
  <si>
    <t>490 Ocean Parkway</t>
  </si>
  <si>
    <t>490 Ocean Pkwy</t>
  </si>
  <si>
    <t>88 Seaman Ave</t>
  </si>
  <si>
    <t>22 W 25th St</t>
  </si>
  <si>
    <t>14 Spartan Ave</t>
  </si>
  <si>
    <t>664 W 161st St</t>
  </si>
  <si>
    <t>103 W 141st St</t>
  </si>
  <si>
    <t>1933 Fulton St</t>
  </si>
  <si>
    <t>251 Fort Washington Ave</t>
  </si>
  <si>
    <t>233 E 92nd St</t>
  </si>
  <si>
    <t>785 Belmont Ave</t>
  </si>
  <si>
    <t>38 Post Avenue</t>
  </si>
  <si>
    <t>9838 57th Ave</t>
  </si>
  <si>
    <t>666 Dumont Ave</t>
  </si>
  <si>
    <t>1781 Riverside Dr</t>
  </si>
  <si>
    <t>Tompkins Square 244 East 3rd Row Street</t>
  </si>
  <si>
    <t>95 Seaman Ave</t>
  </si>
  <si>
    <t>879 Cypress Ave</t>
  </si>
  <si>
    <t>50 Linden Blvd</t>
  </si>
  <si>
    <t>540 E 23rd St</t>
  </si>
  <si>
    <t>1330 Fulton St</t>
  </si>
  <si>
    <t>490 E 23rd St</t>
  </si>
  <si>
    <t>68 MacDougal St</t>
  </si>
  <si>
    <t>482 Prospect pl</t>
  </si>
  <si>
    <t>1468 5th Ave</t>
  </si>
  <si>
    <t>13912 34th Rd</t>
  </si>
  <si>
    <t>529 W 189th St</t>
  </si>
  <si>
    <t>540 Fort Washington Ave</t>
  </si>
  <si>
    <t>1062 Saint Nicholas Ave</t>
  </si>
  <si>
    <t>140 Riverside dr</t>
  </si>
  <si>
    <t>20916 86th drive</t>
  </si>
  <si>
    <t>901 Walton Ave</t>
  </si>
  <si>
    <t>4115 50th Ave</t>
  </si>
  <si>
    <t>611 Flatbush Ave</t>
  </si>
  <si>
    <t>200 Haven ave</t>
  </si>
  <si>
    <t>436 Fort Washington Ave</t>
  </si>
  <si>
    <t>285 Schenectady Ave</t>
  </si>
  <si>
    <t>2nd fl</t>
  </si>
  <si>
    <t>9E</t>
  </si>
  <si>
    <t>3-A</t>
  </si>
  <si>
    <t>4B</t>
  </si>
  <si>
    <t>2G</t>
  </si>
  <si>
    <t>6R</t>
  </si>
  <si>
    <t>18G</t>
  </si>
  <si>
    <t>1B</t>
  </si>
  <si>
    <t>1R</t>
  </si>
  <si>
    <t>15B</t>
  </si>
  <si>
    <t>4-C</t>
  </si>
  <si>
    <t>2L</t>
  </si>
  <si>
    <t>B</t>
  </si>
  <si>
    <t>6E</t>
  </si>
  <si>
    <t>1A</t>
  </si>
  <si>
    <t>2nd Floor</t>
  </si>
  <si>
    <t>1F</t>
  </si>
  <si>
    <t>5E</t>
  </si>
  <si>
    <t>6M</t>
  </si>
  <si>
    <t>1L</t>
  </si>
  <si>
    <t>3i</t>
  </si>
  <si>
    <t>23C</t>
  </si>
  <si>
    <t>5H</t>
  </si>
  <si>
    <t>5G</t>
  </si>
  <si>
    <t>4H</t>
  </si>
  <si>
    <t>3F</t>
  </si>
  <si>
    <t>13G</t>
  </si>
  <si>
    <t>14B</t>
  </si>
  <si>
    <t>3B</t>
  </si>
  <si>
    <t># 2B</t>
  </si>
  <si>
    <t>2A</t>
  </si>
  <si>
    <t>D5</t>
  </si>
  <si>
    <t>6V</t>
  </si>
  <si>
    <t>4D</t>
  </si>
  <si>
    <t>Basement</t>
  </si>
  <si>
    <t>1st Floor</t>
  </si>
  <si>
    <t>2B</t>
  </si>
  <si>
    <t>6G</t>
  </si>
  <si>
    <t>1st fl</t>
  </si>
  <si>
    <t>5L</t>
  </si>
  <si>
    <t>4R</t>
  </si>
  <si>
    <t>3rd FL</t>
  </si>
  <si>
    <t>2C</t>
  </si>
  <si>
    <t>3A</t>
  </si>
  <si>
    <t>17K</t>
  </si>
  <si>
    <t>7F</t>
  </si>
  <si>
    <t>1 floor</t>
  </si>
  <si>
    <t>BSMT</t>
  </si>
  <si>
    <t>#1</t>
  </si>
  <si>
    <t>#3B</t>
  </si>
  <si>
    <t>5D</t>
  </si>
  <si>
    <t>10M</t>
  </si>
  <si>
    <t>2F</t>
  </si>
  <si>
    <t>1st floor</t>
  </si>
  <si>
    <t>1c</t>
  </si>
  <si>
    <t>5F</t>
  </si>
  <si>
    <t>4a</t>
  </si>
  <si>
    <t>Apt. 2</t>
  </si>
  <si>
    <t>9F</t>
  </si>
  <si>
    <t>1h</t>
  </si>
  <si>
    <t>4A</t>
  </si>
  <si>
    <t>9A</t>
  </si>
  <si>
    <t>B7</t>
  </si>
  <si>
    <t>20F</t>
  </si>
  <si>
    <t>2D</t>
  </si>
  <si>
    <t>Apt 3</t>
  </si>
  <si>
    <t>1 R</t>
  </si>
  <si>
    <t>Apt 4R</t>
  </si>
  <si>
    <t>20J</t>
  </si>
  <si>
    <t>A4</t>
  </si>
  <si>
    <t>1G</t>
  </si>
  <si>
    <t>2b</t>
  </si>
  <si>
    <t>2 Floor</t>
  </si>
  <si>
    <t>Apt A4</t>
  </si>
  <si>
    <t>12F</t>
  </si>
  <si>
    <t>#1F</t>
  </si>
  <si>
    <t>1E</t>
  </si>
  <si>
    <t>Floor 2</t>
  </si>
  <si>
    <t>32B</t>
  </si>
  <si>
    <t>3C</t>
  </si>
  <si>
    <t>3H</t>
  </si>
  <si>
    <t>17A</t>
  </si>
  <si>
    <t>3L</t>
  </si>
  <si>
    <t>3R</t>
  </si>
  <si>
    <t>2T</t>
  </si>
  <si>
    <t>6H</t>
  </si>
  <si>
    <t>14A</t>
  </si>
  <si>
    <t>4I</t>
  </si>
  <si>
    <t>2P</t>
  </si>
  <si>
    <t>10G</t>
  </si>
  <si>
    <t>5J</t>
  </si>
  <si>
    <t>1-3</t>
  </si>
  <si>
    <t>6B</t>
  </si>
  <si>
    <t>3 FL</t>
  </si>
  <si>
    <t>Bw</t>
  </si>
  <si>
    <t>4E</t>
  </si>
  <si>
    <t>6D</t>
  </si>
  <si>
    <t>K</t>
  </si>
  <si>
    <t>20H</t>
  </si>
  <si>
    <t>11D</t>
  </si>
  <si>
    <t>#8H</t>
  </si>
  <si>
    <t>5T</t>
  </si>
  <si>
    <t>5B</t>
  </si>
  <si>
    <t>1-R</t>
  </si>
  <si>
    <t>3E</t>
  </si>
  <si>
    <t>2J</t>
  </si>
  <si>
    <t>5s</t>
  </si>
  <si>
    <t>1H</t>
  </si>
  <si>
    <t>1b</t>
  </si>
  <si>
    <t>15J</t>
  </si>
  <si>
    <t>1C</t>
  </si>
  <si>
    <t>2E</t>
  </si>
  <si>
    <t>11H</t>
  </si>
  <si>
    <t>7R</t>
  </si>
  <si>
    <t>4F</t>
  </si>
  <si>
    <t>4-G</t>
  </si>
  <si>
    <t>Bsmt.</t>
  </si>
  <si>
    <t>6F</t>
  </si>
  <si>
    <t>Apt 4J</t>
  </si>
  <si>
    <t>3D</t>
  </si>
  <si>
    <t>Apt. 6S</t>
  </si>
  <si>
    <t>1D</t>
  </si>
  <si>
    <t>Fl 1</t>
  </si>
  <si>
    <t>6yy</t>
  </si>
  <si>
    <t>6A</t>
  </si>
  <si>
    <t>22K</t>
  </si>
  <si>
    <t>4C</t>
  </si>
  <si>
    <t>5C</t>
  </si>
  <si>
    <t>7C</t>
  </si>
  <si>
    <t>1St Floor</t>
  </si>
  <si>
    <t>13P</t>
  </si>
  <si>
    <t>14C</t>
  </si>
  <si>
    <t>2nd floor</t>
  </si>
  <si>
    <t>41A</t>
  </si>
  <si>
    <t>11B</t>
  </si>
  <si>
    <t>B5</t>
  </si>
  <si>
    <t>5A</t>
  </si>
  <si>
    <t>4T</t>
  </si>
  <si>
    <t>2d</t>
  </si>
  <si>
    <t>5M</t>
  </si>
  <si>
    <t>Unit 1</t>
  </si>
  <si>
    <t>8H</t>
  </si>
  <si>
    <t>1st FL</t>
  </si>
  <si>
    <t>2R</t>
  </si>
  <si>
    <t>5c</t>
  </si>
  <si>
    <t>8N</t>
  </si>
  <si>
    <t>17L</t>
  </si>
  <si>
    <t>3c</t>
  </si>
  <si>
    <t>D9</t>
  </si>
  <si>
    <t>B3</t>
  </si>
  <si>
    <t>3N</t>
  </si>
  <si>
    <t>6I</t>
  </si>
  <si>
    <t>9C</t>
  </si>
  <si>
    <t>Apt 2</t>
  </si>
  <si>
    <t>bsmnt</t>
  </si>
  <si>
    <t>6C</t>
  </si>
  <si>
    <t>3rd Floor</t>
  </si>
  <si>
    <t>4J</t>
  </si>
  <si>
    <t>3G</t>
  </si>
  <si>
    <t>8D</t>
  </si>
  <si>
    <t>4L</t>
  </si>
  <si>
    <t>6CN</t>
  </si>
  <si>
    <t>14L</t>
  </si>
  <si>
    <t>#2D</t>
  </si>
  <si>
    <t>13A</t>
  </si>
  <si>
    <t>4G</t>
  </si>
  <si>
    <t>4M</t>
  </si>
  <si>
    <t>3T</t>
  </si>
  <si>
    <t>1416W</t>
  </si>
  <si>
    <t>C1</t>
  </si>
  <si>
    <t>7H</t>
  </si>
  <si>
    <t>B1</t>
  </si>
  <si>
    <t>B-2</t>
  </si>
  <si>
    <t>30A</t>
  </si>
  <si>
    <t>6 O</t>
  </si>
  <si>
    <t>1st floor apt 3</t>
  </si>
  <si>
    <t>2-F</t>
  </si>
  <si>
    <t>F2</t>
  </si>
  <si>
    <t>3J</t>
  </si>
  <si>
    <t>D4</t>
  </si>
  <si>
    <t>Apt 3D</t>
  </si>
  <si>
    <t>apt 2F</t>
  </si>
  <si>
    <t>#2H</t>
  </si>
  <si>
    <t>2H</t>
  </si>
  <si>
    <t>5K</t>
  </si>
  <si>
    <t>2nd Fl.</t>
  </si>
  <si>
    <t>8A</t>
  </si>
  <si>
    <t>3K</t>
  </si>
  <si>
    <t>A2</t>
  </si>
  <si>
    <t>12L</t>
  </si>
  <si>
    <t>Apt 4</t>
  </si>
  <si>
    <t>10L</t>
  </si>
  <si>
    <t>4i</t>
  </si>
  <si>
    <t>Privat house</t>
  </si>
  <si>
    <t>6K</t>
  </si>
  <si>
    <t>1K</t>
  </si>
  <si>
    <t>E5</t>
  </si>
  <si>
    <t>8C</t>
  </si>
  <si>
    <t>20B</t>
  </si>
  <si>
    <t>18J</t>
  </si>
  <si>
    <t>B2</t>
  </si>
  <si>
    <t>PBH</t>
  </si>
  <si>
    <t>2N</t>
  </si>
  <si>
    <t>4-H</t>
  </si>
  <si>
    <t>Arverne</t>
  </si>
  <si>
    <t>Far Rockaway</t>
  </si>
  <si>
    <t>Jamaica</t>
  </si>
  <si>
    <t>South Ozone Park</t>
  </si>
  <si>
    <t>Corona</t>
  </si>
  <si>
    <t>Brooklyn</t>
  </si>
  <si>
    <t>BROOKLYN</t>
  </si>
  <si>
    <t>Astoria</t>
  </si>
  <si>
    <t>Bronx</t>
  </si>
  <si>
    <t>Staten Island</t>
  </si>
  <si>
    <t>New York</t>
  </si>
  <si>
    <t>Queens Village</t>
  </si>
  <si>
    <t>Flushing</t>
  </si>
  <si>
    <t>Saint Albans</t>
  </si>
  <si>
    <t>Hollis</t>
  </si>
  <si>
    <t>Long Island City</t>
  </si>
  <si>
    <t>Springfield Gardens</t>
  </si>
  <si>
    <t>Woodside</t>
  </si>
  <si>
    <t>Cambria Heights</t>
  </si>
  <si>
    <t>Fresh Meadows</t>
  </si>
  <si>
    <t>Ozone Park</t>
  </si>
  <si>
    <t>Rockaway Beach</t>
  </si>
  <si>
    <t>NEW YORK</t>
  </si>
  <si>
    <t>Whitestone</t>
  </si>
  <si>
    <t>Woodhaven</t>
  </si>
  <si>
    <t>Ridgewood</t>
  </si>
  <si>
    <t>Rockaway Park</t>
  </si>
  <si>
    <t>Richmond Hill</t>
  </si>
  <si>
    <t>staten island</t>
  </si>
  <si>
    <t>Jackson Hts</t>
  </si>
  <si>
    <t>Kew Gardens</t>
  </si>
  <si>
    <t>Sunnyside</t>
  </si>
  <si>
    <t>Rosedale</t>
  </si>
  <si>
    <t>Jackson Heights</t>
  </si>
  <si>
    <t>Forest Hills</t>
  </si>
  <si>
    <t>Yes</t>
  </si>
  <si>
    <t>No</t>
  </si>
  <si>
    <t xml:space="preserve"> </t>
  </si>
  <si>
    <t>DHCI Form</t>
  </si>
  <si>
    <t>None</t>
  </si>
  <si>
    <t>Active CA/SNAP</t>
  </si>
  <si>
    <t>LT-071267-18/QU</t>
  </si>
  <si>
    <t>no case</t>
  </si>
  <si>
    <t>LT-062052-19/QU</t>
  </si>
  <si>
    <t>LT-063416-19/QU</t>
  </si>
  <si>
    <t>LT-063334-19/QU</t>
  </si>
  <si>
    <t>LT-063061-19/QU</t>
  </si>
  <si>
    <t>GS-2100080-D</t>
  </si>
  <si>
    <t>No case</t>
  </si>
  <si>
    <t>No Case</t>
  </si>
  <si>
    <t>LT-067359-19/KI</t>
  </si>
  <si>
    <t>LT-067539-19/KI</t>
  </si>
  <si>
    <t>LT-067366-19/KI</t>
  </si>
  <si>
    <t>LT-065327-19/KI</t>
  </si>
  <si>
    <t>LT-071742-19/KI</t>
  </si>
  <si>
    <t>none</t>
  </si>
  <si>
    <t>LT-073240-19/KI</t>
  </si>
  <si>
    <t>040820/2019</t>
  </si>
  <si>
    <t>LT-072687-19/KI</t>
  </si>
  <si>
    <t>LT-074475-19/KI</t>
  </si>
  <si>
    <t>LT-062947-19/QU</t>
  </si>
  <si>
    <t>LT-032272-19/BX</t>
  </si>
  <si>
    <t>LT-051757-19/RI</t>
  </si>
  <si>
    <t>LT-064690-19/NY</t>
  </si>
  <si>
    <t>LT-075409-18/KI</t>
  </si>
  <si>
    <t>LT-085791-18/KI</t>
  </si>
  <si>
    <t>LT-075243-19/KI</t>
  </si>
  <si>
    <t>LT-067073-19/QU</t>
  </si>
  <si>
    <t>LT-065617-19/QU</t>
  </si>
  <si>
    <t>LT-057620-19/KI</t>
  </si>
  <si>
    <t>LT-073674-19/KI</t>
  </si>
  <si>
    <t>LT-061914-19/QU</t>
  </si>
  <si>
    <t>LT-059162-19/QU</t>
  </si>
  <si>
    <t>LT-063895-18/BX</t>
  </si>
  <si>
    <t>GP-210025-R</t>
  </si>
  <si>
    <t>LT-051869-19/KI</t>
  </si>
  <si>
    <t>LT-062604-19/QU</t>
  </si>
  <si>
    <t>LT-063265-19/QU</t>
  </si>
  <si>
    <t>LT-072171-19/KI</t>
  </si>
  <si>
    <t>LT-051247-17/KI</t>
  </si>
  <si>
    <t>LT-050232-17/QU</t>
  </si>
  <si>
    <t>LT-063867-19/QU</t>
  </si>
  <si>
    <t>LT-054693-19/QU</t>
  </si>
  <si>
    <t>LT-06187-19/KI</t>
  </si>
  <si>
    <t>LT-071469-19/KI</t>
  </si>
  <si>
    <t>LT-062805-19/QU</t>
  </si>
  <si>
    <t>LT-060626-19/QU</t>
  </si>
  <si>
    <t>LT-064064-19/NY</t>
  </si>
  <si>
    <t>LT-077604-19/KI</t>
  </si>
  <si>
    <t>LT-050184-19/NY</t>
  </si>
  <si>
    <t>LT-063360-19/QU</t>
  </si>
  <si>
    <t>LT-065806-19/QU</t>
  </si>
  <si>
    <t>GQ-610075-OR</t>
  </si>
  <si>
    <t>LT-094403-17/KI</t>
  </si>
  <si>
    <t>LT-065982-19/QU</t>
  </si>
  <si>
    <t>LT-053104-19/QU</t>
  </si>
  <si>
    <t>LT-050728-19/RI</t>
  </si>
  <si>
    <t>LT-052792-19/QU</t>
  </si>
  <si>
    <t>LT-057884-19/NY</t>
  </si>
  <si>
    <t>LT-023429-18/BX</t>
  </si>
  <si>
    <t>LT-809393-16/BX</t>
  </si>
  <si>
    <t>LT-051788-19/RI</t>
  </si>
  <si>
    <t>LT-076797-19/KI</t>
  </si>
  <si>
    <t>LT-052214-17/RI</t>
  </si>
  <si>
    <t>LT-096258-18/KI</t>
  </si>
  <si>
    <t>LT-000322-19/QU</t>
  </si>
  <si>
    <t>LT-057621-19/BX</t>
  </si>
  <si>
    <t>LT-007084-19/BX</t>
  </si>
  <si>
    <t>LT-060920-19/QU</t>
  </si>
  <si>
    <t>LT-054825-19/KI</t>
  </si>
  <si>
    <t>LT-059198-19/QU</t>
  </si>
  <si>
    <t>LT-051834-19/RI</t>
  </si>
  <si>
    <t>LT-059006-19/KI</t>
  </si>
  <si>
    <t>LT-074634-18/KI</t>
  </si>
  <si>
    <t>LT-063191-19/KI</t>
  </si>
  <si>
    <t>LT-069638-19/KI</t>
  </si>
  <si>
    <t>LT-071995-19/KI</t>
  </si>
  <si>
    <t>LT-051480-19/RI</t>
  </si>
  <si>
    <t>LT-047475-18/BX</t>
  </si>
  <si>
    <t>LT-068263-19/KI</t>
  </si>
  <si>
    <t>LT-59701/19-KI</t>
  </si>
  <si>
    <t>LT-012645-19/NY</t>
  </si>
  <si>
    <t>LT-055242-19/NY</t>
  </si>
  <si>
    <t>LT-080074-18/KI</t>
  </si>
  <si>
    <t>LT-065512-19/QU</t>
  </si>
  <si>
    <t>LT-251164-19/NY</t>
  </si>
  <si>
    <t>LT-032256-19/BX</t>
  </si>
  <si>
    <t>LT-020164-19/BX</t>
  </si>
  <si>
    <t>LT-094957-18/KI</t>
  </si>
  <si>
    <t>LT-251141-19/NY</t>
  </si>
  <si>
    <t>LT-073440-19/KI</t>
  </si>
  <si>
    <t>LT-051688-19/RI</t>
  </si>
  <si>
    <t>LT-051946-19/RI</t>
  </si>
  <si>
    <t>LT-071393-19/KI</t>
  </si>
  <si>
    <t>LT-075654-19/KI</t>
  </si>
  <si>
    <t>LT-63369-19/QU</t>
  </si>
  <si>
    <t>LT-076809-19/KI</t>
  </si>
  <si>
    <t>LT-077282-18/NY</t>
  </si>
  <si>
    <t>GW-430022-OM</t>
  </si>
  <si>
    <t>LT-070294-18/QU</t>
  </si>
  <si>
    <t>LT-089593-18/KI</t>
  </si>
  <si>
    <t>LT-059740-19/NY</t>
  </si>
  <si>
    <t>LT-001137-19/NY</t>
  </si>
  <si>
    <t>LT-051527-19/RI</t>
  </si>
  <si>
    <t>GW-130070-OM</t>
  </si>
  <si>
    <t>LT-005984-19/KI</t>
  </si>
  <si>
    <t>LT-250601-19/NY</t>
  </si>
  <si>
    <t>LT-028805-19/BX</t>
  </si>
  <si>
    <t>LT-051840-19/RI</t>
  </si>
  <si>
    <t>LT-071824-19/KI</t>
  </si>
  <si>
    <t>LT-084391-18/KI</t>
  </si>
  <si>
    <t>LT-051973-19/RI</t>
  </si>
  <si>
    <t>LT-051773-19/RI</t>
  </si>
  <si>
    <t>LT-069320-19/KI</t>
  </si>
  <si>
    <t>LT-063545-19/NY</t>
  </si>
  <si>
    <t>LT-</t>
  </si>
  <si>
    <t>LT-059792-19/NY</t>
  </si>
  <si>
    <t>LT-051737-19/RI</t>
  </si>
  <si>
    <t>LT-063595-19/QU</t>
  </si>
  <si>
    <t>LT-077712-19/KI</t>
  </si>
  <si>
    <t>LT-031389-19/BX</t>
  </si>
  <si>
    <t>LT-074838-18/QU</t>
  </si>
  <si>
    <t>LT-077528-18/QU</t>
  </si>
  <si>
    <t>LT-78292/19-KI</t>
  </si>
  <si>
    <t>LT-065718-19/QU</t>
  </si>
  <si>
    <t>LT-059876-19/NY</t>
  </si>
  <si>
    <t>LT-061783-19/KI</t>
  </si>
  <si>
    <t>CV-024411-15/QU</t>
  </si>
  <si>
    <t>HS-210129-S</t>
  </si>
  <si>
    <t>LT-063916-19/QU</t>
  </si>
  <si>
    <t>LT-017132-19/BX</t>
  </si>
  <si>
    <t>LT-075189-19/KI</t>
  </si>
  <si>
    <t>LT-064297-19/QU</t>
  </si>
  <si>
    <t>LT-050261-19/KI</t>
  </si>
  <si>
    <t>LT-066704-19/NY</t>
  </si>
  <si>
    <t>LT-250785-19/NY</t>
  </si>
  <si>
    <t>LT-060978-19/QU</t>
  </si>
  <si>
    <t>LT-075190-19/KI</t>
  </si>
  <si>
    <t>LT-063289-19/QU</t>
  </si>
  <si>
    <t>LT-071791-19/KI</t>
  </si>
  <si>
    <t>LT-066271-19/KI</t>
  </si>
  <si>
    <t>LT-064510-19/QU</t>
  </si>
  <si>
    <t>LT-056490-19/KI</t>
  </si>
  <si>
    <t>LT-070975-19/KI</t>
  </si>
  <si>
    <t>LT-062870-19/QU</t>
  </si>
  <si>
    <t>LT-063530-19/NY</t>
  </si>
  <si>
    <t>LT-051689-19/RI</t>
  </si>
  <si>
    <t>LT-064890-19/QU</t>
  </si>
  <si>
    <t>HT-110017-RV</t>
  </si>
  <si>
    <t>LT-051451-19/RI</t>
  </si>
  <si>
    <t>LT-050619-19/RI</t>
  </si>
  <si>
    <t>M-H-Z-19-71808</t>
  </si>
  <si>
    <t>LT-060954-19/QU</t>
  </si>
  <si>
    <t>LT-069358-19/KI</t>
  </si>
  <si>
    <t>CV-017856-19/KI</t>
  </si>
  <si>
    <t>LT-064502-19/QU</t>
  </si>
  <si>
    <t>LT-063534-19/QU</t>
  </si>
  <si>
    <t>LT-062779-19/NY</t>
  </si>
  <si>
    <t>LT-072128-19/KI</t>
  </si>
  <si>
    <t>LT-051784-19/RI</t>
  </si>
  <si>
    <t>LT-062630-19/QU</t>
  </si>
  <si>
    <t>LT-064518-19/QU</t>
  </si>
  <si>
    <t>GX-110104-OM</t>
  </si>
  <si>
    <t>LT-251107-19/NY</t>
  </si>
  <si>
    <t>LT-077157-19/KI</t>
  </si>
  <si>
    <t>LT-073109-19/KI</t>
  </si>
  <si>
    <t>LT-076161-18/QU</t>
  </si>
  <si>
    <t>LT-066112-19/KI</t>
  </si>
  <si>
    <t>LT-016946-19/BX</t>
  </si>
  <si>
    <t>LT-064385-19/QU</t>
  </si>
  <si>
    <t>LT-062103-19/NY</t>
  </si>
  <si>
    <t>LT-051366-19/QU</t>
  </si>
  <si>
    <t>LT-063716-19/QU</t>
  </si>
  <si>
    <t>LT-064640-19/QU</t>
  </si>
  <si>
    <t>LT-252448-19/NY</t>
  </si>
  <si>
    <t>LT-063791-19/QU</t>
  </si>
  <si>
    <t>LT-001631-19/KI</t>
  </si>
  <si>
    <t>LT-011313-18/RI</t>
  </si>
  <si>
    <t>LT-051320-19/RI</t>
  </si>
  <si>
    <t>LT-075052-18/QU</t>
  </si>
  <si>
    <t>LT-057814-19/NY</t>
  </si>
  <si>
    <t>LT-073946-19/KI</t>
  </si>
  <si>
    <t>LT-065317-19/KI</t>
  </si>
  <si>
    <t>LT-052139-19/RI</t>
  </si>
  <si>
    <t>LT-051492-19/RI</t>
  </si>
  <si>
    <t>LT-053659-19/NY</t>
  </si>
  <si>
    <t>LT-064911-19/QU</t>
  </si>
  <si>
    <t>LT-051516-19/RI</t>
  </si>
  <si>
    <t>LT-077664-19/KI</t>
  </si>
  <si>
    <t>LT-052064-19/RI</t>
  </si>
  <si>
    <t>LT-001433-19/KI</t>
  </si>
  <si>
    <t>LT-059617-19/QU</t>
  </si>
  <si>
    <t>LT-067298-19/NY</t>
  </si>
  <si>
    <t>LT-077777-18/QU</t>
  </si>
  <si>
    <t>LT-052666-19/KI</t>
  </si>
  <si>
    <t>LT-057444-19/NY</t>
  </si>
  <si>
    <t>450170/2019</t>
  </si>
  <si>
    <t>ER-410056-RT</t>
  </si>
  <si>
    <t>LT-062856-19/QU</t>
  </si>
  <si>
    <t>LT-051823-19/RI</t>
  </si>
  <si>
    <t>LT-073824-19/KI</t>
  </si>
  <si>
    <t>LT-057153-19/QU</t>
  </si>
  <si>
    <t>LT-065009-19/QU</t>
  </si>
  <si>
    <t>LT-058694-19/KI</t>
  </si>
  <si>
    <t>LT-000600-19/QU</t>
  </si>
  <si>
    <t>LT-66022-19/QU</t>
  </si>
  <si>
    <t>LT-069790-19/KI</t>
  </si>
  <si>
    <t>LT-061685-19/QU</t>
  </si>
  <si>
    <t>LT-052197-19/RI</t>
  </si>
  <si>
    <t>LT-068984-19/KI</t>
  </si>
  <si>
    <t>LT-055726-19/KI</t>
  </si>
  <si>
    <t>LT-065463-19/QU</t>
  </si>
  <si>
    <t>LT-061550-19/NY</t>
  </si>
  <si>
    <t>LT-062081-19/QU</t>
  </si>
  <si>
    <t>LT-025352-19/BX</t>
  </si>
  <si>
    <t>LT-064944-19/NY</t>
  </si>
  <si>
    <t>LT-051778-19/RI</t>
  </si>
  <si>
    <t>LT-072237-19/KI</t>
  </si>
  <si>
    <t>LT-250726-19/NY</t>
  </si>
  <si>
    <t>LT-056804-19/QU</t>
  </si>
  <si>
    <t>LT-069112-19/KI</t>
  </si>
  <si>
    <t>74234/19</t>
  </si>
  <si>
    <t>LT-064089-19/NY</t>
  </si>
  <si>
    <t>LT-066319-19/KI</t>
  </si>
  <si>
    <t>LT-078066-19/KI</t>
  </si>
  <si>
    <t>LT-093193-18/KI</t>
  </si>
  <si>
    <t>HN-110017-OM</t>
  </si>
  <si>
    <t>002704/2018</t>
  </si>
  <si>
    <t>LT-060876-19/NY</t>
  </si>
  <si>
    <t>CV-151576-19/RI</t>
  </si>
  <si>
    <t>LT-066095-19/NY</t>
  </si>
  <si>
    <t>LT-056474-19/KI</t>
  </si>
  <si>
    <t>LT-072500-19/KI</t>
  </si>
  <si>
    <t>LT-069535-19/KI</t>
  </si>
  <si>
    <t>GX-110098-OM</t>
  </si>
  <si>
    <t>LT-058093-19/KI</t>
  </si>
  <si>
    <t>77328/2019 KI</t>
  </si>
  <si>
    <t>LT-062661-19/QU</t>
  </si>
  <si>
    <t>CV-015118-17/KI</t>
  </si>
  <si>
    <t>LT-063667-19/KI</t>
  </si>
  <si>
    <t>HM-130106-OM</t>
  </si>
  <si>
    <t>LT-057210-17/QU</t>
  </si>
  <si>
    <t>LT-063688-19/KI</t>
  </si>
  <si>
    <t>LT-075205-19/KI</t>
  </si>
  <si>
    <t>LT-050642-19/KI</t>
  </si>
  <si>
    <t>Holdover</t>
  </si>
  <si>
    <t>Non-payment</t>
  </si>
  <si>
    <t>HP Action</t>
  </si>
  <si>
    <t>DHCR Administrative Action</t>
  </si>
  <si>
    <t>Non-Litigation Advocacy</t>
  </si>
  <si>
    <t>Tenant Rights</t>
  </si>
  <si>
    <t>SCRIE/DRIE</t>
  </si>
  <si>
    <t>PA Issue: City FEPS/SEPS</t>
  </si>
  <si>
    <t>PA Issue: RAU</t>
  </si>
  <si>
    <t>PA Issue: Other</t>
  </si>
  <si>
    <t>Section 8 other</t>
  </si>
  <si>
    <t>PA Issue: FEPS</t>
  </si>
  <si>
    <t>Affirmative Litigation Supreme</t>
  </si>
  <si>
    <t>Appeal-Appellate Term</t>
  </si>
  <si>
    <t>NYCHA Housing Grievance</t>
  </si>
  <si>
    <t>Sec. 8 Termination</t>
  </si>
  <si>
    <t>Other Civil Court</t>
  </si>
  <si>
    <t>Other Administrative Proceeding</t>
  </si>
  <si>
    <t>Human Rights Complaint</t>
  </si>
  <si>
    <t>Article 78</t>
  </si>
  <si>
    <t>Ejectment Action</t>
  </si>
  <si>
    <t>Advice</t>
  </si>
  <si>
    <t>Representation - State Court</t>
  </si>
  <si>
    <t>Hold For Review</t>
  </si>
  <si>
    <t>Representation - Admin. Agency</t>
  </si>
  <si>
    <t>Out-of-Court Advocacy</t>
  </si>
  <si>
    <t>Brief Service</t>
  </si>
  <si>
    <t>Representation - Federal Court</t>
  </si>
  <si>
    <t>A - Counsel and Advice</t>
  </si>
  <si>
    <t>G - Negotiated Settlement with Litigation</t>
  </si>
  <si>
    <t>B - Limited Action (Brief Service)</t>
  </si>
  <si>
    <t>F - Negotiated Settlement w/out Litigation</t>
  </si>
  <si>
    <t>H - Administrative Agency Decision</t>
  </si>
  <si>
    <t>3018 Tenant Rights Coalition (TRC)</t>
  </si>
  <si>
    <t>3011 TRC FJC Initiative</t>
  </si>
  <si>
    <t>Prefer Not To Answer</t>
  </si>
  <si>
    <t>63 Private Landlord/Tenant</t>
  </si>
  <si>
    <t>69 Other Housing</t>
  </si>
  <si>
    <t>71 TANF</t>
  </si>
  <si>
    <t>64 Public Housing</t>
  </si>
  <si>
    <t>61 Federally Subsidized Housing</t>
  </si>
  <si>
    <t>79 Other Income Maintenence</t>
  </si>
  <si>
    <t>02 Collect/Repo/Def/Garnsh</t>
  </si>
  <si>
    <t>Post-Judgment, Tenant in Possession-Judgment Due to Default</t>
  </si>
  <si>
    <t>No Stipulation; No Judgment</t>
  </si>
  <si>
    <t>Post-Judgment, Tenant Out of Possession</t>
  </si>
  <si>
    <t>Post-Stipulation, No Judgment</t>
  </si>
  <si>
    <t>Post-Judgment, Tenant in Possession-Judgment Due to Other</t>
  </si>
  <si>
    <t>On for Trial</t>
  </si>
  <si>
    <t>No Stipulation; No Judgment, Post-Stipulation, No Judgment</t>
  </si>
  <si>
    <t>09/01/2019</t>
  </si>
  <si>
    <t>08/03/2019</t>
  </si>
  <si>
    <t>09/02/2019</t>
  </si>
  <si>
    <t>08/31/2019</t>
  </si>
  <si>
    <t>09/14/2019</t>
  </si>
  <si>
    <t>07/28/2019</t>
  </si>
  <si>
    <t>09/22/2019</t>
  </si>
  <si>
    <t>09/29/2019</t>
  </si>
  <si>
    <t>Queens Legal Services</t>
  </si>
  <si>
    <t>Brooklyn Legal Services</t>
  </si>
  <si>
    <t>Bronx Legal Services</t>
  </si>
  <si>
    <t>Staten Island Legal Services</t>
  </si>
  <si>
    <t>Manhattan Legal Services</t>
  </si>
  <si>
    <t>HRA</t>
  </si>
  <si>
    <t>FJC Housing Intake</t>
  </si>
  <si>
    <t>Other</t>
  </si>
  <si>
    <t>Word of mouth</t>
  </si>
  <si>
    <t>Outreach</t>
  </si>
  <si>
    <t>Elected Official</t>
  </si>
  <si>
    <t>Tenant Support Unit</t>
  </si>
  <si>
    <t>Self-referred</t>
  </si>
  <si>
    <t>Community Organization</t>
  </si>
  <si>
    <t>Returning Client</t>
  </si>
  <si>
    <t>Court Referral-NON HRA</t>
  </si>
  <si>
    <t>Friends/Family</t>
  </si>
  <si>
    <t>Other City Agency</t>
  </si>
  <si>
    <t>HRA ELS Part F Brooklyn</t>
  </si>
  <si>
    <t>In-House</t>
  </si>
  <si>
    <t>3-1-1</t>
  </si>
  <si>
    <t>ADP Hotline</t>
  </si>
  <si>
    <t>Home base</t>
  </si>
  <si>
    <t>6014-Obtained advice and counsel on a Housing matter</t>
  </si>
  <si>
    <t>6002-Prevented eviction from private housing</t>
  </si>
  <si>
    <t>6015-Obtained non-litgation advocacy services on a Housing  matter</t>
  </si>
  <si>
    <t>7001-Obtained, preserved or increased public assistance, TANF or other welfare benefit/right</t>
  </si>
  <si>
    <t>6001-Prevented eviction from public housing</t>
  </si>
  <si>
    <t>6007-Avoided, or obtained redress for charges by landlord</t>
  </si>
  <si>
    <t>6017-Obtained other benefit on a Housing matter</t>
  </si>
  <si>
    <t>6009-Obtained repairs, Improved housing conditions or otherwise enforced rights to decent, habitable housing</t>
  </si>
  <si>
    <t>1013-Obtained advice and counsel  on Consumer matter</t>
  </si>
  <si>
    <t>05/22/1992</t>
  </si>
  <si>
    <t>02/24/1993</t>
  </si>
  <si>
    <t>11/04/1969</t>
  </si>
  <si>
    <t>05/22/1965</t>
  </si>
  <si>
    <t>12/14/1989</t>
  </si>
  <si>
    <t>04/19/1985</t>
  </si>
  <si>
    <t>04/06/1982</t>
  </si>
  <si>
    <t>10/23/1962</t>
  </si>
  <si>
    <t>06/10/1947</t>
  </si>
  <si>
    <t>07/09/1962</t>
  </si>
  <si>
    <t>12/25/1979</t>
  </si>
  <si>
    <t>12/28/1980</t>
  </si>
  <si>
    <t>10/15/1983</t>
  </si>
  <si>
    <t>07/10/1960</t>
  </si>
  <si>
    <t>01/01/1964</t>
  </si>
  <si>
    <t>05/09/1993</t>
  </si>
  <si>
    <t>07/10/1968</t>
  </si>
  <si>
    <t>03/22/1972</t>
  </si>
  <si>
    <t>01/01/1978</t>
  </si>
  <si>
    <t>02/12/1986</t>
  </si>
  <si>
    <t>12/13/1964</t>
  </si>
  <si>
    <t>11/11/1962</t>
  </si>
  <si>
    <t>08/31/1973</t>
  </si>
  <si>
    <t>10/11/1969</t>
  </si>
  <si>
    <t>01/01/1954</t>
  </si>
  <si>
    <t>02/12/1975</t>
  </si>
  <si>
    <t>10/05/1993</t>
  </si>
  <si>
    <t>06/08/1977</t>
  </si>
  <si>
    <t>03/17/1957</t>
  </si>
  <si>
    <t>12/28/1984</t>
  </si>
  <si>
    <t>06/15/1967</t>
  </si>
  <si>
    <t>12/09/1981</t>
  </si>
  <si>
    <t>08/15/1981</t>
  </si>
  <si>
    <t>04/28/1949</t>
  </si>
  <si>
    <t>10/01/1962</t>
  </si>
  <si>
    <t>02/11/1990</t>
  </si>
  <si>
    <t>06/26/1968</t>
  </si>
  <si>
    <t>05/13/1961</t>
  </si>
  <si>
    <t>03/30/1960</t>
  </si>
  <si>
    <t>08/01/1975</t>
  </si>
  <si>
    <t>12/09/1960</t>
  </si>
  <si>
    <t>12/18/1963</t>
  </si>
  <si>
    <t>09/09/1966</t>
  </si>
  <si>
    <t>07/29/1977</t>
  </si>
  <si>
    <t>04/04/1967</t>
  </si>
  <si>
    <t>09/19/1957</t>
  </si>
  <si>
    <t>04/17/1963</t>
  </si>
  <si>
    <t>09/22/1973</t>
  </si>
  <si>
    <t>02/04/1983</t>
  </si>
  <si>
    <t>10/25/1944</t>
  </si>
  <si>
    <t>10/22/1969</t>
  </si>
  <si>
    <t>06/14/1968</t>
  </si>
  <si>
    <t>06/29/1958</t>
  </si>
  <si>
    <t>08/19/1969</t>
  </si>
  <si>
    <t>05/15/1961</t>
  </si>
  <si>
    <t>10/16/1991</t>
  </si>
  <si>
    <t>09/29/1985</t>
  </si>
  <si>
    <t>02/27/1983</t>
  </si>
  <si>
    <t>07/31/1969</t>
  </si>
  <si>
    <t>07/16/1978</t>
  </si>
  <si>
    <t>04/19/1995</t>
  </si>
  <si>
    <t>02/05/1985</t>
  </si>
  <si>
    <t>10/06/1961</t>
  </si>
  <si>
    <t>01/21/1991</t>
  </si>
  <si>
    <t>06/25/1984</t>
  </si>
  <si>
    <t>02/05/1982</t>
  </si>
  <si>
    <t>04/06/1970</t>
  </si>
  <si>
    <t>02/29/1960</t>
  </si>
  <si>
    <t>01/05/1966</t>
  </si>
  <si>
    <t>09/22/1980</t>
  </si>
  <si>
    <t>06/17/1953</t>
  </si>
  <si>
    <t>01/28/1960</t>
  </si>
  <si>
    <t>10/11/1954</t>
  </si>
  <si>
    <t>08/16/1964</t>
  </si>
  <si>
    <t>01/12/1988</t>
  </si>
  <si>
    <t>12/21/1967</t>
  </si>
  <si>
    <t>10/02/1979</t>
  </si>
  <si>
    <t>02/20/1977</t>
  </si>
  <si>
    <t>07/09/1986</t>
  </si>
  <si>
    <t>05/08/1959</t>
  </si>
  <si>
    <t>10/06/1986</t>
  </si>
  <si>
    <t>03/02/1957</t>
  </si>
  <si>
    <t>11/08/1972</t>
  </si>
  <si>
    <t>05/07/1978</t>
  </si>
  <si>
    <t>01/05/1995</t>
  </si>
  <si>
    <t>09/27/1969</t>
  </si>
  <si>
    <t>10/18/1985</t>
  </si>
  <si>
    <t>03/08/1993</t>
  </si>
  <si>
    <t>10/15/1950</t>
  </si>
  <si>
    <t>07/19/1964</t>
  </si>
  <si>
    <t>11/23/1977</t>
  </si>
  <si>
    <t>03/20/1963</t>
  </si>
  <si>
    <t>06/10/1970</t>
  </si>
  <si>
    <t>07/04/1980</t>
  </si>
  <si>
    <t>05/14/1986</t>
  </si>
  <si>
    <t>03/29/1947</t>
  </si>
  <si>
    <t>07/21/1990</t>
  </si>
  <si>
    <t>09/21/1978</t>
  </si>
  <si>
    <t>06/21/1986</t>
  </si>
  <si>
    <t>08/05/1956</t>
  </si>
  <si>
    <t>05/16/1957</t>
  </si>
  <si>
    <t>06/27/1960</t>
  </si>
  <si>
    <t>02/07/1997</t>
  </si>
  <si>
    <t>02/12/1982</t>
  </si>
  <si>
    <t>10/05/1978</t>
  </si>
  <si>
    <t>01/22/1993</t>
  </si>
  <si>
    <t>02/17/1986</t>
  </si>
  <si>
    <t>07/30/1962</t>
  </si>
  <si>
    <t>03/07/1981</t>
  </si>
  <si>
    <t>04/24/1946</t>
  </si>
  <si>
    <t>04/19/1977</t>
  </si>
  <si>
    <t>03/25/1958</t>
  </si>
  <si>
    <t>03/15/1955</t>
  </si>
  <si>
    <t>01/08/1955</t>
  </si>
  <si>
    <t>08/19/1986</t>
  </si>
  <si>
    <t>04/02/1970</t>
  </si>
  <si>
    <t>11/12/1956</t>
  </si>
  <si>
    <t>06/11/1967</t>
  </si>
  <si>
    <t>02/22/1980</t>
  </si>
  <si>
    <t>04/28/1959</t>
  </si>
  <si>
    <t>07/01/1964</t>
  </si>
  <si>
    <t>09/14/1956</t>
  </si>
  <si>
    <t>01/17/1950</t>
  </si>
  <si>
    <t>04/30/1968</t>
  </si>
  <si>
    <t>11/08/1976</t>
  </si>
  <si>
    <t>07/18/1972</t>
  </si>
  <si>
    <t>02/10/1972</t>
  </si>
  <si>
    <t>10/03/1985</t>
  </si>
  <si>
    <t>09/03/1961</t>
  </si>
  <si>
    <t>08/23/1948</t>
  </si>
  <si>
    <t>09/06/1968</t>
  </si>
  <si>
    <t>09/15/1961</t>
  </si>
  <si>
    <t>08/24/1973</t>
  </si>
  <si>
    <t>08/02/1978</t>
  </si>
  <si>
    <t>02/23/1967</t>
  </si>
  <si>
    <t>11/16/1981</t>
  </si>
  <si>
    <t>09/19/1967</t>
  </si>
  <si>
    <t>06/09/1984</t>
  </si>
  <si>
    <t>02/04/1956</t>
  </si>
  <si>
    <t>06/21/1990</t>
  </si>
  <si>
    <t>02/14/1987</t>
  </si>
  <si>
    <t>08/10/1957</t>
  </si>
  <si>
    <t>10/17/1961</t>
  </si>
  <si>
    <t>03/19/1989</t>
  </si>
  <si>
    <t>09/03/1983</t>
  </si>
  <si>
    <t>10/30/1978</t>
  </si>
  <si>
    <t>02/01/1965</t>
  </si>
  <si>
    <t>04/23/1944</t>
  </si>
  <si>
    <t>10/10/1966</t>
  </si>
  <si>
    <t>05/07/1946</t>
  </si>
  <si>
    <t>02/06/1965</t>
  </si>
  <si>
    <t>09/27/1957</t>
  </si>
  <si>
    <t>03/21/1957</t>
  </si>
  <si>
    <t>10/01/1950</t>
  </si>
  <si>
    <t>09/04/1954</t>
  </si>
  <si>
    <t>10/21/1965</t>
  </si>
  <si>
    <t>11/10/1984</t>
  </si>
  <si>
    <t>12/21/1994</t>
  </si>
  <si>
    <t>05/02/1959</t>
  </si>
  <si>
    <t>02/10/1944</t>
  </si>
  <si>
    <t>04/29/1974</t>
  </si>
  <si>
    <t>12/26/1966</t>
  </si>
  <si>
    <t>08/26/1972</t>
  </si>
  <si>
    <t>11/13/1957</t>
  </si>
  <si>
    <t>12/14/1954</t>
  </si>
  <si>
    <t>06/25/1956</t>
  </si>
  <si>
    <t>08/15/1958</t>
  </si>
  <si>
    <t>03/25/1957</t>
  </si>
  <si>
    <t>02/02/1968</t>
  </si>
  <si>
    <t>01/07/1946</t>
  </si>
  <si>
    <t>09/08/1962</t>
  </si>
  <si>
    <t>03/29/1990</t>
  </si>
  <si>
    <t>01/26/1944</t>
  </si>
  <si>
    <t>06/25/1980</t>
  </si>
  <si>
    <t>09/08/1977</t>
  </si>
  <si>
    <t>02/08/1958</t>
  </si>
  <si>
    <t>04/24/1950</t>
  </si>
  <si>
    <t>04/17/1960</t>
  </si>
  <si>
    <t>02/08/1939</t>
  </si>
  <si>
    <t>10/26/1957</t>
  </si>
  <si>
    <t>07/17/1959</t>
  </si>
  <si>
    <t>04/10/1958</t>
  </si>
  <si>
    <t>08/10/1962</t>
  </si>
  <si>
    <t>06/06/1968</t>
  </si>
  <si>
    <t>09/20/1959</t>
  </si>
  <si>
    <t>04/08/1942</t>
  </si>
  <si>
    <t>03/20/1947</t>
  </si>
  <si>
    <t>12/28/1951</t>
  </si>
  <si>
    <t>12/09/1950</t>
  </si>
  <si>
    <t>09/29/1962</t>
  </si>
  <si>
    <t>03/02/1937</t>
  </si>
  <si>
    <t>04/15/1983</t>
  </si>
  <si>
    <t>09/06/1951</t>
  </si>
  <si>
    <t>06/16/1941</t>
  </si>
  <si>
    <t>10/01/1986</t>
  </si>
  <si>
    <t>05/15/1944</t>
  </si>
  <si>
    <t>10/30/1977</t>
  </si>
  <si>
    <t>11/21/1962</t>
  </si>
  <si>
    <t>06/21/1963</t>
  </si>
  <si>
    <t>05/29/1958</t>
  </si>
  <si>
    <t>06/09/1968</t>
  </si>
  <si>
    <t>07/10/1961</t>
  </si>
  <si>
    <t>09/23/1959</t>
  </si>
  <si>
    <t>11/11/1956</t>
  </si>
  <si>
    <t>03/04/1958</t>
  </si>
  <si>
    <t>09/19/1959</t>
  </si>
  <si>
    <t>01/19/1954</t>
  </si>
  <si>
    <t>02/15/1962</t>
  </si>
  <si>
    <t>10/18/1984</t>
  </si>
  <si>
    <t>01/20/1958</t>
  </si>
  <si>
    <t>03/12/1948</t>
  </si>
  <si>
    <t>04/19/1953</t>
  </si>
  <si>
    <t>09/01/1940</t>
  </si>
  <si>
    <t>08/26/1945</t>
  </si>
  <si>
    <t>12/13/1984</t>
  </si>
  <si>
    <t>05/28/1933</t>
  </si>
  <si>
    <t>04/24/1989</t>
  </si>
  <si>
    <t>04/30/1953</t>
  </si>
  <si>
    <t>07/24/1957</t>
  </si>
  <si>
    <t>07/06/1977</t>
  </si>
  <si>
    <t>01/26/1956</t>
  </si>
  <si>
    <t>10/11/1956</t>
  </si>
  <si>
    <t>11/08/1946</t>
  </si>
  <si>
    <t>06/12/1972</t>
  </si>
  <si>
    <t>01/20/1999</t>
  </si>
  <si>
    <t>07/05/1966</t>
  </si>
  <si>
    <t>04/10/1967</t>
  </si>
  <si>
    <t>02/21/1974</t>
  </si>
  <si>
    <t>09/04/1944</t>
  </si>
  <si>
    <t>03/14/1955</t>
  </si>
  <si>
    <t>11/02/1969</t>
  </si>
  <si>
    <t>11/03/1966</t>
  </si>
  <si>
    <t>05/16/1982</t>
  </si>
  <si>
    <t>05/25/1958</t>
  </si>
  <si>
    <t>03/25/1984</t>
  </si>
  <si>
    <t>12/30/1971</t>
  </si>
  <si>
    <t>09/05/1962</t>
  </si>
  <si>
    <t>01/02/1939</t>
  </si>
  <si>
    <t>08/15/1952</t>
  </si>
  <si>
    <t>08/13/1975</t>
  </si>
  <si>
    <t>04/14/1945</t>
  </si>
  <si>
    <t>11/21/1954</t>
  </si>
  <si>
    <t>01/03/1972</t>
  </si>
  <si>
    <t>06/24/1951</t>
  </si>
  <si>
    <t>06/02/1982</t>
  </si>
  <si>
    <t>09/29/1968</t>
  </si>
  <si>
    <t>11/26/1976</t>
  </si>
  <si>
    <t>01/07/1957</t>
  </si>
  <si>
    <t>03/06/1970</t>
  </si>
  <si>
    <t>05/17/1964</t>
  </si>
  <si>
    <t>01/16/1976</t>
  </si>
  <si>
    <t>09/29/1971</t>
  </si>
  <si>
    <t>08/31/1976</t>
  </si>
  <si>
    <t>10/30/1954</t>
  </si>
  <si>
    <t>07/09/1979</t>
  </si>
  <si>
    <t>07/04/1945</t>
  </si>
  <si>
    <t>10/20/1961</t>
  </si>
  <si>
    <t>03/05/1952</t>
  </si>
  <si>
    <t>03/09/1988</t>
  </si>
  <si>
    <t>08/17/1974</t>
  </si>
  <si>
    <t>12/20/1948</t>
  </si>
  <si>
    <t>01/05/1979</t>
  </si>
  <si>
    <t>01/20/1951</t>
  </si>
  <si>
    <t>05/14/1952</t>
  </si>
  <si>
    <t>06/03/1963</t>
  </si>
  <si>
    <t>10/01/1957</t>
  </si>
  <si>
    <t>07/27/1964</t>
  </si>
  <si>
    <t>03/28/1981</t>
  </si>
  <si>
    <t>12/27/1978</t>
  </si>
  <si>
    <t>09/22/1937</t>
  </si>
  <si>
    <t>05/14/1982</t>
  </si>
  <si>
    <t>02/20/1958</t>
  </si>
  <si>
    <t>02/28/1955</t>
  </si>
  <si>
    <t>11/10/1970</t>
  </si>
  <si>
    <t>11/30/1979</t>
  </si>
  <si>
    <t>05/23/1947</t>
  </si>
  <si>
    <t>06/23/1974</t>
  </si>
  <si>
    <t>04/06/1943</t>
  </si>
  <si>
    <t>12/31/1970</t>
  </si>
  <si>
    <t>12/23/1961</t>
  </si>
  <si>
    <t>06/24/1954</t>
  </si>
  <si>
    <t>03/19/1960</t>
  </si>
  <si>
    <t>08/21/1990</t>
  </si>
  <si>
    <t>06/03/1941</t>
  </si>
  <si>
    <t>05/25/1936</t>
  </si>
  <si>
    <t>10/23/1958</t>
  </si>
  <si>
    <t>01/07/1967</t>
  </si>
  <si>
    <t>10/02/1955</t>
  </si>
  <si>
    <t>04/06/1973</t>
  </si>
  <si>
    <t>11/17/1936</t>
  </si>
  <si>
    <t>06/08/1964</t>
  </si>
  <si>
    <t>11/30/1976</t>
  </si>
  <si>
    <t>11/23/1967</t>
  </si>
  <si>
    <t>07/31/1961</t>
  </si>
  <si>
    <t>10/01/1982</t>
  </si>
  <si>
    <t>10/24/1964</t>
  </si>
  <si>
    <t>07/13/1956</t>
  </si>
  <si>
    <t>03/03/1965</t>
  </si>
  <si>
    <t>05/27/1989</t>
  </si>
  <si>
    <t>02/28/1978</t>
  </si>
  <si>
    <t>02/15/1950</t>
  </si>
  <si>
    <t>12/13/1949</t>
  </si>
  <si>
    <t>11/21/1977</t>
  </si>
  <si>
    <t>09/22/1963</t>
  </si>
  <si>
    <t>09/15/1948</t>
  </si>
  <si>
    <t>05/15/1968</t>
  </si>
  <si>
    <t>03/02/1941</t>
  </si>
  <si>
    <t>03/16/1983</t>
  </si>
  <si>
    <t>06/08/1960</t>
  </si>
  <si>
    <t>02/12/1973</t>
  </si>
  <si>
    <t>02/01/1954</t>
  </si>
  <si>
    <t>11/10/1988</t>
  </si>
  <si>
    <t>01/08/1981</t>
  </si>
  <si>
    <t>12/20/1960</t>
  </si>
  <si>
    <t>10/29/1943</t>
  </si>
  <si>
    <t>12/10/1995</t>
  </si>
  <si>
    <t>09/04/1986</t>
  </si>
  <si>
    <t>12/22/1990</t>
  </si>
  <si>
    <t>08/23/1965</t>
  </si>
  <si>
    <t>05/01/1942</t>
  </si>
  <si>
    <t>08/21/1967</t>
  </si>
  <si>
    <t>08/08/1946</t>
  </si>
  <si>
    <t>09/05/1972</t>
  </si>
  <si>
    <t>05/29/1988</t>
  </si>
  <si>
    <t>12/08/1950</t>
  </si>
  <si>
    <t>09/27/1959</t>
  </si>
  <si>
    <t>02/03/1964</t>
  </si>
  <si>
    <t>07/08/1967</t>
  </si>
  <si>
    <t>10/08/1956</t>
  </si>
  <si>
    <t>11/26/1970</t>
  </si>
  <si>
    <t>12/09/1969</t>
  </si>
  <si>
    <t>03/14/1945</t>
  </si>
  <si>
    <t>10/03/1969</t>
  </si>
  <si>
    <t>12/17/1984</t>
  </si>
  <si>
    <t>06/04/1984</t>
  </si>
  <si>
    <t>05/24/1964</t>
  </si>
  <si>
    <t>09/20/1963</t>
  </si>
  <si>
    <t>11/07/1960</t>
  </si>
  <si>
    <t>07/31/1972</t>
  </si>
  <si>
    <t>07/14/1954</t>
  </si>
  <si>
    <t>04/02/1966</t>
  </si>
  <si>
    <t>12/31/1967</t>
  </si>
  <si>
    <t>08/03/1969</t>
  </si>
  <si>
    <t>02/06/1941</t>
  </si>
  <si>
    <t>09/24/1984</t>
  </si>
  <si>
    <t>12/03/1960</t>
  </si>
  <si>
    <t>03/21/1980</t>
  </si>
  <si>
    <t>05/07/1967</t>
  </si>
  <si>
    <t>08/23/1968</t>
  </si>
  <si>
    <t>09/13/1983</t>
  </si>
  <si>
    <t>05/23/1980</t>
  </si>
  <si>
    <t>05/29/1991</t>
  </si>
  <si>
    <t>11/01/1951</t>
  </si>
  <si>
    <t>09/06/1993</t>
  </si>
  <si>
    <t>01/02/1941</t>
  </si>
  <si>
    <t>07/20/1953</t>
  </si>
  <si>
    <t>12/09/1989</t>
  </si>
  <si>
    <t>10/31/1934</t>
  </si>
  <si>
    <t>02/25/1989</t>
  </si>
  <si>
    <t>12/29/1989</t>
  </si>
  <si>
    <t>08/13/1973</t>
  </si>
  <si>
    <t>09/25/1946</t>
  </si>
  <si>
    <t>04/04/1954</t>
  </si>
  <si>
    <t>08/20/1948</t>
  </si>
  <si>
    <t>05/22/1963</t>
  </si>
  <si>
    <t>11/16/1960</t>
  </si>
  <si>
    <t>02/08/1967</t>
  </si>
  <si>
    <t>07/14/1966</t>
  </si>
  <si>
    <t>09/17/1981</t>
  </si>
  <si>
    <t>05/31/1962</t>
  </si>
  <si>
    <t>10/02/1967</t>
  </si>
  <si>
    <t>06/13/1947</t>
  </si>
  <si>
    <t>04/15/1950</t>
  </si>
  <si>
    <t>11/05/1948</t>
  </si>
  <si>
    <t>04/02/1956</t>
  </si>
  <si>
    <t>12/13/1946</t>
  </si>
  <si>
    <t>11/21/1992</t>
  </si>
  <si>
    <t>12/20/1946</t>
  </si>
  <si>
    <t>01/19/1988</t>
  </si>
  <si>
    <t>06/27/1966</t>
  </si>
  <si>
    <t>08/14/1955</t>
  </si>
  <si>
    <t>11/15/1969</t>
  </si>
  <si>
    <t>09/23/1975</t>
  </si>
  <si>
    <t>01/23/1962</t>
  </si>
  <si>
    <t>12/01/1958</t>
  </si>
  <si>
    <t>10/06/1974</t>
  </si>
  <si>
    <t>02/07/1958</t>
  </si>
  <si>
    <t>08/08/1955</t>
  </si>
  <si>
    <t>07/08/1962</t>
  </si>
  <si>
    <t>01/29/1968</t>
  </si>
  <si>
    <t>08/23/1976</t>
  </si>
  <si>
    <t>05/05/1983</t>
  </si>
  <si>
    <t>04/27/1990</t>
  </si>
  <si>
    <t>09/24/1937</t>
  </si>
  <si>
    <t>01/31/1968</t>
  </si>
  <si>
    <t>02/03/1977</t>
  </si>
  <si>
    <t>04/14/1975</t>
  </si>
  <si>
    <t>08/19/1949</t>
  </si>
  <si>
    <t>03/04/1989</t>
  </si>
  <si>
    <t>12/24/1954</t>
  </si>
  <si>
    <t>12/29/1973</t>
  </si>
  <si>
    <t>12/08/1966</t>
  </si>
  <si>
    <t>01/22/1965</t>
  </si>
  <si>
    <t>04/12/1974</t>
  </si>
  <si>
    <t>06/12/1952</t>
  </si>
  <si>
    <t>09/14/1969</t>
  </si>
  <si>
    <t>12/03/1965</t>
  </si>
  <si>
    <t>04/15/1945</t>
  </si>
  <si>
    <t>11/08/1967</t>
  </si>
  <si>
    <t>03/21/1964</t>
  </si>
  <si>
    <t>01/01/1986</t>
  </si>
  <si>
    <t>05/26/1961</t>
  </si>
  <si>
    <t>03/10/1971</t>
  </si>
  <si>
    <t>05/03/1968</t>
  </si>
  <si>
    <t>04/15/1987</t>
  </si>
  <si>
    <t>08/09/1975</t>
  </si>
  <si>
    <t>12/03/1979</t>
  </si>
  <si>
    <t>01/19/1967</t>
  </si>
  <si>
    <t>08/06/1952</t>
  </si>
  <si>
    <t>08/20/1943</t>
  </si>
  <si>
    <t>03/12/1971</t>
  </si>
  <si>
    <t>09/08/1996</t>
  </si>
  <si>
    <t>05/15/1970</t>
  </si>
  <si>
    <t>09/10/1981</t>
  </si>
  <si>
    <t>04/25/1967</t>
  </si>
  <si>
    <t>07/24/1973</t>
  </si>
  <si>
    <t>08/29/1974</t>
  </si>
  <si>
    <t>08/12/1937</t>
  </si>
  <si>
    <t>05/15/1955</t>
  </si>
  <si>
    <t>02/10/1987</t>
  </si>
  <si>
    <t>04/30/1979</t>
  </si>
  <si>
    <t>09/17/1952</t>
  </si>
  <si>
    <t>11/02/1976</t>
  </si>
  <si>
    <t>09/13/1962</t>
  </si>
  <si>
    <t>06/04/1967</t>
  </si>
  <si>
    <t>09/04/1970</t>
  </si>
  <si>
    <t>06/30/1963</t>
  </si>
  <si>
    <t>09/01/1988</t>
  </si>
  <si>
    <t>11/02/1985</t>
  </si>
  <si>
    <t>01/29/1975</t>
  </si>
  <si>
    <t>10/29/1971</t>
  </si>
  <si>
    <t>08/11/1974</t>
  </si>
  <si>
    <t>05/21/1964</t>
  </si>
  <si>
    <t>05/01/1951</t>
  </si>
  <si>
    <t>01/09/1988</t>
  </si>
  <si>
    <t>03/01/1993</t>
  </si>
  <si>
    <t>07/20/1986</t>
  </si>
  <si>
    <t>09/02/1961</t>
  </si>
  <si>
    <t>06/03/1987</t>
  </si>
  <si>
    <t>11/18/1989</t>
  </si>
  <si>
    <t>09/25/1981</t>
  </si>
  <si>
    <t>10/30/1929</t>
  </si>
  <si>
    <t>02/06/1944</t>
  </si>
  <si>
    <t>11/07/1956</t>
  </si>
  <si>
    <t>06/06/1971</t>
  </si>
  <si>
    <t>04/07/1970</t>
  </si>
  <si>
    <t>07/29/1963</t>
  </si>
  <si>
    <t>05/06/1976</t>
  </si>
  <si>
    <t>05/18/1957</t>
  </si>
  <si>
    <t>05/21/1970</t>
  </si>
  <si>
    <t>07/24/1945</t>
  </si>
  <si>
    <t>07/01/1994</t>
  </si>
  <si>
    <t>03/22/1978</t>
  </si>
  <si>
    <t>05/09/1961</t>
  </si>
  <si>
    <t>02/24/1995</t>
  </si>
  <si>
    <t>03/12/1978</t>
  </si>
  <si>
    <t>07/13/1959</t>
  </si>
  <si>
    <t>10/15/1957</t>
  </si>
  <si>
    <t>06/26/1988</t>
  </si>
  <si>
    <t>11/01/1968</t>
  </si>
  <si>
    <t>02/13/1971</t>
  </si>
  <si>
    <t>08/25/1962</t>
  </si>
  <si>
    <t>02/10/1937</t>
  </si>
  <si>
    <t>12/14/1981</t>
  </si>
  <si>
    <t>09/05/1934</t>
  </si>
  <si>
    <t>04/16/1961</t>
  </si>
  <si>
    <t>06/05/1965</t>
  </si>
  <si>
    <t>09/12/1981</t>
  </si>
  <si>
    <t>02/25/1981</t>
  </si>
  <si>
    <t>10/02/1956</t>
  </si>
  <si>
    <t>01/06/1979</t>
  </si>
  <si>
    <t>05/09/1978</t>
  </si>
  <si>
    <t>07/03/1960</t>
  </si>
  <si>
    <t>06/06/1965</t>
  </si>
  <si>
    <t>11/13/1951</t>
  </si>
  <si>
    <t>03/21/1989</t>
  </si>
  <si>
    <t>10/28/1975</t>
  </si>
  <si>
    <t>01/19/1936</t>
  </si>
  <si>
    <t>06/10/1957</t>
  </si>
  <si>
    <t>06/05/1950</t>
  </si>
  <si>
    <t>06/09/1965</t>
  </si>
  <si>
    <t>09/22/1969</t>
  </si>
  <si>
    <t>10/16/1979</t>
  </si>
  <si>
    <t>11/25/1968</t>
  </si>
  <si>
    <t>05/03/1956</t>
  </si>
  <si>
    <t>09/04/1959</t>
  </si>
  <si>
    <t>11/13/1948</t>
  </si>
  <si>
    <t>11/01/1954</t>
  </si>
  <si>
    <t>12/04/1973</t>
  </si>
  <si>
    <t>11/08/1993</t>
  </si>
  <si>
    <t>03/16/1986</t>
  </si>
  <si>
    <t>07/13/1983</t>
  </si>
  <si>
    <t>02/17/1991</t>
  </si>
  <si>
    <t>06/23/1984</t>
  </si>
  <si>
    <t>06/21/1961</t>
  </si>
  <si>
    <t>08/19/1988</t>
  </si>
  <si>
    <t>09/11/1959</t>
  </si>
  <si>
    <t>07/09/1972</t>
  </si>
  <si>
    <t>12/29/1962</t>
  </si>
  <si>
    <t>08/13/1965</t>
  </si>
  <si>
    <t>10/26/1972</t>
  </si>
  <si>
    <t>06/29/1991</t>
  </si>
  <si>
    <t>10/22/1987</t>
  </si>
  <si>
    <t>02/16/1992</t>
  </si>
  <si>
    <t>11/15/1952</t>
  </si>
  <si>
    <t>12/24/1961</t>
  </si>
  <si>
    <t>03/04/1951</t>
  </si>
  <si>
    <t>06/02/1955</t>
  </si>
  <si>
    <t>01/22/1987</t>
  </si>
  <si>
    <t>04/26/1989</t>
  </si>
  <si>
    <t>04/19/1987</t>
  </si>
  <si>
    <t>09/22/1949</t>
  </si>
  <si>
    <t>08/01/1943</t>
  </si>
  <si>
    <t>12/27/1946</t>
  </si>
  <si>
    <t>08/18/1967</t>
  </si>
  <si>
    <t>09/15/1969</t>
  </si>
  <si>
    <t>11/29/1963</t>
  </si>
  <si>
    <t>07/21/1984</t>
  </si>
  <si>
    <t>12/13/1971</t>
  </si>
  <si>
    <t>03/08/1949</t>
  </si>
  <si>
    <t>05/27/1976</t>
  </si>
  <si>
    <t>05/10/1995</t>
  </si>
  <si>
    <t>10/11/1958</t>
  </si>
  <si>
    <t>05/18/1971</t>
  </si>
  <si>
    <t>03/31/1985</t>
  </si>
  <si>
    <t>11/10/1981</t>
  </si>
  <si>
    <t>01/14/1971</t>
  </si>
  <si>
    <t>01/10/1989</t>
  </si>
  <si>
    <t>05/12/1976</t>
  </si>
  <si>
    <t>08/31/1983</t>
  </si>
  <si>
    <t>04/16/1967</t>
  </si>
  <si>
    <t>05/30/1980</t>
  </si>
  <si>
    <t>06/19/1981</t>
  </si>
  <si>
    <t>08/01/1988</t>
  </si>
  <si>
    <t>017673880F</t>
  </si>
  <si>
    <t>037084027E</t>
  </si>
  <si>
    <t>00033547058J</t>
  </si>
  <si>
    <t>not available</t>
  </si>
  <si>
    <t>9279334I</t>
  </si>
  <si>
    <t>00015062587J</t>
  </si>
  <si>
    <t>37713934A</t>
  </si>
  <si>
    <t>Unavailable</t>
  </si>
  <si>
    <t>00037540753D</t>
  </si>
  <si>
    <t>4647469-1</t>
  </si>
  <si>
    <t>000745939J</t>
  </si>
  <si>
    <t>Not available</t>
  </si>
  <si>
    <t>035624995D</t>
  </si>
  <si>
    <t>37572302A</t>
  </si>
  <si>
    <t>37627759G</t>
  </si>
  <si>
    <t>36932590H</t>
  </si>
  <si>
    <t>009912518J</t>
  </si>
  <si>
    <t>036812101 I</t>
  </si>
  <si>
    <t>12318083I</t>
  </si>
  <si>
    <t>037432131D</t>
  </si>
  <si>
    <t>008958635I</t>
  </si>
  <si>
    <t>018155124D</t>
  </si>
  <si>
    <t>006265154C</t>
  </si>
  <si>
    <t>03645232E</t>
  </si>
  <si>
    <t>002490638A</t>
  </si>
  <si>
    <t>021738973C</t>
  </si>
  <si>
    <t>037048355E</t>
  </si>
  <si>
    <t>037358662H</t>
  </si>
  <si>
    <t>00009048875A</t>
  </si>
  <si>
    <t>005566824I</t>
  </si>
  <si>
    <t>018333465F</t>
  </si>
  <si>
    <t>006976669J</t>
  </si>
  <si>
    <t>00030632229 I</t>
  </si>
  <si>
    <t>006110973C</t>
  </si>
  <si>
    <t>010018822G</t>
  </si>
  <si>
    <t>023267533A</t>
  </si>
  <si>
    <t>00014709603G</t>
  </si>
  <si>
    <t>2171609HCL</t>
  </si>
  <si>
    <t>008414814H</t>
  </si>
  <si>
    <t>004483522B</t>
  </si>
  <si>
    <t>YDA3239E</t>
  </si>
  <si>
    <t>Unknown</t>
  </si>
  <si>
    <t>9061982 G</t>
  </si>
  <si>
    <t>zk82756v</t>
  </si>
  <si>
    <t>034949626F</t>
  </si>
  <si>
    <t>not avail</t>
  </si>
  <si>
    <t>010750702C</t>
  </si>
  <si>
    <t>4179881-1</t>
  </si>
  <si>
    <t>037695307B</t>
  </si>
  <si>
    <t>000-00-0000</t>
  </si>
  <si>
    <t>004184233H</t>
  </si>
  <si>
    <t>038095875B</t>
  </si>
  <si>
    <t>unavailable</t>
  </si>
  <si>
    <t>033147318B</t>
  </si>
  <si>
    <t>014709603G</t>
  </si>
  <si>
    <t>005423328D</t>
  </si>
  <si>
    <t>Y020364E</t>
  </si>
  <si>
    <t>9833470-1</t>
  </si>
  <si>
    <t>034725982C</t>
  </si>
  <si>
    <t>2822854-C</t>
  </si>
  <si>
    <t>010337152C</t>
  </si>
  <si>
    <t>4791837 A</t>
  </si>
  <si>
    <t>018865918J</t>
  </si>
  <si>
    <t>012975213F</t>
  </si>
  <si>
    <t>015114542C</t>
  </si>
  <si>
    <t>036754541F</t>
  </si>
  <si>
    <t>034316424A</t>
  </si>
  <si>
    <t>00011517556E</t>
  </si>
  <si>
    <t>006427687G</t>
  </si>
  <si>
    <t>035358990G</t>
  </si>
  <si>
    <t>014236837C</t>
  </si>
  <si>
    <t>014629800F</t>
  </si>
  <si>
    <t>006100617H</t>
  </si>
  <si>
    <t>036982304C</t>
  </si>
  <si>
    <t>018288893D</t>
  </si>
  <si>
    <t>014803813G</t>
  </si>
  <si>
    <t>31984172C</t>
  </si>
  <si>
    <t>096-80-6511</t>
  </si>
  <si>
    <t>087-92-8800</t>
  </si>
  <si>
    <t>078-74-7343</t>
  </si>
  <si>
    <t>064-72-9983</t>
  </si>
  <si>
    <t>485-95-1075</t>
  </si>
  <si>
    <t>065-68-2661</t>
  </si>
  <si>
    <t>000-00-8053</t>
  </si>
  <si>
    <t>129-36-3367</t>
  </si>
  <si>
    <t>584-73-2683</t>
  </si>
  <si>
    <t>000-00-7429</t>
  </si>
  <si>
    <t>130-76-9259</t>
  </si>
  <si>
    <t>108-54-3993</t>
  </si>
  <si>
    <t>000-00-4307</t>
  </si>
  <si>
    <t>000-00-8022</t>
  </si>
  <si>
    <t>127-60-0446</t>
  </si>
  <si>
    <t>000-00-5432</t>
  </si>
  <si>
    <t>064-58-7548</t>
  </si>
  <si>
    <t>111-72-5519</t>
  </si>
  <si>
    <t>567-71-7821</t>
  </si>
  <si>
    <t>000-00-3578</t>
  </si>
  <si>
    <t>105-82-3029</t>
  </si>
  <si>
    <t>582-53-0401</t>
  </si>
  <si>
    <t>111-66-6471</t>
  </si>
  <si>
    <t>107-66-1627</t>
  </si>
  <si>
    <t>099-80-8189</t>
  </si>
  <si>
    <t>127-68-2900</t>
  </si>
  <si>
    <t>214-87-7100</t>
  </si>
  <si>
    <t>097-56-3138</t>
  </si>
  <si>
    <t>059-58-9571</t>
  </si>
  <si>
    <t>080-66-6759</t>
  </si>
  <si>
    <t>000-00-9201</t>
  </si>
  <si>
    <t>123-56-8341</t>
  </si>
  <si>
    <t>119-76-9003</t>
  </si>
  <si>
    <t>126-55-4980</t>
  </si>
  <si>
    <t>064-48-9922</t>
  </si>
  <si>
    <t>086-62-9196</t>
  </si>
  <si>
    <t>227-72-1230</t>
  </si>
  <si>
    <t>146-35-7950</t>
  </si>
  <si>
    <t>108-64-8148</t>
  </si>
  <si>
    <t>216-90-2648</t>
  </si>
  <si>
    <t>083-64-4372</t>
  </si>
  <si>
    <t>085-52-2717</t>
  </si>
  <si>
    <t>117-56-9577</t>
  </si>
  <si>
    <t>000-00-2744</t>
  </si>
  <si>
    <t>093-74-8889</t>
  </si>
  <si>
    <t>576-31-9499</t>
  </si>
  <si>
    <t>059-58-8647</t>
  </si>
  <si>
    <t>090-84-9289</t>
  </si>
  <si>
    <t>658-29-4649</t>
  </si>
  <si>
    <t>419-37-8798</t>
  </si>
  <si>
    <t>105-96-4969</t>
  </si>
  <si>
    <t>145-76-8212</t>
  </si>
  <si>
    <t>045-04-0378</t>
  </si>
  <si>
    <t>096-58-6839</t>
  </si>
  <si>
    <t>093-70-5767</t>
  </si>
  <si>
    <t>115-52-9638</t>
  </si>
  <si>
    <t>398-88-4174</t>
  </si>
  <si>
    <t>072-54-7402</t>
  </si>
  <si>
    <t>593-64-9081</t>
  </si>
  <si>
    <t>127-58-0075</t>
  </si>
  <si>
    <t>085-64-7147</t>
  </si>
  <si>
    <t>121-70-1371</t>
  </si>
  <si>
    <t>082-56-4010</t>
  </si>
  <si>
    <t>122-70-6748</t>
  </si>
  <si>
    <t>056-88-6442</t>
  </si>
  <si>
    <t>134-60-9442</t>
  </si>
  <si>
    <t>372-84-5289</t>
  </si>
  <si>
    <t>128-92-8905</t>
  </si>
  <si>
    <t>118-66-9945</t>
  </si>
  <si>
    <t>243-75-7400</t>
  </si>
  <si>
    <t>099-42-8739</t>
  </si>
  <si>
    <t>582-27-2529</t>
  </si>
  <si>
    <t>040-04-2795</t>
  </si>
  <si>
    <t>073-70-5097</t>
  </si>
  <si>
    <t>082-60-0855</t>
  </si>
  <si>
    <t>089-64-6514</t>
  </si>
  <si>
    <t>053-78-2518</t>
  </si>
  <si>
    <t>130-98-8445</t>
  </si>
  <si>
    <t>145-13-2292</t>
  </si>
  <si>
    <t>058-66-2147</t>
  </si>
  <si>
    <t>099-52-9805</t>
  </si>
  <si>
    <t>087-86-4402</t>
  </si>
  <si>
    <t>781-32-1331</t>
  </si>
  <si>
    <t>076-86-9957</t>
  </si>
  <si>
    <t>113-70-8725</t>
  </si>
  <si>
    <t>057-58-8387</t>
  </si>
  <si>
    <t>260-39-2242</t>
  </si>
  <si>
    <t>115-90-2839</t>
  </si>
  <si>
    <t>085-72-1739</t>
  </si>
  <si>
    <t>000-00-0301</t>
  </si>
  <si>
    <t>128-48-3275</t>
  </si>
  <si>
    <t>081-56-7111</t>
  </si>
  <si>
    <t>120-74-5250</t>
  </si>
  <si>
    <t>592-33-4514</t>
  </si>
  <si>
    <t>119-84-0064</t>
  </si>
  <si>
    <t>067-64-8634</t>
  </si>
  <si>
    <t>099-58-7158</t>
  </si>
  <si>
    <t>112-58-0464</t>
  </si>
  <si>
    <t>057-50-8883</t>
  </si>
  <si>
    <t>124-82-2769</t>
  </si>
  <si>
    <t>134-96-3516</t>
  </si>
  <si>
    <t>117-62-0932</t>
  </si>
  <si>
    <t>098-94-3587</t>
  </si>
  <si>
    <t>000-00-9645</t>
  </si>
  <si>
    <t>081-56-5874</t>
  </si>
  <si>
    <t>096-84-7683</t>
  </si>
  <si>
    <t>071-60-6177</t>
  </si>
  <si>
    <t>084-56-8573</t>
  </si>
  <si>
    <t>051-60-7216</t>
  </si>
  <si>
    <t>127-96-7620</t>
  </si>
  <si>
    <t>116-56-9672</t>
  </si>
  <si>
    <t>059-66-4834</t>
  </si>
  <si>
    <t>050-70-5504</t>
  </si>
  <si>
    <t>105-68-4147</t>
  </si>
  <si>
    <t>104-56-2006</t>
  </si>
  <si>
    <t>112-98-9221</t>
  </si>
  <si>
    <t>068-90-1392</t>
  </si>
  <si>
    <t>127-42-5546</t>
  </si>
  <si>
    <t>072-54-9330</t>
  </si>
  <si>
    <t>066-76-5444</t>
  </si>
  <si>
    <t>069-68-4613</t>
  </si>
  <si>
    <t>359-78-7522</t>
  </si>
  <si>
    <t>112-98-8334</t>
  </si>
  <si>
    <t>377-44-8873</t>
  </si>
  <si>
    <t>080-86-4018</t>
  </si>
  <si>
    <t>118-56-1550</t>
  </si>
  <si>
    <t>058-50-5191</t>
  </si>
  <si>
    <t>583-78-2300</t>
  </si>
  <si>
    <t>584-22-5295</t>
  </si>
  <si>
    <t>066-84-2062</t>
  </si>
  <si>
    <t>081-84-7167</t>
  </si>
  <si>
    <t>106-68-9482</t>
  </si>
  <si>
    <t>581-88-8112</t>
  </si>
  <si>
    <t>000-00-4219</t>
  </si>
  <si>
    <t>581-75-9889</t>
  </si>
  <si>
    <t>084-50-9809</t>
  </si>
  <si>
    <t>080-70-3580</t>
  </si>
  <si>
    <t>100-54-7668</t>
  </si>
  <si>
    <t>062-54-6005</t>
  </si>
  <si>
    <t>086-48-2152</t>
  </si>
  <si>
    <t>094-58-3516</t>
  </si>
  <si>
    <t>074-36-3120</t>
  </si>
  <si>
    <t>114-78-5084</t>
  </si>
  <si>
    <t>072-98-3866</t>
  </si>
  <si>
    <t>000-00-8902</t>
  </si>
  <si>
    <t>000-00-6286</t>
  </si>
  <si>
    <t>104-40-9953</t>
  </si>
  <si>
    <t>359-58-3514</t>
  </si>
  <si>
    <t>117-82-4105</t>
  </si>
  <si>
    <t>126-48-0614</t>
  </si>
  <si>
    <t>070-78-1970</t>
  </si>
  <si>
    <t>085-50-2719</t>
  </si>
  <si>
    <t>051-82-3570</t>
  </si>
  <si>
    <t>233-02-0051</t>
  </si>
  <si>
    <t>052-46-5357</t>
  </si>
  <si>
    <t>121-62-9499</t>
  </si>
  <si>
    <t>583-54-9823</t>
  </si>
  <si>
    <t>088-42-4781</t>
  </si>
  <si>
    <t>094-56-5789</t>
  </si>
  <si>
    <t>154-72-0727</t>
  </si>
  <si>
    <t>377-04-0695</t>
  </si>
  <si>
    <t>108-28-2340</t>
  </si>
  <si>
    <t>077-70-4462</t>
  </si>
  <si>
    <t>093-82-9730</t>
  </si>
  <si>
    <t>111-66-3225</t>
  </si>
  <si>
    <t>059-62-9331</t>
  </si>
  <si>
    <t>082-52-7119</t>
  </si>
  <si>
    <t>097-60-3286</t>
  </si>
  <si>
    <t>123-88-5390</t>
  </si>
  <si>
    <t>000-00-9077</t>
  </si>
  <si>
    <t>133-58-3032</t>
  </si>
  <si>
    <t>053-84-8766</t>
  </si>
  <si>
    <t>055-50-8675</t>
  </si>
  <si>
    <t>095-64-3185</t>
  </si>
  <si>
    <t>052-54-5396</t>
  </si>
  <si>
    <t>279-52-0987</t>
  </si>
  <si>
    <t>067-70-6245</t>
  </si>
  <si>
    <t>123-68-8724</t>
  </si>
  <si>
    <t>103-50-8117</t>
  </si>
  <si>
    <t>067-64-3361</t>
  </si>
  <si>
    <t>119-52-5006</t>
  </si>
  <si>
    <t>104-32-0617</t>
  </si>
  <si>
    <t>156-72-1990</t>
  </si>
  <si>
    <t>061-74-3568</t>
  </si>
  <si>
    <t>581-46-3019</t>
  </si>
  <si>
    <t>999-99-9999</t>
  </si>
  <si>
    <t>250-04-4650</t>
  </si>
  <si>
    <t>069-72-5393</t>
  </si>
  <si>
    <t>094-62-6919</t>
  </si>
  <si>
    <t>067-72-0783</t>
  </si>
  <si>
    <t>087-68-2342</t>
  </si>
  <si>
    <t>128-92-0344</t>
  </si>
  <si>
    <t>195-86-5442</t>
  </si>
  <si>
    <t>087-88-1015</t>
  </si>
  <si>
    <t>062-54-5804</t>
  </si>
  <si>
    <t>111-86-9048</t>
  </si>
  <si>
    <t>163-42-5038</t>
  </si>
  <si>
    <t>085-72-7021</t>
  </si>
  <si>
    <t>581-67-1674</t>
  </si>
  <si>
    <t>069-56-4280</t>
  </si>
  <si>
    <t>123-88-2249</t>
  </si>
  <si>
    <t>127-60-7211</t>
  </si>
  <si>
    <t>121-98-2773</t>
  </si>
  <si>
    <t>083-86-5042</t>
  </si>
  <si>
    <t>091-70-5239</t>
  </si>
  <si>
    <t>096-66-5787</t>
  </si>
  <si>
    <t>070-46-7829</t>
  </si>
  <si>
    <t>085-58-9145</t>
  </si>
  <si>
    <t>052-70-0892</t>
  </si>
  <si>
    <t>068-48-8275</t>
  </si>
  <si>
    <t>071-40-6716</t>
  </si>
  <si>
    <t>083-60-3258</t>
  </si>
  <si>
    <t>085-48-7962</t>
  </si>
  <si>
    <t>084-60-8407</t>
  </si>
  <si>
    <t>055-58-5672</t>
  </si>
  <si>
    <t>758-37-0163</t>
  </si>
  <si>
    <t>072-60-5573</t>
  </si>
  <si>
    <t>110-82-2652</t>
  </si>
  <si>
    <t>065-64-9016</t>
  </si>
  <si>
    <t>025-64-6550</t>
  </si>
  <si>
    <t>065-40-7700</t>
  </si>
  <si>
    <t>078-74-6038</t>
  </si>
  <si>
    <t>073-62-7777</t>
  </si>
  <si>
    <t>000-00-0349</t>
  </si>
  <si>
    <t>088-42-6232</t>
  </si>
  <si>
    <t>000-00-4473</t>
  </si>
  <si>
    <t>053-68-6319</t>
  </si>
  <si>
    <t>118-54-2101</t>
  </si>
  <si>
    <t>068-58-6529</t>
  </si>
  <si>
    <t>546-77-2211</t>
  </si>
  <si>
    <t>057-92-6427</t>
  </si>
  <si>
    <t>583-20-9056</t>
  </si>
  <si>
    <t>134-70-7159</t>
  </si>
  <si>
    <t>078-70-5975</t>
  </si>
  <si>
    <t>865-86-7838</t>
  </si>
  <si>
    <t>262-93-0699</t>
  </si>
  <si>
    <t>122-36-9434</t>
  </si>
  <si>
    <t>729-18-7560</t>
  </si>
  <si>
    <t>236-66-5231</t>
  </si>
  <si>
    <t>000-00-9649</t>
  </si>
  <si>
    <t>126-68-5017</t>
  </si>
  <si>
    <t>102-52-7374</t>
  </si>
  <si>
    <t>057-56-7231</t>
  </si>
  <si>
    <t>084-78-2051</t>
  </si>
  <si>
    <t>118-46-9004</t>
  </si>
  <si>
    <t>134-28-7924</t>
  </si>
  <si>
    <t>129-50-1474</t>
  </si>
  <si>
    <t>055-60-0118</t>
  </si>
  <si>
    <t>079-50-0331</t>
  </si>
  <si>
    <t>130-58-8477</t>
  </si>
  <si>
    <t>581-64-4634</t>
  </si>
  <si>
    <t>148-60-1760</t>
  </si>
  <si>
    <t>893-94-1879</t>
  </si>
  <si>
    <t>120-54-2166</t>
  </si>
  <si>
    <t>583-47-7551</t>
  </si>
  <si>
    <t>089-70-0842</t>
  </si>
  <si>
    <t>000-00-4409</t>
  </si>
  <si>
    <t>061-68-7477</t>
  </si>
  <si>
    <t>084-86-7598</t>
  </si>
  <si>
    <t>073-76-0735</t>
  </si>
  <si>
    <t>000-00-5760</t>
  </si>
  <si>
    <t>108-40-6603</t>
  </si>
  <si>
    <t>590-26-6788</t>
  </si>
  <si>
    <t>097-70-5274</t>
  </si>
  <si>
    <t>092-40-7625</t>
  </si>
  <si>
    <t>073-02-1406</t>
  </si>
  <si>
    <t>197-32-6777</t>
  </si>
  <si>
    <t>580-27-5785</t>
  </si>
  <si>
    <t>591-01-4055</t>
  </si>
  <si>
    <t>589-23-4399</t>
  </si>
  <si>
    <t>074-46-1890</t>
  </si>
  <si>
    <t>074-78-2751</t>
  </si>
  <si>
    <t>072-74-4734</t>
  </si>
  <si>
    <t>083-76-7025</t>
  </si>
  <si>
    <t>043-52-2819</t>
  </si>
  <si>
    <t>194-65-4864</t>
  </si>
  <si>
    <t>126-70-9635</t>
  </si>
  <si>
    <t>100-78-4734</t>
  </si>
  <si>
    <t>093-84-9934</t>
  </si>
  <si>
    <t>099-44-7045</t>
  </si>
  <si>
    <t>762-13-1563</t>
  </si>
  <si>
    <t>106-48-9252</t>
  </si>
  <si>
    <t>088-94-2041</t>
  </si>
  <si>
    <t>862-69-8155</t>
  </si>
  <si>
    <t>104-40-2638</t>
  </si>
  <si>
    <t>104-92-3063</t>
  </si>
  <si>
    <t>113-56-5950</t>
  </si>
  <si>
    <t>156-49-6673</t>
  </si>
  <si>
    <t>103-74-8303</t>
  </si>
  <si>
    <t>109-88-3339</t>
  </si>
  <si>
    <t>081-68-8799</t>
  </si>
  <si>
    <t>105-34-4504</t>
  </si>
  <si>
    <t>238-47-0292</t>
  </si>
  <si>
    <t>088-98-0666</t>
  </si>
  <si>
    <t>129-78-0632</t>
  </si>
  <si>
    <t>100-80-5792</t>
  </si>
  <si>
    <t>064-56-8677</t>
  </si>
  <si>
    <t>102-62-2887</t>
  </si>
  <si>
    <t>067-58-3872</t>
  </si>
  <si>
    <t>069-46-7647</t>
  </si>
  <si>
    <t>255-21-1421</t>
  </si>
  <si>
    <t>670-51-1002</t>
  </si>
  <si>
    <t>174-95-0848</t>
  </si>
  <si>
    <t>127-84-5060</t>
  </si>
  <si>
    <t>593-03-3171</t>
  </si>
  <si>
    <t>127-84-1342</t>
  </si>
  <si>
    <t>408-69-3048</t>
  </si>
  <si>
    <t>090-52-5150</t>
  </si>
  <si>
    <t>053-96-7708</t>
  </si>
  <si>
    <t>131-68-2755</t>
  </si>
  <si>
    <t>000-00-7833</t>
  </si>
  <si>
    <t>115-78-4315</t>
  </si>
  <si>
    <t>578-72-1205</t>
  </si>
  <si>
    <t>090-82-4511</t>
  </si>
  <si>
    <t>130-48-7994</t>
  </si>
  <si>
    <t>125-64-7009</t>
  </si>
  <si>
    <t>246-65-7650</t>
  </si>
  <si>
    <t>128-26-5162</t>
  </si>
  <si>
    <t>478-21-9172</t>
  </si>
  <si>
    <t>068-80-4361</t>
  </si>
  <si>
    <t>112-36-5156</t>
  </si>
  <si>
    <t>067-46-5820</t>
  </si>
  <si>
    <t>000-00-9952</t>
  </si>
  <si>
    <t>673-76-1425</t>
  </si>
  <si>
    <t>076-58-8477</t>
  </si>
  <si>
    <t>070-88-7611</t>
  </si>
  <si>
    <t>143-97-7751</t>
  </si>
  <si>
    <t>133-76-2262</t>
  </si>
  <si>
    <t>102-98-2065</t>
  </si>
  <si>
    <t>075-82-8008</t>
  </si>
  <si>
    <t>070-42-5556</t>
  </si>
  <si>
    <t>298-46-7618</t>
  </si>
  <si>
    <t>580-37-7897</t>
  </si>
  <si>
    <t>433-73-3540</t>
  </si>
  <si>
    <t>300-56-3275</t>
  </si>
  <si>
    <t>059-54-9523</t>
  </si>
  <si>
    <t>112-92-4236</t>
  </si>
  <si>
    <t>098-88-0607</t>
  </si>
  <si>
    <t>158-52-0769</t>
  </si>
  <si>
    <t>052-54-2516</t>
  </si>
  <si>
    <t>000-00-7480</t>
  </si>
  <si>
    <t>125-46-3667</t>
  </si>
  <si>
    <t>068-48-5106</t>
  </si>
  <si>
    <t>000-00-4848</t>
  </si>
  <si>
    <t>086-72-8728</t>
  </si>
  <si>
    <t>056-60-8341</t>
  </si>
  <si>
    <t>057-86-3392</t>
  </si>
  <si>
    <t>126-76-6025</t>
  </si>
  <si>
    <t>428-66-0813</t>
  </si>
  <si>
    <t>131-70-9663</t>
  </si>
  <si>
    <t>114-96-7528</t>
  </si>
  <si>
    <t>129-90-2688</t>
  </si>
  <si>
    <t>126-62-9928</t>
  </si>
  <si>
    <t>081-80-6178</t>
  </si>
  <si>
    <t>116-80-6742</t>
  </si>
  <si>
    <t>054-48-0009</t>
  </si>
  <si>
    <t>715-26-5027</t>
  </si>
  <si>
    <t>102-60-5194</t>
  </si>
  <si>
    <t>102-96-8739</t>
  </si>
  <si>
    <t>069-72-8929</t>
  </si>
  <si>
    <t>373-64-5954</t>
  </si>
  <si>
    <t>152-68-4308</t>
  </si>
  <si>
    <t>102-62-7314</t>
  </si>
  <si>
    <t>126-50-9074</t>
  </si>
  <si>
    <t>126-13-7947</t>
  </si>
  <si>
    <t>000-00-7216</t>
  </si>
  <si>
    <t>129-60-0035</t>
  </si>
  <si>
    <t>099-72-5450</t>
  </si>
  <si>
    <t>089-72-2213</t>
  </si>
  <si>
    <t>103-62-0516</t>
  </si>
  <si>
    <t>094-64-9085</t>
  </si>
  <si>
    <t>081-44-6643</t>
  </si>
  <si>
    <t>134-32-0118</t>
  </si>
  <si>
    <t>000-00-3670</t>
  </si>
  <si>
    <t>070-86-6463</t>
  </si>
  <si>
    <t>061-02-8917</t>
  </si>
  <si>
    <t>062-68-0411</t>
  </si>
  <si>
    <t>584-47-4471</t>
  </si>
  <si>
    <t>000-00-5113</t>
  </si>
  <si>
    <t>064-58-5051</t>
  </si>
  <si>
    <t>057-34-1734</t>
  </si>
  <si>
    <t>056-40-1468</t>
  </si>
  <si>
    <t>100-76-6561</t>
  </si>
  <si>
    <t>111-64-6730</t>
  </si>
  <si>
    <t>100-54-1483</t>
  </si>
  <si>
    <t>124-92-1988</t>
  </si>
  <si>
    <t>083-86-5750</t>
  </si>
  <si>
    <t>093-58-6703</t>
  </si>
  <si>
    <t>069-58-0202</t>
  </si>
  <si>
    <t>053-92-3642</t>
  </si>
  <si>
    <t>138-06-2503</t>
  </si>
  <si>
    <t>085-70-0759</t>
  </si>
  <si>
    <t>101-87-9429</t>
  </si>
  <si>
    <t>000-00-8489</t>
  </si>
  <si>
    <t>090-56-8808</t>
  </si>
  <si>
    <t>073-56-9766</t>
  </si>
  <si>
    <t>124-78-7454</t>
  </si>
  <si>
    <t>089-52-0390</t>
  </si>
  <si>
    <t>000-00-1788</t>
  </si>
  <si>
    <t>070-60-1058</t>
  </si>
  <si>
    <t>116-72-8003</t>
  </si>
  <si>
    <t>187-70-7024</t>
  </si>
  <si>
    <t>085-58-3440</t>
  </si>
  <si>
    <t>076-64-4349</t>
  </si>
  <si>
    <t>113-70-4557</t>
  </si>
  <si>
    <t>132-80-0224</t>
  </si>
  <si>
    <t>050-84-9419</t>
  </si>
  <si>
    <t>000-00-1064</t>
  </si>
  <si>
    <t>060-58-9508</t>
  </si>
  <si>
    <t>092-84-3259</t>
  </si>
  <si>
    <t>106-80-1752</t>
  </si>
  <si>
    <t>080-74-0099</t>
  </si>
  <si>
    <t>065-64-2804</t>
  </si>
  <si>
    <t>041-84-6055</t>
  </si>
  <si>
    <t>058-62-1216</t>
  </si>
  <si>
    <t>000-00-1216</t>
  </si>
  <si>
    <t>141-78-4009</t>
  </si>
  <si>
    <t>141-68-6532</t>
  </si>
  <si>
    <t>070-46-5684</t>
  </si>
  <si>
    <t>611-26-9717</t>
  </si>
  <si>
    <t>050-28-0673</t>
  </si>
  <si>
    <t>107-80-5800</t>
  </si>
  <si>
    <t>064-68-6086</t>
  </si>
  <si>
    <t>065-72-6768</t>
  </si>
  <si>
    <t>025-46-5873</t>
  </si>
  <si>
    <t>134-62-9568</t>
  </si>
  <si>
    <t>068-88-6285</t>
  </si>
  <si>
    <t>070-02-3583</t>
  </si>
  <si>
    <t>000-00-4565</t>
  </si>
  <si>
    <t>059-76-5877</t>
  </si>
  <si>
    <t>128-48-8728</t>
  </si>
  <si>
    <t>858-94-6918</t>
  </si>
  <si>
    <t>208-58-9688</t>
  </si>
  <si>
    <t>069-64-3494</t>
  </si>
  <si>
    <t>132-88-0017</t>
  </si>
  <si>
    <t>128-50-3227</t>
  </si>
  <si>
    <t>000-00-2160</t>
  </si>
  <si>
    <t>132-36-2113</t>
  </si>
  <si>
    <t>082-56-6937</t>
  </si>
  <si>
    <t>603-70-6655</t>
  </si>
  <si>
    <t>186-70-5725</t>
  </si>
  <si>
    <t>061-98-9525</t>
  </si>
  <si>
    <t>519-39-2805</t>
  </si>
  <si>
    <t>107-68-4705</t>
  </si>
  <si>
    <t>101-50-5332</t>
  </si>
  <si>
    <t>004-72-8629</t>
  </si>
  <si>
    <t>000-00-5025</t>
  </si>
  <si>
    <t>052-82-2957</t>
  </si>
  <si>
    <t>098-64-8015</t>
  </si>
  <si>
    <t>198-72-0111</t>
  </si>
  <si>
    <t>627-20-2678</t>
  </si>
  <si>
    <t>255-83-0669</t>
  </si>
  <si>
    <t>045-40-3737</t>
  </si>
  <si>
    <t>051-56-8784</t>
  </si>
  <si>
    <t>209-40-2166</t>
  </si>
  <si>
    <t>065-50-7123</t>
  </si>
  <si>
    <t>069-76-7824</t>
  </si>
  <si>
    <t>017-70-7033</t>
  </si>
  <si>
    <t>054-70-7207</t>
  </si>
  <si>
    <t>088-40-4774</t>
  </si>
  <si>
    <t>055-40-0059</t>
  </si>
  <si>
    <t>072-58-6750</t>
  </si>
  <si>
    <t>117-62-7802</t>
  </si>
  <si>
    <t>057-60-4094</t>
  </si>
  <si>
    <t>249-81-5160</t>
  </si>
  <si>
    <t>105-30-4113</t>
  </si>
  <si>
    <t>549-02-9948</t>
  </si>
  <si>
    <t>088-72-2873</t>
  </si>
  <si>
    <t>492-11-8787</t>
  </si>
  <si>
    <t>117-86-6544</t>
  </si>
  <si>
    <t>083-68-6866</t>
  </si>
  <si>
    <t>609-24-9962</t>
  </si>
  <si>
    <t>366-96-3121</t>
  </si>
  <si>
    <t>532-94-6576</t>
  </si>
  <si>
    <t>100-68-0083</t>
  </si>
  <si>
    <t>000-00-0303</t>
  </si>
  <si>
    <t>000-00-5374</t>
  </si>
  <si>
    <t>000-00-1612</t>
  </si>
  <si>
    <t>029-64-3712</t>
  </si>
  <si>
    <t>068-68-6129</t>
  </si>
  <si>
    <t>057-68-2109</t>
  </si>
  <si>
    <t>022-74-5857</t>
  </si>
  <si>
    <t>Unregulated</t>
  </si>
  <si>
    <t>Rent Stabilized</t>
  </si>
  <si>
    <t>HDFC</t>
  </si>
  <si>
    <t>Other Subsidized Housing</t>
  </si>
  <si>
    <t>Project-based Sec. 8</t>
  </si>
  <si>
    <t>Mitchell-Lama</t>
  </si>
  <si>
    <t>Public Housing/NYCHA</t>
  </si>
  <si>
    <t>Unregulated – Other</t>
  </si>
  <si>
    <t>Low Income Tax Credit</t>
  </si>
  <si>
    <t>Public Housing</t>
  </si>
  <si>
    <t>Rent Controlled</t>
  </si>
  <si>
    <t>Supportive Housing</t>
  </si>
  <si>
    <t>Unregulated – Sublet</t>
  </si>
  <si>
    <t>Unregulated – Co-Op</t>
  </si>
  <si>
    <t>Section 8</t>
  </si>
  <si>
    <t>HUD VASH</t>
  </si>
  <si>
    <t>DRIE/SCRIE</t>
  </si>
  <si>
    <t>FEPS</t>
  </si>
  <si>
    <t>City FEPS</t>
  </si>
  <si>
    <t>HASA</t>
  </si>
  <si>
    <t>SEPS</t>
  </si>
  <si>
    <t>LINC</t>
  </si>
  <si>
    <t>11/28/2016</t>
  </si>
  <si>
    <t>FJC Waiver</t>
  </si>
  <si>
    <t>Zip Code Waiver</t>
  </si>
  <si>
    <t>Income Waiver</t>
  </si>
  <si>
    <t>English</t>
  </si>
  <si>
    <t>Spanish</t>
  </si>
  <si>
    <t>Cantonese</t>
  </si>
  <si>
    <t>Bengali</t>
  </si>
  <si>
    <t>Polish</t>
  </si>
  <si>
    <t>Creole</t>
  </si>
  <si>
    <t>Chinese/Cantonese</t>
  </si>
  <si>
    <t>French Creole</t>
  </si>
  <si>
    <t>French</t>
  </si>
  <si>
    <t>Mandarin</t>
  </si>
  <si>
    <t>Chinese/Mandarin</t>
  </si>
  <si>
    <t>Portuguese</t>
  </si>
  <si>
    <t>Korean</t>
  </si>
  <si>
    <t>Russian</t>
  </si>
  <si>
    <t xml:space="preserve">Chinese </t>
  </si>
  <si>
    <t>DHCI requirement waived re building wide initiative in opposition to Facial Recognition</t>
  </si>
  <si>
    <t>Opposition to Facial Recogntion. Wavier for APT Facial Recognition. No DHCI Required.</t>
  </si>
  <si>
    <t>Atlantic Plaza Towers facial recognition advocacy</t>
  </si>
  <si>
    <t>releases in 19-1900448</t>
  </si>
  <si>
    <t>Neeeds New DHCI and Consent Form</t>
  </si>
  <si>
    <t>Compliance forms are in 19-1896778</t>
  </si>
  <si>
    <t>City FHEPS Case #:10154731</t>
  </si>
  <si>
    <t>Releases are in the attestation folder</t>
  </si>
  <si>
    <t>Compliance docs located in Master file #19-1895077</t>
  </si>
  <si>
    <t>see 19-1900440 for release and DHCI</t>
  </si>
  <si>
    <t>SCRIE</t>
  </si>
  <si>
    <t>Opposition to facial recognition. Wavier for APT facial recogniton. No DHCI required.</t>
  </si>
  <si>
    <t>Opposition to facial recogntiton. Wavier for APT Facial Recognition. No DHCI required.</t>
  </si>
  <si>
    <t>Opposition to facial recognition. Wavier for APT Facial Recognition. No DHCI required.</t>
  </si>
  <si>
    <t>Reasobable accom case; needs waiver</t>
  </si>
  <si>
    <t>overincome but will be part of group loft law case once bill is passed</t>
  </si>
  <si>
    <t>Atlantic Towers Group initiative client - needs income waiver</t>
  </si>
  <si>
    <t>Needs income waiver for building wide/group work</t>
  </si>
  <si>
    <t>Income waiver needed for participant in building wide initiative</t>
  </si>
  <si>
    <t>Filed for an Emergency Order to Show Cause</t>
  </si>
  <si>
    <t>Filed/Argued/Supplemented Dispositive or other Substantive Motion, Filed for an Emergency Order to Show Cause</t>
  </si>
  <si>
    <t>Counsel Assisted in Filing or Refiling of Answer, Filed/Argued/Supplemented Dispositive or other Substantive Motion</t>
  </si>
  <si>
    <t>Counsel Assisted in Filing or Refiling of Answer</t>
  </si>
  <si>
    <t>Counsel Assisted in Filing or Refiling of Answer, Filed for an Emergency Order to Show Cause</t>
  </si>
  <si>
    <t>Filed/Argued/Supplemented Dispositive or other Substantive Motion</t>
  </si>
  <si>
    <t>Case Discontinued/Dismissed/Landlord Fails to Prosecute</t>
  </si>
  <si>
    <t>Restored Access to Personal Property</t>
  </si>
  <si>
    <t>Case Discontinued/Dismissed/Landlord Fails to Prosecute, Case Resolved without Judgment of Eviction Against Client</t>
  </si>
  <si>
    <t>Case Discontinued/Dismissed/Landlord Fails to Prosecute, Case Resolved without Judgment of Eviction Against Client, Other</t>
  </si>
  <si>
    <t>Case Resolved without Judgment of Eviction Against Client, Secured Order or Agreement for Repairs in Apartment/Building, Secured Rent Abatement</t>
  </si>
  <si>
    <t>Obtain Ongoing Rent Subsidy</t>
  </si>
  <si>
    <t>Client Allowed to Remain in Residence</t>
  </si>
  <si>
    <t>Client Required to be Displaced from Residence</t>
  </si>
  <si>
    <t>2019-08-29</t>
  </si>
  <si>
    <t>2019-09-04</t>
  </si>
  <si>
    <t>2019-08-16</t>
  </si>
  <si>
    <t>2019-08-08</t>
  </si>
  <si>
    <t>2019-09-18</t>
  </si>
  <si>
    <t>2019-07-19</t>
  </si>
  <si>
    <t>2019-08-28</t>
  </si>
  <si>
    <t>2019-09-30</t>
  </si>
  <si>
    <t>2019-08-06</t>
  </si>
  <si>
    <t>2019-06-03</t>
  </si>
  <si>
    <t>2019-08-20</t>
  </si>
  <si>
    <t>2019-07-09</t>
  </si>
  <si>
    <t>2019-08-13</t>
  </si>
  <si>
    <t>2019-07-25</t>
  </si>
  <si>
    <t>2019-06-30</t>
  </si>
  <si>
    <t>2019-09-23</t>
  </si>
  <si>
    <t>2019-10-02</t>
  </si>
  <si>
    <t>2019-07-16</t>
  </si>
  <si>
    <t>2019-07-17</t>
  </si>
  <si>
    <t>2019-09-01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</si>
</sst>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573"/>
  <sheetViews>
    <sheetView tabSelected="1" workbookViewId="0"/>
  </sheetViews>
  <sheetFormatPr defaultRowHeight="15"/>
  <cols>
    <col min="1" max="1" width="20.7109375" style="1" customWidth="1"/>
  </cols>
  <sheetData>
    <row r="1" spans="1: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pans="1:45">
      <c r="A2" s="1">
        <f>HYPERLINK("https://lsnyc.legalserver.org/matter/dynamic-profile/view/1910667","19-1910667")</f>
        <v>0</v>
      </c>
      <c r="B2" t="s">
        <v>45</v>
      </c>
      <c r="C2" t="s">
        <v>134</v>
      </c>
      <c r="E2" t="s">
        <v>247</v>
      </c>
      <c r="F2" t="s">
        <v>682</v>
      </c>
      <c r="G2" t="s">
        <v>1114</v>
      </c>
      <c r="H2">
        <v>2</v>
      </c>
      <c r="I2" t="s">
        <v>1744</v>
      </c>
      <c r="J2">
        <v>11692</v>
      </c>
      <c r="K2" t="s">
        <v>1779</v>
      </c>
      <c r="L2" t="s">
        <v>1781</v>
      </c>
      <c r="M2" t="s">
        <v>1782</v>
      </c>
      <c r="N2" t="s">
        <v>1785</v>
      </c>
      <c r="O2" t="s">
        <v>2029</v>
      </c>
      <c r="P2" t="s">
        <v>2050</v>
      </c>
      <c r="R2" t="s">
        <v>2062</v>
      </c>
      <c r="S2" t="s">
        <v>1780</v>
      </c>
      <c r="T2" t="s">
        <v>2065</v>
      </c>
      <c r="U2" t="s">
        <v>2072</v>
      </c>
      <c r="V2" t="s">
        <v>134</v>
      </c>
      <c r="W2">
        <v>250</v>
      </c>
      <c r="X2" t="s">
        <v>2087</v>
      </c>
      <c r="Y2" t="s">
        <v>2092</v>
      </c>
      <c r="AA2" t="s">
        <v>2119</v>
      </c>
      <c r="AB2" t="s">
        <v>2663</v>
      </c>
      <c r="AC2" t="s">
        <v>2740</v>
      </c>
      <c r="AD2">
        <v>2</v>
      </c>
      <c r="AE2" t="s">
        <v>3222</v>
      </c>
      <c r="AF2" t="s">
        <v>3236</v>
      </c>
      <c r="AG2">
        <v>5</v>
      </c>
      <c r="AH2">
        <v>1</v>
      </c>
      <c r="AI2">
        <v>0</v>
      </c>
      <c r="AJ2">
        <v>0</v>
      </c>
      <c r="AM2" t="s">
        <v>3248</v>
      </c>
      <c r="AN2">
        <v>0</v>
      </c>
    </row>
    <row r="3" spans="1:45">
      <c r="A3" s="1">
        <f>HYPERLINK("https://lsnyc.legalserver.org/matter/dynamic-profile/view/1904337","19-1904337")</f>
        <v>0</v>
      </c>
      <c r="B3" t="s">
        <v>45</v>
      </c>
      <c r="C3" t="s">
        <v>135</v>
      </c>
      <c r="D3" t="s">
        <v>191</v>
      </c>
      <c r="E3" t="s">
        <v>248</v>
      </c>
      <c r="F3" t="s">
        <v>683</v>
      </c>
      <c r="G3" t="s">
        <v>1115</v>
      </c>
      <c r="I3" t="s">
        <v>1745</v>
      </c>
      <c r="J3">
        <v>11691</v>
      </c>
      <c r="K3" t="s">
        <v>1779</v>
      </c>
      <c r="L3" t="s">
        <v>1781</v>
      </c>
      <c r="M3" t="s">
        <v>1782</v>
      </c>
      <c r="N3" t="s">
        <v>1786</v>
      </c>
      <c r="O3" t="s">
        <v>1793</v>
      </c>
      <c r="P3" t="s">
        <v>2050</v>
      </c>
      <c r="Q3" t="s">
        <v>2057</v>
      </c>
      <c r="R3" t="s">
        <v>2063</v>
      </c>
      <c r="S3" t="s">
        <v>1780</v>
      </c>
      <c r="T3" t="s">
        <v>2065</v>
      </c>
      <c r="U3" t="s">
        <v>2073</v>
      </c>
      <c r="V3" t="s">
        <v>191</v>
      </c>
      <c r="W3">
        <v>600</v>
      </c>
      <c r="X3" t="s">
        <v>2087</v>
      </c>
      <c r="Y3" t="s">
        <v>2093</v>
      </c>
      <c r="Z3" t="s">
        <v>2110</v>
      </c>
      <c r="AA3" t="s">
        <v>2120</v>
      </c>
      <c r="AB3" t="s">
        <v>1783</v>
      </c>
      <c r="AC3" t="s">
        <v>2712</v>
      </c>
      <c r="AD3">
        <v>2</v>
      </c>
      <c r="AE3" t="s">
        <v>3222</v>
      </c>
      <c r="AF3" t="s">
        <v>1783</v>
      </c>
      <c r="AG3">
        <v>5</v>
      </c>
      <c r="AH3">
        <v>1</v>
      </c>
      <c r="AI3">
        <v>2</v>
      </c>
      <c r="AJ3">
        <v>0</v>
      </c>
      <c r="AK3" t="s">
        <v>3244</v>
      </c>
      <c r="AL3" t="s">
        <v>3245</v>
      </c>
      <c r="AM3" t="s">
        <v>3248</v>
      </c>
      <c r="AN3">
        <v>0</v>
      </c>
    </row>
    <row r="4" spans="1:45">
      <c r="A4" s="1">
        <f>HYPERLINK("https://lsnyc.legalserver.org/matter/dynamic-profile/view/1902338","19-1902338")</f>
        <v>0</v>
      </c>
      <c r="B4" t="s">
        <v>46</v>
      </c>
      <c r="C4" t="s">
        <v>136</v>
      </c>
      <c r="E4" t="s">
        <v>249</v>
      </c>
      <c r="F4" t="s">
        <v>684</v>
      </c>
      <c r="G4" t="s">
        <v>1116</v>
      </c>
      <c r="I4" t="s">
        <v>1745</v>
      </c>
      <c r="J4">
        <v>11691</v>
      </c>
      <c r="K4" t="s">
        <v>1779</v>
      </c>
      <c r="L4" t="s">
        <v>1781</v>
      </c>
      <c r="M4" t="s">
        <v>1782</v>
      </c>
      <c r="N4" t="s">
        <v>1787</v>
      </c>
      <c r="O4" t="s">
        <v>2030</v>
      </c>
      <c r="P4" t="s">
        <v>2051</v>
      </c>
      <c r="R4" t="s">
        <v>2062</v>
      </c>
      <c r="S4" t="s">
        <v>1780</v>
      </c>
      <c r="T4" t="s">
        <v>2065</v>
      </c>
      <c r="U4" t="s">
        <v>2073</v>
      </c>
      <c r="V4" t="s">
        <v>191</v>
      </c>
      <c r="W4">
        <v>1075</v>
      </c>
      <c r="X4" t="s">
        <v>2087</v>
      </c>
      <c r="Y4" t="s">
        <v>2094</v>
      </c>
      <c r="AA4" t="s">
        <v>2121</v>
      </c>
      <c r="AC4" t="s">
        <v>2741</v>
      </c>
      <c r="AD4">
        <v>602</v>
      </c>
      <c r="AE4" t="s">
        <v>2704</v>
      </c>
      <c r="AF4" t="s">
        <v>2094</v>
      </c>
      <c r="AG4">
        <v>3</v>
      </c>
      <c r="AH4">
        <v>1</v>
      </c>
      <c r="AI4">
        <v>0</v>
      </c>
      <c r="AJ4">
        <v>0</v>
      </c>
      <c r="AM4" t="s">
        <v>3249</v>
      </c>
      <c r="AN4">
        <v>0</v>
      </c>
    </row>
    <row r="5" spans="1:45">
      <c r="A5" s="1">
        <f>HYPERLINK("https://lsnyc.legalserver.org/matter/dynamic-profile/view/1904043","19-1904043")</f>
        <v>0</v>
      </c>
      <c r="B5" t="s">
        <v>47</v>
      </c>
      <c r="C5" t="s">
        <v>137</v>
      </c>
      <c r="E5" t="s">
        <v>250</v>
      </c>
      <c r="F5" t="s">
        <v>685</v>
      </c>
      <c r="G5" t="s">
        <v>1117</v>
      </c>
      <c r="H5" t="s">
        <v>1540</v>
      </c>
      <c r="I5" t="s">
        <v>1746</v>
      </c>
      <c r="J5">
        <v>11435</v>
      </c>
      <c r="K5" t="s">
        <v>1779</v>
      </c>
      <c r="L5" t="s">
        <v>1781</v>
      </c>
      <c r="M5" t="s">
        <v>1782</v>
      </c>
      <c r="N5" t="s">
        <v>1788</v>
      </c>
      <c r="O5" t="s">
        <v>2029</v>
      </c>
      <c r="P5" t="s">
        <v>2050</v>
      </c>
      <c r="R5" t="s">
        <v>2062</v>
      </c>
      <c r="S5" t="s">
        <v>1780</v>
      </c>
      <c r="T5" t="s">
        <v>2065</v>
      </c>
      <c r="U5" t="s">
        <v>2073</v>
      </c>
      <c r="V5" t="s">
        <v>137</v>
      </c>
      <c r="W5">
        <v>2200</v>
      </c>
      <c r="X5" t="s">
        <v>2087</v>
      </c>
      <c r="Y5" t="s">
        <v>2092</v>
      </c>
      <c r="AA5" t="s">
        <v>2122</v>
      </c>
      <c r="AC5" t="s">
        <v>2742</v>
      </c>
      <c r="AD5">
        <v>2</v>
      </c>
      <c r="AE5" t="s">
        <v>2704</v>
      </c>
      <c r="AF5" t="s">
        <v>1783</v>
      </c>
      <c r="AG5">
        <v>1</v>
      </c>
      <c r="AH5">
        <v>2</v>
      </c>
      <c r="AI5">
        <v>0</v>
      </c>
      <c r="AJ5">
        <v>0</v>
      </c>
      <c r="AM5" t="s">
        <v>3248</v>
      </c>
      <c r="AN5">
        <v>0</v>
      </c>
    </row>
    <row r="6" spans="1:45">
      <c r="A6" s="1">
        <f>HYPERLINK("https://lsnyc.legalserver.org/matter/dynamic-profile/view/1909542","19-1909542")</f>
        <v>0</v>
      </c>
      <c r="B6" t="s">
        <v>46</v>
      </c>
      <c r="C6" t="s">
        <v>138</v>
      </c>
      <c r="E6" t="s">
        <v>251</v>
      </c>
      <c r="F6" t="s">
        <v>321</v>
      </c>
      <c r="G6" t="s">
        <v>1118</v>
      </c>
      <c r="H6">
        <v>2</v>
      </c>
      <c r="I6" t="s">
        <v>1746</v>
      </c>
      <c r="J6">
        <v>11435</v>
      </c>
      <c r="K6" t="s">
        <v>1779</v>
      </c>
      <c r="L6" t="s">
        <v>1781</v>
      </c>
      <c r="M6" t="s">
        <v>1782</v>
      </c>
      <c r="N6" t="s">
        <v>1789</v>
      </c>
      <c r="O6" t="s">
        <v>2031</v>
      </c>
      <c r="P6" t="s">
        <v>2051</v>
      </c>
      <c r="R6" t="s">
        <v>2062</v>
      </c>
      <c r="S6" t="s">
        <v>1780</v>
      </c>
      <c r="T6" t="s">
        <v>2065</v>
      </c>
      <c r="V6" t="s">
        <v>138</v>
      </c>
      <c r="W6">
        <v>1650</v>
      </c>
      <c r="X6" t="s">
        <v>2087</v>
      </c>
      <c r="Y6" t="s">
        <v>2092</v>
      </c>
      <c r="AA6" t="s">
        <v>2123</v>
      </c>
      <c r="AC6" t="s">
        <v>2743</v>
      </c>
      <c r="AD6">
        <v>2</v>
      </c>
      <c r="AE6" t="s">
        <v>3222</v>
      </c>
      <c r="AF6" t="s">
        <v>1783</v>
      </c>
      <c r="AG6">
        <v>2</v>
      </c>
      <c r="AH6">
        <v>1</v>
      </c>
      <c r="AI6">
        <v>3</v>
      </c>
      <c r="AJ6">
        <v>0</v>
      </c>
      <c r="AM6" t="s">
        <v>3248</v>
      </c>
      <c r="AN6">
        <v>0</v>
      </c>
    </row>
    <row r="7" spans="1:45">
      <c r="A7" s="1">
        <f>HYPERLINK("https://lsnyc.legalserver.org/matter/dynamic-profile/view/1907457","19-1907457")</f>
        <v>0</v>
      </c>
      <c r="B7" t="s">
        <v>46</v>
      </c>
      <c r="C7" t="s">
        <v>139</v>
      </c>
      <c r="E7" t="s">
        <v>251</v>
      </c>
      <c r="F7" t="s">
        <v>321</v>
      </c>
      <c r="G7" t="s">
        <v>1119</v>
      </c>
      <c r="I7" t="s">
        <v>1746</v>
      </c>
      <c r="J7">
        <v>11435</v>
      </c>
      <c r="K7" t="s">
        <v>1779</v>
      </c>
      <c r="L7" t="s">
        <v>1781</v>
      </c>
      <c r="N7" t="s">
        <v>1789</v>
      </c>
      <c r="O7" t="s">
        <v>2030</v>
      </c>
      <c r="P7" t="s">
        <v>2051</v>
      </c>
      <c r="R7" t="s">
        <v>2062</v>
      </c>
      <c r="S7" t="s">
        <v>1780</v>
      </c>
      <c r="T7" t="s">
        <v>2065</v>
      </c>
      <c r="U7" t="s">
        <v>2073</v>
      </c>
      <c r="V7" t="s">
        <v>139</v>
      </c>
      <c r="W7">
        <v>1650</v>
      </c>
      <c r="X7" t="s">
        <v>2087</v>
      </c>
      <c r="Y7" t="s">
        <v>2092</v>
      </c>
      <c r="AA7" t="s">
        <v>2123</v>
      </c>
      <c r="AC7" t="s">
        <v>2743</v>
      </c>
      <c r="AD7">
        <v>2</v>
      </c>
      <c r="AE7" t="s">
        <v>3222</v>
      </c>
      <c r="AF7" t="s">
        <v>1783</v>
      </c>
      <c r="AG7">
        <v>2</v>
      </c>
      <c r="AH7">
        <v>1</v>
      </c>
      <c r="AI7">
        <v>3</v>
      </c>
      <c r="AJ7">
        <v>0</v>
      </c>
      <c r="AM7" t="s">
        <v>3248</v>
      </c>
      <c r="AN7">
        <v>0</v>
      </c>
    </row>
    <row r="8" spans="1:45">
      <c r="A8" s="1">
        <f>HYPERLINK("https://lsnyc.legalserver.org/matter/dynamic-profile/view/1906436","19-1906436")</f>
        <v>0</v>
      </c>
      <c r="B8" t="s">
        <v>48</v>
      </c>
      <c r="C8" t="s">
        <v>140</v>
      </c>
      <c r="E8" t="s">
        <v>252</v>
      </c>
      <c r="F8" t="s">
        <v>686</v>
      </c>
      <c r="G8" t="s">
        <v>1120</v>
      </c>
      <c r="I8" t="s">
        <v>1747</v>
      </c>
      <c r="J8">
        <v>11420</v>
      </c>
      <c r="K8" t="s">
        <v>1779</v>
      </c>
      <c r="L8" t="s">
        <v>1781</v>
      </c>
      <c r="M8" t="s">
        <v>1782</v>
      </c>
      <c r="O8" t="s">
        <v>1793</v>
      </c>
      <c r="P8" t="s">
        <v>2052</v>
      </c>
      <c r="R8" t="s">
        <v>2063</v>
      </c>
      <c r="S8" t="s">
        <v>1780</v>
      </c>
      <c r="T8" t="s">
        <v>2065</v>
      </c>
      <c r="V8" t="s">
        <v>140</v>
      </c>
      <c r="W8">
        <v>0.01</v>
      </c>
      <c r="X8" t="s">
        <v>2087</v>
      </c>
      <c r="Y8" t="s">
        <v>2093</v>
      </c>
      <c r="AA8" t="s">
        <v>2124</v>
      </c>
      <c r="AC8" t="s">
        <v>2744</v>
      </c>
      <c r="AD8">
        <v>3</v>
      </c>
      <c r="AE8" t="s">
        <v>3222</v>
      </c>
      <c r="AF8" t="s">
        <v>1783</v>
      </c>
      <c r="AG8">
        <v>9</v>
      </c>
      <c r="AH8">
        <v>1</v>
      </c>
      <c r="AI8">
        <v>2</v>
      </c>
      <c r="AJ8">
        <v>0</v>
      </c>
      <c r="AK8" t="s">
        <v>3244</v>
      </c>
      <c r="AL8" t="s">
        <v>3245</v>
      </c>
      <c r="AM8" t="s">
        <v>3249</v>
      </c>
      <c r="AN8">
        <v>0</v>
      </c>
    </row>
    <row r="9" spans="1:45">
      <c r="A9" s="1">
        <f>HYPERLINK("https://lsnyc.legalserver.org/matter/dynamic-profile/view/1909287","19-1909287")</f>
        <v>0</v>
      </c>
      <c r="B9" t="s">
        <v>49</v>
      </c>
      <c r="C9" t="s">
        <v>141</v>
      </c>
      <c r="E9" t="s">
        <v>253</v>
      </c>
      <c r="F9" t="s">
        <v>687</v>
      </c>
      <c r="G9" t="s">
        <v>1121</v>
      </c>
      <c r="H9" t="s">
        <v>1541</v>
      </c>
      <c r="I9" t="s">
        <v>1748</v>
      </c>
      <c r="J9">
        <v>11368</v>
      </c>
      <c r="K9" t="s">
        <v>1779</v>
      </c>
      <c r="L9" t="s">
        <v>1781</v>
      </c>
      <c r="M9" t="s">
        <v>1782</v>
      </c>
      <c r="N9" t="s">
        <v>1790</v>
      </c>
      <c r="O9" t="s">
        <v>2030</v>
      </c>
      <c r="P9" t="s">
        <v>2050</v>
      </c>
      <c r="R9" t="s">
        <v>2062</v>
      </c>
      <c r="S9" t="s">
        <v>1780</v>
      </c>
      <c r="T9" t="s">
        <v>2065</v>
      </c>
      <c r="V9" t="s">
        <v>141</v>
      </c>
      <c r="W9">
        <v>1079</v>
      </c>
      <c r="X9" t="s">
        <v>2087</v>
      </c>
      <c r="Y9" t="s">
        <v>2092</v>
      </c>
      <c r="AA9" t="s">
        <v>2125</v>
      </c>
      <c r="AB9" t="s">
        <v>2664</v>
      </c>
      <c r="AC9" t="s">
        <v>2745</v>
      </c>
      <c r="AD9">
        <v>180</v>
      </c>
      <c r="AE9" t="s">
        <v>3223</v>
      </c>
      <c r="AF9" t="s">
        <v>2094</v>
      </c>
      <c r="AG9">
        <v>2</v>
      </c>
      <c r="AH9">
        <v>1</v>
      </c>
      <c r="AI9">
        <v>0</v>
      </c>
      <c r="AJ9">
        <v>0</v>
      </c>
      <c r="AM9" t="s">
        <v>3248</v>
      </c>
      <c r="AN9">
        <v>0</v>
      </c>
    </row>
    <row r="10" spans="1:45">
      <c r="A10" s="1">
        <f>HYPERLINK("https://lsnyc.legalserver.org/matter/dynamic-profile/view/1910682","19-1910682")</f>
        <v>0</v>
      </c>
      <c r="B10" t="s">
        <v>50</v>
      </c>
      <c r="C10" t="s">
        <v>134</v>
      </c>
      <c r="E10" t="s">
        <v>254</v>
      </c>
      <c r="F10" t="s">
        <v>688</v>
      </c>
      <c r="G10" t="s">
        <v>1122</v>
      </c>
      <c r="H10">
        <v>11</v>
      </c>
      <c r="I10" t="s">
        <v>1749</v>
      </c>
      <c r="J10">
        <v>11238</v>
      </c>
      <c r="K10" t="s">
        <v>1779</v>
      </c>
      <c r="L10" t="s">
        <v>1781</v>
      </c>
      <c r="M10" t="s">
        <v>1782</v>
      </c>
      <c r="O10" t="s">
        <v>2029</v>
      </c>
      <c r="P10" t="s">
        <v>2052</v>
      </c>
      <c r="R10" t="s">
        <v>2062</v>
      </c>
      <c r="S10" t="s">
        <v>1780</v>
      </c>
      <c r="T10" t="s">
        <v>2065</v>
      </c>
      <c r="V10" t="s">
        <v>134</v>
      </c>
      <c r="W10">
        <v>1200</v>
      </c>
      <c r="X10" t="s">
        <v>2088</v>
      </c>
      <c r="AA10" t="s">
        <v>2126</v>
      </c>
      <c r="AC10" t="s">
        <v>2746</v>
      </c>
      <c r="AD10">
        <v>0</v>
      </c>
      <c r="AG10">
        <v>0</v>
      </c>
      <c r="AH10">
        <v>2</v>
      </c>
      <c r="AI10">
        <v>0</v>
      </c>
      <c r="AJ10">
        <v>0</v>
      </c>
      <c r="AM10" t="s">
        <v>3248</v>
      </c>
      <c r="AN10">
        <v>0</v>
      </c>
    </row>
    <row r="11" spans="1:45">
      <c r="A11" s="1">
        <f>HYPERLINK("https://lsnyc.legalserver.org/matter/dynamic-profile/view/1910906","19-1910906")</f>
        <v>0</v>
      </c>
      <c r="B11" t="s">
        <v>51</v>
      </c>
      <c r="C11" t="s">
        <v>142</v>
      </c>
      <c r="E11" t="s">
        <v>255</v>
      </c>
      <c r="F11" t="s">
        <v>689</v>
      </c>
      <c r="I11" t="s">
        <v>1749</v>
      </c>
      <c r="J11">
        <v>11238</v>
      </c>
      <c r="K11" t="s">
        <v>1779</v>
      </c>
      <c r="L11" t="s">
        <v>1781</v>
      </c>
      <c r="M11" t="s">
        <v>1782</v>
      </c>
      <c r="O11" t="s">
        <v>2030</v>
      </c>
      <c r="P11" t="s">
        <v>2051</v>
      </c>
      <c r="R11" t="s">
        <v>2062</v>
      </c>
      <c r="S11" t="s">
        <v>1779</v>
      </c>
      <c r="T11" t="s">
        <v>2065</v>
      </c>
      <c r="U11" t="s">
        <v>2073</v>
      </c>
      <c r="V11" t="s">
        <v>143</v>
      </c>
      <c r="W11">
        <v>0</v>
      </c>
      <c r="X11" t="s">
        <v>2088</v>
      </c>
      <c r="Y11" t="s">
        <v>2095</v>
      </c>
      <c r="AD11">
        <v>0</v>
      </c>
      <c r="AE11" t="s">
        <v>3223</v>
      </c>
      <c r="AG11">
        <v>0</v>
      </c>
      <c r="AH11">
        <v>1</v>
      </c>
      <c r="AI11">
        <v>0</v>
      </c>
      <c r="AJ11">
        <v>0</v>
      </c>
      <c r="AM11" t="s">
        <v>3248</v>
      </c>
      <c r="AN11">
        <v>0</v>
      </c>
    </row>
    <row r="12" spans="1:45">
      <c r="A12" s="1">
        <f>HYPERLINK("https://lsnyc.legalserver.org/matter/dynamic-profile/view/1910703","19-1910703")</f>
        <v>0</v>
      </c>
      <c r="B12" t="s">
        <v>51</v>
      </c>
      <c r="C12" t="s">
        <v>143</v>
      </c>
      <c r="E12" t="s">
        <v>256</v>
      </c>
      <c r="F12" t="s">
        <v>690</v>
      </c>
      <c r="G12" t="s">
        <v>1123</v>
      </c>
      <c r="H12" t="s">
        <v>1542</v>
      </c>
      <c r="I12" t="s">
        <v>1750</v>
      </c>
      <c r="J12">
        <v>11238</v>
      </c>
      <c r="K12" t="s">
        <v>1779</v>
      </c>
      <c r="L12" t="s">
        <v>1781</v>
      </c>
      <c r="M12" t="s">
        <v>1782</v>
      </c>
      <c r="R12" t="s">
        <v>2062</v>
      </c>
      <c r="S12" t="s">
        <v>1779</v>
      </c>
      <c r="T12" t="s">
        <v>2065</v>
      </c>
      <c r="V12" t="s">
        <v>192</v>
      </c>
      <c r="W12">
        <v>0</v>
      </c>
      <c r="X12" t="s">
        <v>2088</v>
      </c>
      <c r="AA12" t="s">
        <v>2127</v>
      </c>
      <c r="AC12" t="s">
        <v>2747</v>
      </c>
      <c r="AD12">
        <v>0</v>
      </c>
      <c r="AG12">
        <v>0</v>
      </c>
      <c r="AH12">
        <v>1</v>
      </c>
      <c r="AI12">
        <v>0</v>
      </c>
      <c r="AJ12">
        <v>0</v>
      </c>
      <c r="AM12" t="s">
        <v>3248</v>
      </c>
      <c r="AN12">
        <v>0</v>
      </c>
    </row>
    <row r="13" spans="1:45">
      <c r="A13" s="1">
        <f>HYPERLINK("https://lsnyc.legalserver.org/matter/dynamic-profile/view/1910536","19-1910536")</f>
        <v>0</v>
      </c>
      <c r="B13" t="s">
        <v>52</v>
      </c>
      <c r="C13" t="s">
        <v>144</v>
      </c>
      <c r="E13" t="s">
        <v>257</v>
      </c>
      <c r="F13" t="s">
        <v>691</v>
      </c>
      <c r="G13" t="s">
        <v>1124</v>
      </c>
      <c r="I13" t="s">
        <v>1749</v>
      </c>
      <c r="J13">
        <v>11233</v>
      </c>
      <c r="K13" t="s">
        <v>1779</v>
      </c>
      <c r="L13" t="s">
        <v>1781</v>
      </c>
      <c r="M13" t="s">
        <v>1783</v>
      </c>
      <c r="N13" t="s">
        <v>1791</v>
      </c>
      <c r="O13" t="s">
        <v>2032</v>
      </c>
      <c r="P13" t="s">
        <v>2053</v>
      </c>
      <c r="R13" t="s">
        <v>2062</v>
      </c>
      <c r="S13" t="s">
        <v>1779</v>
      </c>
      <c r="T13" t="s">
        <v>2065</v>
      </c>
      <c r="U13" t="s">
        <v>2073</v>
      </c>
      <c r="V13" t="s">
        <v>2079</v>
      </c>
      <c r="W13">
        <v>0</v>
      </c>
      <c r="X13" t="s">
        <v>2088</v>
      </c>
      <c r="Y13" t="s">
        <v>2096</v>
      </c>
      <c r="AA13" t="s">
        <v>2128</v>
      </c>
      <c r="AB13" t="s">
        <v>1799</v>
      </c>
      <c r="AD13">
        <v>359</v>
      </c>
      <c r="AE13" t="s">
        <v>3223</v>
      </c>
      <c r="AF13" t="s">
        <v>2094</v>
      </c>
      <c r="AG13">
        <v>0</v>
      </c>
      <c r="AH13">
        <v>4</v>
      </c>
      <c r="AI13">
        <v>0</v>
      </c>
      <c r="AJ13">
        <v>0</v>
      </c>
      <c r="AM13" t="s">
        <v>3248</v>
      </c>
      <c r="AN13">
        <v>0</v>
      </c>
      <c r="AO13" t="s">
        <v>3263</v>
      </c>
    </row>
    <row r="14" spans="1:45">
      <c r="A14" s="1">
        <f>HYPERLINK("https://lsnyc.legalserver.org/matter/dynamic-profile/view/1905738","19-1905738")</f>
        <v>0</v>
      </c>
      <c r="B14" t="s">
        <v>53</v>
      </c>
      <c r="C14" t="s">
        <v>145</v>
      </c>
      <c r="E14" t="s">
        <v>258</v>
      </c>
      <c r="F14" t="s">
        <v>692</v>
      </c>
      <c r="G14" t="s">
        <v>1125</v>
      </c>
      <c r="H14" t="s">
        <v>1543</v>
      </c>
      <c r="I14" t="s">
        <v>1749</v>
      </c>
      <c r="J14">
        <v>11233</v>
      </c>
      <c r="K14" t="s">
        <v>1779</v>
      </c>
      <c r="L14" t="s">
        <v>1781</v>
      </c>
      <c r="M14" t="s">
        <v>1784</v>
      </c>
      <c r="N14" t="s">
        <v>1792</v>
      </c>
      <c r="O14" t="s">
        <v>1793</v>
      </c>
      <c r="P14" t="s">
        <v>2050</v>
      </c>
      <c r="R14" t="s">
        <v>2062</v>
      </c>
      <c r="S14" t="s">
        <v>1780</v>
      </c>
      <c r="T14" t="s">
        <v>2065</v>
      </c>
      <c r="V14" t="s">
        <v>145</v>
      </c>
      <c r="W14">
        <v>215</v>
      </c>
      <c r="X14" t="s">
        <v>2088</v>
      </c>
      <c r="Y14" t="s">
        <v>2094</v>
      </c>
      <c r="AA14" t="s">
        <v>2129</v>
      </c>
      <c r="AB14" t="s">
        <v>2665</v>
      </c>
      <c r="AC14" t="s">
        <v>2748</v>
      </c>
      <c r="AD14">
        <v>48</v>
      </c>
      <c r="AE14" t="s">
        <v>3224</v>
      </c>
      <c r="AF14" t="s">
        <v>2094</v>
      </c>
      <c r="AG14">
        <v>4</v>
      </c>
      <c r="AH14">
        <v>1</v>
      </c>
      <c r="AI14">
        <v>0</v>
      </c>
      <c r="AJ14">
        <v>0</v>
      </c>
      <c r="AM14" t="s">
        <v>3248</v>
      </c>
      <c r="AN14">
        <v>0</v>
      </c>
    </row>
    <row r="15" spans="1:45">
      <c r="A15" s="1">
        <f>HYPERLINK("https://lsnyc.legalserver.org/matter/dynamic-profile/view/1906126","19-1906126")</f>
        <v>0</v>
      </c>
      <c r="B15" t="s">
        <v>54</v>
      </c>
      <c r="C15" t="s">
        <v>146</v>
      </c>
      <c r="D15" t="s">
        <v>201</v>
      </c>
      <c r="E15" t="s">
        <v>259</v>
      </c>
      <c r="F15" t="s">
        <v>693</v>
      </c>
      <c r="G15" t="s">
        <v>1126</v>
      </c>
      <c r="H15">
        <v>4</v>
      </c>
      <c r="I15" t="s">
        <v>1749</v>
      </c>
      <c r="J15">
        <v>11233</v>
      </c>
      <c r="K15" t="s">
        <v>1779</v>
      </c>
      <c r="L15" t="s">
        <v>1781</v>
      </c>
      <c r="M15" t="s">
        <v>1782</v>
      </c>
      <c r="N15" t="s">
        <v>1793</v>
      </c>
      <c r="O15" t="s">
        <v>1793</v>
      </c>
      <c r="P15" t="s">
        <v>2050</v>
      </c>
      <c r="Q15" t="s">
        <v>2057</v>
      </c>
      <c r="R15" t="s">
        <v>2062</v>
      </c>
      <c r="S15" t="s">
        <v>1780</v>
      </c>
      <c r="T15" t="s">
        <v>2065</v>
      </c>
      <c r="V15" t="s">
        <v>140</v>
      </c>
      <c r="W15">
        <v>2500</v>
      </c>
      <c r="X15" t="s">
        <v>2088</v>
      </c>
      <c r="Z15" t="s">
        <v>2110</v>
      </c>
      <c r="AA15" t="s">
        <v>2130</v>
      </c>
      <c r="AC15" t="s">
        <v>2749</v>
      </c>
      <c r="AD15">
        <v>8</v>
      </c>
      <c r="AG15">
        <v>1</v>
      </c>
      <c r="AH15">
        <v>1</v>
      </c>
      <c r="AI15">
        <v>0</v>
      </c>
      <c r="AJ15">
        <v>0</v>
      </c>
      <c r="AM15" t="s">
        <v>3248</v>
      </c>
      <c r="AN15">
        <v>0</v>
      </c>
    </row>
    <row r="16" spans="1:45">
      <c r="A16" s="1">
        <f>HYPERLINK("https://lsnyc.legalserver.org/matter/dynamic-profile/view/1904189","19-1904189")</f>
        <v>0</v>
      </c>
      <c r="B16" t="s">
        <v>55</v>
      </c>
      <c r="C16" t="s">
        <v>147</v>
      </c>
      <c r="E16" t="s">
        <v>260</v>
      </c>
      <c r="F16" t="s">
        <v>694</v>
      </c>
      <c r="G16" t="s">
        <v>1127</v>
      </c>
      <c r="H16" t="s">
        <v>1544</v>
      </c>
      <c r="I16" t="s">
        <v>1749</v>
      </c>
      <c r="J16">
        <v>11233</v>
      </c>
      <c r="K16" t="s">
        <v>1779</v>
      </c>
      <c r="L16" t="s">
        <v>1781</v>
      </c>
      <c r="M16" t="s">
        <v>1782</v>
      </c>
      <c r="N16" t="s">
        <v>1794</v>
      </c>
      <c r="O16" t="s">
        <v>2030</v>
      </c>
      <c r="P16" t="s">
        <v>2051</v>
      </c>
      <c r="R16" t="s">
        <v>2062</v>
      </c>
      <c r="S16" t="s">
        <v>1780</v>
      </c>
      <c r="T16" t="s">
        <v>2065</v>
      </c>
      <c r="U16" t="s">
        <v>2073</v>
      </c>
      <c r="V16" t="s">
        <v>2079</v>
      </c>
      <c r="W16">
        <v>980</v>
      </c>
      <c r="X16" t="s">
        <v>2088</v>
      </c>
      <c r="Y16" t="s">
        <v>2095</v>
      </c>
      <c r="AA16" t="s">
        <v>2131</v>
      </c>
      <c r="AB16" t="s">
        <v>1799</v>
      </c>
      <c r="AC16" t="s">
        <v>2750</v>
      </c>
      <c r="AD16">
        <v>1107</v>
      </c>
      <c r="AE16" t="s">
        <v>3223</v>
      </c>
      <c r="AF16" t="s">
        <v>3237</v>
      </c>
      <c r="AG16">
        <v>35</v>
      </c>
      <c r="AH16">
        <v>1</v>
      </c>
      <c r="AI16">
        <v>2</v>
      </c>
      <c r="AJ16">
        <v>0</v>
      </c>
      <c r="AM16" t="s">
        <v>3248</v>
      </c>
      <c r="AN16">
        <v>0</v>
      </c>
    </row>
    <row r="17" spans="1:45">
      <c r="A17" s="1">
        <f>HYPERLINK("https://lsnyc.legalserver.org/matter/dynamic-profile/view/1907358","19-1907358")</f>
        <v>0</v>
      </c>
      <c r="B17" t="s">
        <v>56</v>
      </c>
      <c r="C17" t="s">
        <v>148</v>
      </c>
      <c r="E17" t="s">
        <v>261</v>
      </c>
      <c r="F17" t="s">
        <v>695</v>
      </c>
      <c r="G17" t="s">
        <v>1128</v>
      </c>
      <c r="H17" t="s">
        <v>1545</v>
      </c>
      <c r="I17" t="s">
        <v>1749</v>
      </c>
      <c r="J17">
        <v>11233</v>
      </c>
      <c r="K17" t="s">
        <v>1779</v>
      </c>
      <c r="L17" t="s">
        <v>1781</v>
      </c>
      <c r="M17" t="s">
        <v>1782</v>
      </c>
      <c r="N17" t="s">
        <v>1795</v>
      </c>
      <c r="O17" t="s">
        <v>2030</v>
      </c>
      <c r="P17" t="s">
        <v>2051</v>
      </c>
      <c r="R17" t="s">
        <v>2062</v>
      </c>
      <c r="S17" t="s">
        <v>1780</v>
      </c>
      <c r="T17" t="s">
        <v>2065</v>
      </c>
      <c r="V17" t="s">
        <v>139</v>
      </c>
      <c r="W17">
        <v>1542</v>
      </c>
      <c r="X17" t="s">
        <v>2088</v>
      </c>
      <c r="Y17" t="s">
        <v>2094</v>
      </c>
      <c r="AA17" t="s">
        <v>2132</v>
      </c>
      <c r="AC17" t="s">
        <v>2751</v>
      </c>
      <c r="AD17">
        <v>287</v>
      </c>
      <c r="AF17" t="s">
        <v>1783</v>
      </c>
      <c r="AG17">
        <v>4</v>
      </c>
      <c r="AH17">
        <v>1</v>
      </c>
      <c r="AI17">
        <v>2</v>
      </c>
      <c r="AJ17">
        <v>0</v>
      </c>
      <c r="AM17" t="s">
        <v>3248</v>
      </c>
      <c r="AN17">
        <v>0</v>
      </c>
    </row>
    <row r="18" spans="1:45">
      <c r="A18" s="1">
        <f>HYPERLINK("https://lsnyc.legalserver.org/matter/dynamic-profile/view/1907517","19-1907517")</f>
        <v>0</v>
      </c>
      <c r="B18" t="s">
        <v>55</v>
      </c>
      <c r="C18" t="s">
        <v>139</v>
      </c>
      <c r="E18" t="s">
        <v>262</v>
      </c>
      <c r="F18" t="s">
        <v>696</v>
      </c>
      <c r="G18" t="s">
        <v>1127</v>
      </c>
      <c r="H18" t="s">
        <v>1546</v>
      </c>
      <c r="I18" t="s">
        <v>1749</v>
      </c>
      <c r="J18">
        <v>11233</v>
      </c>
      <c r="K18" t="s">
        <v>1779</v>
      </c>
      <c r="L18" t="s">
        <v>1781</v>
      </c>
      <c r="M18" t="s">
        <v>1782</v>
      </c>
      <c r="N18" t="s">
        <v>1796</v>
      </c>
      <c r="O18" t="s">
        <v>2030</v>
      </c>
      <c r="P18" t="s">
        <v>2051</v>
      </c>
      <c r="R18" t="s">
        <v>2062</v>
      </c>
      <c r="S18" t="s">
        <v>1780</v>
      </c>
      <c r="T18" t="s">
        <v>2065</v>
      </c>
      <c r="V18" t="s">
        <v>139</v>
      </c>
      <c r="W18">
        <v>997.45</v>
      </c>
      <c r="X18" t="s">
        <v>2088</v>
      </c>
      <c r="Y18" t="s">
        <v>2094</v>
      </c>
      <c r="AA18" t="s">
        <v>2133</v>
      </c>
      <c r="AD18">
        <v>1107</v>
      </c>
      <c r="AE18" t="s">
        <v>3223</v>
      </c>
      <c r="AF18" t="s">
        <v>1783</v>
      </c>
      <c r="AG18">
        <v>9</v>
      </c>
      <c r="AH18">
        <v>3</v>
      </c>
      <c r="AI18">
        <v>0</v>
      </c>
      <c r="AJ18">
        <v>0</v>
      </c>
      <c r="AM18" t="s">
        <v>3248</v>
      </c>
      <c r="AN18">
        <v>0</v>
      </c>
    </row>
    <row r="19" spans="1:45">
      <c r="A19" s="1">
        <f>HYPERLINK("https://lsnyc.legalserver.org/matter/dynamic-profile/view/1908279","19-1908279")</f>
        <v>0</v>
      </c>
      <c r="B19" t="s">
        <v>57</v>
      </c>
      <c r="C19" t="s">
        <v>149</v>
      </c>
      <c r="D19" t="s">
        <v>241</v>
      </c>
      <c r="E19" t="s">
        <v>263</v>
      </c>
      <c r="F19" t="s">
        <v>536</v>
      </c>
      <c r="G19" t="s">
        <v>1129</v>
      </c>
      <c r="H19" t="s">
        <v>1547</v>
      </c>
      <c r="I19" t="s">
        <v>1749</v>
      </c>
      <c r="J19">
        <v>11233</v>
      </c>
      <c r="K19" t="s">
        <v>1779</v>
      </c>
      <c r="L19" t="s">
        <v>1781</v>
      </c>
      <c r="M19" t="s">
        <v>1782</v>
      </c>
      <c r="N19" t="s">
        <v>1797</v>
      </c>
      <c r="O19" t="s">
        <v>2030</v>
      </c>
      <c r="P19" t="s">
        <v>2051</v>
      </c>
      <c r="Q19" t="s">
        <v>2058</v>
      </c>
      <c r="R19" t="s">
        <v>2062</v>
      </c>
      <c r="S19" t="s">
        <v>1780</v>
      </c>
      <c r="T19" t="s">
        <v>2065</v>
      </c>
      <c r="U19" t="s">
        <v>2074</v>
      </c>
      <c r="V19" t="s">
        <v>238</v>
      </c>
      <c r="W19">
        <v>0</v>
      </c>
      <c r="X19" t="s">
        <v>2088</v>
      </c>
      <c r="Z19" t="s">
        <v>2111</v>
      </c>
      <c r="AA19" t="s">
        <v>2134</v>
      </c>
      <c r="AB19" t="s">
        <v>2666</v>
      </c>
      <c r="AC19" t="s">
        <v>2752</v>
      </c>
      <c r="AD19">
        <v>110</v>
      </c>
      <c r="AE19" t="s">
        <v>2704</v>
      </c>
      <c r="AF19" t="s">
        <v>2094</v>
      </c>
      <c r="AG19">
        <v>0</v>
      </c>
      <c r="AH19">
        <v>1</v>
      </c>
      <c r="AI19">
        <v>2</v>
      </c>
      <c r="AJ19">
        <v>0</v>
      </c>
      <c r="AM19" t="s">
        <v>3248</v>
      </c>
      <c r="AN19">
        <v>0</v>
      </c>
      <c r="AP19" t="s">
        <v>3282</v>
      </c>
      <c r="AQ19" t="s">
        <v>3288</v>
      </c>
      <c r="AR19" t="s">
        <v>3294</v>
      </c>
      <c r="AS19" t="s">
        <v>3296</v>
      </c>
    </row>
    <row r="20" spans="1:45">
      <c r="A20" s="1">
        <f>HYPERLINK("https://lsnyc.legalserver.org/matter/dynamic-profile/view/1906163","19-1906163")</f>
        <v>0</v>
      </c>
      <c r="B20" t="s">
        <v>58</v>
      </c>
      <c r="C20" t="s">
        <v>140</v>
      </c>
      <c r="E20" t="s">
        <v>258</v>
      </c>
      <c r="F20" t="s">
        <v>697</v>
      </c>
      <c r="G20" t="s">
        <v>1130</v>
      </c>
      <c r="H20" t="s">
        <v>1548</v>
      </c>
      <c r="I20" t="s">
        <v>1749</v>
      </c>
      <c r="J20">
        <v>11232</v>
      </c>
      <c r="K20" t="s">
        <v>1779</v>
      </c>
      <c r="L20" t="s">
        <v>1781</v>
      </c>
      <c r="M20" t="s">
        <v>1782</v>
      </c>
      <c r="N20" t="s">
        <v>1798</v>
      </c>
      <c r="O20" t="s">
        <v>2029</v>
      </c>
      <c r="P20" t="s">
        <v>2050</v>
      </c>
      <c r="R20" t="s">
        <v>2062</v>
      </c>
      <c r="S20" t="s">
        <v>1780</v>
      </c>
      <c r="T20" t="s">
        <v>2065</v>
      </c>
      <c r="U20" t="s">
        <v>2073</v>
      </c>
      <c r="V20" t="s">
        <v>146</v>
      </c>
      <c r="W20">
        <v>600</v>
      </c>
      <c r="X20" t="s">
        <v>2088</v>
      </c>
      <c r="Y20" t="s">
        <v>2092</v>
      </c>
      <c r="AA20" t="s">
        <v>2135</v>
      </c>
      <c r="AB20" t="s">
        <v>1783</v>
      </c>
      <c r="AC20" t="s">
        <v>2753</v>
      </c>
      <c r="AD20">
        <v>6</v>
      </c>
      <c r="AE20" t="s">
        <v>2704</v>
      </c>
      <c r="AF20" t="s">
        <v>1783</v>
      </c>
      <c r="AG20">
        <v>22</v>
      </c>
      <c r="AH20">
        <v>1</v>
      </c>
      <c r="AI20">
        <v>0</v>
      </c>
      <c r="AJ20">
        <v>0</v>
      </c>
      <c r="AM20" t="s">
        <v>3248</v>
      </c>
      <c r="AN20">
        <v>0</v>
      </c>
    </row>
    <row r="21" spans="1:45">
      <c r="A21" s="1">
        <f>HYPERLINK("https://lsnyc.legalserver.org/matter/dynamic-profile/view/1910440","19-1910440")</f>
        <v>0</v>
      </c>
      <c r="B21" t="s">
        <v>59</v>
      </c>
      <c r="C21" t="s">
        <v>150</v>
      </c>
      <c r="E21" t="s">
        <v>264</v>
      </c>
      <c r="F21" t="s">
        <v>698</v>
      </c>
      <c r="G21" t="s">
        <v>1131</v>
      </c>
      <c r="H21" t="s">
        <v>1549</v>
      </c>
      <c r="I21" t="s">
        <v>1749</v>
      </c>
      <c r="J21">
        <v>11231</v>
      </c>
      <c r="K21" t="s">
        <v>1779</v>
      </c>
      <c r="L21" t="s">
        <v>1781</v>
      </c>
      <c r="O21" t="s">
        <v>2033</v>
      </c>
      <c r="P21" t="s">
        <v>2054</v>
      </c>
      <c r="R21" t="s">
        <v>2062</v>
      </c>
      <c r="T21" t="s">
        <v>2065</v>
      </c>
      <c r="V21" t="s">
        <v>177</v>
      </c>
      <c r="W21">
        <v>0</v>
      </c>
      <c r="X21" t="s">
        <v>2088</v>
      </c>
      <c r="AA21" t="s">
        <v>2136</v>
      </c>
      <c r="AB21" t="s">
        <v>2667</v>
      </c>
      <c r="AC21" t="s">
        <v>2754</v>
      </c>
      <c r="AD21">
        <v>0</v>
      </c>
      <c r="AG21">
        <v>0</v>
      </c>
      <c r="AH21">
        <v>4</v>
      </c>
      <c r="AI21">
        <v>1</v>
      </c>
      <c r="AJ21">
        <v>0</v>
      </c>
      <c r="AM21" t="s">
        <v>3248</v>
      </c>
      <c r="AN21">
        <v>0</v>
      </c>
    </row>
    <row r="22" spans="1:45">
      <c r="A22" s="1">
        <f>HYPERLINK("https://lsnyc.legalserver.org/matter/dynamic-profile/view/1907514","19-1907514")</f>
        <v>0</v>
      </c>
      <c r="B22" t="s">
        <v>60</v>
      </c>
      <c r="C22" t="s">
        <v>139</v>
      </c>
      <c r="E22" t="s">
        <v>265</v>
      </c>
      <c r="F22" t="s">
        <v>699</v>
      </c>
      <c r="G22" t="s">
        <v>1132</v>
      </c>
      <c r="H22" t="s">
        <v>1550</v>
      </c>
      <c r="I22" t="s">
        <v>1749</v>
      </c>
      <c r="J22">
        <v>11225</v>
      </c>
      <c r="K22" t="s">
        <v>1779</v>
      </c>
      <c r="L22" t="s">
        <v>1781</v>
      </c>
      <c r="M22" t="s">
        <v>1782</v>
      </c>
      <c r="O22" t="s">
        <v>2033</v>
      </c>
      <c r="P22" t="s">
        <v>2054</v>
      </c>
      <c r="R22" t="s">
        <v>2062</v>
      </c>
      <c r="S22" t="s">
        <v>1779</v>
      </c>
      <c r="T22" t="s">
        <v>2065</v>
      </c>
      <c r="V22" t="s">
        <v>139</v>
      </c>
      <c r="W22">
        <v>0</v>
      </c>
      <c r="X22" t="s">
        <v>2088</v>
      </c>
      <c r="AA22" t="s">
        <v>2137</v>
      </c>
      <c r="AD22">
        <v>46</v>
      </c>
      <c r="AG22">
        <v>0</v>
      </c>
      <c r="AH22">
        <v>3</v>
      </c>
      <c r="AI22">
        <v>2</v>
      </c>
      <c r="AJ22">
        <v>0</v>
      </c>
      <c r="AM22" t="s">
        <v>3248</v>
      </c>
      <c r="AN22">
        <v>0</v>
      </c>
    </row>
    <row r="23" spans="1:45">
      <c r="A23" s="1">
        <f>HYPERLINK("https://lsnyc.legalserver.org/matter/dynamic-profile/view/1907437","19-1907437")</f>
        <v>0</v>
      </c>
      <c r="B23" t="s">
        <v>57</v>
      </c>
      <c r="C23" t="s">
        <v>139</v>
      </c>
      <c r="D23" t="s">
        <v>141</v>
      </c>
      <c r="E23" t="s">
        <v>266</v>
      </c>
      <c r="F23" t="s">
        <v>700</v>
      </c>
      <c r="G23" t="s">
        <v>1133</v>
      </c>
      <c r="H23" t="s">
        <v>1551</v>
      </c>
      <c r="I23" t="s">
        <v>1749</v>
      </c>
      <c r="J23">
        <v>11222</v>
      </c>
      <c r="K23" t="s">
        <v>1779</v>
      </c>
      <c r="L23" t="s">
        <v>1781</v>
      </c>
      <c r="M23" t="s">
        <v>1784</v>
      </c>
      <c r="N23" t="s">
        <v>1799</v>
      </c>
      <c r="O23" t="s">
        <v>2031</v>
      </c>
      <c r="P23" t="s">
        <v>2050</v>
      </c>
      <c r="Q23" t="s">
        <v>2057</v>
      </c>
      <c r="R23" t="s">
        <v>2062</v>
      </c>
      <c r="S23" t="s">
        <v>1780</v>
      </c>
      <c r="T23" t="s">
        <v>2065</v>
      </c>
      <c r="U23" t="s">
        <v>2073</v>
      </c>
      <c r="V23" t="s">
        <v>157</v>
      </c>
      <c r="W23">
        <v>2400</v>
      </c>
      <c r="X23" t="s">
        <v>2088</v>
      </c>
      <c r="Y23" t="s">
        <v>2094</v>
      </c>
      <c r="Z23" t="s">
        <v>2110</v>
      </c>
      <c r="AA23" t="s">
        <v>2138</v>
      </c>
      <c r="AB23" t="s">
        <v>1799</v>
      </c>
      <c r="AC23" t="s">
        <v>2755</v>
      </c>
      <c r="AD23">
        <v>4</v>
      </c>
      <c r="AE23" t="s">
        <v>3223</v>
      </c>
      <c r="AF23" t="s">
        <v>1783</v>
      </c>
      <c r="AG23">
        <v>10</v>
      </c>
      <c r="AH23">
        <v>1</v>
      </c>
      <c r="AI23">
        <v>0</v>
      </c>
      <c r="AJ23">
        <v>0</v>
      </c>
      <c r="AM23" t="s">
        <v>3248</v>
      </c>
      <c r="AN23">
        <v>0</v>
      </c>
    </row>
    <row r="24" spans="1:45">
      <c r="A24" s="1">
        <f>HYPERLINK("https://lsnyc.legalserver.org/matter/dynamic-profile/view/1904324","19-1904324")</f>
        <v>0</v>
      </c>
      <c r="B24" t="s">
        <v>60</v>
      </c>
      <c r="C24" t="s">
        <v>135</v>
      </c>
      <c r="E24" t="s">
        <v>267</v>
      </c>
      <c r="F24" t="s">
        <v>701</v>
      </c>
      <c r="G24" t="s">
        <v>1134</v>
      </c>
      <c r="H24" t="s">
        <v>1552</v>
      </c>
      <c r="I24" t="s">
        <v>1749</v>
      </c>
      <c r="J24">
        <v>11221</v>
      </c>
      <c r="K24" t="s">
        <v>1779</v>
      </c>
      <c r="L24" t="s">
        <v>1781</v>
      </c>
      <c r="O24" t="s">
        <v>2033</v>
      </c>
      <c r="P24" t="s">
        <v>2054</v>
      </c>
      <c r="R24" t="s">
        <v>2062</v>
      </c>
      <c r="S24" t="s">
        <v>1779</v>
      </c>
      <c r="T24" t="s">
        <v>2065</v>
      </c>
      <c r="V24" t="s">
        <v>135</v>
      </c>
      <c r="W24">
        <v>0</v>
      </c>
      <c r="X24" t="s">
        <v>2088</v>
      </c>
      <c r="AA24" t="s">
        <v>2139</v>
      </c>
      <c r="AD24">
        <v>2</v>
      </c>
      <c r="AG24">
        <v>0</v>
      </c>
      <c r="AH24">
        <v>1</v>
      </c>
      <c r="AI24">
        <v>0</v>
      </c>
      <c r="AJ24">
        <v>0</v>
      </c>
      <c r="AM24" t="s">
        <v>3248</v>
      </c>
      <c r="AN24">
        <v>0</v>
      </c>
    </row>
    <row r="25" spans="1:45">
      <c r="A25" s="1">
        <f>HYPERLINK("https://lsnyc.legalserver.org/matter/dynamic-profile/view/1905064","19-1905064")</f>
        <v>0</v>
      </c>
      <c r="B25" t="s">
        <v>60</v>
      </c>
      <c r="C25" t="s">
        <v>151</v>
      </c>
      <c r="E25" t="s">
        <v>268</v>
      </c>
      <c r="F25" t="s">
        <v>702</v>
      </c>
      <c r="G25" t="s">
        <v>1134</v>
      </c>
      <c r="H25">
        <v>1</v>
      </c>
      <c r="I25" t="s">
        <v>1749</v>
      </c>
      <c r="J25">
        <v>11221</v>
      </c>
      <c r="K25" t="s">
        <v>1779</v>
      </c>
      <c r="L25" t="s">
        <v>1781</v>
      </c>
      <c r="O25" t="s">
        <v>2033</v>
      </c>
      <c r="P25" t="s">
        <v>2054</v>
      </c>
      <c r="R25" t="s">
        <v>2062</v>
      </c>
      <c r="S25" t="s">
        <v>1779</v>
      </c>
      <c r="T25" t="s">
        <v>2065</v>
      </c>
      <c r="V25" t="s">
        <v>213</v>
      </c>
      <c r="W25">
        <v>0</v>
      </c>
      <c r="X25" t="s">
        <v>2088</v>
      </c>
      <c r="AA25" t="s">
        <v>2140</v>
      </c>
      <c r="AC25" t="s">
        <v>2756</v>
      </c>
      <c r="AD25">
        <v>2</v>
      </c>
      <c r="AG25">
        <v>0</v>
      </c>
      <c r="AH25">
        <v>1</v>
      </c>
      <c r="AI25">
        <v>0</v>
      </c>
      <c r="AJ25">
        <v>0</v>
      </c>
      <c r="AM25" t="s">
        <v>3248</v>
      </c>
      <c r="AN25">
        <v>0</v>
      </c>
    </row>
    <row r="26" spans="1:45">
      <c r="A26" s="1">
        <f>HYPERLINK("https://lsnyc.legalserver.org/matter/dynamic-profile/view/1906538","19-1906538")</f>
        <v>0</v>
      </c>
      <c r="B26" t="s">
        <v>57</v>
      </c>
      <c r="C26" t="s">
        <v>152</v>
      </c>
      <c r="E26" t="s">
        <v>269</v>
      </c>
      <c r="F26" t="s">
        <v>703</v>
      </c>
      <c r="G26" t="s">
        <v>1135</v>
      </c>
      <c r="H26" t="s">
        <v>1553</v>
      </c>
      <c r="I26" t="s">
        <v>1749</v>
      </c>
      <c r="J26">
        <v>11220</v>
      </c>
      <c r="K26" t="s">
        <v>1779</v>
      </c>
      <c r="L26" t="s">
        <v>1781</v>
      </c>
      <c r="M26" t="s">
        <v>1782</v>
      </c>
      <c r="N26" t="s">
        <v>1800</v>
      </c>
      <c r="O26" t="s">
        <v>2030</v>
      </c>
      <c r="P26" t="s">
        <v>2051</v>
      </c>
      <c r="R26" t="s">
        <v>2062</v>
      </c>
      <c r="S26" t="s">
        <v>1780</v>
      </c>
      <c r="T26" t="s">
        <v>2065</v>
      </c>
      <c r="V26" t="s">
        <v>154</v>
      </c>
      <c r="W26">
        <v>1938</v>
      </c>
      <c r="X26" t="s">
        <v>2088</v>
      </c>
      <c r="Y26" t="s">
        <v>2097</v>
      </c>
      <c r="AA26" t="s">
        <v>2141</v>
      </c>
      <c r="AB26" t="s">
        <v>2668</v>
      </c>
      <c r="AC26" t="s">
        <v>2757</v>
      </c>
      <c r="AD26">
        <v>60</v>
      </c>
      <c r="AE26" t="s">
        <v>3223</v>
      </c>
      <c r="AF26" t="s">
        <v>1783</v>
      </c>
      <c r="AG26">
        <v>2</v>
      </c>
      <c r="AH26">
        <v>1</v>
      </c>
      <c r="AI26">
        <v>1</v>
      </c>
      <c r="AJ26">
        <v>0</v>
      </c>
      <c r="AM26" t="s">
        <v>3248</v>
      </c>
      <c r="AN26">
        <v>0</v>
      </c>
    </row>
    <row r="27" spans="1:45">
      <c r="A27" s="1">
        <f>HYPERLINK("https://lsnyc.legalserver.org/matter/dynamic-profile/view/1905722","19-1905722")</f>
        <v>0</v>
      </c>
      <c r="B27" t="s">
        <v>57</v>
      </c>
      <c r="C27" t="s">
        <v>145</v>
      </c>
      <c r="D27" t="s">
        <v>202</v>
      </c>
      <c r="E27" t="s">
        <v>270</v>
      </c>
      <c r="F27" t="s">
        <v>704</v>
      </c>
      <c r="G27" t="s">
        <v>1136</v>
      </c>
      <c r="H27">
        <v>1</v>
      </c>
      <c r="I27" t="s">
        <v>1749</v>
      </c>
      <c r="J27">
        <v>11213</v>
      </c>
      <c r="K27" t="s">
        <v>1779</v>
      </c>
      <c r="L27" t="s">
        <v>1781</v>
      </c>
      <c r="M27" t="s">
        <v>1782</v>
      </c>
      <c r="N27" t="s">
        <v>1793</v>
      </c>
      <c r="O27" t="s">
        <v>1793</v>
      </c>
      <c r="P27" t="s">
        <v>2055</v>
      </c>
      <c r="Q27" t="s">
        <v>2059</v>
      </c>
      <c r="R27" t="s">
        <v>2062</v>
      </c>
      <c r="S27" t="s">
        <v>1780</v>
      </c>
      <c r="T27" t="s">
        <v>2065</v>
      </c>
      <c r="V27" t="s">
        <v>165</v>
      </c>
      <c r="W27">
        <v>2000</v>
      </c>
      <c r="X27" t="s">
        <v>2088</v>
      </c>
      <c r="Y27" t="s">
        <v>2094</v>
      </c>
      <c r="Z27" t="s">
        <v>2112</v>
      </c>
      <c r="AA27" t="s">
        <v>2142</v>
      </c>
      <c r="AC27" t="s">
        <v>2758</v>
      </c>
      <c r="AD27">
        <v>3</v>
      </c>
      <c r="AG27">
        <v>5</v>
      </c>
      <c r="AH27">
        <v>1</v>
      </c>
      <c r="AI27">
        <v>0</v>
      </c>
      <c r="AJ27">
        <v>0</v>
      </c>
      <c r="AM27" t="s">
        <v>3248</v>
      </c>
      <c r="AN27">
        <v>0</v>
      </c>
    </row>
    <row r="28" spans="1:45">
      <c r="A28" s="1">
        <f>HYPERLINK("https://lsnyc.legalserver.org/matter/dynamic-profile/view/1895273","19-1895273")</f>
        <v>0</v>
      </c>
      <c r="B28" t="s">
        <v>61</v>
      </c>
      <c r="C28" t="s">
        <v>153</v>
      </c>
      <c r="E28" t="s">
        <v>271</v>
      </c>
      <c r="F28" t="s">
        <v>705</v>
      </c>
      <c r="G28" t="s">
        <v>1137</v>
      </c>
      <c r="H28" t="s">
        <v>1543</v>
      </c>
      <c r="I28" t="s">
        <v>1749</v>
      </c>
      <c r="J28">
        <v>11212</v>
      </c>
      <c r="K28" t="s">
        <v>1780</v>
      </c>
      <c r="L28" t="s">
        <v>1780</v>
      </c>
      <c r="N28" t="s">
        <v>1801</v>
      </c>
      <c r="O28" t="s">
        <v>2034</v>
      </c>
      <c r="P28" t="s">
        <v>2056</v>
      </c>
      <c r="R28" t="s">
        <v>2062</v>
      </c>
      <c r="S28" t="s">
        <v>1779</v>
      </c>
      <c r="T28" t="s">
        <v>2065</v>
      </c>
      <c r="U28" t="s">
        <v>2073</v>
      </c>
      <c r="V28" t="s">
        <v>213</v>
      </c>
      <c r="W28">
        <v>683</v>
      </c>
      <c r="X28" t="s">
        <v>2088</v>
      </c>
      <c r="Y28" t="s">
        <v>2098</v>
      </c>
      <c r="AA28" t="s">
        <v>2143</v>
      </c>
      <c r="AD28">
        <v>10</v>
      </c>
      <c r="AE28" t="s">
        <v>3223</v>
      </c>
      <c r="AF28" t="s">
        <v>1783</v>
      </c>
      <c r="AG28">
        <v>30</v>
      </c>
      <c r="AH28">
        <v>2</v>
      </c>
      <c r="AI28">
        <v>0</v>
      </c>
      <c r="AJ28">
        <v>0</v>
      </c>
      <c r="AM28" t="s">
        <v>3248</v>
      </c>
      <c r="AN28">
        <v>0</v>
      </c>
    </row>
    <row r="29" spans="1:45">
      <c r="A29" s="1">
        <f>HYPERLINK("https://lsnyc.legalserver.org/matter/dynamic-profile/view/1907743","19-1907743")</f>
        <v>0</v>
      </c>
      <c r="B29" t="s">
        <v>60</v>
      </c>
      <c r="C29" t="s">
        <v>154</v>
      </c>
      <c r="E29" t="s">
        <v>272</v>
      </c>
      <c r="F29" t="s">
        <v>706</v>
      </c>
      <c r="G29" t="s">
        <v>1138</v>
      </c>
      <c r="H29" t="s">
        <v>1554</v>
      </c>
      <c r="I29" t="s">
        <v>1749</v>
      </c>
      <c r="J29">
        <v>11210</v>
      </c>
      <c r="K29" t="s">
        <v>1779</v>
      </c>
      <c r="L29" t="s">
        <v>1781</v>
      </c>
      <c r="M29" t="s">
        <v>1782</v>
      </c>
      <c r="N29" t="s">
        <v>1802</v>
      </c>
      <c r="O29" t="s">
        <v>2029</v>
      </c>
      <c r="P29" t="s">
        <v>2051</v>
      </c>
      <c r="R29" t="s">
        <v>2062</v>
      </c>
      <c r="T29" t="s">
        <v>2065</v>
      </c>
      <c r="V29" t="s">
        <v>154</v>
      </c>
      <c r="W29">
        <v>1400</v>
      </c>
      <c r="X29" t="s">
        <v>2088</v>
      </c>
      <c r="AA29" t="s">
        <v>2144</v>
      </c>
      <c r="AC29" t="s">
        <v>2759</v>
      </c>
      <c r="AD29">
        <v>42</v>
      </c>
      <c r="AE29" t="s">
        <v>3223</v>
      </c>
      <c r="AG29">
        <v>23</v>
      </c>
      <c r="AH29">
        <v>1</v>
      </c>
      <c r="AI29">
        <v>2</v>
      </c>
      <c r="AJ29">
        <v>0</v>
      </c>
      <c r="AM29" t="s">
        <v>3248</v>
      </c>
      <c r="AN29">
        <v>0</v>
      </c>
    </row>
    <row r="30" spans="1:45">
      <c r="A30" s="1">
        <f>HYPERLINK("https://lsnyc.legalserver.org/matter/dynamic-profile/view/1907956","19-1907956")</f>
        <v>0</v>
      </c>
      <c r="B30" t="s">
        <v>55</v>
      </c>
      <c r="C30" t="s">
        <v>155</v>
      </c>
      <c r="E30" t="s">
        <v>273</v>
      </c>
      <c r="F30" t="s">
        <v>707</v>
      </c>
      <c r="G30" t="s">
        <v>1139</v>
      </c>
      <c r="H30" t="s">
        <v>1555</v>
      </c>
      <c r="I30" t="s">
        <v>1749</v>
      </c>
      <c r="J30">
        <v>11207</v>
      </c>
      <c r="K30" t="s">
        <v>1779</v>
      </c>
      <c r="L30" t="s">
        <v>1781</v>
      </c>
      <c r="M30" t="s">
        <v>1782</v>
      </c>
      <c r="N30" t="s">
        <v>1803</v>
      </c>
      <c r="O30" t="s">
        <v>2029</v>
      </c>
      <c r="P30" t="s">
        <v>2051</v>
      </c>
      <c r="R30" t="s">
        <v>2062</v>
      </c>
      <c r="S30" t="s">
        <v>1780</v>
      </c>
      <c r="T30" t="s">
        <v>2065</v>
      </c>
      <c r="V30" t="s">
        <v>155</v>
      </c>
      <c r="W30">
        <v>1000</v>
      </c>
      <c r="X30" t="s">
        <v>2088</v>
      </c>
      <c r="Y30" t="s">
        <v>2099</v>
      </c>
      <c r="AA30" t="s">
        <v>2145</v>
      </c>
      <c r="AC30" t="s">
        <v>2760</v>
      </c>
      <c r="AD30">
        <v>3</v>
      </c>
      <c r="AE30" t="s">
        <v>3222</v>
      </c>
      <c r="AF30" t="s">
        <v>1783</v>
      </c>
      <c r="AG30">
        <v>2</v>
      </c>
      <c r="AH30">
        <v>2</v>
      </c>
      <c r="AI30">
        <v>0</v>
      </c>
      <c r="AJ30">
        <v>0</v>
      </c>
      <c r="AM30" t="s">
        <v>3248</v>
      </c>
      <c r="AN30">
        <v>0</v>
      </c>
    </row>
    <row r="31" spans="1:45">
      <c r="A31" s="1">
        <f>HYPERLINK("https://lsnyc.legalserver.org/matter/dynamic-profile/view/1907285","19-1907285")</f>
        <v>0</v>
      </c>
      <c r="B31" t="s">
        <v>48</v>
      </c>
      <c r="C31" t="s">
        <v>156</v>
      </c>
      <c r="E31" t="s">
        <v>259</v>
      </c>
      <c r="F31" t="s">
        <v>708</v>
      </c>
      <c r="G31" t="s">
        <v>1140</v>
      </c>
      <c r="H31" t="s">
        <v>1556</v>
      </c>
      <c r="I31" t="s">
        <v>1751</v>
      </c>
      <c r="J31">
        <v>11106</v>
      </c>
      <c r="K31" t="s">
        <v>1779</v>
      </c>
      <c r="L31" t="s">
        <v>1781</v>
      </c>
      <c r="M31" t="s">
        <v>1784</v>
      </c>
      <c r="N31" t="s">
        <v>1804</v>
      </c>
      <c r="O31" t="s">
        <v>2030</v>
      </c>
      <c r="P31" t="s">
        <v>2050</v>
      </c>
      <c r="R31" t="s">
        <v>2063</v>
      </c>
      <c r="S31" t="s">
        <v>1780</v>
      </c>
      <c r="T31" t="s">
        <v>2065</v>
      </c>
      <c r="U31" t="s">
        <v>2073</v>
      </c>
      <c r="V31" t="s">
        <v>156</v>
      </c>
      <c r="W31">
        <v>474</v>
      </c>
      <c r="X31" t="s">
        <v>2087</v>
      </c>
      <c r="Y31" t="s">
        <v>2093</v>
      </c>
      <c r="AA31" t="s">
        <v>2146</v>
      </c>
      <c r="AB31" t="s">
        <v>2669</v>
      </c>
      <c r="AC31" t="s">
        <v>2761</v>
      </c>
      <c r="AD31">
        <v>6</v>
      </c>
      <c r="AE31" t="s">
        <v>3223</v>
      </c>
      <c r="AF31" t="s">
        <v>1783</v>
      </c>
      <c r="AG31">
        <v>1</v>
      </c>
      <c r="AH31">
        <v>1</v>
      </c>
      <c r="AI31">
        <v>1</v>
      </c>
      <c r="AJ31">
        <v>0</v>
      </c>
      <c r="AK31" t="s">
        <v>3244</v>
      </c>
      <c r="AL31" t="s">
        <v>3245</v>
      </c>
      <c r="AM31" t="s">
        <v>3248</v>
      </c>
      <c r="AN31">
        <v>0</v>
      </c>
    </row>
    <row r="32" spans="1:45">
      <c r="A32" s="1">
        <f>HYPERLINK("https://lsnyc.legalserver.org/matter/dynamic-profile/view/1907244","19-1907244")</f>
        <v>0</v>
      </c>
      <c r="B32" t="s">
        <v>62</v>
      </c>
      <c r="C32" t="s">
        <v>156</v>
      </c>
      <c r="E32" t="s">
        <v>274</v>
      </c>
      <c r="F32" t="s">
        <v>709</v>
      </c>
      <c r="G32" t="s">
        <v>1141</v>
      </c>
      <c r="H32" t="s">
        <v>1557</v>
      </c>
      <c r="I32" t="s">
        <v>1752</v>
      </c>
      <c r="J32">
        <v>10470</v>
      </c>
      <c r="K32" t="s">
        <v>1779</v>
      </c>
      <c r="L32" t="s">
        <v>1781</v>
      </c>
      <c r="M32" t="s">
        <v>1782</v>
      </c>
      <c r="N32" t="s">
        <v>1799</v>
      </c>
      <c r="O32" t="s">
        <v>1793</v>
      </c>
      <c r="P32" t="s">
        <v>2050</v>
      </c>
      <c r="R32" t="s">
        <v>2062</v>
      </c>
      <c r="S32" t="s">
        <v>1780</v>
      </c>
      <c r="T32" t="s">
        <v>2065</v>
      </c>
      <c r="V32" t="s">
        <v>155</v>
      </c>
      <c r="W32">
        <v>1486.4</v>
      </c>
      <c r="X32" t="s">
        <v>2089</v>
      </c>
      <c r="Y32" t="s">
        <v>2100</v>
      </c>
      <c r="AA32" t="s">
        <v>2147</v>
      </c>
      <c r="AD32">
        <v>84</v>
      </c>
      <c r="AE32" t="s">
        <v>3223</v>
      </c>
      <c r="AF32" t="s">
        <v>1783</v>
      </c>
      <c r="AG32">
        <v>12</v>
      </c>
      <c r="AH32">
        <v>1</v>
      </c>
      <c r="AI32">
        <v>0</v>
      </c>
      <c r="AJ32">
        <v>0</v>
      </c>
      <c r="AM32" t="s">
        <v>3248</v>
      </c>
      <c r="AN32">
        <v>0</v>
      </c>
    </row>
    <row r="33" spans="1:45">
      <c r="A33" s="1">
        <f>HYPERLINK("https://lsnyc.legalserver.org/matter/dynamic-profile/view/1909129","19-1909129")</f>
        <v>0</v>
      </c>
      <c r="B33" t="s">
        <v>62</v>
      </c>
      <c r="C33" t="s">
        <v>157</v>
      </c>
      <c r="E33" t="s">
        <v>275</v>
      </c>
      <c r="F33" t="s">
        <v>710</v>
      </c>
      <c r="G33" t="s">
        <v>1142</v>
      </c>
      <c r="H33" t="s">
        <v>1558</v>
      </c>
      <c r="I33" t="s">
        <v>1752</v>
      </c>
      <c r="J33">
        <v>10452</v>
      </c>
      <c r="K33" t="s">
        <v>1779</v>
      </c>
      <c r="L33" t="s">
        <v>1781</v>
      </c>
      <c r="M33" t="s">
        <v>1782</v>
      </c>
      <c r="O33" t="s">
        <v>1793</v>
      </c>
      <c r="P33" t="s">
        <v>2055</v>
      </c>
      <c r="R33" t="s">
        <v>2062</v>
      </c>
      <c r="S33" t="s">
        <v>1780</v>
      </c>
      <c r="T33" t="s">
        <v>2065</v>
      </c>
      <c r="V33" t="s">
        <v>180</v>
      </c>
      <c r="W33">
        <v>1428.24</v>
      </c>
      <c r="X33" t="s">
        <v>2089</v>
      </c>
      <c r="Y33" t="s">
        <v>2101</v>
      </c>
      <c r="AA33" t="s">
        <v>2148</v>
      </c>
      <c r="AD33">
        <v>92</v>
      </c>
      <c r="AE33" t="s">
        <v>3223</v>
      </c>
      <c r="AF33" t="s">
        <v>3236</v>
      </c>
      <c r="AG33">
        <v>9</v>
      </c>
      <c r="AH33">
        <v>2</v>
      </c>
      <c r="AI33">
        <v>0</v>
      </c>
      <c r="AJ33">
        <v>0</v>
      </c>
      <c r="AM33" t="s">
        <v>3248</v>
      </c>
      <c r="AN33">
        <v>0</v>
      </c>
    </row>
    <row r="34" spans="1:45">
      <c r="A34" s="1">
        <f>HYPERLINK("https://lsnyc.legalserver.org/matter/dynamic-profile/view/1906737","19-1906737")</f>
        <v>0</v>
      </c>
      <c r="B34" t="s">
        <v>63</v>
      </c>
      <c r="C34" t="s">
        <v>158</v>
      </c>
      <c r="D34" t="s">
        <v>152</v>
      </c>
      <c r="E34" t="s">
        <v>276</v>
      </c>
      <c r="F34" t="s">
        <v>711</v>
      </c>
      <c r="G34" t="s">
        <v>1143</v>
      </c>
      <c r="I34" t="s">
        <v>1752</v>
      </c>
      <c r="J34">
        <v>10452</v>
      </c>
      <c r="K34" t="s">
        <v>1779</v>
      </c>
      <c r="L34" t="s">
        <v>1781</v>
      </c>
      <c r="M34" t="s">
        <v>1782</v>
      </c>
      <c r="N34" t="s">
        <v>1805</v>
      </c>
      <c r="O34" t="s">
        <v>2030</v>
      </c>
      <c r="P34" t="s">
        <v>2050</v>
      </c>
      <c r="Q34" t="s">
        <v>2057</v>
      </c>
      <c r="R34" t="s">
        <v>2062</v>
      </c>
      <c r="S34" t="s">
        <v>1780</v>
      </c>
      <c r="T34" t="s">
        <v>2065</v>
      </c>
      <c r="U34" t="s">
        <v>2073</v>
      </c>
      <c r="V34" t="s">
        <v>152</v>
      </c>
      <c r="W34">
        <v>705.35</v>
      </c>
      <c r="X34" t="s">
        <v>2089</v>
      </c>
      <c r="Y34" t="s">
        <v>2101</v>
      </c>
      <c r="Z34" t="s">
        <v>2110</v>
      </c>
      <c r="AA34" t="s">
        <v>2149</v>
      </c>
      <c r="AD34">
        <v>55</v>
      </c>
      <c r="AE34" t="s">
        <v>3223</v>
      </c>
      <c r="AG34">
        <v>28</v>
      </c>
      <c r="AH34">
        <v>1</v>
      </c>
      <c r="AI34">
        <v>0</v>
      </c>
      <c r="AJ34">
        <v>0</v>
      </c>
      <c r="AM34" t="s">
        <v>3248</v>
      </c>
      <c r="AN34">
        <v>0</v>
      </c>
    </row>
    <row r="35" spans="1:45">
      <c r="A35" s="1">
        <f>HYPERLINK("https://lsnyc.legalserver.org/matter/dynamic-profile/view/1908836","19-1908836")</f>
        <v>0</v>
      </c>
      <c r="B35" t="s">
        <v>64</v>
      </c>
      <c r="C35" t="s">
        <v>159</v>
      </c>
      <c r="E35" t="s">
        <v>277</v>
      </c>
      <c r="F35" t="s">
        <v>712</v>
      </c>
      <c r="G35" t="s">
        <v>1144</v>
      </c>
      <c r="I35" t="s">
        <v>1753</v>
      </c>
      <c r="J35">
        <v>10305</v>
      </c>
      <c r="K35" t="s">
        <v>1779</v>
      </c>
      <c r="L35" t="s">
        <v>1781</v>
      </c>
      <c r="M35" t="s">
        <v>1782</v>
      </c>
      <c r="N35" t="s">
        <v>1792</v>
      </c>
      <c r="O35" t="s">
        <v>1793</v>
      </c>
      <c r="P35" t="s">
        <v>2050</v>
      </c>
      <c r="R35" t="s">
        <v>2063</v>
      </c>
      <c r="T35" t="s">
        <v>2066</v>
      </c>
      <c r="V35" t="s">
        <v>159</v>
      </c>
      <c r="W35">
        <v>0</v>
      </c>
      <c r="X35" t="s">
        <v>2090</v>
      </c>
      <c r="Y35" t="s">
        <v>2093</v>
      </c>
      <c r="AA35" t="s">
        <v>2150</v>
      </c>
      <c r="AC35" t="s">
        <v>2762</v>
      </c>
      <c r="AD35">
        <v>1</v>
      </c>
      <c r="AE35" t="s">
        <v>3222</v>
      </c>
      <c r="AF35" t="s">
        <v>1783</v>
      </c>
      <c r="AG35">
        <v>0</v>
      </c>
      <c r="AH35">
        <v>4</v>
      </c>
      <c r="AI35">
        <v>2</v>
      </c>
      <c r="AJ35">
        <v>0</v>
      </c>
      <c r="AK35" t="s">
        <v>3244</v>
      </c>
      <c r="AL35" t="s">
        <v>3245</v>
      </c>
      <c r="AM35" t="s">
        <v>3248</v>
      </c>
      <c r="AN35">
        <v>0</v>
      </c>
      <c r="AQ35" t="s">
        <v>2094</v>
      </c>
      <c r="AS35" t="s">
        <v>3297</v>
      </c>
    </row>
    <row r="36" spans="1:45">
      <c r="A36" s="1">
        <f>HYPERLINK("https://lsnyc.legalserver.org/matter/dynamic-profile/view/1907746","19-1907746")</f>
        <v>0</v>
      </c>
      <c r="B36" t="s">
        <v>64</v>
      </c>
      <c r="C36" t="s">
        <v>154</v>
      </c>
      <c r="E36" t="s">
        <v>278</v>
      </c>
      <c r="F36" t="s">
        <v>713</v>
      </c>
      <c r="G36" t="s">
        <v>1145</v>
      </c>
      <c r="H36" t="s">
        <v>1559</v>
      </c>
      <c r="I36" t="s">
        <v>1753</v>
      </c>
      <c r="J36">
        <v>10304</v>
      </c>
      <c r="K36" t="s">
        <v>1779</v>
      </c>
      <c r="L36" t="s">
        <v>1781</v>
      </c>
      <c r="M36" t="s">
        <v>1782</v>
      </c>
      <c r="N36" t="s">
        <v>1806</v>
      </c>
      <c r="O36" t="s">
        <v>2030</v>
      </c>
      <c r="P36" t="s">
        <v>2051</v>
      </c>
      <c r="R36" t="s">
        <v>2062</v>
      </c>
      <c r="S36" t="s">
        <v>1780</v>
      </c>
      <c r="T36" t="s">
        <v>2065</v>
      </c>
      <c r="U36" t="s">
        <v>2073</v>
      </c>
      <c r="V36" t="s">
        <v>154</v>
      </c>
      <c r="W36">
        <v>529</v>
      </c>
      <c r="X36" t="s">
        <v>2090</v>
      </c>
      <c r="Y36" t="s">
        <v>2102</v>
      </c>
      <c r="AA36" t="s">
        <v>2151</v>
      </c>
      <c r="AC36" t="s">
        <v>2763</v>
      </c>
      <c r="AD36">
        <v>98</v>
      </c>
      <c r="AE36" t="s">
        <v>3223</v>
      </c>
      <c r="AF36" t="s">
        <v>1783</v>
      </c>
      <c r="AG36">
        <v>10</v>
      </c>
      <c r="AH36">
        <v>1</v>
      </c>
      <c r="AI36">
        <v>3</v>
      </c>
      <c r="AJ36">
        <v>0</v>
      </c>
      <c r="AM36" t="s">
        <v>3248</v>
      </c>
      <c r="AN36">
        <v>0</v>
      </c>
    </row>
    <row r="37" spans="1:45">
      <c r="A37" s="1">
        <f>HYPERLINK("https://lsnyc.legalserver.org/matter/dynamic-profile/view/1909580","19-1909580")</f>
        <v>0</v>
      </c>
      <c r="B37" t="s">
        <v>65</v>
      </c>
      <c r="C37" t="s">
        <v>138</v>
      </c>
      <c r="E37" t="s">
        <v>279</v>
      </c>
      <c r="F37" t="s">
        <v>714</v>
      </c>
      <c r="G37" t="s">
        <v>1146</v>
      </c>
      <c r="H37" t="s">
        <v>1556</v>
      </c>
      <c r="I37" t="s">
        <v>1754</v>
      </c>
      <c r="J37">
        <v>10040</v>
      </c>
      <c r="K37" t="s">
        <v>1779</v>
      </c>
      <c r="L37" t="s">
        <v>1781</v>
      </c>
      <c r="M37" t="s">
        <v>1782</v>
      </c>
      <c r="O37" t="s">
        <v>2035</v>
      </c>
      <c r="P37" t="s">
        <v>2055</v>
      </c>
      <c r="R37" t="s">
        <v>2062</v>
      </c>
      <c r="S37" t="s">
        <v>1780</v>
      </c>
      <c r="T37" t="s">
        <v>2065</v>
      </c>
      <c r="V37" t="s">
        <v>138</v>
      </c>
      <c r="W37">
        <v>843.6</v>
      </c>
      <c r="X37" t="s">
        <v>2091</v>
      </c>
      <c r="Y37" t="s">
        <v>2101</v>
      </c>
      <c r="AA37" t="s">
        <v>2152</v>
      </c>
      <c r="AC37" t="s">
        <v>2764</v>
      </c>
      <c r="AD37">
        <v>42</v>
      </c>
      <c r="AE37" t="s">
        <v>3223</v>
      </c>
      <c r="AF37" t="s">
        <v>3238</v>
      </c>
      <c r="AG37">
        <v>24</v>
      </c>
      <c r="AH37">
        <v>1</v>
      </c>
      <c r="AI37">
        <v>0</v>
      </c>
      <c r="AJ37">
        <v>0</v>
      </c>
      <c r="AM37" t="s">
        <v>3249</v>
      </c>
      <c r="AN37">
        <v>0</v>
      </c>
    </row>
    <row r="38" spans="1:45">
      <c r="A38" s="1">
        <f>HYPERLINK("https://lsnyc.legalserver.org/matter/dynamic-profile/view/1907584","19-1907584")</f>
        <v>0</v>
      </c>
      <c r="B38" t="s">
        <v>66</v>
      </c>
      <c r="C38" t="s">
        <v>160</v>
      </c>
      <c r="D38" t="s">
        <v>150</v>
      </c>
      <c r="E38" t="s">
        <v>280</v>
      </c>
      <c r="F38" t="s">
        <v>715</v>
      </c>
      <c r="G38" t="s">
        <v>1147</v>
      </c>
      <c r="H38" t="s">
        <v>1560</v>
      </c>
      <c r="I38" t="s">
        <v>1754</v>
      </c>
      <c r="J38">
        <v>10040</v>
      </c>
      <c r="K38" t="s">
        <v>1779</v>
      </c>
      <c r="L38" t="s">
        <v>1781</v>
      </c>
      <c r="M38" t="s">
        <v>1782</v>
      </c>
      <c r="O38" t="s">
        <v>2034</v>
      </c>
      <c r="P38" t="s">
        <v>2050</v>
      </c>
      <c r="Q38" t="s">
        <v>2057</v>
      </c>
      <c r="R38" t="s">
        <v>2062</v>
      </c>
      <c r="S38" t="s">
        <v>1780</v>
      </c>
      <c r="T38" t="s">
        <v>2065</v>
      </c>
      <c r="V38" t="s">
        <v>160</v>
      </c>
      <c r="W38">
        <v>1013.38</v>
      </c>
      <c r="X38" t="s">
        <v>2091</v>
      </c>
      <c r="Y38" t="s">
        <v>2097</v>
      </c>
      <c r="Z38" t="s">
        <v>2110</v>
      </c>
      <c r="AA38" t="s">
        <v>2153</v>
      </c>
      <c r="AC38" t="s">
        <v>2765</v>
      </c>
      <c r="AD38">
        <v>52</v>
      </c>
      <c r="AE38" t="s">
        <v>3223</v>
      </c>
      <c r="AF38" t="s">
        <v>1783</v>
      </c>
      <c r="AG38">
        <v>5</v>
      </c>
      <c r="AH38">
        <v>1</v>
      </c>
      <c r="AI38">
        <v>0</v>
      </c>
      <c r="AJ38">
        <v>0</v>
      </c>
      <c r="AM38" t="s">
        <v>3249</v>
      </c>
      <c r="AN38">
        <v>0</v>
      </c>
    </row>
    <row r="39" spans="1:45">
      <c r="A39" s="1">
        <f>HYPERLINK("https://lsnyc.legalserver.org/matter/dynamic-profile/view/1906412","19-1906412")</f>
        <v>0</v>
      </c>
      <c r="B39" t="s">
        <v>66</v>
      </c>
      <c r="C39" t="s">
        <v>161</v>
      </c>
      <c r="D39" t="s">
        <v>150</v>
      </c>
      <c r="E39" t="s">
        <v>281</v>
      </c>
      <c r="F39" t="s">
        <v>716</v>
      </c>
      <c r="G39" t="s">
        <v>1148</v>
      </c>
      <c r="H39" t="s">
        <v>1561</v>
      </c>
      <c r="I39" t="s">
        <v>1754</v>
      </c>
      <c r="J39">
        <v>10038</v>
      </c>
      <c r="K39" t="s">
        <v>1779</v>
      </c>
      <c r="L39" t="s">
        <v>1781</v>
      </c>
      <c r="M39" t="s">
        <v>1782</v>
      </c>
      <c r="O39" t="s">
        <v>1793</v>
      </c>
      <c r="P39" t="s">
        <v>2050</v>
      </c>
      <c r="Q39" t="s">
        <v>2057</v>
      </c>
      <c r="R39" t="s">
        <v>2062</v>
      </c>
      <c r="S39" t="s">
        <v>1780</v>
      </c>
      <c r="T39" t="s">
        <v>2065</v>
      </c>
      <c r="V39" t="s">
        <v>161</v>
      </c>
      <c r="W39">
        <v>3200</v>
      </c>
      <c r="X39" t="s">
        <v>2091</v>
      </c>
      <c r="Y39" t="s">
        <v>2093</v>
      </c>
      <c r="Z39" t="s">
        <v>2110</v>
      </c>
      <c r="AA39" t="s">
        <v>2154</v>
      </c>
      <c r="AC39" t="s">
        <v>2766</v>
      </c>
      <c r="AD39">
        <v>168</v>
      </c>
      <c r="AE39" t="s">
        <v>3223</v>
      </c>
      <c r="AF39" t="s">
        <v>1783</v>
      </c>
      <c r="AG39">
        <v>1</v>
      </c>
      <c r="AH39">
        <v>1</v>
      </c>
      <c r="AI39">
        <v>0</v>
      </c>
      <c r="AJ39">
        <v>0</v>
      </c>
      <c r="AM39" t="s">
        <v>3248</v>
      </c>
      <c r="AN39">
        <v>0</v>
      </c>
    </row>
    <row r="40" spans="1:45">
      <c r="A40" s="1">
        <f>HYPERLINK("https://lsnyc.legalserver.org/matter/dynamic-profile/view/1904691","19-1904691")</f>
        <v>0</v>
      </c>
      <c r="B40" t="s">
        <v>67</v>
      </c>
      <c r="C40" t="s">
        <v>162</v>
      </c>
      <c r="E40" t="s">
        <v>282</v>
      </c>
      <c r="F40" t="s">
        <v>717</v>
      </c>
      <c r="G40" t="s">
        <v>1149</v>
      </c>
      <c r="H40">
        <v>5</v>
      </c>
      <c r="I40" t="s">
        <v>1754</v>
      </c>
      <c r="J40">
        <v>10034</v>
      </c>
      <c r="K40" t="s">
        <v>1779</v>
      </c>
      <c r="L40" t="s">
        <v>1781</v>
      </c>
      <c r="M40" t="s">
        <v>1782</v>
      </c>
      <c r="P40" t="s">
        <v>2052</v>
      </c>
      <c r="R40" t="s">
        <v>2062</v>
      </c>
      <c r="S40" t="s">
        <v>1779</v>
      </c>
      <c r="T40" t="s">
        <v>2065</v>
      </c>
      <c r="V40" t="s">
        <v>162</v>
      </c>
      <c r="W40">
        <v>961.8200000000001</v>
      </c>
      <c r="X40" t="s">
        <v>2091</v>
      </c>
      <c r="Y40" t="s">
        <v>2099</v>
      </c>
      <c r="AA40" t="s">
        <v>2155</v>
      </c>
      <c r="AD40">
        <v>25</v>
      </c>
      <c r="AE40" t="s">
        <v>3223</v>
      </c>
      <c r="AF40" t="s">
        <v>1783</v>
      </c>
      <c r="AG40">
        <v>30</v>
      </c>
      <c r="AH40">
        <v>1</v>
      </c>
      <c r="AI40">
        <v>0</v>
      </c>
      <c r="AJ40">
        <v>0</v>
      </c>
      <c r="AM40" t="s">
        <v>3248</v>
      </c>
      <c r="AN40">
        <v>0</v>
      </c>
    </row>
    <row r="41" spans="1:45">
      <c r="A41" s="1">
        <f>HYPERLINK("https://lsnyc.legalserver.org/matter/dynamic-profile/view/1904716","19-1904716")</f>
        <v>0</v>
      </c>
      <c r="B41" t="s">
        <v>67</v>
      </c>
      <c r="C41" t="s">
        <v>162</v>
      </c>
      <c r="E41" t="s">
        <v>273</v>
      </c>
      <c r="F41" t="s">
        <v>718</v>
      </c>
      <c r="G41" t="s">
        <v>1149</v>
      </c>
      <c r="H41">
        <v>41</v>
      </c>
      <c r="I41" t="s">
        <v>1754</v>
      </c>
      <c r="J41">
        <v>10034</v>
      </c>
      <c r="K41" t="s">
        <v>1779</v>
      </c>
      <c r="L41" t="s">
        <v>1781</v>
      </c>
      <c r="M41" t="s">
        <v>1782</v>
      </c>
      <c r="P41" t="s">
        <v>2052</v>
      </c>
      <c r="R41" t="s">
        <v>2062</v>
      </c>
      <c r="S41" t="s">
        <v>1779</v>
      </c>
      <c r="T41" t="s">
        <v>2065</v>
      </c>
      <c r="V41" t="s">
        <v>162</v>
      </c>
      <c r="W41">
        <v>910</v>
      </c>
      <c r="X41" t="s">
        <v>2091</v>
      </c>
      <c r="Y41" t="s">
        <v>2099</v>
      </c>
      <c r="AA41" t="s">
        <v>2156</v>
      </c>
      <c r="AD41">
        <v>25</v>
      </c>
      <c r="AE41" t="s">
        <v>3223</v>
      </c>
      <c r="AF41" t="s">
        <v>3239</v>
      </c>
      <c r="AG41">
        <v>40</v>
      </c>
      <c r="AH41">
        <v>6</v>
      </c>
      <c r="AI41">
        <v>0</v>
      </c>
      <c r="AJ41">
        <v>0</v>
      </c>
      <c r="AM41" t="s">
        <v>3248</v>
      </c>
      <c r="AN41">
        <v>0</v>
      </c>
    </row>
    <row r="42" spans="1:45">
      <c r="A42" s="1">
        <f>HYPERLINK("https://lsnyc.legalserver.org/matter/dynamic-profile/view/1906999","19-1906999")</f>
        <v>0</v>
      </c>
      <c r="B42" t="s">
        <v>67</v>
      </c>
      <c r="C42" t="s">
        <v>163</v>
      </c>
      <c r="E42" t="s">
        <v>283</v>
      </c>
      <c r="F42" t="s">
        <v>719</v>
      </c>
      <c r="G42" t="s">
        <v>1150</v>
      </c>
      <c r="H42">
        <v>25</v>
      </c>
      <c r="I42" t="s">
        <v>1754</v>
      </c>
      <c r="J42">
        <v>10034</v>
      </c>
      <c r="K42" t="s">
        <v>1779</v>
      </c>
      <c r="L42" t="s">
        <v>1781</v>
      </c>
      <c r="M42" t="s">
        <v>1782</v>
      </c>
      <c r="P42" t="s">
        <v>2052</v>
      </c>
      <c r="R42" t="s">
        <v>2062</v>
      </c>
      <c r="S42" t="s">
        <v>1780</v>
      </c>
      <c r="T42" t="s">
        <v>2065</v>
      </c>
      <c r="V42" t="s">
        <v>163</v>
      </c>
      <c r="W42">
        <v>1138</v>
      </c>
      <c r="X42" t="s">
        <v>2091</v>
      </c>
      <c r="Y42" t="s">
        <v>2099</v>
      </c>
      <c r="AA42" t="s">
        <v>2157</v>
      </c>
      <c r="AC42" t="s">
        <v>2767</v>
      </c>
      <c r="AD42">
        <v>26</v>
      </c>
      <c r="AE42" t="s">
        <v>3223</v>
      </c>
      <c r="AF42" t="s">
        <v>1783</v>
      </c>
      <c r="AG42">
        <v>45</v>
      </c>
      <c r="AH42">
        <v>1</v>
      </c>
      <c r="AI42">
        <v>0</v>
      </c>
      <c r="AJ42">
        <v>0</v>
      </c>
      <c r="AM42" t="s">
        <v>3248</v>
      </c>
      <c r="AN42">
        <v>0</v>
      </c>
    </row>
    <row r="43" spans="1:45">
      <c r="A43" s="1">
        <f>HYPERLINK("https://lsnyc.legalserver.org/matter/dynamic-profile/view/1907052","19-1907052")</f>
        <v>0</v>
      </c>
      <c r="B43" t="s">
        <v>67</v>
      </c>
      <c r="C43" t="s">
        <v>163</v>
      </c>
      <c r="E43" t="s">
        <v>284</v>
      </c>
      <c r="F43" t="s">
        <v>720</v>
      </c>
      <c r="G43" t="s">
        <v>1151</v>
      </c>
      <c r="H43" t="s">
        <v>1562</v>
      </c>
      <c r="I43" t="s">
        <v>1754</v>
      </c>
      <c r="J43">
        <v>10032</v>
      </c>
      <c r="K43" t="s">
        <v>1779</v>
      </c>
      <c r="L43" t="s">
        <v>1781</v>
      </c>
      <c r="M43" t="s">
        <v>1782</v>
      </c>
      <c r="N43" t="s">
        <v>1807</v>
      </c>
      <c r="O43" t="s">
        <v>2030</v>
      </c>
      <c r="P43" t="s">
        <v>2052</v>
      </c>
      <c r="R43" t="s">
        <v>2062</v>
      </c>
      <c r="S43" t="s">
        <v>1780</v>
      </c>
      <c r="T43" t="s">
        <v>2065</v>
      </c>
      <c r="V43" t="s">
        <v>163</v>
      </c>
      <c r="W43">
        <v>918.5599999999999</v>
      </c>
      <c r="X43" t="s">
        <v>2091</v>
      </c>
      <c r="Y43" t="s">
        <v>2099</v>
      </c>
      <c r="AA43" t="s">
        <v>2158</v>
      </c>
      <c r="AC43" t="s">
        <v>2768</v>
      </c>
      <c r="AD43">
        <v>46</v>
      </c>
      <c r="AE43" t="s">
        <v>3223</v>
      </c>
      <c r="AF43" t="s">
        <v>1783</v>
      </c>
      <c r="AG43">
        <v>30</v>
      </c>
      <c r="AH43">
        <v>1</v>
      </c>
      <c r="AI43">
        <v>0</v>
      </c>
      <c r="AJ43">
        <v>0</v>
      </c>
      <c r="AM43" t="s">
        <v>3248</v>
      </c>
      <c r="AN43">
        <v>0</v>
      </c>
    </row>
    <row r="44" spans="1:45">
      <c r="A44" s="1">
        <f>HYPERLINK("https://lsnyc.legalserver.org/matter/dynamic-profile/view/1909408","19-1909408")</f>
        <v>0</v>
      </c>
      <c r="B44" t="s">
        <v>65</v>
      </c>
      <c r="C44" t="s">
        <v>164</v>
      </c>
      <c r="E44" t="s">
        <v>285</v>
      </c>
      <c r="F44" t="s">
        <v>721</v>
      </c>
      <c r="G44" t="s">
        <v>1152</v>
      </c>
      <c r="H44" t="s">
        <v>1563</v>
      </c>
      <c r="I44" t="s">
        <v>1754</v>
      </c>
      <c r="J44">
        <v>10032</v>
      </c>
      <c r="K44" t="s">
        <v>1779</v>
      </c>
      <c r="L44" t="s">
        <v>1781</v>
      </c>
      <c r="M44" t="s">
        <v>1782</v>
      </c>
      <c r="O44" t="s">
        <v>2036</v>
      </c>
      <c r="P44" t="s">
        <v>2055</v>
      </c>
      <c r="R44" t="s">
        <v>2062</v>
      </c>
      <c r="S44" t="s">
        <v>1780</v>
      </c>
      <c r="T44" t="s">
        <v>2065</v>
      </c>
      <c r="V44" t="s">
        <v>164</v>
      </c>
      <c r="W44">
        <v>858.16</v>
      </c>
      <c r="X44" t="s">
        <v>2091</v>
      </c>
      <c r="Y44" t="s">
        <v>2101</v>
      </c>
      <c r="AA44" t="s">
        <v>2159</v>
      </c>
      <c r="AC44" t="s">
        <v>2769</v>
      </c>
      <c r="AD44">
        <v>42</v>
      </c>
      <c r="AE44" t="s">
        <v>3223</v>
      </c>
      <c r="AF44" t="s">
        <v>3239</v>
      </c>
      <c r="AG44">
        <v>35</v>
      </c>
      <c r="AH44">
        <v>1</v>
      </c>
      <c r="AI44">
        <v>1</v>
      </c>
      <c r="AJ44">
        <v>0</v>
      </c>
      <c r="AM44" t="s">
        <v>3249</v>
      </c>
      <c r="AN44">
        <v>0</v>
      </c>
    </row>
    <row r="45" spans="1:45">
      <c r="A45" s="1">
        <f>HYPERLINK("https://lsnyc.legalserver.org/matter/dynamic-profile/view/1907774","19-1907774")</f>
        <v>0</v>
      </c>
      <c r="B45" t="s">
        <v>68</v>
      </c>
      <c r="C45" t="s">
        <v>154</v>
      </c>
      <c r="E45" t="s">
        <v>286</v>
      </c>
      <c r="F45" t="s">
        <v>722</v>
      </c>
      <c r="G45" t="s">
        <v>1153</v>
      </c>
      <c r="H45" t="s">
        <v>1564</v>
      </c>
      <c r="I45" t="s">
        <v>1749</v>
      </c>
      <c r="J45">
        <v>11212</v>
      </c>
      <c r="K45" t="s">
        <v>1779</v>
      </c>
      <c r="L45" t="s">
        <v>1781</v>
      </c>
      <c r="M45" t="s">
        <v>1782</v>
      </c>
      <c r="N45" t="s">
        <v>1783</v>
      </c>
      <c r="O45" t="s">
        <v>2033</v>
      </c>
      <c r="P45" t="s">
        <v>2055</v>
      </c>
      <c r="R45" t="s">
        <v>2062</v>
      </c>
      <c r="S45" t="s">
        <v>1779</v>
      </c>
      <c r="T45" t="s">
        <v>2065</v>
      </c>
      <c r="U45" t="s">
        <v>2073</v>
      </c>
      <c r="V45" t="s">
        <v>2080</v>
      </c>
      <c r="W45">
        <v>1047.01</v>
      </c>
      <c r="X45" t="s">
        <v>2088</v>
      </c>
      <c r="Y45" t="s">
        <v>2100</v>
      </c>
      <c r="AA45" t="s">
        <v>2160</v>
      </c>
      <c r="AC45" t="s">
        <v>2770</v>
      </c>
      <c r="AD45">
        <v>96</v>
      </c>
      <c r="AE45" t="s">
        <v>3223</v>
      </c>
      <c r="AF45" t="s">
        <v>1783</v>
      </c>
      <c r="AG45">
        <v>30</v>
      </c>
      <c r="AH45">
        <v>2</v>
      </c>
      <c r="AI45">
        <v>0</v>
      </c>
      <c r="AJ45">
        <v>4.99</v>
      </c>
      <c r="AM45" t="s">
        <v>3248</v>
      </c>
      <c r="AN45">
        <v>843</v>
      </c>
    </row>
    <row r="46" spans="1:45">
      <c r="A46" s="1">
        <f>HYPERLINK("https://lsnyc.legalserver.org/matter/dynamic-profile/view/1908325","19-1908325")</f>
        <v>0</v>
      </c>
      <c r="B46" t="s">
        <v>61</v>
      </c>
      <c r="C46" t="s">
        <v>149</v>
      </c>
      <c r="E46" t="s">
        <v>287</v>
      </c>
      <c r="F46" t="s">
        <v>723</v>
      </c>
      <c r="G46" t="s">
        <v>1154</v>
      </c>
      <c r="H46" t="s">
        <v>1565</v>
      </c>
      <c r="I46" t="s">
        <v>1749</v>
      </c>
      <c r="J46">
        <v>11213</v>
      </c>
      <c r="K46" t="s">
        <v>1779</v>
      </c>
      <c r="L46" t="s">
        <v>1781</v>
      </c>
      <c r="M46" t="s">
        <v>1782</v>
      </c>
      <c r="N46" t="s">
        <v>1783</v>
      </c>
      <c r="O46" t="s">
        <v>1793</v>
      </c>
      <c r="P46" t="s">
        <v>2055</v>
      </c>
      <c r="R46" t="s">
        <v>2062</v>
      </c>
      <c r="S46" t="s">
        <v>1779</v>
      </c>
      <c r="T46" t="s">
        <v>2065</v>
      </c>
      <c r="U46" t="s">
        <v>2073</v>
      </c>
      <c r="V46" t="s">
        <v>154</v>
      </c>
      <c r="W46">
        <v>0</v>
      </c>
      <c r="X46" t="s">
        <v>2088</v>
      </c>
      <c r="Y46" t="s">
        <v>2100</v>
      </c>
      <c r="AA46" t="s">
        <v>2161</v>
      </c>
      <c r="AB46" t="s">
        <v>2670</v>
      </c>
      <c r="AC46" t="s">
        <v>2771</v>
      </c>
      <c r="AD46">
        <v>107</v>
      </c>
      <c r="AE46" t="s">
        <v>3223</v>
      </c>
      <c r="AG46">
        <v>4</v>
      </c>
      <c r="AH46">
        <v>1</v>
      </c>
      <c r="AI46">
        <v>0</v>
      </c>
      <c r="AJ46">
        <v>8.789999999999999</v>
      </c>
      <c r="AM46" t="s">
        <v>3248</v>
      </c>
      <c r="AN46">
        <v>1098</v>
      </c>
    </row>
    <row r="47" spans="1:45">
      <c r="A47" s="1">
        <f>HYPERLINK("https://lsnyc.legalserver.org/matter/dynamic-profile/view/1906607","19-1906607")</f>
        <v>0</v>
      </c>
      <c r="B47" t="s">
        <v>54</v>
      </c>
      <c r="C47" t="s">
        <v>165</v>
      </c>
      <c r="D47" t="s">
        <v>174</v>
      </c>
      <c r="E47" t="s">
        <v>288</v>
      </c>
      <c r="F47" t="s">
        <v>724</v>
      </c>
      <c r="G47" t="s">
        <v>1155</v>
      </c>
      <c r="H47" t="s">
        <v>1566</v>
      </c>
      <c r="I47" t="s">
        <v>1749</v>
      </c>
      <c r="J47">
        <v>11208</v>
      </c>
      <c r="K47" t="s">
        <v>1779</v>
      </c>
      <c r="L47" t="s">
        <v>1781</v>
      </c>
      <c r="M47" t="s">
        <v>1782</v>
      </c>
      <c r="N47" t="s">
        <v>1808</v>
      </c>
      <c r="O47" t="s">
        <v>2037</v>
      </c>
      <c r="P47" t="s">
        <v>2053</v>
      </c>
      <c r="Q47" t="s">
        <v>2060</v>
      </c>
      <c r="R47" t="s">
        <v>2062</v>
      </c>
      <c r="S47" t="s">
        <v>1780</v>
      </c>
      <c r="T47" t="s">
        <v>2067</v>
      </c>
      <c r="U47" t="s">
        <v>2075</v>
      </c>
      <c r="V47" t="s">
        <v>205</v>
      </c>
      <c r="W47">
        <v>1488</v>
      </c>
      <c r="X47" t="s">
        <v>2088</v>
      </c>
      <c r="Y47" t="s">
        <v>2092</v>
      </c>
      <c r="Z47" t="s">
        <v>2113</v>
      </c>
      <c r="AA47" t="s">
        <v>2162</v>
      </c>
      <c r="AB47" t="s">
        <v>2671</v>
      </c>
      <c r="AC47" t="s">
        <v>2772</v>
      </c>
      <c r="AD47">
        <v>319</v>
      </c>
      <c r="AE47" t="s">
        <v>2704</v>
      </c>
      <c r="AG47">
        <v>2</v>
      </c>
      <c r="AH47">
        <v>2</v>
      </c>
      <c r="AI47">
        <v>2</v>
      </c>
      <c r="AJ47">
        <v>8.890000000000001</v>
      </c>
      <c r="AM47" t="s">
        <v>3248</v>
      </c>
      <c r="AN47">
        <v>2288</v>
      </c>
    </row>
    <row r="48" spans="1:45">
      <c r="A48" s="1">
        <f>HYPERLINK("https://lsnyc.legalserver.org/matter/dynamic-profile/view/1909811","19-1909811")</f>
        <v>0</v>
      </c>
      <c r="B48" t="s">
        <v>55</v>
      </c>
      <c r="C48" t="s">
        <v>166</v>
      </c>
      <c r="E48" t="s">
        <v>289</v>
      </c>
      <c r="F48" t="s">
        <v>725</v>
      </c>
      <c r="G48" t="s">
        <v>1156</v>
      </c>
      <c r="H48" t="s">
        <v>1548</v>
      </c>
      <c r="I48" t="s">
        <v>1749</v>
      </c>
      <c r="J48">
        <v>11233</v>
      </c>
      <c r="K48" t="s">
        <v>1779</v>
      </c>
      <c r="L48" t="s">
        <v>1781</v>
      </c>
      <c r="M48" t="s">
        <v>1782</v>
      </c>
      <c r="N48" t="s">
        <v>1809</v>
      </c>
      <c r="O48" t="s">
        <v>2030</v>
      </c>
      <c r="P48" t="s">
        <v>2051</v>
      </c>
      <c r="R48" t="s">
        <v>2062</v>
      </c>
      <c r="S48" t="s">
        <v>1780</v>
      </c>
      <c r="T48" t="s">
        <v>2065</v>
      </c>
      <c r="U48" t="s">
        <v>2073</v>
      </c>
      <c r="V48" t="s">
        <v>166</v>
      </c>
      <c r="W48">
        <v>1515</v>
      </c>
      <c r="X48" t="s">
        <v>2088</v>
      </c>
      <c r="Y48" t="s">
        <v>2103</v>
      </c>
      <c r="AA48" t="s">
        <v>2163</v>
      </c>
      <c r="AB48" t="s">
        <v>2672</v>
      </c>
      <c r="AC48" t="s">
        <v>2773</v>
      </c>
      <c r="AD48">
        <v>6</v>
      </c>
      <c r="AE48" t="s">
        <v>3223</v>
      </c>
      <c r="AF48" t="s">
        <v>1783</v>
      </c>
      <c r="AG48">
        <v>3</v>
      </c>
      <c r="AH48">
        <v>1</v>
      </c>
      <c r="AI48">
        <v>0</v>
      </c>
      <c r="AJ48">
        <v>13.63</v>
      </c>
      <c r="AM48" t="s">
        <v>3248</v>
      </c>
      <c r="AN48">
        <v>1703</v>
      </c>
    </row>
    <row r="49" spans="1:45">
      <c r="A49" s="1">
        <f>HYPERLINK("https://lsnyc.legalserver.org/matter/dynamic-profile/view/1908841","19-1908841")</f>
        <v>0</v>
      </c>
      <c r="B49" t="s">
        <v>69</v>
      </c>
      <c r="C49" t="s">
        <v>159</v>
      </c>
      <c r="E49" t="s">
        <v>290</v>
      </c>
      <c r="F49" t="s">
        <v>726</v>
      </c>
      <c r="G49" t="s">
        <v>1157</v>
      </c>
      <c r="H49" t="s">
        <v>1567</v>
      </c>
      <c r="I49" t="s">
        <v>1749</v>
      </c>
      <c r="J49">
        <v>11239</v>
      </c>
      <c r="K49" t="s">
        <v>1779</v>
      </c>
      <c r="L49" t="s">
        <v>1781</v>
      </c>
      <c r="M49" t="s">
        <v>1784</v>
      </c>
      <c r="N49" t="s">
        <v>1810</v>
      </c>
      <c r="O49" t="s">
        <v>2030</v>
      </c>
      <c r="P49" t="s">
        <v>2051</v>
      </c>
      <c r="R49" t="s">
        <v>2062</v>
      </c>
      <c r="S49" t="s">
        <v>1780</v>
      </c>
      <c r="T49" t="s">
        <v>2065</v>
      </c>
      <c r="U49" t="s">
        <v>2073</v>
      </c>
      <c r="V49" t="s">
        <v>159</v>
      </c>
      <c r="W49">
        <v>1896</v>
      </c>
      <c r="X49" t="s">
        <v>2088</v>
      </c>
      <c r="Y49" t="s">
        <v>2092</v>
      </c>
      <c r="AA49" t="s">
        <v>2164</v>
      </c>
      <c r="AB49" t="s">
        <v>2673</v>
      </c>
      <c r="AC49" t="s">
        <v>2774</v>
      </c>
      <c r="AD49">
        <v>1463</v>
      </c>
      <c r="AE49" t="s">
        <v>3225</v>
      </c>
      <c r="AF49" t="s">
        <v>3237</v>
      </c>
      <c r="AG49">
        <v>0</v>
      </c>
      <c r="AH49">
        <v>1</v>
      </c>
      <c r="AI49">
        <v>1</v>
      </c>
      <c r="AJ49">
        <v>13.7</v>
      </c>
      <c r="AM49" t="s">
        <v>3248</v>
      </c>
      <c r="AN49">
        <v>2316</v>
      </c>
    </row>
    <row r="50" spans="1:45">
      <c r="A50" s="1">
        <f>HYPERLINK("https://lsnyc.legalserver.org/matter/dynamic-profile/view/1909296","19-1909296")</f>
        <v>0</v>
      </c>
      <c r="B50" t="s">
        <v>54</v>
      </c>
      <c r="C50" t="s">
        <v>141</v>
      </c>
      <c r="E50" t="s">
        <v>291</v>
      </c>
      <c r="F50" t="s">
        <v>727</v>
      </c>
      <c r="G50" t="s">
        <v>1158</v>
      </c>
      <c r="H50">
        <v>143</v>
      </c>
      <c r="I50" t="s">
        <v>1749</v>
      </c>
      <c r="J50">
        <v>11208</v>
      </c>
      <c r="K50" t="s">
        <v>1779</v>
      </c>
      <c r="L50" t="s">
        <v>1781</v>
      </c>
      <c r="M50" t="s">
        <v>1782</v>
      </c>
      <c r="N50" t="s">
        <v>1786</v>
      </c>
      <c r="O50" t="s">
        <v>1793</v>
      </c>
      <c r="R50" t="s">
        <v>2062</v>
      </c>
      <c r="S50" t="s">
        <v>1780</v>
      </c>
      <c r="T50" t="s">
        <v>2065</v>
      </c>
      <c r="U50" t="s">
        <v>2073</v>
      </c>
      <c r="V50" t="s">
        <v>166</v>
      </c>
      <c r="W50">
        <v>1000</v>
      </c>
      <c r="X50" t="s">
        <v>2088</v>
      </c>
      <c r="AA50" t="s">
        <v>2165</v>
      </c>
      <c r="AB50" t="s">
        <v>2674</v>
      </c>
      <c r="AC50" t="s">
        <v>2775</v>
      </c>
      <c r="AD50">
        <v>266</v>
      </c>
      <c r="AE50" t="s">
        <v>3226</v>
      </c>
      <c r="AF50" t="s">
        <v>3236</v>
      </c>
      <c r="AG50">
        <v>28</v>
      </c>
      <c r="AH50">
        <v>1</v>
      </c>
      <c r="AI50">
        <v>0</v>
      </c>
      <c r="AJ50">
        <v>14.58</v>
      </c>
      <c r="AM50" t="s">
        <v>3248</v>
      </c>
      <c r="AN50">
        <v>1821.6</v>
      </c>
    </row>
    <row r="51" spans="1:45">
      <c r="A51" s="1">
        <f>HYPERLINK("https://lsnyc.legalserver.org/matter/dynamic-profile/view/1906910","19-1906910")</f>
        <v>0</v>
      </c>
      <c r="B51" t="s">
        <v>70</v>
      </c>
      <c r="C51" t="s">
        <v>152</v>
      </c>
      <c r="E51" t="s">
        <v>292</v>
      </c>
      <c r="F51" t="s">
        <v>728</v>
      </c>
      <c r="G51" t="s">
        <v>1159</v>
      </c>
      <c r="H51" t="s">
        <v>1548</v>
      </c>
      <c r="I51" t="s">
        <v>1754</v>
      </c>
      <c r="J51">
        <v>10035</v>
      </c>
      <c r="K51" t="s">
        <v>1779</v>
      </c>
      <c r="L51" t="s">
        <v>1781</v>
      </c>
      <c r="M51" t="s">
        <v>1782</v>
      </c>
      <c r="O51" t="s">
        <v>2038</v>
      </c>
      <c r="P51" t="s">
        <v>2053</v>
      </c>
      <c r="R51" t="s">
        <v>2062</v>
      </c>
      <c r="S51" t="s">
        <v>1780</v>
      </c>
      <c r="T51" t="s">
        <v>2065</v>
      </c>
      <c r="U51" t="s">
        <v>2076</v>
      </c>
      <c r="V51" t="s">
        <v>152</v>
      </c>
      <c r="W51">
        <v>645</v>
      </c>
      <c r="X51" t="s">
        <v>2091</v>
      </c>
      <c r="Y51" t="s">
        <v>2101</v>
      </c>
      <c r="AA51" t="s">
        <v>2166</v>
      </c>
      <c r="AD51">
        <v>8</v>
      </c>
      <c r="AE51" t="s">
        <v>3223</v>
      </c>
      <c r="AF51" t="s">
        <v>3236</v>
      </c>
      <c r="AG51">
        <v>20</v>
      </c>
      <c r="AH51">
        <v>1</v>
      </c>
      <c r="AI51">
        <v>2</v>
      </c>
      <c r="AJ51">
        <v>14.91</v>
      </c>
      <c r="AM51" t="s">
        <v>3249</v>
      </c>
      <c r="AN51">
        <v>3180</v>
      </c>
    </row>
    <row r="52" spans="1:45">
      <c r="A52" s="1">
        <f>HYPERLINK("https://lsnyc.legalserver.org/matter/dynamic-profile/view/1905196","19-1905196")</f>
        <v>0</v>
      </c>
      <c r="B52" t="s">
        <v>71</v>
      </c>
      <c r="C52" t="s">
        <v>167</v>
      </c>
      <c r="E52" t="s">
        <v>293</v>
      </c>
      <c r="F52" t="s">
        <v>682</v>
      </c>
      <c r="G52" t="s">
        <v>1160</v>
      </c>
      <c r="H52" t="s">
        <v>1568</v>
      </c>
      <c r="I52" t="s">
        <v>1754</v>
      </c>
      <c r="J52">
        <v>10024</v>
      </c>
      <c r="K52" t="s">
        <v>1779</v>
      </c>
      <c r="L52" t="s">
        <v>1781</v>
      </c>
      <c r="M52" t="s">
        <v>1782</v>
      </c>
      <c r="O52" t="s">
        <v>2032</v>
      </c>
      <c r="P52" t="s">
        <v>2052</v>
      </c>
      <c r="R52" t="s">
        <v>2062</v>
      </c>
      <c r="S52" t="s">
        <v>1779</v>
      </c>
      <c r="T52" t="s">
        <v>2065</v>
      </c>
      <c r="U52" t="s">
        <v>2073</v>
      </c>
      <c r="V52" t="s">
        <v>151</v>
      </c>
      <c r="W52">
        <v>875</v>
      </c>
      <c r="X52" t="s">
        <v>2091</v>
      </c>
      <c r="Y52" t="s">
        <v>2097</v>
      </c>
      <c r="AA52" t="s">
        <v>2167</v>
      </c>
      <c r="AC52" t="s">
        <v>2776</v>
      </c>
      <c r="AD52">
        <v>10</v>
      </c>
      <c r="AE52" t="s">
        <v>3223</v>
      </c>
      <c r="AF52" t="s">
        <v>3238</v>
      </c>
      <c r="AG52">
        <v>48</v>
      </c>
      <c r="AH52">
        <v>2</v>
      </c>
      <c r="AI52">
        <v>0</v>
      </c>
      <c r="AJ52">
        <v>15.97</v>
      </c>
      <c r="AM52" t="s">
        <v>3248</v>
      </c>
      <c r="AN52">
        <v>2700</v>
      </c>
    </row>
    <row r="53" spans="1:45">
      <c r="A53" s="1">
        <f>HYPERLINK("https://lsnyc.legalserver.org/matter/dynamic-profile/view/1907304","19-1907304")</f>
        <v>0</v>
      </c>
      <c r="B53" t="s">
        <v>60</v>
      </c>
      <c r="C53" t="s">
        <v>139</v>
      </c>
      <c r="E53" t="s">
        <v>292</v>
      </c>
      <c r="F53" t="s">
        <v>729</v>
      </c>
      <c r="G53" t="s">
        <v>1132</v>
      </c>
      <c r="H53" t="s">
        <v>1569</v>
      </c>
      <c r="I53" t="s">
        <v>1749</v>
      </c>
      <c r="J53">
        <v>11225</v>
      </c>
      <c r="K53" t="s">
        <v>1779</v>
      </c>
      <c r="L53" t="s">
        <v>1781</v>
      </c>
      <c r="O53" t="s">
        <v>2033</v>
      </c>
      <c r="P53" t="s">
        <v>2054</v>
      </c>
      <c r="R53" t="s">
        <v>2062</v>
      </c>
      <c r="S53" t="s">
        <v>1779</v>
      </c>
      <c r="T53" t="s">
        <v>2065</v>
      </c>
      <c r="V53" t="s">
        <v>139</v>
      </c>
      <c r="W53">
        <v>0</v>
      </c>
      <c r="X53" t="s">
        <v>2088</v>
      </c>
      <c r="AA53" t="s">
        <v>2168</v>
      </c>
      <c r="AC53" t="s">
        <v>2777</v>
      </c>
      <c r="AD53">
        <v>46</v>
      </c>
      <c r="AG53">
        <v>0</v>
      </c>
      <c r="AH53">
        <v>3</v>
      </c>
      <c r="AI53">
        <v>0</v>
      </c>
      <c r="AJ53">
        <v>16.37</v>
      </c>
      <c r="AM53" t="s">
        <v>3249</v>
      </c>
      <c r="AN53">
        <v>3492</v>
      </c>
    </row>
    <row r="54" spans="1:45">
      <c r="A54" s="1">
        <f>HYPERLINK("https://lsnyc.legalserver.org/matter/dynamic-profile/view/1910742","19-1910742")</f>
        <v>0</v>
      </c>
      <c r="B54" t="s">
        <v>72</v>
      </c>
      <c r="C54" t="s">
        <v>143</v>
      </c>
      <c r="E54" t="s">
        <v>294</v>
      </c>
      <c r="F54" t="s">
        <v>730</v>
      </c>
      <c r="G54" t="s">
        <v>1161</v>
      </c>
      <c r="H54" t="s">
        <v>1570</v>
      </c>
      <c r="I54" t="s">
        <v>1755</v>
      </c>
      <c r="J54">
        <v>11428</v>
      </c>
      <c r="K54" t="s">
        <v>1779</v>
      </c>
      <c r="L54" t="s">
        <v>1781</v>
      </c>
      <c r="M54" t="s">
        <v>1782</v>
      </c>
      <c r="N54" t="s">
        <v>1811</v>
      </c>
      <c r="O54" t="s">
        <v>2029</v>
      </c>
      <c r="P54" t="s">
        <v>2051</v>
      </c>
      <c r="R54" t="s">
        <v>2062</v>
      </c>
      <c r="S54" t="s">
        <v>1780</v>
      </c>
      <c r="T54" t="s">
        <v>2065</v>
      </c>
      <c r="U54" t="s">
        <v>2073</v>
      </c>
      <c r="V54" t="s">
        <v>143</v>
      </c>
      <c r="W54">
        <v>600</v>
      </c>
      <c r="X54" t="s">
        <v>2087</v>
      </c>
      <c r="Y54" t="s">
        <v>2092</v>
      </c>
      <c r="AA54" t="s">
        <v>2169</v>
      </c>
      <c r="AC54" t="s">
        <v>2778</v>
      </c>
      <c r="AD54">
        <v>3</v>
      </c>
      <c r="AE54" t="s">
        <v>2704</v>
      </c>
      <c r="AF54" t="s">
        <v>1783</v>
      </c>
      <c r="AG54">
        <v>6</v>
      </c>
      <c r="AH54">
        <v>1</v>
      </c>
      <c r="AI54">
        <v>0</v>
      </c>
      <c r="AJ54">
        <v>16.65</v>
      </c>
      <c r="AM54" t="s">
        <v>3248</v>
      </c>
      <c r="AN54">
        <v>2080</v>
      </c>
    </row>
    <row r="55" spans="1:45">
      <c r="A55" s="1">
        <f>HYPERLINK("https://lsnyc.legalserver.org/matter/dynamic-profile/view/1907762","19-1907762")</f>
        <v>0</v>
      </c>
      <c r="B55" t="s">
        <v>73</v>
      </c>
      <c r="C55" t="s">
        <v>154</v>
      </c>
      <c r="D55" t="s">
        <v>159</v>
      </c>
      <c r="E55" t="s">
        <v>295</v>
      </c>
      <c r="F55" t="s">
        <v>731</v>
      </c>
      <c r="G55" t="s">
        <v>1162</v>
      </c>
      <c r="H55" t="s">
        <v>1571</v>
      </c>
      <c r="I55" t="s">
        <v>1754</v>
      </c>
      <c r="J55">
        <v>10034</v>
      </c>
      <c r="K55" t="s">
        <v>1779</v>
      </c>
      <c r="L55" t="s">
        <v>1781</v>
      </c>
      <c r="M55" t="s">
        <v>1784</v>
      </c>
      <c r="O55" t="s">
        <v>1793</v>
      </c>
      <c r="P55" t="s">
        <v>2050</v>
      </c>
      <c r="Q55" t="s">
        <v>2057</v>
      </c>
      <c r="R55" t="s">
        <v>2062</v>
      </c>
      <c r="S55" t="s">
        <v>1780</v>
      </c>
      <c r="T55" t="s">
        <v>2065</v>
      </c>
      <c r="V55" t="s">
        <v>154</v>
      </c>
      <c r="W55">
        <v>1403</v>
      </c>
      <c r="X55" t="s">
        <v>2091</v>
      </c>
      <c r="Y55" t="s">
        <v>2097</v>
      </c>
      <c r="Z55" t="s">
        <v>2110</v>
      </c>
      <c r="AA55" t="s">
        <v>2170</v>
      </c>
      <c r="AB55" t="s">
        <v>2675</v>
      </c>
      <c r="AC55" t="s">
        <v>2779</v>
      </c>
      <c r="AD55">
        <v>31</v>
      </c>
      <c r="AE55" t="s">
        <v>3223</v>
      </c>
      <c r="AF55" t="s">
        <v>1783</v>
      </c>
      <c r="AG55">
        <v>1</v>
      </c>
      <c r="AH55">
        <v>1</v>
      </c>
      <c r="AI55">
        <v>0</v>
      </c>
      <c r="AJ55">
        <v>17.29</v>
      </c>
      <c r="AM55" t="s">
        <v>3248</v>
      </c>
      <c r="AN55">
        <v>2160</v>
      </c>
    </row>
    <row r="56" spans="1:45">
      <c r="A56" s="1">
        <f>HYPERLINK("https://lsnyc.legalserver.org/matter/dynamic-profile/view/1909543","19-1909543")</f>
        <v>0</v>
      </c>
      <c r="B56" t="s">
        <v>49</v>
      </c>
      <c r="C56" t="s">
        <v>138</v>
      </c>
      <c r="E56" t="s">
        <v>296</v>
      </c>
      <c r="F56" t="s">
        <v>732</v>
      </c>
      <c r="G56" t="s">
        <v>1163</v>
      </c>
      <c r="H56" t="s">
        <v>1572</v>
      </c>
      <c r="I56" t="s">
        <v>1756</v>
      </c>
      <c r="J56">
        <v>11355</v>
      </c>
      <c r="K56" t="s">
        <v>1779</v>
      </c>
      <c r="L56" t="s">
        <v>1781</v>
      </c>
      <c r="M56" t="s">
        <v>1782</v>
      </c>
      <c r="N56" t="s">
        <v>1812</v>
      </c>
      <c r="O56" t="s">
        <v>2030</v>
      </c>
      <c r="P56" t="s">
        <v>2051</v>
      </c>
      <c r="R56" t="s">
        <v>2062</v>
      </c>
      <c r="S56" t="s">
        <v>1780</v>
      </c>
      <c r="T56" t="s">
        <v>2065</v>
      </c>
      <c r="V56" t="s">
        <v>138</v>
      </c>
      <c r="W56">
        <v>1257.22</v>
      </c>
      <c r="X56" t="s">
        <v>2087</v>
      </c>
      <c r="Y56" t="s">
        <v>2100</v>
      </c>
      <c r="AA56" t="s">
        <v>2171</v>
      </c>
      <c r="AC56" t="s">
        <v>2780</v>
      </c>
      <c r="AD56">
        <v>0</v>
      </c>
      <c r="AE56" t="s">
        <v>3223</v>
      </c>
      <c r="AF56" t="s">
        <v>1783</v>
      </c>
      <c r="AG56">
        <v>11</v>
      </c>
      <c r="AH56">
        <v>1</v>
      </c>
      <c r="AI56">
        <v>0</v>
      </c>
      <c r="AJ56">
        <v>17.58</v>
      </c>
      <c r="AM56" t="s">
        <v>3250</v>
      </c>
      <c r="AN56">
        <v>2196</v>
      </c>
    </row>
    <row r="57" spans="1:45">
      <c r="A57" s="1">
        <f>HYPERLINK("https://lsnyc.legalserver.org/matter/dynamic-profile/view/1903865","19-1903865")</f>
        <v>0</v>
      </c>
      <c r="B57" t="s">
        <v>69</v>
      </c>
      <c r="C57" t="s">
        <v>168</v>
      </c>
      <c r="E57" t="s">
        <v>297</v>
      </c>
      <c r="F57" t="s">
        <v>733</v>
      </c>
      <c r="G57" t="s">
        <v>1164</v>
      </c>
      <c r="H57" t="s">
        <v>1547</v>
      </c>
      <c r="I57" t="s">
        <v>1749</v>
      </c>
      <c r="J57">
        <v>11233</v>
      </c>
      <c r="K57" t="s">
        <v>1779</v>
      </c>
      <c r="L57" t="s">
        <v>1781</v>
      </c>
      <c r="M57" t="s">
        <v>1784</v>
      </c>
      <c r="N57" t="s">
        <v>1813</v>
      </c>
      <c r="O57" t="s">
        <v>2030</v>
      </c>
      <c r="P57" t="s">
        <v>2051</v>
      </c>
      <c r="R57" t="s">
        <v>2062</v>
      </c>
      <c r="S57" t="s">
        <v>1780</v>
      </c>
      <c r="T57" t="s">
        <v>2065</v>
      </c>
      <c r="U57" t="s">
        <v>2076</v>
      </c>
      <c r="V57" t="s">
        <v>168</v>
      </c>
      <c r="W57">
        <v>1050</v>
      </c>
      <c r="X57" t="s">
        <v>2088</v>
      </c>
      <c r="Y57" t="s">
        <v>2099</v>
      </c>
      <c r="AA57" t="s">
        <v>2172</v>
      </c>
      <c r="AB57" t="s">
        <v>2676</v>
      </c>
      <c r="AC57" t="s">
        <v>2781</v>
      </c>
      <c r="AD57">
        <v>8</v>
      </c>
      <c r="AE57" t="s">
        <v>3223</v>
      </c>
      <c r="AF57" t="s">
        <v>1783</v>
      </c>
      <c r="AG57">
        <v>17</v>
      </c>
      <c r="AH57">
        <v>2</v>
      </c>
      <c r="AI57">
        <v>2</v>
      </c>
      <c r="AJ57">
        <v>19.69</v>
      </c>
      <c r="AM57" t="s">
        <v>3248</v>
      </c>
      <c r="AN57">
        <v>5070</v>
      </c>
    </row>
    <row r="58" spans="1:45">
      <c r="A58" s="1">
        <f>HYPERLINK("https://lsnyc.legalserver.org/matter/dynamic-profile/view/1907074","19-1907074")</f>
        <v>0</v>
      </c>
      <c r="B58" t="s">
        <v>73</v>
      </c>
      <c r="C58" t="s">
        <v>163</v>
      </c>
      <c r="E58" t="s">
        <v>298</v>
      </c>
      <c r="F58" t="s">
        <v>734</v>
      </c>
      <c r="G58" t="s">
        <v>1165</v>
      </c>
      <c r="H58" t="s">
        <v>1573</v>
      </c>
      <c r="I58" t="s">
        <v>1754</v>
      </c>
      <c r="J58">
        <v>10034</v>
      </c>
      <c r="K58" t="s">
        <v>1779</v>
      </c>
      <c r="L58" t="s">
        <v>1781</v>
      </c>
      <c r="M58" t="s">
        <v>1782</v>
      </c>
      <c r="O58" t="s">
        <v>2030</v>
      </c>
      <c r="P58" t="s">
        <v>2053</v>
      </c>
      <c r="R58" t="s">
        <v>2062</v>
      </c>
      <c r="S58" t="s">
        <v>1780</v>
      </c>
      <c r="T58" t="s">
        <v>2065</v>
      </c>
      <c r="V58" t="s">
        <v>163</v>
      </c>
      <c r="W58">
        <v>972.72</v>
      </c>
      <c r="X58" t="s">
        <v>2091</v>
      </c>
      <c r="Y58" t="s">
        <v>2101</v>
      </c>
      <c r="AA58" t="s">
        <v>2173</v>
      </c>
      <c r="AC58" t="s">
        <v>2782</v>
      </c>
      <c r="AD58">
        <v>121</v>
      </c>
      <c r="AE58" t="s">
        <v>3223</v>
      </c>
      <c r="AF58" t="s">
        <v>1783</v>
      </c>
      <c r="AG58">
        <v>32</v>
      </c>
      <c r="AH58">
        <v>1</v>
      </c>
      <c r="AI58">
        <v>0</v>
      </c>
      <c r="AJ58">
        <v>20.66</v>
      </c>
      <c r="AM58" t="s">
        <v>3249</v>
      </c>
      <c r="AN58">
        <v>2580</v>
      </c>
    </row>
    <row r="59" spans="1:45">
      <c r="A59" s="1">
        <f>HYPERLINK("https://lsnyc.legalserver.org/matter/dynamic-profile/view/1907072","19-1907072")</f>
        <v>0</v>
      </c>
      <c r="B59" t="s">
        <v>73</v>
      </c>
      <c r="C59" t="s">
        <v>163</v>
      </c>
      <c r="E59" t="s">
        <v>298</v>
      </c>
      <c r="F59" t="s">
        <v>734</v>
      </c>
      <c r="G59" t="s">
        <v>1165</v>
      </c>
      <c r="H59" t="s">
        <v>1573</v>
      </c>
      <c r="I59" t="s">
        <v>1754</v>
      </c>
      <c r="J59">
        <v>10034</v>
      </c>
      <c r="K59" t="s">
        <v>1779</v>
      </c>
      <c r="L59" t="s">
        <v>1781</v>
      </c>
      <c r="M59" t="s">
        <v>1782</v>
      </c>
      <c r="O59" t="s">
        <v>2034</v>
      </c>
      <c r="P59" t="s">
        <v>2053</v>
      </c>
      <c r="R59" t="s">
        <v>2062</v>
      </c>
      <c r="S59" t="s">
        <v>1780</v>
      </c>
      <c r="T59" t="s">
        <v>2065</v>
      </c>
      <c r="V59" t="s">
        <v>163</v>
      </c>
      <c r="W59">
        <v>972.72</v>
      </c>
      <c r="X59" t="s">
        <v>2091</v>
      </c>
      <c r="Y59" t="s">
        <v>2101</v>
      </c>
      <c r="AA59" t="s">
        <v>2173</v>
      </c>
      <c r="AC59" t="s">
        <v>2782</v>
      </c>
      <c r="AD59">
        <v>121</v>
      </c>
      <c r="AE59" t="s">
        <v>3223</v>
      </c>
      <c r="AF59" t="s">
        <v>1783</v>
      </c>
      <c r="AG59">
        <v>32</v>
      </c>
      <c r="AH59">
        <v>1</v>
      </c>
      <c r="AI59">
        <v>0</v>
      </c>
      <c r="AJ59">
        <v>20.66</v>
      </c>
      <c r="AM59" t="s">
        <v>3249</v>
      </c>
      <c r="AN59">
        <v>2580</v>
      </c>
    </row>
    <row r="60" spans="1:45">
      <c r="A60" s="1">
        <f>HYPERLINK("https://lsnyc.legalserver.org/matter/dynamic-profile/view/1904512","19-1904512")</f>
        <v>0</v>
      </c>
      <c r="B60" t="s">
        <v>69</v>
      </c>
      <c r="C60" t="s">
        <v>169</v>
      </c>
      <c r="E60" t="s">
        <v>299</v>
      </c>
      <c r="F60" t="s">
        <v>735</v>
      </c>
      <c r="G60" t="s">
        <v>1166</v>
      </c>
      <c r="H60">
        <v>9</v>
      </c>
      <c r="I60" t="s">
        <v>1749</v>
      </c>
      <c r="J60">
        <v>11212</v>
      </c>
      <c r="K60" t="s">
        <v>1779</v>
      </c>
      <c r="L60" t="s">
        <v>1781</v>
      </c>
      <c r="M60" t="s">
        <v>1782</v>
      </c>
      <c r="N60" t="s">
        <v>1814</v>
      </c>
      <c r="O60" t="s">
        <v>2030</v>
      </c>
      <c r="P60" t="s">
        <v>2051</v>
      </c>
      <c r="R60" t="s">
        <v>2062</v>
      </c>
      <c r="S60" t="s">
        <v>1780</v>
      </c>
      <c r="T60" t="s">
        <v>2065</v>
      </c>
      <c r="U60" t="s">
        <v>2073</v>
      </c>
      <c r="V60" t="s">
        <v>161</v>
      </c>
      <c r="W60">
        <v>1300</v>
      </c>
      <c r="X60" t="s">
        <v>2088</v>
      </c>
      <c r="Y60" t="s">
        <v>2104</v>
      </c>
      <c r="AA60" t="s">
        <v>2174</v>
      </c>
      <c r="AB60" t="s">
        <v>2677</v>
      </c>
      <c r="AC60" t="s">
        <v>2783</v>
      </c>
      <c r="AD60">
        <v>23</v>
      </c>
      <c r="AE60" t="s">
        <v>3223</v>
      </c>
      <c r="AF60" t="s">
        <v>1783</v>
      </c>
      <c r="AG60">
        <v>1</v>
      </c>
      <c r="AH60">
        <v>1</v>
      </c>
      <c r="AI60">
        <v>2</v>
      </c>
      <c r="AJ60">
        <v>22.5</v>
      </c>
      <c r="AM60" t="s">
        <v>3248</v>
      </c>
      <c r="AN60">
        <v>4800</v>
      </c>
    </row>
    <row r="61" spans="1:45">
      <c r="A61" s="1">
        <f>HYPERLINK("https://lsnyc.legalserver.org/matter/dynamic-profile/view/1909361","19-1909361")</f>
        <v>0</v>
      </c>
      <c r="B61" t="s">
        <v>47</v>
      </c>
      <c r="C61" t="s">
        <v>141</v>
      </c>
      <c r="D61" t="s">
        <v>233</v>
      </c>
      <c r="E61" t="s">
        <v>300</v>
      </c>
      <c r="F61" t="s">
        <v>736</v>
      </c>
      <c r="G61" t="s">
        <v>1167</v>
      </c>
      <c r="H61" t="s">
        <v>1574</v>
      </c>
      <c r="I61" t="s">
        <v>1757</v>
      </c>
      <c r="J61">
        <v>11412</v>
      </c>
      <c r="K61" t="s">
        <v>1779</v>
      </c>
      <c r="L61" t="s">
        <v>1781</v>
      </c>
      <c r="M61" t="s">
        <v>1782</v>
      </c>
      <c r="N61" t="s">
        <v>1815</v>
      </c>
      <c r="O61" t="s">
        <v>2029</v>
      </c>
      <c r="P61" t="s">
        <v>2050</v>
      </c>
      <c r="Q61" t="s">
        <v>2057</v>
      </c>
      <c r="R61" t="s">
        <v>2062</v>
      </c>
      <c r="S61" t="s">
        <v>1780</v>
      </c>
      <c r="T61" t="s">
        <v>2065</v>
      </c>
      <c r="U61" t="s">
        <v>2072</v>
      </c>
      <c r="V61" t="s">
        <v>233</v>
      </c>
      <c r="W61">
        <v>1515</v>
      </c>
      <c r="X61" t="s">
        <v>2087</v>
      </c>
      <c r="Y61" t="s">
        <v>2092</v>
      </c>
      <c r="Z61" t="s">
        <v>2110</v>
      </c>
      <c r="AA61" t="s">
        <v>2175</v>
      </c>
      <c r="AB61" t="s">
        <v>2678</v>
      </c>
      <c r="AC61" t="s">
        <v>2784</v>
      </c>
      <c r="AD61">
        <v>2</v>
      </c>
      <c r="AF61" t="s">
        <v>3240</v>
      </c>
      <c r="AG61">
        <v>1</v>
      </c>
      <c r="AH61">
        <v>1</v>
      </c>
      <c r="AI61">
        <v>3</v>
      </c>
      <c r="AJ61">
        <v>23.3</v>
      </c>
      <c r="AN61">
        <v>6000</v>
      </c>
    </row>
    <row r="62" spans="1:45">
      <c r="A62" s="1">
        <f>HYPERLINK("https://lsnyc.legalserver.org/matter/dynamic-profile/view/1905377","19-1905377")</f>
        <v>0</v>
      </c>
      <c r="B62" t="s">
        <v>74</v>
      </c>
      <c r="C62" t="s">
        <v>170</v>
      </c>
      <c r="D62" t="s">
        <v>242</v>
      </c>
      <c r="E62" t="s">
        <v>301</v>
      </c>
      <c r="F62" t="s">
        <v>737</v>
      </c>
      <c r="G62" t="s">
        <v>1168</v>
      </c>
      <c r="H62" t="s">
        <v>1555</v>
      </c>
      <c r="I62" t="s">
        <v>1747</v>
      </c>
      <c r="J62">
        <v>11420</v>
      </c>
      <c r="K62" t="s">
        <v>1779</v>
      </c>
      <c r="L62" t="s">
        <v>1781</v>
      </c>
      <c r="M62" t="s">
        <v>1782</v>
      </c>
      <c r="N62" t="s">
        <v>1816</v>
      </c>
      <c r="O62" t="s">
        <v>2029</v>
      </c>
      <c r="P62" t="s">
        <v>2050</v>
      </c>
      <c r="Q62" t="s">
        <v>2057</v>
      </c>
      <c r="R62" t="s">
        <v>2062</v>
      </c>
      <c r="S62" t="s">
        <v>1780</v>
      </c>
      <c r="T62" t="s">
        <v>2065</v>
      </c>
      <c r="U62" t="s">
        <v>2075</v>
      </c>
      <c r="V62" t="s">
        <v>170</v>
      </c>
      <c r="W62">
        <v>2000</v>
      </c>
      <c r="X62" t="s">
        <v>2087</v>
      </c>
      <c r="Y62" t="s">
        <v>2092</v>
      </c>
      <c r="Z62" t="s">
        <v>2110</v>
      </c>
      <c r="AA62" t="s">
        <v>2176</v>
      </c>
      <c r="AB62" t="s">
        <v>2679</v>
      </c>
      <c r="AC62" t="s">
        <v>2785</v>
      </c>
      <c r="AD62">
        <v>1</v>
      </c>
      <c r="AE62" t="s">
        <v>3222</v>
      </c>
      <c r="AF62" t="s">
        <v>2094</v>
      </c>
      <c r="AG62">
        <v>1</v>
      </c>
      <c r="AH62">
        <v>2</v>
      </c>
      <c r="AI62">
        <v>3</v>
      </c>
      <c r="AJ62">
        <v>23.86</v>
      </c>
      <c r="AM62" t="s">
        <v>3248</v>
      </c>
      <c r="AN62">
        <v>7200</v>
      </c>
    </row>
    <row r="63" spans="1:45">
      <c r="A63" s="1">
        <f>HYPERLINK("https://lsnyc.legalserver.org/matter/dynamic-profile/view/1905313","19-1905313")</f>
        <v>0</v>
      </c>
      <c r="B63" t="s">
        <v>75</v>
      </c>
      <c r="C63" t="s">
        <v>167</v>
      </c>
      <c r="D63" t="s">
        <v>160</v>
      </c>
      <c r="E63" t="s">
        <v>302</v>
      </c>
      <c r="F63" t="s">
        <v>697</v>
      </c>
      <c r="G63" t="s">
        <v>1169</v>
      </c>
      <c r="H63">
        <v>404</v>
      </c>
      <c r="I63" t="s">
        <v>1752</v>
      </c>
      <c r="J63">
        <v>10460</v>
      </c>
      <c r="K63" t="s">
        <v>1779</v>
      </c>
      <c r="L63" t="s">
        <v>1781</v>
      </c>
      <c r="M63" t="s">
        <v>1783</v>
      </c>
      <c r="N63" t="s">
        <v>1817</v>
      </c>
      <c r="O63" t="s">
        <v>2030</v>
      </c>
      <c r="P63" t="s">
        <v>2051</v>
      </c>
      <c r="Q63" t="s">
        <v>2058</v>
      </c>
      <c r="R63" t="s">
        <v>2062</v>
      </c>
      <c r="S63" t="s">
        <v>1780</v>
      </c>
      <c r="T63" t="s">
        <v>2065</v>
      </c>
      <c r="U63" t="s">
        <v>2074</v>
      </c>
      <c r="V63" t="s">
        <v>151</v>
      </c>
      <c r="W63">
        <v>1269</v>
      </c>
      <c r="X63" t="s">
        <v>2089</v>
      </c>
      <c r="Y63" t="s">
        <v>2102</v>
      </c>
      <c r="Z63" t="s">
        <v>2114</v>
      </c>
      <c r="AA63" t="s">
        <v>2177</v>
      </c>
      <c r="AC63" t="s">
        <v>2786</v>
      </c>
      <c r="AD63">
        <v>27</v>
      </c>
      <c r="AE63" t="s">
        <v>3223</v>
      </c>
      <c r="AF63" t="s">
        <v>3236</v>
      </c>
      <c r="AG63">
        <v>13</v>
      </c>
      <c r="AH63">
        <v>3</v>
      </c>
      <c r="AI63">
        <v>0</v>
      </c>
      <c r="AJ63">
        <v>24.19</v>
      </c>
      <c r="AM63" t="s">
        <v>3248</v>
      </c>
      <c r="AN63">
        <v>5160</v>
      </c>
      <c r="AP63" t="s">
        <v>3283</v>
      </c>
      <c r="AQ63" t="s">
        <v>3288</v>
      </c>
      <c r="AR63" t="s">
        <v>3294</v>
      </c>
      <c r="AS63" t="s">
        <v>3298</v>
      </c>
    </row>
    <row r="64" spans="1:45">
      <c r="A64" s="1">
        <f>HYPERLINK("https://lsnyc.legalserver.org/matter/dynamic-profile/view/1908106","19-1908106")</f>
        <v>0</v>
      </c>
      <c r="B64" t="s">
        <v>76</v>
      </c>
      <c r="C64" t="s">
        <v>171</v>
      </c>
      <c r="E64" t="s">
        <v>303</v>
      </c>
      <c r="F64" t="s">
        <v>738</v>
      </c>
      <c r="G64" t="s">
        <v>1170</v>
      </c>
      <c r="H64" t="s">
        <v>1556</v>
      </c>
      <c r="I64" t="s">
        <v>1749</v>
      </c>
      <c r="J64">
        <v>11213</v>
      </c>
      <c r="K64" t="s">
        <v>1779</v>
      </c>
      <c r="L64" t="s">
        <v>1781</v>
      </c>
      <c r="M64" t="s">
        <v>1782</v>
      </c>
      <c r="N64" t="s">
        <v>1818</v>
      </c>
      <c r="O64" t="s">
        <v>2032</v>
      </c>
      <c r="P64" t="s">
        <v>2053</v>
      </c>
      <c r="R64" t="s">
        <v>2062</v>
      </c>
      <c r="S64" t="s">
        <v>1780</v>
      </c>
      <c r="T64" t="s">
        <v>2065</v>
      </c>
      <c r="U64" t="s">
        <v>2073</v>
      </c>
      <c r="V64" t="s">
        <v>171</v>
      </c>
      <c r="W64">
        <v>0</v>
      </c>
      <c r="X64" t="s">
        <v>2088</v>
      </c>
      <c r="Y64" t="s">
        <v>2099</v>
      </c>
      <c r="AA64" t="s">
        <v>2178</v>
      </c>
      <c r="AD64">
        <v>35</v>
      </c>
      <c r="AE64" t="s">
        <v>3223</v>
      </c>
      <c r="AG64">
        <v>0</v>
      </c>
      <c r="AH64">
        <v>3</v>
      </c>
      <c r="AI64">
        <v>1</v>
      </c>
      <c r="AJ64">
        <v>24.23</v>
      </c>
      <c r="AM64" t="s">
        <v>3248</v>
      </c>
      <c r="AN64">
        <v>6240</v>
      </c>
    </row>
    <row r="65" spans="1:45">
      <c r="A65" s="1">
        <f>HYPERLINK("https://lsnyc.legalserver.org/matter/dynamic-profile/view/1907258","19-1907258")</f>
        <v>0</v>
      </c>
      <c r="B65" t="s">
        <v>57</v>
      </c>
      <c r="C65" t="s">
        <v>156</v>
      </c>
      <c r="E65" t="s">
        <v>304</v>
      </c>
      <c r="F65" t="s">
        <v>739</v>
      </c>
      <c r="G65" t="s">
        <v>1171</v>
      </c>
      <c r="H65" t="s">
        <v>1568</v>
      </c>
      <c r="I65" t="s">
        <v>1749</v>
      </c>
      <c r="J65">
        <v>11233</v>
      </c>
      <c r="K65" t="s">
        <v>1779</v>
      </c>
      <c r="L65" t="s">
        <v>1781</v>
      </c>
      <c r="M65" t="s">
        <v>1782</v>
      </c>
      <c r="N65" t="s">
        <v>1819</v>
      </c>
      <c r="O65" t="s">
        <v>2030</v>
      </c>
      <c r="P65" t="s">
        <v>2051</v>
      </c>
      <c r="R65" t="s">
        <v>2062</v>
      </c>
      <c r="S65" t="s">
        <v>1780</v>
      </c>
      <c r="T65" t="s">
        <v>2065</v>
      </c>
      <c r="V65" t="s">
        <v>208</v>
      </c>
      <c r="W65">
        <v>627</v>
      </c>
      <c r="X65" t="s">
        <v>2088</v>
      </c>
      <c r="Y65" t="s">
        <v>2101</v>
      </c>
      <c r="AA65" t="s">
        <v>2179</v>
      </c>
      <c r="AB65" t="s">
        <v>2680</v>
      </c>
      <c r="AC65" t="s">
        <v>2787</v>
      </c>
      <c r="AD65">
        <v>112</v>
      </c>
      <c r="AE65" t="s">
        <v>3223</v>
      </c>
      <c r="AF65" t="s">
        <v>3236</v>
      </c>
      <c r="AG65">
        <v>8</v>
      </c>
      <c r="AH65">
        <v>1</v>
      </c>
      <c r="AI65">
        <v>0</v>
      </c>
      <c r="AJ65">
        <v>26.55</v>
      </c>
      <c r="AM65" t="s">
        <v>3248</v>
      </c>
      <c r="AN65">
        <v>3315.6</v>
      </c>
    </row>
    <row r="66" spans="1:45">
      <c r="A66" s="1">
        <f>HYPERLINK("https://lsnyc.legalserver.org/matter/dynamic-profile/view/1905514","19-1905514")</f>
        <v>0</v>
      </c>
      <c r="B66" t="s">
        <v>45</v>
      </c>
      <c r="C66" t="s">
        <v>172</v>
      </c>
      <c r="E66" t="s">
        <v>305</v>
      </c>
      <c r="F66" t="s">
        <v>740</v>
      </c>
      <c r="G66" t="s">
        <v>1172</v>
      </c>
      <c r="H66" t="s">
        <v>1575</v>
      </c>
      <c r="I66" t="s">
        <v>1758</v>
      </c>
      <c r="J66">
        <v>11423</v>
      </c>
      <c r="K66" t="s">
        <v>1779</v>
      </c>
      <c r="L66" t="s">
        <v>1781</v>
      </c>
      <c r="M66" t="s">
        <v>1782</v>
      </c>
      <c r="N66" t="s">
        <v>1820</v>
      </c>
      <c r="O66" t="s">
        <v>2029</v>
      </c>
      <c r="P66" t="s">
        <v>2051</v>
      </c>
      <c r="R66" t="s">
        <v>2062</v>
      </c>
      <c r="S66" t="s">
        <v>1780</v>
      </c>
      <c r="T66" t="s">
        <v>2065</v>
      </c>
      <c r="U66" t="s">
        <v>2073</v>
      </c>
      <c r="V66" t="s">
        <v>140</v>
      </c>
      <c r="W66">
        <v>1900</v>
      </c>
      <c r="X66" t="s">
        <v>2087</v>
      </c>
      <c r="Y66" t="s">
        <v>2101</v>
      </c>
      <c r="AA66" t="s">
        <v>2180</v>
      </c>
      <c r="AC66" t="s">
        <v>2788</v>
      </c>
      <c r="AD66">
        <v>2</v>
      </c>
      <c r="AE66" t="s">
        <v>3222</v>
      </c>
      <c r="AF66" t="s">
        <v>1783</v>
      </c>
      <c r="AG66">
        <v>1</v>
      </c>
      <c r="AH66">
        <v>1</v>
      </c>
      <c r="AI66">
        <v>1</v>
      </c>
      <c r="AJ66">
        <v>28.39</v>
      </c>
      <c r="AM66" t="s">
        <v>3251</v>
      </c>
      <c r="AN66">
        <v>4800</v>
      </c>
    </row>
    <row r="67" spans="1:45">
      <c r="A67" s="1">
        <f>HYPERLINK("https://lsnyc.legalserver.org/matter/dynamic-profile/view/1907161","19-1907161")</f>
        <v>0</v>
      </c>
      <c r="B67" t="s">
        <v>74</v>
      </c>
      <c r="C67" t="s">
        <v>173</v>
      </c>
      <c r="D67" t="s">
        <v>233</v>
      </c>
      <c r="E67" t="s">
        <v>306</v>
      </c>
      <c r="F67" t="s">
        <v>741</v>
      </c>
      <c r="G67" t="s">
        <v>1173</v>
      </c>
      <c r="H67" t="s">
        <v>1556</v>
      </c>
      <c r="I67" t="s">
        <v>1759</v>
      </c>
      <c r="J67">
        <v>11101</v>
      </c>
      <c r="K67" t="s">
        <v>1779</v>
      </c>
      <c r="L67" t="s">
        <v>1781</v>
      </c>
      <c r="M67" t="s">
        <v>1782</v>
      </c>
      <c r="O67" t="s">
        <v>2034</v>
      </c>
      <c r="P67" t="s">
        <v>2050</v>
      </c>
      <c r="Q67" t="s">
        <v>2057</v>
      </c>
      <c r="R67" t="s">
        <v>2062</v>
      </c>
      <c r="S67" t="s">
        <v>1780</v>
      </c>
      <c r="T67" t="s">
        <v>2065</v>
      </c>
      <c r="U67" t="s">
        <v>2073</v>
      </c>
      <c r="V67" t="s">
        <v>233</v>
      </c>
      <c r="W67">
        <v>1046</v>
      </c>
      <c r="X67" t="s">
        <v>2087</v>
      </c>
      <c r="Y67" t="s">
        <v>2095</v>
      </c>
      <c r="Z67" t="s">
        <v>2110</v>
      </c>
      <c r="AA67" t="s">
        <v>2181</v>
      </c>
      <c r="AD67">
        <v>6</v>
      </c>
      <c r="AE67" t="s">
        <v>3223</v>
      </c>
      <c r="AF67" t="s">
        <v>1783</v>
      </c>
      <c r="AG67">
        <v>20</v>
      </c>
      <c r="AH67">
        <v>1</v>
      </c>
      <c r="AI67">
        <v>0</v>
      </c>
      <c r="AJ67">
        <v>28.82</v>
      </c>
      <c r="AM67" t="s">
        <v>3248</v>
      </c>
      <c r="AN67">
        <v>3600</v>
      </c>
    </row>
    <row r="68" spans="1:45">
      <c r="A68" s="1">
        <f>HYPERLINK("https://lsnyc.legalserver.org/matter/dynamic-profile/view/1907511","19-1907511")</f>
        <v>0</v>
      </c>
      <c r="B68" t="s">
        <v>45</v>
      </c>
      <c r="C68" t="s">
        <v>139</v>
      </c>
      <c r="D68" t="s">
        <v>233</v>
      </c>
      <c r="E68" t="s">
        <v>307</v>
      </c>
      <c r="F68" t="s">
        <v>742</v>
      </c>
      <c r="G68" t="s">
        <v>1174</v>
      </c>
      <c r="H68">
        <v>1</v>
      </c>
      <c r="I68" t="s">
        <v>1760</v>
      </c>
      <c r="J68">
        <v>11413</v>
      </c>
      <c r="K68" t="s">
        <v>1779</v>
      </c>
      <c r="L68" t="s">
        <v>1781</v>
      </c>
      <c r="M68" t="s">
        <v>1782</v>
      </c>
      <c r="N68" t="s">
        <v>1821</v>
      </c>
      <c r="O68" t="s">
        <v>2029</v>
      </c>
      <c r="P68" t="s">
        <v>2050</v>
      </c>
      <c r="Q68" t="s">
        <v>2057</v>
      </c>
      <c r="R68" t="s">
        <v>2062</v>
      </c>
      <c r="S68" t="s">
        <v>1780</v>
      </c>
      <c r="T68" t="s">
        <v>2065</v>
      </c>
      <c r="U68" t="s">
        <v>2072</v>
      </c>
      <c r="V68" t="s">
        <v>139</v>
      </c>
      <c r="W68">
        <v>1000</v>
      </c>
      <c r="X68" t="s">
        <v>2087</v>
      </c>
      <c r="Y68" t="s">
        <v>2092</v>
      </c>
      <c r="Z68" t="s">
        <v>2110</v>
      </c>
      <c r="AA68" t="s">
        <v>2182</v>
      </c>
      <c r="AB68" t="s">
        <v>1783</v>
      </c>
      <c r="AC68" t="s">
        <v>2789</v>
      </c>
      <c r="AD68">
        <v>2</v>
      </c>
      <c r="AE68" t="s">
        <v>3222</v>
      </c>
      <c r="AF68" t="s">
        <v>1783</v>
      </c>
      <c r="AG68">
        <v>1</v>
      </c>
      <c r="AH68">
        <v>1</v>
      </c>
      <c r="AI68">
        <v>1</v>
      </c>
      <c r="AJ68">
        <v>29.57</v>
      </c>
      <c r="AM68" t="s">
        <v>3248</v>
      </c>
      <c r="AN68">
        <v>5000</v>
      </c>
    </row>
    <row r="69" spans="1:45">
      <c r="A69" s="1">
        <f>HYPERLINK("https://lsnyc.legalserver.org/matter/dynamic-profile/view/1909404","19-1909404")</f>
        <v>0</v>
      </c>
      <c r="B69" t="s">
        <v>55</v>
      </c>
      <c r="C69" t="s">
        <v>164</v>
      </c>
      <c r="E69" t="s">
        <v>308</v>
      </c>
      <c r="F69" t="s">
        <v>743</v>
      </c>
      <c r="G69" t="s">
        <v>1175</v>
      </c>
      <c r="H69">
        <v>1</v>
      </c>
      <c r="I69" t="s">
        <v>1749</v>
      </c>
      <c r="J69">
        <v>11207</v>
      </c>
      <c r="K69" t="s">
        <v>1779</v>
      </c>
      <c r="L69" t="s">
        <v>1781</v>
      </c>
      <c r="M69" t="s">
        <v>1784</v>
      </c>
      <c r="N69" t="s">
        <v>1822</v>
      </c>
      <c r="O69" t="s">
        <v>2030</v>
      </c>
      <c r="P69" t="s">
        <v>2052</v>
      </c>
      <c r="R69" t="s">
        <v>2062</v>
      </c>
      <c r="S69" t="s">
        <v>1780</v>
      </c>
      <c r="T69" t="s">
        <v>2065</v>
      </c>
      <c r="U69" t="s">
        <v>2073</v>
      </c>
      <c r="V69" t="s">
        <v>164</v>
      </c>
      <c r="W69">
        <v>2000</v>
      </c>
      <c r="X69" t="s">
        <v>2088</v>
      </c>
      <c r="Y69" t="s">
        <v>2105</v>
      </c>
      <c r="AA69" t="s">
        <v>2183</v>
      </c>
      <c r="AB69" t="s">
        <v>2681</v>
      </c>
      <c r="AC69" t="s">
        <v>2790</v>
      </c>
      <c r="AD69">
        <v>3</v>
      </c>
      <c r="AG69">
        <v>0</v>
      </c>
      <c r="AH69">
        <v>3</v>
      </c>
      <c r="AI69">
        <v>2</v>
      </c>
      <c r="AJ69">
        <v>30.16</v>
      </c>
      <c r="AM69" t="s">
        <v>3248</v>
      </c>
      <c r="AN69">
        <v>9100</v>
      </c>
    </row>
    <row r="70" spans="1:45">
      <c r="A70" s="1">
        <f>HYPERLINK("https://lsnyc.legalserver.org/matter/dynamic-profile/view/1908713","19-1908713")</f>
        <v>0</v>
      </c>
      <c r="B70" t="s">
        <v>48</v>
      </c>
      <c r="C70" t="s">
        <v>174</v>
      </c>
      <c r="E70" t="s">
        <v>309</v>
      </c>
      <c r="F70" t="s">
        <v>744</v>
      </c>
      <c r="G70" t="s">
        <v>1176</v>
      </c>
      <c r="H70" t="s">
        <v>1576</v>
      </c>
      <c r="I70" t="s">
        <v>1761</v>
      </c>
      <c r="J70">
        <v>11377</v>
      </c>
      <c r="K70" t="s">
        <v>1779</v>
      </c>
      <c r="L70" t="s">
        <v>1781</v>
      </c>
      <c r="O70" t="s">
        <v>2029</v>
      </c>
      <c r="P70" t="s">
        <v>2052</v>
      </c>
      <c r="R70" t="s">
        <v>2063</v>
      </c>
      <c r="S70" t="s">
        <v>1780</v>
      </c>
      <c r="T70" t="s">
        <v>2065</v>
      </c>
      <c r="V70" t="s">
        <v>2081</v>
      </c>
      <c r="W70">
        <v>720</v>
      </c>
      <c r="X70" t="s">
        <v>2087</v>
      </c>
      <c r="Y70" t="s">
        <v>2093</v>
      </c>
      <c r="AA70" t="s">
        <v>2184</v>
      </c>
      <c r="AB70" t="s">
        <v>2682</v>
      </c>
      <c r="AD70">
        <v>6</v>
      </c>
      <c r="AE70" t="s">
        <v>3223</v>
      </c>
      <c r="AG70">
        <v>9</v>
      </c>
      <c r="AH70">
        <v>1</v>
      </c>
      <c r="AI70">
        <v>3</v>
      </c>
      <c r="AJ70">
        <v>30.29</v>
      </c>
      <c r="AK70" t="s">
        <v>3244</v>
      </c>
      <c r="AL70" t="s">
        <v>3245</v>
      </c>
      <c r="AM70" t="s">
        <v>3249</v>
      </c>
      <c r="AN70">
        <v>7800</v>
      </c>
    </row>
    <row r="71" spans="1:45">
      <c r="A71" s="1">
        <f>HYPERLINK("https://lsnyc.legalserver.org/matter/dynamic-profile/view/1908269","19-1908269")</f>
        <v>0</v>
      </c>
      <c r="B71" t="s">
        <v>77</v>
      </c>
      <c r="C71" t="s">
        <v>149</v>
      </c>
      <c r="E71" t="s">
        <v>310</v>
      </c>
      <c r="F71" t="s">
        <v>745</v>
      </c>
      <c r="G71" t="s">
        <v>1177</v>
      </c>
      <c r="H71">
        <v>5</v>
      </c>
      <c r="I71" t="s">
        <v>1749</v>
      </c>
      <c r="J71">
        <v>11233</v>
      </c>
      <c r="K71" t="s">
        <v>1779</v>
      </c>
      <c r="L71" t="s">
        <v>1781</v>
      </c>
      <c r="M71" t="s">
        <v>1782</v>
      </c>
      <c r="N71" t="s">
        <v>1799</v>
      </c>
      <c r="O71" t="s">
        <v>2033</v>
      </c>
      <c r="P71" t="s">
        <v>2055</v>
      </c>
      <c r="R71" t="s">
        <v>2062</v>
      </c>
      <c r="S71" t="s">
        <v>1780</v>
      </c>
      <c r="T71" t="s">
        <v>2065</v>
      </c>
      <c r="U71" t="s">
        <v>2073</v>
      </c>
      <c r="V71" t="s">
        <v>238</v>
      </c>
      <c r="W71">
        <v>1550</v>
      </c>
      <c r="X71" t="s">
        <v>2088</v>
      </c>
      <c r="AA71" t="s">
        <v>2185</v>
      </c>
      <c r="AB71" t="s">
        <v>2670</v>
      </c>
      <c r="AC71" t="s">
        <v>2791</v>
      </c>
      <c r="AD71">
        <v>16</v>
      </c>
      <c r="AE71" t="s">
        <v>3223</v>
      </c>
      <c r="AF71" t="s">
        <v>3241</v>
      </c>
      <c r="AG71">
        <v>4</v>
      </c>
      <c r="AH71">
        <v>1</v>
      </c>
      <c r="AI71">
        <v>0</v>
      </c>
      <c r="AJ71">
        <v>31.22</v>
      </c>
      <c r="AM71" t="s">
        <v>3248</v>
      </c>
      <c r="AN71">
        <v>3900</v>
      </c>
    </row>
    <row r="72" spans="1:45">
      <c r="A72" s="1">
        <f>HYPERLINK("https://lsnyc.legalserver.org/matter/dynamic-profile/view/0831293","17-0831293")</f>
        <v>0</v>
      </c>
      <c r="B72" t="s">
        <v>78</v>
      </c>
      <c r="C72" t="s">
        <v>175</v>
      </c>
      <c r="D72" t="s">
        <v>152</v>
      </c>
      <c r="E72" t="s">
        <v>311</v>
      </c>
      <c r="F72" t="s">
        <v>746</v>
      </c>
      <c r="G72" t="s">
        <v>1178</v>
      </c>
      <c r="H72">
        <v>14</v>
      </c>
      <c r="I72" t="s">
        <v>1749</v>
      </c>
      <c r="J72">
        <v>11219</v>
      </c>
      <c r="K72" t="s">
        <v>1779</v>
      </c>
      <c r="L72" t="s">
        <v>1781</v>
      </c>
      <c r="M72" t="s">
        <v>1782</v>
      </c>
      <c r="N72" t="s">
        <v>1823</v>
      </c>
      <c r="O72" t="s">
        <v>2030</v>
      </c>
      <c r="P72" t="s">
        <v>2055</v>
      </c>
      <c r="Q72" t="s">
        <v>2057</v>
      </c>
      <c r="R72" t="s">
        <v>2062</v>
      </c>
      <c r="S72" t="s">
        <v>1780</v>
      </c>
      <c r="T72" t="s">
        <v>2065</v>
      </c>
      <c r="U72" t="s">
        <v>2075</v>
      </c>
      <c r="V72" t="s">
        <v>213</v>
      </c>
      <c r="W72">
        <v>1065</v>
      </c>
      <c r="X72" t="s">
        <v>2088</v>
      </c>
      <c r="Y72" t="s">
        <v>2095</v>
      </c>
      <c r="Z72" t="s">
        <v>2111</v>
      </c>
      <c r="AA72" t="s">
        <v>2186</v>
      </c>
      <c r="AC72" t="s">
        <v>2792</v>
      </c>
      <c r="AD72">
        <v>14</v>
      </c>
      <c r="AE72" t="s">
        <v>3223</v>
      </c>
      <c r="AF72" t="s">
        <v>1783</v>
      </c>
      <c r="AG72">
        <v>12</v>
      </c>
      <c r="AH72">
        <v>3</v>
      </c>
      <c r="AI72">
        <v>0</v>
      </c>
      <c r="AJ72">
        <v>32.32</v>
      </c>
      <c r="AM72" t="s">
        <v>3252</v>
      </c>
      <c r="AN72">
        <v>6600</v>
      </c>
      <c r="AR72" t="s">
        <v>3294</v>
      </c>
      <c r="AS72" t="s">
        <v>3299</v>
      </c>
    </row>
    <row r="73" spans="1:45">
      <c r="A73" s="1">
        <f>HYPERLINK("https://lsnyc.legalserver.org/matter/dynamic-profile/view/1904889","19-1904889")</f>
        <v>0</v>
      </c>
      <c r="B73" t="s">
        <v>74</v>
      </c>
      <c r="C73" t="s">
        <v>176</v>
      </c>
      <c r="E73" t="s">
        <v>312</v>
      </c>
      <c r="F73" t="s">
        <v>747</v>
      </c>
      <c r="G73" t="s">
        <v>1179</v>
      </c>
      <c r="H73" t="s">
        <v>1577</v>
      </c>
      <c r="I73" t="s">
        <v>1745</v>
      </c>
      <c r="J73">
        <v>11691</v>
      </c>
      <c r="K73" t="s">
        <v>1779</v>
      </c>
      <c r="L73" t="s">
        <v>1781</v>
      </c>
      <c r="M73" t="s">
        <v>1782</v>
      </c>
      <c r="N73" t="s">
        <v>1824</v>
      </c>
      <c r="O73" t="s">
        <v>2029</v>
      </c>
      <c r="P73" t="s">
        <v>2051</v>
      </c>
      <c r="R73" t="s">
        <v>2062</v>
      </c>
      <c r="S73" t="s">
        <v>1780</v>
      </c>
      <c r="T73" t="s">
        <v>2065</v>
      </c>
      <c r="U73" t="s">
        <v>2076</v>
      </c>
      <c r="V73" t="s">
        <v>176</v>
      </c>
      <c r="W73">
        <v>592</v>
      </c>
      <c r="X73" t="s">
        <v>2087</v>
      </c>
      <c r="Y73" t="s">
        <v>2101</v>
      </c>
      <c r="AA73" t="s">
        <v>2187</v>
      </c>
      <c r="AC73" t="s">
        <v>2793</v>
      </c>
      <c r="AD73">
        <v>462</v>
      </c>
      <c r="AE73" t="s">
        <v>3227</v>
      </c>
      <c r="AF73" t="s">
        <v>1783</v>
      </c>
      <c r="AG73">
        <v>10</v>
      </c>
      <c r="AH73">
        <v>1</v>
      </c>
      <c r="AI73">
        <v>0</v>
      </c>
      <c r="AJ73">
        <v>33.63</v>
      </c>
      <c r="AM73" t="s">
        <v>3248</v>
      </c>
      <c r="AN73">
        <v>4200</v>
      </c>
    </row>
    <row r="74" spans="1:45">
      <c r="A74" s="1">
        <f>HYPERLINK("https://lsnyc.legalserver.org/matter/dynamic-profile/view/1904963","19-1904963")</f>
        <v>0</v>
      </c>
      <c r="B74" t="s">
        <v>45</v>
      </c>
      <c r="C74" t="s">
        <v>176</v>
      </c>
      <c r="E74" t="s">
        <v>313</v>
      </c>
      <c r="F74" t="s">
        <v>684</v>
      </c>
      <c r="G74" t="s">
        <v>1180</v>
      </c>
      <c r="H74" t="s">
        <v>1578</v>
      </c>
      <c r="I74" t="s">
        <v>1762</v>
      </c>
      <c r="J74">
        <v>11411</v>
      </c>
      <c r="K74" t="s">
        <v>1779</v>
      </c>
      <c r="L74" t="s">
        <v>1781</v>
      </c>
      <c r="M74" t="s">
        <v>1782</v>
      </c>
      <c r="N74" t="s">
        <v>1825</v>
      </c>
      <c r="O74" t="s">
        <v>2029</v>
      </c>
      <c r="P74" t="s">
        <v>2051</v>
      </c>
      <c r="R74" t="s">
        <v>2062</v>
      </c>
      <c r="S74" t="s">
        <v>1780</v>
      </c>
      <c r="T74" t="s">
        <v>2065</v>
      </c>
      <c r="U74" t="s">
        <v>2073</v>
      </c>
      <c r="V74" t="s">
        <v>186</v>
      </c>
      <c r="W74">
        <v>1122</v>
      </c>
      <c r="X74" t="s">
        <v>2087</v>
      </c>
      <c r="Y74" t="s">
        <v>2092</v>
      </c>
      <c r="AA74" t="s">
        <v>2188</v>
      </c>
      <c r="AB74" t="s">
        <v>1783</v>
      </c>
      <c r="AC74" t="s">
        <v>2794</v>
      </c>
      <c r="AD74">
        <v>2</v>
      </c>
      <c r="AE74" t="s">
        <v>3222</v>
      </c>
      <c r="AF74" t="s">
        <v>3236</v>
      </c>
      <c r="AG74">
        <v>10</v>
      </c>
      <c r="AH74">
        <v>2</v>
      </c>
      <c r="AI74">
        <v>1</v>
      </c>
      <c r="AJ74">
        <v>33.76</v>
      </c>
      <c r="AM74" t="s">
        <v>3248</v>
      </c>
      <c r="AN74">
        <v>7200</v>
      </c>
      <c r="AP74" t="s">
        <v>3284</v>
      </c>
      <c r="AQ74" t="s">
        <v>3288</v>
      </c>
      <c r="AR74" t="s">
        <v>3294</v>
      </c>
      <c r="AS74" t="s">
        <v>3300</v>
      </c>
    </row>
    <row r="75" spans="1:45">
      <c r="A75" s="1">
        <f>HYPERLINK("https://lsnyc.legalserver.org/matter/dynamic-profile/view/1910119","19-1910119")</f>
        <v>0</v>
      </c>
      <c r="B75" t="s">
        <v>65</v>
      </c>
      <c r="C75" t="s">
        <v>177</v>
      </c>
      <c r="E75" t="s">
        <v>314</v>
      </c>
      <c r="F75" t="s">
        <v>748</v>
      </c>
      <c r="G75" t="s">
        <v>1181</v>
      </c>
      <c r="I75" t="s">
        <v>1754</v>
      </c>
      <c r="J75">
        <v>10033</v>
      </c>
      <c r="K75" t="s">
        <v>1779</v>
      </c>
      <c r="L75" t="s">
        <v>1781</v>
      </c>
      <c r="M75" t="s">
        <v>1782</v>
      </c>
      <c r="O75" t="s">
        <v>2031</v>
      </c>
      <c r="P75" t="s">
        <v>2055</v>
      </c>
      <c r="R75" t="s">
        <v>2062</v>
      </c>
      <c r="S75" t="s">
        <v>1779</v>
      </c>
      <c r="T75" t="s">
        <v>2065</v>
      </c>
      <c r="V75" t="s">
        <v>177</v>
      </c>
      <c r="W75">
        <v>811.77</v>
      </c>
      <c r="X75" t="s">
        <v>2091</v>
      </c>
      <c r="Y75" t="s">
        <v>2099</v>
      </c>
      <c r="AA75" t="s">
        <v>2189</v>
      </c>
      <c r="AC75" t="s">
        <v>2795</v>
      </c>
      <c r="AD75">
        <v>12</v>
      </c>
      <c r="AE75" t="s">
        <v>3223</v>
      </c>
      <c r="AF75" t="s">
        <v>3238</v>
      </c>
      <c r="AG75">
        <v>45</v>
      </c>
      <c r="AH75">
        <v>2</v>
      </c>
      <c r="AI75">
        <v>0</v>
      </c>
      <c r="AJ75">
        <v>34.35</v>
      </c>
      <c r="AM75" t="s">
        <v>3249</v>
      </c>
      <c r="AN75">
        <v>5808</v>
      </c>
    </row>
    <row r="76" spans="1:45">
      <c r="A76" s="1">
        <f>HYPERLINK("https://lsnyc.legalserver.org/matter/dynamic-profile/view/1904250","19-1904250")</f>
        <v>0</v>
      </c>
      <c r="B76" t="s">
        <v>74</v>
      </c>
      <c r="C76" t="s">
        <v>147</v>
      </c>
      <c r="D76" t="s">
        <v>226</v>
      </c>
      <c r="E76" t="s">
        <v>315</v>
      </c>
      <c r="F76" t="s">
        <v>749</v>
      </c>
      <c r="G76" t="s">
        <v>1182</v>
      </c>
      <c r="H76" t="s">
        <v>1576</v>
      </c>
      <c r="I76" t="s">
        <v>1745</v>
      </c>
      <c r="J76">
        <v>11691</v>
      </c>
      <c r="K76" t="s">
        <v>1779</v>
      </c>
      <c r="L76" t="s">
        <v>1781</v>
      </c>
      <c r="M76" t="s">
        <v>1782</v>
      </c>
      <c r="N76" t="s">
        <v>1826</v>
      </c>
      <c r="O76" t="s">
        <v>2030</v>
      </c>
      <c r="P76" t="s">
        <v>2051</v>
      </c>
      <c r="Q76" t="s">
        <v>2058</v>
      </c>
      <c r="R76" t="s">
        <v>2062</v>
      </c>
      <c r="S76" t="s">
        <v>1780</v>
      </c>
      <c r="T76" t="s">
        <v>2065</v>
      </c>
      <c r="U76" t="s">
        <v>2074</v>
      </c>
      <c r="V76" t="s">
        <v>147</v>
      </c>
      <c r="W76">
        <v>208</v>
      </c>
      <c r="X76" t="s">
        <v>2087</v>
      </c>
      <c r="Y76" t="s">
        <v>2095</v>
      </c>
      <c r="Z76" t="s">
        <v>2111</v>
      </c>
      <c r="AA76" t="s">
        <v>2190</v>
      </c>
      <c r="AC76" t="s">
        <v>2796</v>
      </c>
      <c r="AD76">
        <v>53</v>
      </c>
      <c r="AE76" t="s">
        <v>2704</v>
      </c>
      <c r="AF76" t="s">
        <v>3236</v>
      </c>
      <c r="AG76">
        <v>30</v>
      </c>
      <c r="AH76">
        <v>2</v>
      </c>
      <c r="AI76">
        <v>2</v>
      </c>
      <c r="AJ76">
        <v>35.42</v>
      </c>
      <c r="AM76" t="s">
        <v>3248</v>
      </c>
      <c r="AN76">
        <v>9120</v>
      </c>
      <c r="AP76" t="s">
        <v>3282</v>
      </c>
      <c r="AQ76" t="s">
        <v>3289</v>
      </c>
      <c r="AR76" t="s">
        <v>3294</v>
      </c>
      <c r="AS76" t="s">
        <v>3301</v>
      </c>
    </row>
    <row r="77" spans="1:45">
      <c r="A77" s="1">
        <f>HYPERLINK("https://lsnyc.legalserver.org/matter/dynamic-profile/view/1909085","19-1909085")</f>
        <v>0</v>
      </c>
      <c r="B77" t="s">
        <v>52</v>
      </c>
      <c r="C77" t="s">
        <v>178</v>
      </c>
      <c r="E77" t="s">
        <v>316</v>
      </c>
      <c r="F77" t="s">
        <v>750</v>
      </c>
      <c r="G77" t="s">
        <v>1183</v>
      </c>
      <c r="H77" t="s">
        <v>1579</v>
      </c>
      <c r="I77" t="s">
        <v>1749</v>
      </c>
      <c r="J77">
        <v>11233</v>
      </c>
      <c r="K77" t="s">
        <v>1779</v>
      </c>
      <c r="L77" t="s">
        <v>1781</v>
      </c>
      <c r="M77" t="s">
        <v>1783</v>
      </c>
      <c r="N77" t="s">
        <v>1791</v>
      </c>
      <c r="O77" t="s">
        <v>2032</v>
      </c>
      <c r="P77" t="s">
        <v>2053</v>
      </c>
      <c r="R77" t="s">
        <v>2062</v>
      </c>
      <c r="S77" t="s">
        <v>1779</v>
      </c>
      <c r="T77" t="s">
        <v>2065</v>
      </c>
      <c r="U77" t="s">
        <v>2073</v>
      </c>
      <c r="V77" t="s">
        <v>2079</v>
      </c>
      <c r="W77">
        <v>840</v>
      </c>
      <c r="X77" t="s">
        <v>2088</v>
      </c>
      <c r="Y77" t="s">
        <v>2094</v>
      </c>
      <c r="AA77" t="s">
        <v>2191</v>
      </c>
      <c r="AD77">
        <v>1107</v>
      </c>
      <c r="AE77" t="s">
        <v>3223</v>
      </c>
      <c r="AG77">
        <v>20</v>
      </c>
      <c r="AH77">
        <v>2</v>
      </c>
      <c r="AI77">
        <v>0</v>
      </c>
      <c r="AJ77">
        <v>35.48</v>
      </c>
      <c r="AM77" t="s">
        <v>3248</v>
      </c>
      <c r="AN77">
        <v>6000</v>
      </c>
      <c r="AO77" t="s">
        <v>3264</v>
      </c>
    </row>
    <row r="78" spans="1:45">
      <c r="A78" s="1">
        <f>HYPERLINK("https://lsnyc.legalserver.org/matter/dynamic-profile/view/1898448","19-1898448")</f>
        <v>0</v>
      </c>
      <c r="B78" t="s">
        <v>79</v>
      </c>
      <c r="C78" t="s">
        <v>179</v>
      </c>
      <c r="D78" t="s">
        <v>203</v>
      </c>
      <c r="E78" t="s">
        <v>287</v>
      </c>
      <c r="F78" t="s">
        <v>751</v>
      </c>
      <c r="G78" t="s">
        <v>1184</v>
      </c>
      <c r="H78" t="s">
        <v>1580</v>
      </c>
      <c r="I78" t="s">
        <v>1749</v>
      </c>
      <c r="J78">
        <v>11213</v>
      </c>
      <c r="K78" t="s">
        <v>1779</v>
      </c>
      <c r="L78" t="s">
        <v>1781</v>
      </c>
      <c r="M78" t="s">
        <v>1784</v>
      </c>
      <c r="N78" t="s">
        <v>1827</v>
      </c>
      <c r="O78" t="s">
        <v>2030</v>
      </c>
      <c r="P78" t="s">
        <v>2051</v>
      </c>
      <c r="Q78" t="s">
        <v>2058</v>
      </c>
      <c r="R78" t="s">
        <v>2062</v>
      </c>
      <c r="S78" t="s">
        <v>1780</v>
      </c>
      <c r="T78" t="s">
        <v>2065</v>
      </c>
      <c r="V78" t="s">
        <v>213</v>
      </c>
      <c r="W78">
        <v>659.4299999999999</v>
      </c>
      <c r="X78" t="s">
        <v>2088</v>
      </c>
      <c r="Y78" t="s">
        <v>2101</v>
      </c>
      <c r="Z78" t="s">
        <v>2111</v>
      </c>
      <c r="AA78" t="s">
        <v>2192</v>
      </c>
      <c r="AB78" t="s">
        <v>2683</v>
      </c>
      <c r="AC78" t="s">
        <v>2797</v>
      </c>
      <c r="AD78">
        <v>8</v>
      </c>
      <c r="AE78" t="s">
        <v>3224</v>
      </c>
      <c r="AG78">
        <v>18</v>
      </c>
      <c r="AH78">
        <v>2</v>
      </c>
      <c r="AI78">
        <v>2</v>
      </c>
      <c r="AJ78">
        <v>36.12</v>
      </c>
      <c r="AM78" t="s">
        <v>3248</v>
      </c>
      <c r="AN78">
        <v>9300</v>
      </c>
      <c r="AP78" t="s">
        <v>3285</v>
      </c>
      <c r="AQ78" t="s">
        <v>3290</v>
      </c>
      <c r="AR78" t="s">
        <v>3294</v>
      </c>
      <c r="AS78" t="s">
        <v>3300</v>
      </c>
    </row>
    <row r="79" spans="1:45">
      <c r="A79" s="1">
        <f>HYPERLINK("https://lsnyc.legalserver.org/matter/dynamic-profile/view/1905013","19-1905013")</f>
        <v>0</v>
      </c>
      <c r="B79" t="s">
        <v>69</v>
      </c>
      <c r="C79" t="s">
        <v>176</v>
      </c>
      <c r="E79" t="s">
        <v>317</v>
      </c>
      <c r="F79" t="s">
        <v>752</v>
      </c>
      <c r="G79" t="s">
        <v>1185</v>
      </c>
      <c r="H79" t="s">
        <v>1581</v>
      </c>
      <c r="I79" t="s">
        <v>1749</v>
      </c>
      <c r="J79">
        <v>11212</v>
      </c>
      <c r="K79" t="s">
        <v>1779</v>
      </c>
      <c r="L79" t="s">
        <v>1781</v>
      </c>
      <c r="M79" t="s">
        <v>1782</v>
      </c>
      <c r="N79" t="s">
        <v>1828</v>
      </c>
      <c r="O79" t="s">
        <v>2029</v>
      </c>
      <c r="P79" t="s">
        <v>2050</v>
      </c>
      <c r="R79" t="s">
        <v>2062</v>
      </c>
      <c r="S79" t="s">
        <v>1780</v>
      </c>
      <c r="T79" t="s">
        <v>2065</v>
      </c>
      <c r="V79" t="s">
        <v>161</v>
      </c>
      <c r="W79">
        <v>790</v>
      </c>
      <c r="X79" t="s">
        <v>2088</v>
      </c>
      <c r="Y79" t="s">
        <v>2098</v>
      </c>
      <c r="AA79" t="s">
        <v>2193</v>
      </c>
      <c r="AC79" t="s">
        <v>2798</v>
      </c>
      <c r="AD79">
        <v>2</v>
      </c>
      <c r="AE79" t="s">
        <v>3222</v>
      </c>
      <c r="AF79" t="s">
        <v>1783</v>
      </c>
      <c r="AG79">
        <v>5</v>
      </c>
      <c r="AH79">
        <v>1</v>
      </c>
      <c r="AI79">
        <v>0</v>
      </c>
      <c r="AJ79">
        <v>36.12</v>
      </c>
      <c r="AM79" t="s">
        <v>3248</v>
      </c>
      <c r="AN79">
        <v>4512</v>
      </c>
    </row>
    <row r="80" spans="1:45">
      <c r="A80" s="1">
        <f>HYPERLINK("https://lsnyc.legalserver.org/matter/dynamic-profile/view/1910849","19-1910849")</f>
        <v>0</v>
      </c>
      <c r="B80" t="s">
        <v>59</v>
      </c>
      <c r="C80" t="s">
        <v>180</v>
      </c>
      <c r="E80" t="s">
        <v>313</v>
      </c>
      <c r="F80" t="s">
        <v>753</v>
      </c>
      <c r="G80" t="s">
        <v>1186</v>
      </c>
      <c r="H80" t="s">
        <v>1582</v>
      </c>
      <c r="I80" t="s">
        <v>1749</v>
      </c>
      <c r="J80">
        <v>11225</v>
      </c>
      <c r="K80" t="s">
        <v>1779</v>
      </c>
      <c r="L80" t="s">
        <v>1781</v>
      </c>
      <c r="M80" t="s">
        <v>1782</v>
      </c>
      <c r="P80" t="s">
        <v>2053</v>
      </c>
      <c r="R80" t="s">
        <v>2062</v>
      </c>
      <c r="S80" t="s">
        <v>1779</v>
      </c>
      <c r="T80" t="s">
        <v>2065</v>
      </c>
      <c r="V80" t="s">
        <v>177</v>
      </c>
      <c r="W80">
        <v>0</v>
      </c>
      <c r="X80" t="s">
        <v>2088</v>
      </c>
      <c r="AA80" t="s">
        <v>2194</v>
      </c>
      <c r="AC80" t="s">
        <v>2799</v>
      </c>
      <c r="AD80">
        <v>0</v>
      </c>
      <c r="AG80">
        <v>0</v>
      </c>
      <c r="AH80">
        <v>4</v>
      </c>
      <c r="AI80">
        <v>0</v>
      </c>
      <c r="AJ80">
        <v>36.25</v>
      </c>
      <c r="AM80" t="s">
        <v>3248</v>
      </c>
      <c r="AN80">
        <v>9335.16</v>
      </c>
    </row>
    <row r="81" spans="1:41">
      <c r="A81" s="1">
        <f>HYPERLINK("https://lsnyc.legalserver.org/matter/dynamic-profile/view/1904151","19-1904151")</f>
        <v>0</v>
      </c>
      <c r="B81" t="s">
        <v>48</v>
      </c>
      <c r="C81" t="s">
        <v>147</v>
      </c>
      <c r="E81" t="s">
        <v>318</v>
      </c>
      <c r="F81" t="s">
        <v>754</v>
      </c>
      <c r="G81" t="s">
        <v>1187</v>
      </c>
      <c r="H81" t="s">
        <v>1583</v>
      </c>
      <c r="I81" t="s">
        <v>1763</v>
      </c>
      <c r="J81">
        <v>11365</v>
      </c>
      <c r="K81" t="s">
        <v>1779</v>
      </c>
      <c r="L81" t="s">
        <v>1781</v>
      </c>
      <c r="M81" t="s">
        <v>1784</v>
      </c>
      <c r="N81" t="s">
        <v>1829</v>
      </c>
      <c r="O81" t="s">
        <v>2029</v>
      </c>
      <c r="P81" t="s">
        <v>2051</v>
      </c>
      <c r="R81" t="s">
        <v>2063</v>
      </c>
      <c r="S81" t="s">
        <v>1780</v>
      </c>
      <c r="T81" t="s">
        <v>2068</v>
      </c>
      <c r="U81" t="s">
        <v>2073</v>
      </c>
      <c r="V81" t="s">
        <v>147</v>
      </c>
      <c r="W81">
        <v>532</v>
      </c>
      <c r="X81" t="s">
        <v>2087</v>
      </c>
      <c r="Y81" t="s">
        <v>2101</v>
      </c>
      <c r="AA81" t="s">
        <v>2195</v>
      </c>
      <c r="AB81" t="s">
        <v>2684</v>
      </c>
      <c r="AC81" t="s">
        <v>2800</v>
      </c>
      <c r="AD81">
        <v>701</v>
      </c>
      <c r="AE81" t="s">
        <v>3228</v>
      </c>
      <c r="AF81" t="s">
        <v>1783</v>
      </c>
      <c r="AG81">
        <v>13</v>
      </c>
      <c r="AH81">
        <v>1</v>
      </c>
      <c r="AI81">
        <v>2</v>
      </c>
      <c r="AJ81">
        <v>36.4</v>
      </c>
      <c r="AK81" t="s">
        <v>3244</v>
      </c>
      <c r="AL81" t="s">
        <v>3245</v>
      </c>
      <c r="AM81" t="s">
        <v>3248</v>
      </c>
      <c r="AN81">
        <v>7764</v>
      </c>
    </row>
    <row r="82" spans="1:41">
      <c r="A82" s="1">
        <f>HYPERLINK("https://lsnyc.legalserver.org/matter/dynamic-profile/view/1896627","19-1896627")</f>
        <v>0</v>
      </c>
      <c r="B82" t="s">
        <v>52</v>
      </c>
      <c r="C82" t="s">
        <v>181</v>
      </c>
      <c r="E82" t="s">
        <v>319</v>
      </c>
      <c r="F82" t="s">
        <v>755</v>
      </c>
      <c r="G82" t="s">
        <v>1124</v>
      </c>
      <c r="H82" t="s">
        <v>1584</v>
      </c>
      <c r="I82" t="s">
        <v>1749</v>
      </c>
      <c r="J82">
        <v>11233</v>
      </c>
      <c r="K82" t="s">
        <v>1779</v>
      </c>
      <c r="L82" t="s">
        <v>1780</v>
      </c>
      <c r="M82" t="s">
        <v>1782</v>
      </c>
      <c r="O82" t="s">
        <v>2033</v>
      </c>
      <c r="P82" t="s">
        <v>2055</v>
      </c>
      <c r="R82" t="s">
        <v>2062</v>
      </c>
      <c r="S82" t="s">
        <v>1779</v>
      </c>
      <c r="T82" t="s">
        <v>2065</v>
      </c>
      <c r="U82" t="s">
        <v>2073</v>
      </c>
      <c r="V82" t="s">
        <v>213</v>
      </c>
      <c r="W82">
        <v>1056</v>
      </c>
      <c r="X82" t="s">
        <v>2088</v>
      </c>
      <c r="AA82" t="s">
        <v>2196</v>
      </c>
      <c r="AD82">
        <v>1107</v>
      </c>
      <c r="AE82" t="s">
        <v>3223</v>
      </c>
      <c r="AF82" t="s">
        <v>1783</v>
      </c>
      <c r="AG82">
        <v>9</v>
      </c>
      <c r="AH82">
        <v>2</v>
      </c>
      <c r="AI82">
        <v>0</v>
      </c>
      <c r="AJ82">
        <v>37.21</v>
      </c>
      <c r="AM82" t="s">
        <v>3248</v>
      </c>
      <c r="AN82">
        <v>6292</v>
      </c>
      <c r="AO82" t="s">
        <v>3265</v>
      </c>
    </row>
    <row r="83" spans="1:41">
      <c r="A83" s="1">
        <f>HYPERLINK("https://lsnyc.legalserver.org/matter/dynamic-profile/view/1907242","19-1907242")</f>
        <v>0</v>
      </c>
      <c r="B83" t="s">
        <v>46</v>
      </c>
      <c r="C83" t="s">
        <v>156</v>
      </c>
      <c r="E83" t="s">
        <v>320</v>
      </c>
      <c r="F83" t="s">
        <v>756</v>
      </c>
      <c r="G83" t="s">
        <v>1188</v>
      </c>
      <c r="I83" t="s">
        <v>1746</v>
      </c>
      <c r="J83">
        <v>11436</v>
      </c>
      <c r="K83" t="s">
        <v>1779</v>
      </c>
      <c r="L83" t="s">
        <v>1781</v>
      </c>
      <c r="M83" t="s">
        <v>1782</v>
      </c>
      <c r="N83" t="s">
        <v>1830</v>
      </c>
      <c r="O83" t="s">
        <v>2030</v>
      </c>
      <c r="P83" t="s">
        <v>2051</v>
      </c>
      <c r="R83" t="s">
        <v>2062</v>
      </c>
      <c r="S83" t="s">
        <v>1780</v>
      </c>
      <c r="T83" t="s">
        <v>2065</v>
      </c>
      <c r="U83" t="s">
        <v>2073</v>
      </c>
      <c r="V83" t="s">
        <v>156</v>
      </c>
      <c r="W83">
        <v>1554</v>
      </c>
      <c r="X83" t="s">
        <v>2087</v>
      </c>
      <c r="Y83" t="s">
        <v>2092</v>
      </c>
      <c r="AA83" t="s">
        <v>2197</v>
      </c>
      <c r="AB83" t="s">
        <v>2685</v>
      </c>
      <c r="AC83" t="s">
        <v>2801</v>
      </c>
      <c r="AD83">
        <v>3</v>
      </c>
      <c r="AE83" t="s">
        <v>2704</v>
      </c>
      <c r="AF83" t="s">
        <v>3239</v>
      </c>
      <c r="AG83">
        <v>-1</v>
      </c>
      <c r="AH83">
        <v>1</v>
      </c>
      <c r="AI83">
        <v>0</v>
      </c>
      <c r="AJ83">
        <v>37.28</v>
      </c>
      <c r="AM83" t="s">
        <v>3248</v>
      </c>
      <c r="AN83">
        <v>4656</v>
      </c>
    </row>
    <row r="84" spans="1:41">
      <c r="A84" s="1">
        <f>HYPERLINK("https://lsnyc.legalserver.org/matter/dynamic-profile/view/1904688","19-1904688")</f>
        <v>0</v>
      </c>
      <c r="B84" t="s">
        <v>80</v>
      </c>
      <c r="C84" t="s">
        <v>162</v>
      </c>
      <c r="E84" t="s">
        <v>321</v>
      </c>
      <c r="F84" t="s">
        <v>757</v>
      </c>
      <c r="G84" t="s">
        <v>1189</v>
      </c>
      <c r="H84" t="s">
        <v>1585</v>
      </c>
      <c r="I84" t="s">
        <v>1754</v>
      </c>
      <c r="J84">
        <v>10128</v>
      </c>
      <c r="K84" t="s">
        <v>1779</v>
      </c>
      <c r="L84" t="s">
        <v>1781</v>
      </c>
      <c r="M84" t="s">
        <v>1784</v>
      </c>
      <c r="N84" t="s">
        <v>1831</v>
      </c>
      <c r="O84" t="s">
        <v>2029</v>
      </c>
      <c r="P84" t="s">
        <v>2051</v>
      </c>
      <c r="R84" t="s">
        <v>2062</v>
      </c>
      <c r="S84" t="s">
        <v>1780</v>
      </c>
      <c r="T84" t="s">
        <v>2065</v>
      </c>
      <c r="V84" t="s">
        <v>162</v>
      </c>
      <c r="W84">
        <v>918</v>
      </c>
      <c r="X84" t="s">
        <v>2091</v>
      </c>
      <c r="Y84" t="s">
        <v>2100</v>
      </c>
      <c r="AA84" t="s">
        <v>2198</v>
      </c>
      <c r="AB84" t="s">
        <v>2686</v>
      </c>
      <c r="AC84" t="s">
        <v>2802</v>
      </c>
      <c r="AD84">
        <v>37</v>
      </c>
      <c r="AE84" t="s">
        <v>3223</v>
      </c>
      <c r="AF84" t="s">
        <v>3241</v>
      </c>
      <c r="AG84">
        <v>21</v>
      </c>
      <c r="AH84">
        <v>1</v>
      </c>
      <c r="AI84">
        <v>0</v>
      </c>
      <c r="AJ84">
        <v>37.89</v>
      </c>
      <c r="AM84" t="s">
        <v>3248</v>
      </c>
      <c r="AN84">
        <v>4732</v>
      </c>
    </row>
    <row r="85" spans="1:41">
      <c r="A85" s="1">
        <f>HYPERLINK("https://lsnyc.legalserver.org/matter/dynamic-profile/view/1908630","19-1908630")</f>
        <v>0</v>
      </c>
      <c r="B85" t="s">
        <v>81</v>
      </c>
      <c r="C85" t="s">
        <v>182</v>
      </c>
      <c r="E85" t="s">
        <v>322</v>
      </c>
      <c r="F85" t="s">
        <v>758</v>
      </c>
      <c r="G85" t="s">
        <v>1190</v>
      </c>
      <c r="H85">
        <v>219</v>
      </c>
      <c r="I85" t="s">
        <v>1749</v>
      </c>
      <c r="J85">
        <v>11212</v>
      </c>
      <c r="K85" t="s">
        <v>1779</v>
      </c>
      <c r="L85" t="s">
        <v>1781</v>
      </c>
      <c r="M85" t="s">
        <v>1782</v>
      </c>
      <c r="N85" t="s">
        <v>1832</v>
      </c>
      <c r="O85" t="s">
        <v>2030</v>
      </c>
      <c r="R85" t="s">
        <v>2062</v>
      </c>
      <c r="S85" t="s">
        <v>1780</v>
      </c>
      <c r="T85" t="s">
        <v>2065</v>
      </c>
      <c r="U85" t="s">
        <v>2073</v>
      </c>
      <c r="V85" t="s">
        <v>150</v>
      </c>
      <c r="W85">
        <v>895.23</v>
      </c>
      <c r="X85" t="s">
        <v>2088</v>
      </c>
      <c r="Y85" t="s">
        <v>2095</v>
      </c>
      <c r="AA85" t="s">
        <v>2199</v>
      </c>
      <c r="AB85" t="s">
        <v>2666</v>
      </c>
      <c r="AC85" t="s">
        <v>2803</v>
      </c>
      <c r="AD85">
        <v>132</v>
      </c>
      <c r="AE85" t="s">
        <v>3223</v>
      </c>
      <c r="AG85">
        <v>1</v>
      </c>
      <c r="AH85">
        <v>1</v>
      </c>
      <c r="AI85">
        <v>0</v>
      </c>
      <c r="AJ85">
        <v>38.24</v>
      </c>
      <c r="AM85" t="s">
        <v>3248</v>
      </c>
      <c r="AN85">
        <v>4776</v>
      </c>
    </row>
    <row r="86" spans="1:41">
      <c r="A86" s="1">
        <f>HYPERLINK("https://lsnyc.legalserver.org/matter/dynamic-profile/view/1897622","19-1897622")</f>
        <v>0</v>
      </c>
      <c r="B86" t="s">
        <v>82</v>
      </c>
      <c r="C86" t="s">
        <v>183</v>
      </c>
      <c r="E86" t="s">
        <v>323</v>
      </c>
      <c r="F86" t="s">
        <v>506</v>
      </c>
      <c r="G86" t="s">
        <v>1191</v>
      </c>
      <c r="H86">
        <v>24</v>
      </c>
      <c r="I86" t="s">
        <v>1754</v>
      </c>
      <c r="J86">
        <v>10033</v>
      </c>
      <c r="K86" t="s">
        <v>1779</v>
      </c>
      <c r="L86" t="s">
        <v>1779</v>
      </c>
      <c r="M86" t="s">
        <v>1782</v>
      </c>
      <c r="N86" t="s">
        <v>1833</v>
      </c>
      <c r="O86" t="s">
        <v>2030</v>
      </c>
      <c r="P86" t="s">
        <v>2051</v>
      </c>
      <c r="R86" t="s">
        <v>2062</v>
      </c>
      <c r="S86" t="s">
        <v>1780</v>
      </c>
      <c r="T86" t="s">
        <v>2065</v>
      </c>
      <c r="V86" t="s">
        <v>155</v>
      </c>
      <c r="W86">
        <v>816.66</v>
      </c>
      <c r="X86" t="s">
        <v>2091</v>
      </c>
      <c r="Y86" t="s">
        <v>2099</v>
      </c>
      <c r="AA86" t="s">
        <v>2200</v>
      </c>
      <c r="AC86" t="s">
        <v>2804</v>
      </c>
      <c r="AD86">
        <v>20</v>
      </c>
      <c r="AE86" t="s">
        <v>3223</v>
      </c>
      <c r="AF86" t="s">
        <v>1783</v>
      </c>
      <c r="AG86">
        <v>23</v>
      </c>
      <c r="AH86">
        <v>1</v>
      </c>
      <c r="AI86">
        <v>0</v>
      </c>
      <c r="AJ86">
        <v>38.24</v>
      </c>
      <c r="AM86" t="s">
        <v>3249</v>
      </c>
      <c r="AN86">
        <v>4776</v>
      </c>
    </row>
    <row r="87" spans="1:41">
      <c r="A87" s="1">
        <f>HYPERLINK("https://lsnyc.legalserver.org/matter/dynamic-profile/view/1904893","19-1904893")</f>
        <v>0</v>
      </c>
      <c r="B87" t="s">
        <v>46</v>
      </c>
      <c r="C87" t="s">
        <v>176</v>
      </c>
      <c r="E87" t="s">
        <v>253</v>
      </c>
      <c r="F87" t="s">
        <v>759</v>
      </c>
      <c r="G87" t="s">
        <v>1192</v>
      </c>
      <c r="H87" t="s">
        <v>1586</v>
      </c>
      <c r="I87" t="s">
        <v>1764</v>
      </c>
      <c r="J87">
        <v>11417</v>
      </c>
      <c r="K87" t="s">
        <v>1779</v>
      </c>
      <c r="L87" t="s">
        <v>1781</v>
      </c>
      <c r="M87" t="s">
        <v>1782</v>
      </c>
      <c r="N87" t="s">
        <v>1834</v>
      </c>
      <c r="O87" t="s">
        <v>2029</v>
      </c>
      <c r="P87" t="s">
        <v>2051</v>
      </c>
      <c r="R87" t="s">
        <v>2062</v>
      </c>
      <c r="S87" t="s">
        <v>1780</v>
      </c>
      <c r="T87" t="s">
        <v>2065</v>
      </c>
      <c r="U87" t="s">
        <v>2073</v>
      </c>
      <c r="V87" t="s">
        <v>208</v>
      </c>
      <c r="W87">
        <v>800</v>
      </c>
      <c r="X87" t="s">
        <v>2087</v>
      </c>
      <c r="Y87" t="s">
        <v>2092</v>
      </c>
      <c r="AA87" t="s">
        <v>2201</v>
      </c>
      <c r="AC87" t="s">
        <v>2805</v>
      </c>
      <c r="AD87">
        <v>2</v>
      </c>
      <c r="AE87" t="s">
        <v>3222</v>
      </c>
      <c r="AF87" t="s">
        <v>1783</v>
      </c>
      <c r="AG87">
        <v>6</v>
      </c>
      <c r="AH87">
        <v>1</v>
      </c>
      <c r="AI87">
        <v>2</v>
      </c>
      <c r="AJ87">
        <v>39.38</v>
      </c>
      <c r="AM87" t="s">
        <v>3248</v>
      </c>
      <c r="AN87">
        <v>8400</v>
      </c>
    </row>
    <row r="88" spans="1:41">
      <c r="A88" s="1">
        <f>HYPERLINK("https://lsnyc.legalserver.org/matter/dynamic-profile/view/1904493","19-1904493")</f>
        <v>0</v>
      </c>
      <c r="B88" t="s">
        <v>83</v>
      </c>
      <c r="C88" t="s">
        <v>169</v>
      </c>
      <c r="E88" t="s">
        <v>324</v>
      </c>
      <c r="F88" t="s">
        <v>760</v>
      </c>
      <c r="G88" t="s">
        <v>1193</v>
      </c>
      <c r="H88" t="s">
        <v>1587</v>
      </c>
      <c r="I88" t="s">
        <v>1754</v>
      </c>
      <c r="J88">
        <v>10033</v>
      </c>
      <c r="K88" t="s">
        <v>1779</v>
      </c>
      <c r="L88" t="s">
        <v>1781</v>
      </c>
      <c r="M88" t="s">
        <v>1782</v>
      </c>
      <c r="P88" t="s">
        <v>2051</v>
      </c>
      <c r="R88" t="s">
        <v>2062</v>
      </c>
      <c r="S88" t="s">
        <v>1780</v>
      </c>
      <c r="T88" t="s">
        <v>2065</v>
      </c>
      <c r="V88" t="s">
        <v>169</v>
      </c>
      <c r="W88">
        <v>1213</v>
      </c>
      <c r="X88" t="s">
        <v>2091</v>
      </c>
      <c r="Y88" t="s">
        <v>2101</v>
      </c>
      <c r="AA88" t="s">
        <v>2202</v>
      </c>
      <c r="AC88" t="s">
        <v>2806</v>
      </c>
      <c r="AD88">
        <v>24</v>
      </c>
      <c r="AF88" t="s">
        <v>3242</v>
      </c>
      <c r="AG88">
        <v>4</v>
      </c>
      <c r="AH88">
        <v>1</v>
      </c>
      <c r="AI88">
        <v>0</v>
      </c>
      <c r="AJ88">
        <v>39.41</v>
      </c>
      <c r="AM88" t="s">
        <v>3248</v>
      </c>
      <c r="AN88">
        <v>4922</v>
      </c>
    </row>
    <row r="89" spans="1:41">
      <c r="A89" s="1">
        <f>HYPERLINK("https://lsnyc.legalserver.org/matter/dynamic-profile/view/1910445","19-1910445")</f>
        <v>0</v>
      </c>
      <c r="B89" t="s">
        <v>84</v>
      </c>
      <c r="C89" t="s">
        <v>150</v>
      </c>
      <c r="E89" t="s">
        <v>325</v>
      </c>
      <c r="F89" t="s">
        <v>761</v>
      </c>
      <c r="G89" t="s">
        <v>1194</v>
      </c>
      <c r="H89" t="s">
        <v>1568</v>
      </c>
      <c r="I89" t="s">
        <v>1754</v>
      </c>
      <c r="J89">
        <v>10032</v>
      </c>
      <c r="K89" t="s">
        <v>1779</v>
      </c>
      <c r="L89" t="s">
        <v>1781</v>
      </c>
      <c r="M89" t="s">
        <v>1782</v>
      </c>
      <c r="P89" t="s">
        <v>2052</v>
      </c>
      <c r="R89" t="s">
        <v>2062</v>
      </c>
      <c r="S89" t="s">
        <v>1780</v>
      </c>
      <c r="T89" t="s">
        <v>2065</v>
      </c>
      <c r="V89" t="s">
        <v>150</v>
      </c>
      <c r="W89">
        <v>2195</v>
      </c>
      <c r="X89" t="s">
        <v>2091</v>
      </c>
      <c r="Y89" t="s">
        <v>2099</v>
      </c>
      <c r="AA89" t="s">
        <v>2203</v>
      </c>
      <c r="AB89" t="s">
        <v>2687</v>
      </c>
      <c r="AC89" t="s">
        <v>2807</v>
      </c>
      <c r="AD89">
        <v>0</v>
      </c>
      <c r="AE89" t="s">
        <v>3223</v>
      </c>
      <c r="AF89" t="s">
        <v>1783</v>
      </c>
      <c r="AG89">
        <v>1</v>
      </c>
      <c r="AH89">
        <v>1</v>
      </c>
      <c r="AI89">
        <v>0</v>
      </c>
      <c r="AJ89">
        <v>39.97</v>
      </c>
      <c r="AM89" t="s">
        <v>3248</v>
      </c>
      <c r="AN89">
        <v>4992</v>
      </c>
    </row>
    <row r="90" spans="1:41">
      <c r="A90" s="1">
        <f>HYPERLINK("https://lsnyc.legalserver.org/matter/dynamic-profile/view/1906263","19-1906263")</f>
        <v>0</v>
      </c>
      <c r="B90" t="s">
        <v>85</v>
      </c>
      <c r="C90" t="s">
        <v>184</v>
      </c>
      <c r="E90" t="s">
        <v>326</v>
      </c>
      <c r="F90" t="s">
        <v>762</v>
      </c>
      <c r="G90" t="s">
        <v>1195</v>
      </c>
      <c r="H90" t="s">
        <v>1588</v>
      </c>
      <c r="I90" t="s">
        <v>1753</v>
      </c>
      <c r="J90">
        <v>10301</v>
      </c>
      <c r="K90" t="s">
        <v>1779</v>
      </c>
      <c r="L90" t="s">
        <v>1781</v>
      </c>
      <c r="M90" t="s">
        <v>1782</v>
      </c>
      <c r="N90" t="s">
        <v>1786</v>
      </c>
      <c r="O90" t="s">
        <v>2039</v>
      </c>
      <c r="P90" t="s">
        <v>2055</v>
      </c>
      <c r="R90" t="s">
        <v>2063</v>
      </c>
      <c r="S90" t="s">
        <v>1780</v>
      </c>
      <c r="T90" t="s">
        <v>2069</v>
      </c>
      <c r="U90" t="s">
        <v>2073</v>
      </c>
      <c r="V90" t="s">
        <v>184</v>
      </c>
      <c r="W90">
        <v>98</v>
      </c>
      <c r="X90" t="s">
        <v>2090</v>
      </c>
      <c r="Y90" t="s">
        <v>2093</v>
      </c>
      <c r="AA90" t="s">
        <v>2204</v>
      </c>
      <c r="AC90" t="s">
        <v>2808</v>
      </c>
      <c r="AD90">
        <v>2</v>
      </c>
      <c r="AE90" t="s">
        <v>3222</v>
      </c>
      <c r="AF90" t="s">
        <v>3236</v>
      </c>
      <c r="AG90">
        <v>3</v>
      </c>
      <c r="AH90">
        <v>4</v>
      </c>
      <c r="AI90">
        <v>0</v>
      </c>
      <c r="AJ90">
        <v>40.12</v>
      </c>
      <c r="AK90" t="s">
        <v>3244</v>
      </c>
      <c r="AL90" t="s">
        <v>3245</v>
      </c>
      <c r="AM90" t="s">
        <v>3248</v>
      </c>
      <c r="AN90">
        <v>10332</v>
      </c>
    </row>
    <row r="91" spans="1:41">
      <c r="A91" s="1">
        <f>HYPERLINK("https://lsnyc.legalserver.org/matter/dynamic-profile/view/1910511","19-1910511")</f>
        <v>0</v>
      </c>
      <c r="B91" t="s">
        <v>45</v>
      </c>
      <c r="C91" t="s">
        <v>150</v>
      </c>
      <c r="E91" t="s">
        <v>327</v>
      </c>
      <c r="F91" t="s">
        <v>763</v>
      </c>
      <c r="G91" t="s">
        <v>1196</v>
      </c>
      <c r="H91" t="s">
        <v>1556</v>
      </c>
      <c r="I91" t="s">
        <v>1751</v>
      </c>
      <c r="J91">
        <v>11102</v>
      </c>
      <c r="K91" t="s">
        <v>1779</v>
      </c>
      <c r="L91" t="s">
        <v>1781</v>
      </c>
      <c r="M91" t="s">
        <v>1782</v>
      </c>
      <c r="N91" t="s">
        <v>1835</v>
      </c>
      <c r="O91" t="s">
        <v>2029</v>
      </c>
      <c r="P91" t="s">
        <v>2055</v>
      </c>
      <c r="R91" t="s">
        <v>2062</v>
      </c>
      <c r="S91" t="s">
        <v>1780</v>
      </c>
      <c r="T91" t="s">
        <v>2065</v>
      </c>
      <c r="U91" t="s">
        <v>2073</v>
      </c>
      <c r="V91" t="s">
        <v>180</v>
      </c>
      <c r="W91">
        <v>1560</v>
      </c>
      <c r="X91" t="s">
        <v>2087</v>
      </c>
      <c r="Y91" t="s">
        <v>2092</v>
      </c>
      <c r="AA91" t="s">
        <v>2205</v>
      </c>
      <c r="AB91" t="s">
        <v>2688</v>
      </c>
      <c r="AC91" t="s">
        <v>2712</v>
      </c>
      <c r="AD91">
        <v>6</v>
      </c>
      <c r="AE91" t="s">
        <v>3222</v>
      </c>
      <c r="AF91" t="s">
        <v>1783</v>
      </c>
      <c r="AG91">
        <v>9</v>
      </c>
      <c r="AH91">
        <v>2</v>
      </c>
      <c r="AI91">
        <v>2</v>
      </c>
      <c r="AJ91">
        <v>40.39</v>
      </c>
      <c r="AM91" t="s">
        <v>3249</v>
      </c>
      <c r="AN91">
        <v>10400</v>
      </c>
    </row>
    <row r="92" spans="1:41">
      <c r="A92" s="1">
        <f>HYPERLINK("https://lsnyc.legalserver.org/matter/dynamic-profile/view/1907709","19-1907709")</f>
        <v>0</v>
      </c>
      <c r="B92" t="s">
        <v>61</v>
      </c>
      <c r="C92" t="s">
        <v>185</v>
      </c>
      <c r="E92" t="s">
        <v>328</v>
      </c>
      <c r="F92" t="s">
        <v>764</v>
      </c>
      <c r="G92" t="s">
        <v>1197</v>
      </c>
      <c r="H92" t="s">
        <v>1583</v>
      </c>
      <c r="I92" t="s">
        <v>1749</v>
      </c>
      <c r="J92">
        <v>11238</v>
      </c>
      <c r="K92" t="s">
        <v>1779</v>
      </c>
      <c r="L92" t="s">
        <v>1781</v>
      </c>
      <c r="M92" t="s">
        <v>1784</v>
      </c>
      <c r="N92" t="s">
        <v>1783</v>
      </c>
      <c r="O92" t="s">
        <v>2033</v>
      </c>
      <c r="P92" t="s">
        <v>2055</v>
      </c>
      <c r="R92" t="s">
        <v>2062</v>
      </c>
      <c r="S92" t="s">
        <v>1780</v>
      </c>
      <c r="T92" t="s">
        <v>2065</v>
      </c>
      <c r="U92" t="s">
        <v>2073</v>
      </c>
      <c r="V92" t="s">
        <v>185</v>
      </c>
      <c r="W92">
        <v>1266.98</v>
      </c>
      <c r="X92" t="s">
        <v>2088</v>
      </c>
      <c r="Y92" t="s">
        <v>2101</v>
      </c>
      <c r="AA92" t="s">
        <v>2206</v>
      </c>
      <c r="AB92" t="s">
        <v>2689</v>
      </c>
      <c r="AC92" t="s">
        <v>2809</v>
      </c>
      <c r="AD92">
        <v>16</v>
      </c>
      <c r="AE92" t="s">
        <v>3223</v>
      </c>
      <c r="AF92" t="s">
        <v>3240</v>
      </c>
      <c r="AG92">
        <v>0</v>
      </c>
      <c r="AH92">
        <v>1</v>
      </c>
      <c r="AI92">
        <v>1</v>
      </c>
      <c r="AJ92">
        <v>40.73</v>
      </c>
      <c r="AM92" t="s">
        <v>3248</v>
      </c>
      <c r="AN92">
        <v>6888</v>
      </c>
    </row>
    <row r="93" spans="1:41">
      <c r="A93" s="1">
        <f>HYPERLINK("https://lsnyc.legalserver.org/matter/dynamic-profile/view/1906018","19-1906018")</f>
        <v>0</v>
      </c>
      <c r="B93" t="s">
        <v>57</v>
      </c>
      <c r="C93" t="s">
        <v>186</v>
      </c>
      <c r="D93" t="s">
        <v>202</v>
      </c>
      <c r="E93" t="s">
        <v>329</v>
      </c>
      <c r="F93" t="s">
        <v>765</v>
      </c>
      <c r="G93" t="s">
        <v>1198</v>
      </c>
      <c r="H93" t="s">
        <v>1589</v>
      </c>
      <c r="I93" t="s">
        <v>1749</v>
      </c>
      <c r="J93">
        <v>11233</v>
      </c>
      <c r="K93" t="s">
        <v>1779</v>
      </c>
      <c r="L93" t="s">
        <v>1781</v>
      </c>
      <c r="M93" t="s">
        <v>1782</v>
      </c>
      <c r="N93" t="s">
        <v>1793</v>
      </c>
      <c r="O93" t="s">
        <v>1793</v>
      </c>
      <c r="P93" t="s">
        <v>2055</v>
      </c>
      <c r="Q93" t="s">
        <v>2059</v>
      </c>
      <c r="R93" t="s">
        <v>2062</v>
      </c>
      <c r="S93" t="s">
        <v>1780</v>
      </c>
      <c r="T93" t="s">
        <v>2065</v>
      </c>
      <c r="V93" t="s">
        <v>165</v>
      </c>
      <c r="W93">
        <v>1781</v>
      </c>
      <c r="X93" t="s">
        <v>2088</v>
      </c>
      <c r="Y93" t="s">
        <v>2100</v>
      </c>
      <c r="Z93" t="s">
        <v>2112</v>
      </c>
      <c r="AA93" t="s">
        <v>2207</v>
      </c>
      <c r="AC93" t="s">
        <v>2810</v>
      </c>
      <c r="AD93">
        <v>8</v>
      </c>
      <c r="AE93" t="s">
        <v>3223</v>
      </c>
      <c r="AF93" t="s">
        <v>3241</v>
      </c>
      <c r="AG93">
        <v>14</v>
      </c>
      <c r="AH93">
        <v>3</v>
      </c>
      <c r="AI93">
        <v>1</v>
      </c>
      <c r="AJ93">
        <v>41.15</v>
      </c>
      <c r="AM93" t="s">
        <v>3248</v>
      </c>
      <c r="AN93">
        <v>10596</v>
      </c>
    </row>
    <row r="94" spans="1:41">
      <c r="A94" s="1">
        <f>HYPERLINK("https://lsnyc.legalserver.org/matter/dynamic-profile/view/1906982","19-1906982")</f>
        <v>0</v>
      </c>
      <c r="B94" t="s">
        <v>62</v>
      </c>
      <c r="C94" t="s">
        <v>152</v>
      </c>
      <c r="D94" t="s">
        <v>208</v>
      </c>
      <c r="E94" t="s">
        <v>313</v>
      </c>
      <c r="F94" t="s">
        <v>733</v>
      </c>
      <c r="G94" t="s">
        <v>1199</v>
      </c>
      <c r="H94" t="s">
        <v>1590</v>
      </c>
      <c r="I94" t="s">
        <v>1752</v>
      </c>
      <c r="J94">
        <v>10452</v>
      </c>
      <c r="K94" t="s">
        <v>1779</v>
      </c>
      <c r="L94" t="s">
        <v>1781</v>
      </c>
      <c r="M94" t="s">
        <v>1782</v>
      </c>
      <c r="O94" t="s">
        <v>1793</v>
      </c>
      <c r="P94" t="s">
        <v>2050</v>
      </c>
      <c r="Q94" t="s">
        <v>2057</v>
      </c>
      <c r="R94" t="s">
        <v>2062</v>
      </c>
      <c r="S94" t="s">
        <v>1780</v>
      </c>
      <c r="T94" t="s">
        <v>2065</v>
      </c>
      <c r="V94" t="s">
        <v>154</v>
      </c>
      <c r="W94">
        <v>811.24</v>
      </c>
      <c r="X94" t="s">
        <v>2089</v>
      </c>
      <c r="Y94" t="s">
        <v>2100</v>
      </c>
      <c r="Z94" t="s">
        <v>2110</v>
      </c>
      <c r="AA94" t="s">
        <v>2208</v>
      </c>
      <c r="AC94" t="s">
        <v>2811</v>
      </c>
      <c r="AD94">
        <v>53</v>
      </c>
      <c r="AE94" t="s">
        <v>3223</v>
      </c>
      <c r="AF94" t="s">
        <v>3239</v>
      </c>
      <c r="AG94">
        <v>34</v>
      </c>
      <c r="AH94">
        <v>1</v>
      </c>
      <c r="AI94">
        <v>2</v>
      </c>
      <c r="AJ94">
        <v>41.24</v>
      </c>
      <c r="AM94" t="s">
        <v>3249</v>
      </c>
      <c r="AN94">
        <v>8796</v>
      </c>
    </row>
    <row r="95" spans="1:41">
      <c r="A95" s="1">
        <f>HYPERLINK("https://lsnyc.legalserver.org/matter/dynamic-profile/view/1905034","19-1905034")</f>
        <v>0</v>
      </c>
      <c r="B95" t="s">
        <v>86</v>
      </c>
      <c r="C95" t="s">
        <v>151</v>
      </c>
      <c r="E95" t="s">
        <v>330</v>
      </c>
      <c r="F95" t="s">
        <v>766</v>
      </c>
      <c r="G95" t="s">
        <v>1200</v>
      </c>
      <c r="H95" t="s">
        <v>1591</v>
      </c>
      <c r="I95" t="s">
        <v>1752</v>
      </c>
      <c r="J95">
        <v>10453</v>
      </c>
      <c r="K95" t="s">
        <v>1779</v>
      </c>
      <c r="L95" t="s">
        <v>1781</v>
      </c>
      <c r="M95" t="s">
        <v>1782</v>
      </c>
      <c r="N95" t="s">
        <v>1836</v>
      </c>
      <c r="O95" t="s">
        <v>2032</v>
      </c>
      <c r="P95" t="s">
        <v>2053</v>
      </c>
      <c r="R95" t="s">
        <v>2062</v>
      </c>
      <c r="S95" t="s">
        <v>1779</v>
      </c>
      <c r="T95" t="s">
        <v>2065</v>
      </c>
      <c r="V95" t="s">
        <v>2082</v>
      </c>
      <c r="W95">
        <v>1091</v>
      </c>
      <c r="X95" t="s">
        <v>2089</v>
      </c>
      <c r="Y95" t="s">
        <v>2100</v>
      </c>
      <c r="AA95" t="s">
        <v>2209</v>
      </c>
      <c r="AC95" t="s">
        <v>2812</v>
      </c>
      <c r="AD95">
        <v>170</v>
      </c>
      <c r="AE95" t="s">
        <v>3223</v>
      </c>
      <c r="AF95" t="s">
        <v>3239</v>
      </c>
      <c r="AG95">
        <v>12</v>
      </c>
      <c r="AH95">
        <v>1</v>
      </c>
      <c r="AI95">
        <v>2</v>
      </c>
      <c r="AJ95">
        <v>41.63</v>
      </c>
      <c r="AM95" t="s">
        <v>3249</v>
      </c>
      <c r="AN95">
        <v>8880</v>
      </c>
    </row>
    <row r="96" spans="1:41">
      <c r="A96" s="1">
        <f>HYPERLINK("https://lsnyc.legalserver.org/matter/dynamic-profile/view/1907283","19-1907283")</f>
        <v>0</v>
      </c>
      <c r="B96" t="s">
        <v>83</v>
      </c>
      <c r="C96" t="s">
        <v>156</v>
      </c>
      <c r="E96" t="s">
        <v>331</v>
      </c>
      <c r="F96" t="s">
        <v>761</v>
      </c>
      <c r="G96" t="s">
        <v>1201</v>
      </c>
      <c r="H96">
        <v>51</v>
      </c>
      <c r="I96" t="s">
        <v>1754</v>
      </c>
      <c r="J96">
        <v>10034</v>
      </c>
      <c r="K96" t="s">
        <v>1779</v>
      </c>
      <c r="L96" t="s">
        <v>1781</v>
      </c>
      <c r="M96" t="s">
        <v>1782</v>
      </c>
      <c r="O96" t="s">
        <v>2034</v>
      </c>
      <c r="P96" t="s">
        <v>2052</v>
      </c>
      <c r="R96" t="s">
        <v>2062</v>
      </c>
      <c r="S96" t="s">
        <v>1780</v>
      </c>
      <c r="T96" t="s">
        <v>2065</v>
      </c>
      <c r="V96" t="s">
        <v>156</v>
      </c>
      <c r="W96">
        <v>1664.13</v>
      </c>
      <c r="X96" t="s">
        <v>2091</v>
      </c>
      <c r="Y96" t="s">
        <v>2101</v>
      </c>
      <c r="AA96" t="s">
        <v>2210</v>
      </c>
      <c r="AC96" t="s">
        <v>2813</v>
      </c>
      <c r="AD96">
        <v>26</v>
      </c>
      <c r="AE96" t="s">
        <v>3223</v>
      </c>
      <c r="AF96" t="s">
        <v>3236</v>
      </c>
      <c r="AG96">
        <v>26</v>
      </c>
      <c r="AH96">
        <v>3</v>
      </c>
      <c r="AI96">
        <v>0</v>
      </c>
      <c r="AJ96">
        <v>41.69</v>
      </c>
      <c r="AM96" t="s">
        <v>3249</v>
      </c>
      <c r="AN96">
        <v>8892</v>
      </c>
    </row>
    <row r="97" spans="1:45">
      <c r="A97" s="1">
        <f>HYPERLINK("https://lsnyc.legalserver.org/matter/dynamic-profile/view/1881736","18-1881736")</f>
        <v>0</v>
      </c>
      <c r="B97" t="s">
        <v>55</v>
      </c>
      <c r="C97" t="s">
        <v>187</v>
      </c>
      <c r="E97" t="s">
        <v>332</v>
      </c>
      <c r="F97" t="s">
        <v>767</v>
      </c>
      <c r="G97" t="s">
        <v>1166</v>
      </c>
      <c r="H97">
        <v>21</v>
      </c>
      <c r="I97" t="s">
        <v>1749</v>
      </c>
      <c r="J97">
        <v>11212</v>
      </c>
      <c r="K97" t="s">
        <v>1780</v>
      </c>
      <c r="L97" t="s">
        <v>1780</v>
      </c>
      <c r="M97" t="s">
        <v>1784</v>
      </c>
      <c r="N97" t="s">
        <v>1837</v>
      </c>
      <c r="O97" t="s">
        <v>2030</v>
      </c>
      <c r="P97" t="s">
        <v>2051</v>
      </c>
      <c r="R97" t="s">
        <v>2062</v>
      </c>
      <c r="S97" t="s">
        <v>1780</v>
      </c>
      <c r="T97" t="s">
        <v>2065</v>
      </c>
      <c r="U97" t="s">
        <v>2076</v>
      </c>
      <c r="V97" t="s">
        <v>161</v>
      </c>
      <c r="W97">
        <v>1200</v>
      </c>
      <c r="X97" t="s">
        <v>2088</v>
      </c>
      <c r="Y97" t="s">
        <v>2104</v>
      </c>
      <c r="AA97" t="s">
        <v>2211</v>
      </c>
      <c r="AB97" t="s">
        <v>2690</v>
      </c>
      <c r="AC97" t="s">
        <v>2814</v>
      </c>
      <c r="AD97">
        <v>23</v>
      </c>
      <c r="AE97" t="s">
        <v>3223</v>
      </c>
      <c r="AF97" t="s">
        <v>3242</v>
      </c>
      <c r="AG97">
        <v>3</v>
      </c>
      <c r="AH97">
        <v>1</v>
      </c>
      <c r="AI97">
        <v>0</v>
      </c>
      <c r="AJ97">
        <v>42.83</v>
      </c>
      <c r="AM97" t="s">
        <v>3248</v>
      </c>
      <c r="AN97">
        <v>5200</v>
      </c>
    </row>
    <row r="98" spans="1:45">
      <c r="A98" s="1">
        <f>HYPERLINK("https://lsnyc.legalserver.org/matter/dynamic-profile/view/1908250","19-1908250")</f>
        <v>0</v>
      </c>
      <c r="B98" t="s">
        <v>45</v>
      </c>
      <c r="C98" t="s">
        <v>149</v>
      </c>
      <c r="E98" t="s">
        <v>333</v>
      </c>
      <c r="F98" t="s">
        <v>768</v>
      </c>
      <c r="G98" t="s">
        <v>1202</v>
      </c>
      <c r="H98" t="s">
        <v>1592</v>
      </c>
      <c r="I98" t="s">
        <v>1761</v>
      </c>
      <c r="J98">
        <v>11377</v>
      </c>
      <c r="K98" t="s">
        <v>1779</v>
      </c>
      <c r="L98" t="s">
        <v>1781</v>
      </c>
      <c r="M98" t="s">
        <v>1782</v>
      </c>
      <c r="N98" t="s">
        <v>1838</v>
      </c>
      <c r="O98" t="s">
        <v>2029</v>
      </c>
      <c r="P98" t="s">
        <v>2051</v>
      </c>
      <c r="R98" t="s">
        <v>2062</v>
      </c>
      <c r="S98" t="s">
        <v>1780</v>
      </c>
      <c r="T98" t="s">
        <v>2065</v>
      </c>
      <c r="U98" t="s">
        <v>2073</v>
      </c>
      <c r="V98" t="s">
        <v>149</v>
      </c>
      <c r="W98">
        <v>1850</v>
      </c>
      <c r="X98" t="s">
        <v>2087</v>
      </c>
      <c r="Y98" t="s">
        <v>2092</v>
      </c>
      <c r="AA98" t="s">
        <v>2212</v>
      </c>
      <c r="AC98" t="s">
        <v>2815</v>
      </c>
      <c r="AD98">
        <v>2</v>
      </c>
      <c r="AE98" t="s">
        <v>3222</v>
      </c>
      <c r="AF98" t="s">
        <v>1783</v>
      </c>
      <c r="AG98">
        <v>-1</v>
      </c>
      <c r="AH98">
        <v>1</v>
      </c>
      <c r="AI98">
        <v>0</v>
      </c>
      <c r="AJ98">
        <v>43.23</v>
      </c>
      <c r="AM98" t="s">
        <v>3248</v>
      </c>
      <c r="AN98">
        <v>5400</v>
      </c>
    </row>
    <row r="99" spans="1:45">
      <c r="A99" s="1">
        <f>HYPERLINK("https://lsnyc.legalserver.org/matter/dynamic-profile/view/1904898","19-1904898")</f>
        <v>0</v>
      </c>
      <c r="B99" t="s">
        <v>48</v>
      </c>
      <c r="C99" t="s">
        <v>176</v>
      </c>
      <c r="E99" t="s">
        <v>334</v>
      </c>
      <c r="F99" t="s">
        <v>698</v>
      </c>
      <c r="G99" t="s">
        <v>1203</v>
      </c>
      <c r="H99" t="s">
        <v>1575</v>
      </c>
      <c r="I99" t="s">
        <v>1757</v>
      </c>
      <c r="J99">
        <v>11412</v>
      </c>
      <c r="K99" t="s">
        <v>1779</v>
      </c>
      <c r="L99" t="s">
        <v>1781</v>
      </c>
      <c r="M99" t="s">
        <v>1782</v>
      </c>
      <c r="N99" t="s">
        <v>1839</v>
      </c>
      <c r="O99" t="s">
        <v>2029</v>
      </c>
      <c r="P99" t="s">
        <v>2051</v>
      </c>
      <c r="R99" t="s">
        <v>2063</v>
      </c>
      <c r="S99" t="s">
        <v>1780</v>
      </c>
      <c r="T99" t="s">
        <v>2065</v>
      </c>
      <c r="U99" t="s">
        <v>2076</v>
      </c>
      <c r="V99" t="s">
        <v>176</v>
      </c>
      <c r="W99">
        <v>1488.5</v>
      </c>
      <c r="X99" t="s">
        <v>2087</v>
      </c>
      <c r="Y99" t="s">
        <v>2093</v>
      </c>
      <c r="AA99" t="s">
        <v>2213</v>
      </c>
      <c r="AB99" t="s">
        <v>2691</v>
      </c>
      <c r="AD99">
        <v>3</v>
      </c>
      <c r="AE99" t="s">
        <v>3229</v>
      </c>
      <c r="AF99" t="s">
        <v>3239</v>
      </c>
      <c r="AG99">
        <v>2</v>
      </c>
      <c r="AH99">
        <v>1</v>
      </c>
      <c r="AI99">
        <v>2</v>
      </c>
      <c r="AJ99">
        <v>43.38</v>
      </c>
      <c r="AK99" t="s">
        <v>3244</v>
      </c>
      <c r="AL99" t="s">
        <v>3245</v>
      </c>
      <c r="AM99" t="s">
        <v>3248</v>
      </c>
      <c r="AN99">
        <v>9252</v>
      </c>
    </row>
    <row r="100" spans="1:45">
      <c r="A100" s="1">
        <f>HYPERLINK("https://lsnyc.legalserver.org/matter/dynamic-profile/view/1911035","19-1911035")</f>
        <v>0</v>
      </c>
      <c r="B100" t="s">
        <v>87</v>
      </c>
      <c r="C100" t="s">
        <v>188</v>
      </c>
      <c r="E100" t="s">
        <v>335</v>
      </c>
      <c r="F100" t="s">
        <v>769</v>
      </c>
      <c r="G100" t="s">
        <v>1204</v>
      </c>
      <c r="H100" t="s">
        <v>1554</v>
      </c>
      <c r="I100" t="s">
        <v>1749</v>
      </c>
      <c r="J100">
        <v>11207</v>
      </c>
      <c r="K100" t="s">
        <v>1780</v>
      </c>
      <c r="L100" t="s">
        <v>1781</v>
      </c>
      <c r="M100" t="s">
        <v>1783</v>
      </c>
      <c r="O100" t="s">
        <v>1793</v>
      </c>
      <c r="P100" t="s">
        <v>2050</v>
      </c>
      <c r="R100" t="s">
        <v>2062</v>
      </c>
      <c r="T100" t="s">
        <v>2065</v>
      </c>
      <c r="V100" t="s">
        <v>174</v>
      </c>
      <c r="W100">
        <v>600</v>
      </c>
      <c r="X100" t="s">
        <v>2088</v>
      </c>
      <c r="AA100" t="s">
        <v>2214</v>
      </c>
      <c r="AD100">
        <v>0</v>
      </c>
      <c r="AE100" t="s">
        <v>3224</v>
      </c>
      <c r="AG100">
        <v>0</v>
      </c>
      <c r="AH100">
        <v>1</v>
      </c>
      <c r="AI100">
        <v>0</v>
      </c>
      <c r="AJ100">
        <v>43.71</v>
      </c>
      <c r="AM100" t="s">
        <v>3249</v>
      </c>
      <c r="AN100">
        <v>5460</v>
      </c>
    </row>
    <row r="101" spans="1:45">
      <c r="A101" s="1">
        <f>HYPERLINK("https://lsnyc.legalserver.org/matter/dynamic-profile/view/1894362","19-1894362")</f>
        <v>0</v>
      </c>
      <c r="B101" t="s">
        <v>88</v>
      </c>
      <c r="C101" t="s">
        <v>189</v>
      </c>
      <c r="D101" t="s">
        <v>192</v>
      </c>
      <c r="E101" t="s">
        <v>336</v>
      </c>
      <c r="F101" t="s">
        <v>770</v>
      </c>
      <c r="G101" t="s">
        <v>1205</v>
      </c>
      <c r="H101" t="s">
        <v>1593</v>
      </c>
      <c r="I101" t="s">
        <v>1753</v>
      </c>
      <c r="J101">
        <v>10301</v>
      </c>
      <c r="K101" t="s">
        <v>1779</v>
      </c>
      <c r="L101" t="s">
        <v>1781</v>
      </c>
      <c r="M101" t="s">
        <v>1782</v>
      </c>
      <c r="N101" t="s">
        <v>1840</v>
      </c>
      <c r="O101" t="s">
        <v>2030</v>
      </c>
      <c r="P101" t="s">
        <v>2051</v>
      </c>
      <c r="Q101" t="s">
        <v>2058</v>
      </c>
      <c r="R101" t="s">
        <v>2062</v>
      </c>
      <c r="S101" t="s">
        <v>1780</v>
      </c>
      <c r="T101" t="s">
        <v>2065</v>
      </c>
      <c r="U101" t="s">
        <v>2073</v>
      </c>
      <c r="V101" t="s">
        <v>2079</v>
      </c>
      <c r="W101">
        <v>1515</v>
      </c>
      <c r="X101" t="s">
        <v>2090</v>
      </c>
      <c r="Y101" t="s">
        <v>2102</v>
      </c>
      <c r="Z101" t="s">
        <v>2111</v>
      </c>
      <c r="AA101" t="s">
        <v>2215</v>
      </c>
      <c r="AC101" t="s">
        <v>2816</v>
      </c>
      <c r="AD101">
        <v>2</v>
      </c>
      <c r="AE101" t="s">
        <v>3222</v>
      </c>
      <c r="AF101" t="s">
        <v>3240</v>
      </c>
      <c r="AG101">
        <v>-1</v>
      </c>
      <c r="AH101">
        <v>1</v>
      </c>
      <c r="AI101">
        <v>2</v>
      </c>
      <c r="AJ101">
        <v>44.44</v>
      </c>
      <c r="AM101" t="s">
        <v>3248</v>
      </c>
      <c r="AN101">
        <v>9480</v>
      </c>
      <c r="AP101" t="s">
        <v>3285</v>
      </c>
      <c r="AQ101" t="s">
        <v>3288</v>
      </c>
      <c r="AR101" t="s">
        <v>3294</v>
      </c>
      <c r="AS101" t="s">
        <v>3302</v>
      </c>
    </row>
    <row r="102" spans="1:45">
      <c r="A102" s="1">
        <f>HYPERLINK("https://lsnyc.legalserver.org/matter/dynamic-profile/view/1904987","19-1904987")</f>
        <v>0</v>
      </c>
      <c r="B102" t="s">
        <v>83</v>
      </c>
      <c r="C102" t="s">
        <v>176</v>
      </c>
      <c r="D102" t="s">
        <v>216</v>
      </c>
      <c r="E102" t="s">
        <v>337</v>
      </c>
      <c r="F102" t="s">
        <v>684</v>
      </c>
      <c r="G102" t="s">
        <v>1206</v>
      </c>
      <c r="H102" t="s">
        <v>1570</v>
      </c>
      <c r="I102" t="s">
        <v>1754</v>
      </c>
      <c r="J102">
        <v>10034</v>
      </c>
      <c r="K102" t="s">
        <v>1779</v>
      </c>
      <c r="L102" t="s">
        <v>1781</v>
      </c>
      <c r="M102" t="s">
        <v>1782</v>
      </c>
      <c r="O102" t="s">
        <v>2034</v>
      </c>
      <c r="P102" t="s">
        <v>2050</v>
      </c>
      <c r="Q102" t="s">
        <v>2057</v>
      </c>
      <c r="R102" t="s">
        <v>2062</v>
      </c>
      <c r="S102" t="s">
        <v>1780</v>
      </c>
      <c r="T102" t="s">
        <v>2065</v>
      </c>
      <c r="V102" t="s">
        <v>176</v>
      </c>
      <c r="W102">
        <v>980.67</v>
      </c>
      <c r="X102" t="s">
        <v>2091</v>
      </c>
      <c r="Y102" t="s">
        <v>2101</v>
      </c>
      <c r="Z102" t="s">
        <v>2110</v>
      </c>
      <c r="AA102" t="s">
        <v>2216</v>
      </c>
      <c r="AC102" t="s">
        <v>2817</v>
      </c>
      <c r="AD102">
        <v>26</v>
      </c>
      <c r="AE102" t="s">
        <v>3223</v>
      </c>
      <c r="AF102" t="s">
        <v>3238</v>
      </c>
      <c r="AG102">
        <v>9</v>
      </c>
      <c r="AH102">
        <v>2</v>
      </c>
      <c r="AI102">
        <v>1</v>
      </c>
      <c r="AJ102">
        <v>45.34</v>
      </c>
      <c r="AM102" t="s">
        <v>3249</v>
      </c>
      <c r="AN102">
        <v>9672</v>
      </c>
    </row>
    <row r="103" spans="1:45">
      <c r="A103" s="1">
        <f>HYPERLINK("https://lsnyc.legalserver.org/matter/dynamic-profile/view/1891183","19-1891183")</f>
        <v>0</v>
      </c>
      <c r="B103" t="s">
        <v>89</v>
      </c>
      <c r="C103" t="s">
        <v>190</v>
      </c>
      <c r="E103" t="s">
        <v>338</v>
      </c>
      <c r="F103" t="s">
        <v>771</v>
      </c>
      <c r="G103" t="s">
        <v>1207</v>
      </c>
      <c r="I103" t="s">
        <v>1748</v>
      </c>
      <c r="J103">
        <v>11368</v>
      </c>
      <c r="K103" t="s">
        <v>1779</v>
      </c>
      <c r="L103" t="s">
        <v>1779</v>
      </c>
      <c r="M103" t="s">
        <v>1784</v>
      </c>
      <c r="N103" t="s">
        <v>1841</v>
      </c>
      <c r="O103" t="s">
        <v>2029</v>
      </c>
      <c r="P103" t="s">
        <v>2055</v>
      </c>
      <c r="R103" t="s">
        <v>2062</v>
      </c>
      <c r="S103" t="s">
        <v>1780</v>
      </c>
      <c r="T103" t="s">
        <v>2065</v>
      </c>
      <c r="U103" t="s">
        <v>2073</v>
      </c>
      <c r="V103" t="s">
        <v>246</v>
      </c>
      <c r="W103">
        <v>1400</v>
      </c>
      <c r="X103" t="s">
        <v>2087</v>
      </c>
      <c r="Y103" t="s">
        <v>2092</v>
      </c>
      <c r="AA103" t="s">
        <v>2217</v>
      </c>
      <c r="AB103" t="s">
        <v>2692</v>
      </c>
      <c r="AC103" t="s">
        <v>2818</v>
      </c>
      <c r="AD103">
        <v>25</v>
      </c>
      <c r="AE103" t="s">
        <v>3222</v>
      </c>
      <c r="AF103" t="s">
        <v>3239</v>
      </c>
      <c r="AG103">
        <v>6</v>
      </c>
      <c r="AH103">
        <v>1</v>
      </c>
      <c r="AI103">
        <v>3</v>
      </c>
      <c r="AJ103">
        <v>46.6</v>
      </c>
      <c r="AM103" t="s">
        <v>3249</v>
      </c>
      <c r="AN103">
        <v>12000</v>
      </c>
    </row>
    <row r="104" spans="1:45">
      <c r="A104" s="1">
        <f>HYPERLINK("https://lsnyc.legalserver.org/matter/dynamic-profile/view/1907666","19-1907666")</f>
        <v>0</v>
      </c>
      <c r="B104" t="s">
        <v>58</v>
      </c>
      <c r="C104" t="s">
        <v>185</v>
      </c>
      <c r="E104" t="s">
        <v>339</v>
      </c>
      <c r="F104" t="s">
        <v>772</v>
      </c>
      <c r="G104" t="s">
        <v>1208</v>
      </c>
      <c r="H104" t="s">
        <v>1594</v>
      </c>
      <c r="I104" t="s">
        <v>1749</v>
      </c>
      <c r="J104">
        <v>11226</v>
      </c>
      <c r="K104" t="s">
        <v>1779</v>
      </c>
      <c r="L104" t="s">
        <v>1781</v>
      </c>
      <c r="M104" t="s">
        <v>1782</v>
      </c>
      <c r="O104" t="s">
        <v>2032</v>
      </c>
      <c r="P104" t="s">
        <v>2053</v>
      </c>
      <c r="R104" t="s">
        <v>2062</v>
      </c>
      <c r="S104" t="s">
        <v>1779</v>
      </c>
      <c r="T104" t="s">
        <v>2065</v>
      </c>
      <c r="V104" t="s">
        <v>185</v>
      </c>
      <c r="W104">
        <v>0</v>
      </c>
      <c r="X104" t="s">
        <v>2088</v>
      </c>
      <c r="AA104" t="s">
        <v>2218</v>
      </c>
      <c r="AD104">
        <v>36</v>
      </c>
      <c r="AE104" t="s">
        <v>3223</v>
      </c>
      <c r="AG104">
        <v>0</v>
      </c>
      <c r="AH104">
        <v>2</v>
      </c>
      <c r="AI104">
        <v>1</v>
      </c>
      <c r="AJ104">
        <v>48.76</v>
      </c>
      <c r="AM104" t="s">
        <v>3249</v>
      </c>
      <c r="AN104">
        <v>10400</v>
      </c>
      <c r="AO104" t="s">
        <v>3266</v>
      </c>
    </row>
    <row r="105" spans="1:45">
      <c r="A105" s="1">
        <f>HYPERLINK("https://lsnyc.legalserver.org/matter/dynamic-profile/view/1904449","19-1904449")</f>
        <v>0</v>
      </c>
      <c r="B105" t="s">
        <v>90</v>
      </c>
      <c r="C105" t="s">
        <v>191</v>
      </c>
      <c r="D105" t="s">
        <v>243</v>
      </c>
      <c r="E105" t="s">
        <v>340</v>
      </c>
      <c r="F105" t="s">
        <v>773</v>
      </c>
      <c r="G105" t="s">
        <v>1209</v>
      </c>
      <c r="H105" t="s">
        <v>1595</v>
      </c>
      <c r="I105" t="s">
        <v>1752</v>
      </c>
      <c r="J105">
        <v>10452</v>
      </c>
      <c r="K105" t="s">
        <v>1779</v>
      </c>
      <c r="L105" t="s">
        <v>1781</v>
      </c>
      <c r="M105" t="s">
        <v>1782</v>
      </c>
      <c r="N105" t="s">
        <v>1799</v>
      </c>
      <c r="O105" t="s">
        <v>1793</v>
      </c>
      <c r="P105" t="s">
        <v>2050</v>
      </c>
      <c r="Q105" t="s">
        <v>2057</v>
      </c>
      <c r="R105" t="s">
        <v>2062</v>
      </c>
      <c r="S105" t="s">
        <v>1780</v>
      </c>
      <c r="T105" t="s">
        <v>2065</v>
      </c>
      <c r="V105" t="s">
        <v>184</v>
      </c>
      <c r="W105">
        <v>702.21</v>
      </c>
      <c r="X105" t="s">
        <v>2089</v>
      </c>
      <c r="Z105" t="s">
        <v>2110</v>
      </c>
      <c r="AA105" t="s">
        <v>2219</v>
      </c>
      <c r="AC105" t="s">
        <v>2819</v>
      </c>
      <c r="AD105">
        <v>42</v>
      </c>
      <c r="AE105" t="s">
        <v>3222</v>
      </c>
      <c r="AF105" t="s">
        <v>1783</v>
      </c>
      <c r="AG105">
        <v>4</v>
      </c>
      <c r="AH105">
        <v>1</v>
      </c>
      <c r="AI105">
        <v>2</v>
      </c>
      <c r="AJ105">
        <v>49.4</v>
      </c>
      <c r="AM105" t="s">
        <v>3249</v>
      </c>
      <c r="AN105">
        <v>10536</v>
      </c>
    </row>
    <row r="106" spans="1:45">
      <c r="A106" s="1">
        <f>HYPERLINK("https://lsnyc.legalserver.org/matter/dynamic-profile/view/1910363","19-1910363")</f>
        <v>0</v>
      </c>
      <c r="B106" t="s">
        <v>91</v>
      </c>
      <c r="C106" t="s">
        <v>192</v>
      </c>
      <c r="E106" t="s">
        <v>341</v>
      </c>
      <c r="F106" t="s">
        <v>774</v>
      </c>
      <c r="G106" t="s">
        <v>1210</v>
      </c>
      <c r="H106" t="s">
        <v>1556</v>
      </c>
      <c r="I106" t="s">
        <v>1749</v>
      </c>
      <c r="J106">
        <v>11212</v>
      </c>
      <c r="K106" t="s">
        <v>1779</v>
      </c>
      <c r="L106" t="s">
        <v>1781</v>
      </c>
      <c r="M106" t="s">
        <v>1782</v>
      </c>
      <c r="N106" t="s">
        <v>1786</v>
      </c>
      <c r="O106" t="s">
        <v>2033</v>
      </c>
      <c r="P106" t="s">
        <v>2055</v>
      </c>
      <c r="R106" t="s">
        <v>2062</v>
      </c>
      <c r="S106" t="s">
        <v>1779</v>
      </c>
      <c r="T106" t="s">
        <v>2065</v>
      </c>
      <c r="U106" t="s">
        <v>2073</v>
      </c>
      <c r="V106" t="s">
        <v>148</v>
      </c>
      <c r="W106">
        <v>1253</v>
      </c>
      <c r="X106" t="s">
        <v>2088</v>
      </c>
      <c r="Y106" t="s">
        <v>2101</v>
      </c>
      <c r="AA106" t="s">
        <v>2220</v>
      </c>
      <c r="AB106" t="s">
        <v>2666</v>
      </c>
      <c r="AC106" t="s">
        <v>2820</v>
      </c>
      <c r="AD106">
        <v>6</v>
      </c>
      <c r="AE106" t="s">
        <v>2704</v>
      </c>
      <c r="AF106" t="s">
        <v>3236</v>
      </c>
      <c r="AG106">
        <v>3</v>
      </c>
      <c r="AH106">
        <v>2</v>
      </c>
      <c r="AI106">
        <v>0</v>
      </c>
      <c r="AJ106">
        <v>49.67</v>
      </c>
      <c r="AM106" t="s">
        <v>3248</v>
      </c>
      <c r="AN106">
        <v>8400</v>
      </c>
    </row>
    <row r="107" spans="1:45">
      <c r="A107" s="1">
        <f>HYPERLINK("https://lsnyc.legalserver.org/matter/dynamic-profile/view/1907955","19-1907955")</f>
        <v>0</v>
      </c>
      <c r="B107" t="s">
        <v>84</v>
      </c>
      <c r="C107" t="s">
        <v>141</v>
      </c>
      <c r="E107" t="s">
        <v>342</v>
      </c>
      <c r="F107" t="s">
        <v>775</v>
      </c>
      <c r="G107" t="s">
        <v>1211</v>
      </c>
      <c r="H107" t="s">
        <v>1596</v>
      </c>
      <c r="I107" t="s">
        <v>1754</v>
      </c>
      <c r="J107">
        <v>10040</v>
      </c>
      <c r="K107" t="s">
        <v>1779</v>
      </c>
      <c r="L107" t="s">
        <v>1781</v>
      </c>
      <c r="M107" t="s">
        <v>1782</v>
      </c>
      <c r="N107" t="s">
        <v>1842</v>
      </c>
      <c r="O107" t="s">
        <v>2030</v>
      </c>
      <c r="P107" t="s">
        <v>2051</v>
      </c>
      <c r="R107" t="s">
        <v>2062</v>
      </c>
      <c r="S107" t="s">
        <v>1780</v>
      </c>
      <c r="T107" t="s">
        <v>2065</v>
      </c>
      <c r="U107" t="s">
        <v>2073</v>
      </c>
      <c r="V107" t="s">
        <v>141</v>
      </c>
      <c r="W107">
        <v>995.92</v>
      </c>
      <c r="X107" t="s">
        <v>2091</v>
      </c>
      <c r="Y107" t="s">
        <v>2106</v>
      </c>
      <c r="AA107" t="s">
        <v>2221</v>
      </c>
      <c r="AB107" t="s">
        <v>2693</v>
      </c>
      <c r="AC107" t="s">
        <v>2821</v>
      </c>
      <c r="AD107">
        <v>44</v>
      </c>
      <c r="AE107" t="s">
        <v>3223</v>
      </c>
      <c r="AF107" t="s">
        <v>1783</v>
      </c>
      <c r="AG107">
        <v>15</v>
      </c>
      <c r="AH107">
        <v>2</v>
      </c>
      <c r="AI107">
        <v>2</v>
      </c>
      <c r="AJ107">
        <v>50.49</v>
      </c>
      <c r="AM107" t="s">
        <v>3249</v>
      </c>
      <c r="AN107">
        <v>13000</v>
      </c>
    </row>
    <row r="108" spans="1:45">
      <c r="A108" s="1">
        <f>HYPERLINK("https://lsnyc.legalserver.org/matter/dynamic-profile/view/1908348","19-1908348")</f>
        <v>0</v>
      </c>
      <c r="B108" t="s">
        <v>92</v>
      </c>
      <c r="C108" t="s">
        <v>174</v>
      </c>
      <c r="E108" t="s">
        <v>343</v>
      </c>
      <c r="F108" t="s">
        <v>776</v>
      </c>
      <c r="G108" t="s">
        <v>1212</v>
      </c>
      <c r="H108" t="s">
        <v>1597</v>
      </c>
      <c r="I108" t="s">
        <v>1753</v>
      </c>
      <c r="J108">
        <v>10301</v>
      </c>
      <c r="K108" t="s">
        <v>1779</v>
      </c>
      <c r="L108" t="s">
        <v>1781</v>
      </c>
      <c r="M108" t="s">
        <v>1782</v>
      </c>
      <c r="O108" t="s">
        <v>2029</v>
      </c>
      <c r="P108" t="s">
        <v>2052</v>
      </c>
      <c r="R108" t="s">
        <v>2063</v>
      </c>
      <c r="S108" t="s">
        <v>1780</v>
      </c>
      <c r="T108" t="s">
        <v>2065</v>
      </c>
      <c r="U108" t="s">
        <v>2073</v>
      </c>
      <c r="V108" t="s">
        <v>195</v>
      </c>
      <c r="W108">
        <v>1348</v>
      </c>
      <c r="X108" t="s">
        <v>2090</v>
      </c>
      <c r="Y108" t="s">
        <v>2093</v>
      </c>
      <c r="AA108" t="s">
        <v>2222</v>
      </c>
      <c r="AC108" t="s">
        <v>2822</v>
      </c>
      <c r="AD108">
        <v>4</v>
      </c>
      <c r="AF108" t="s">
        <v>3240</v>
      </c>
      <c r="AG108">
        <v>4</v>
      </c>
      <c r="AH108">
        <v>1</v>
      </c>
      <c r="AI108">
        <v>2</v>
      </c>
      <c r="AJ108">
        <v>50.86</v>
      </c>
      <c r="AK108" t="s">
        <v>3244</v>
      </c>
      <c r="AL108" t="s">
        <v>3245</v>
      </c>
      <c r="AM108" t="s">
        <v>3248</v>
      </c>
      <c r="AN108">
        <v>10848</v>
      </c>
      <c r="AO108" t="s">
        <v>3267</v>
      </c>
    </row>
    <row r="109" spans="1:45">
      <c r="A109" s="1">
        <f>HYPERLINK("https://lsnyc.legalserver.org/matter/dynamic-profile/view/1904906","19-1904906")</f>
        <v>0</v>
      </c>
      <c r="B109" t="s">
        <v>86</v>
      </c>
      <c r="C109" t="s">
        <v>176</v>
      </c>
      <c r="E109" t="s">
        <v>344</v>
      </c>
      <c r="F109" t="s">
        <v>777</v>
      </c>
      <c r="G109" t="s">
        <v>1200</v>
      </c>
      <c r="H109" t="s">
        <v>1598</v>
      </c>
      <c r="I109" t="s">
        <v>1752</v>
      </c>
      <c r="J109">
        <v>10453</v>
      </c>
      <c r="K109" t="s">
        <v>1779</v>
      </c>
      <c r="L109" t="s">
        <v>1781</v>
      </c>
      <c r="M109" t="s">
        <v>1782</v>
      </c>
      <c r="N109" t="s">
        <v>1836</v>
      </c>
      <c r="O109" t="s">
        <v>2032</v>
      </c>
      <c r="P109" t="s">
        <v>2053</v>
      </c>
      <c r="R109" t="s">
        <v>2062</v>
      </c>
      <c r="S109" t="s">
        <v>1779</v>
      </c>
      <c r="T109" t="s">
        <v>2065</v>
      </c>
      <c r="V109" t="s">
        <v>2082</v>
      </c>
      <c r="W109">
        <v>1172</v>
      </c>
      <c r="X109" t="s">
        <v>2089</v>
      </c>
      <c r="Y109" t="s">
        <v>2100</v>
      </c>
      <c r="AA109" t="s">
        <v>2223</v>
      </c>
      <c r="AC109" t="s">
        <v>2823</v>
      </c>
      <c r="AD109">
        <v>170</v>
      </c>
      <c r="AE109" t="s">
        <v>3223</v>
      </c>
      <c r="AF109" t="s">
        <v>3239</v>
      </c>
      <c r="AG109">
        <v>16</v>
      </c>
      <c r="AH109">
        <v>2</v>
      </c>
      <c r="AI109">
        <v>3</v>
      </c>
      <c r="AJ109">
        <v>51.26</v>
      </c>
      <c r="AM109" t="s">
        <v>3249</v>
      </c>
      <c r="AN109">
        <v>15080</v>
      </c>
    </row>
    <row r="110" spans="1:45">
      <c r="A110" s="1">
        <f>HYPERLINK("https://lsnyc.legalserver.org/matter/dynamic-profile/view/1896798","19-1896798")</f>
        <v>0</v>
      </c>
      <c r="B110" t="s">
        <v>68</v>
      </c>
      <c r="C110" t="s">
        <v>193</v>
      </c>
      <c r="E110" t="s">
        <v>345</v>
      </c>
      <c r="F110" t="s">
        <v>778</v>
      </c>
      <c r="G110" t="s">
        <v>1213</v>
      </c>
      <c r="H110" t="s">
        <v>1559</v>
      </c>
      <c r="I110" t="s">
        <v>1749</v>
      </c>
      <c r="J110">
        <v>11213</v>
      </c>
      <c r="K110" t="s">
        <v>1779</v>
      </c>
      <c r="L110" t="s">
        <v>1779</v>
      </c>
      <c r="M110" t="s">
        <v>1782</v>
      </c>
      <c r="O110" t="s">
        <v>2032</v>
      </c>
      <c r="P110" t="s">
        <v>2053</v>
      </c>
      <c r="R110" t="s">
        <v>2062</v>
      </c>
      <c r="S110" t="s">
        <v>1779</v>
      </c>
      <c r="T110" t="s">
        <v>2065</v>
      </c>
      <c r="V110" t="s">
        <v>168</v>
      </c>
      <c r="W110">
        <v>855.86</v>
      </c>
      <c r="X110" t="s">
        <v>2088</v>
      </c>
      <c r="Y110" t="s">
        <v>2100</v>
      </c>
      <c r="AA110" t="s">
        <v>2224</v>
      </c>
      <c r="AB110" t="s">
        <v>1783</v>
      </c>
      <c r="AD110">
        <v>6</v>
      </c>
      <c r="AE110" t="s">
        <v>3223</v>
      </c>
      <c r="AF110" t="s">
        <v>1783</v>
      </c>
      <c r="AG110">
        <v>26</v>
      </c>
      <c r="AH110">
        <v>1</v>
      </c>
      <c r="AI110">
        <v>1</v>
      </c>
      <c r="AJ110">
        <v>52.58</v>
      </c>
      <c r="AM110" t="s">
        <v>3248</v>
      </c>
      <c r="AN110">
        <v>8892</v>
      </c>
      <c r="AO110" t="s">
        <v>3268</v>
      </c>
    </row>
    <row r="111" spans="1:45">
      <c r="A111" s="1">
        <f>HYPERLINK("https://lsnyc.legalserver.org/matter/dynamic-profile/view/1904129","19-1904129")</f>
        <v>0</v>
      </c>
      <c r="B111" t="s">
        <v>93</v>
      </c>
      <c r="C111" t="s">
        <v>147</v>
      </c>
      <c r="D111" t="s">
        <v>147</v>
      </c>
      <c r="E111" t="s">
        <v>346</v>
      </c>
      <c r="F111" t="s">
        <v>779</v>
      </c>
      <c r="G111" t="s">
        <v>1214</v>
      </c>
      <c r="H111">
        <v>614</v>
      </c>
      <c r="I111" t="s">
        <v>1752</v>
      </c>
      <c r="J111">
        <v>10457</v>
      </c>
      <c r="K111" t="s">
        <v>1779</v>
      </c>
      <c r="L111" t="s">
        <v>1781</v>
      </c>
      <c r="M111" t="s">
        <v>1782</v>
      </c>
      <c r="N111" t="s">
        <v>1843</v>
      </c>
      <c r="O111" t="s">
        <v>2030</v>
      </c>
      <c r="P111" t="s">
        <v>2055</v>
      </c>
      <c r="Q111" t="s">
        <v>2059</v>
      </c>
      <c r="R111" t="s">
        <v>2062</v>
      </c>
      <c r="S111" t="s">
        <v>1780</v>
      </c>
      <c r="T111" t="s">
        <v>2065</v>
      </c>
      <c r="U111" t="s">
        <v>2073</v>
      </c>
      <c r="V111" t="s">
        <v>213</v>
      </c>
      <c r="W111">
        <v>1268</v>
      </c>
      <c r="X111" t="s">
        <v>2089</v>
      </c>
      <c r="Y111" t="s">
        <v>2101</v>
      </c>
      <c r="Z111" t="s">
        <v>2115</v>
      </c>
      <c r="AA111" t="s">
        <v>2225</v>
      </c>
      <c r="AB111" t="s">
        <v>2694</v>
      </c>
      <c r="AC111" t="s">
        <v>2824</v>
      </c>
      <c r="AD111">
        <v>99</v>
      </c>
      <c r="AE111" t="s">
        <v>3230</v>
      </c>
      <c r="AF111" t="s">
        <v>3239</v>
      </c>
      <c r="AG111">
        <v>1</v>
      </c>
      <c r="AH111">
        <v>1</v>
      </c>
      <c r="AI111">
        <v>1</v>
      </c>
      <c r="AJ111">
        <v>52.66</v>
      </c>
      <c r="AM111" t="s">
        <v>3248</v>
      </c>
      <c r="AN111">
        <v>8904</v>
      </c>
    </row>
    <row r="112" spans="1:45">
      <c r="A112" s="1">
        <f>HYPERLINK("https://lsnyc.legalserver.org/matter/dynamic-profile/view/1907662","19-1907662")</f>
        <v>0</v>
      </c>
      <c r="B112" t="s">
        <v>51</v>
      </c>
      <c r="C112" t="s">
        <v>185</v>
      </c>
      <c r="E112" t="s">
        <v>347</v>
      </c>
      <c r="F112" t="s">
        <v>780</v>
      </c>
      <c r="G112" t="s">
        <v>1215</v>
      </c>
      <c r="H112" t="s">
        <v>1599</v>
      </c>
      <c r="I112" t="s">
        <v>1749</v>
      </c>
      <c r="J112">
        <v>11238</v>
      </c>
      <c r="K112" t="s">
        <v>1779</v>
      </c>
      <c r="L112" t="s">
        <v>1781</v>
      </c>
      <c r="O112" t="s">
        <v>2033</v>
      </c>
      <c r="P112" t="s">
        <v>2054</v>
      </c>
      <c r="R112" t="s">
        <v>2062</v>
      </c>
      <c r="S112" t="s">
        <v>1780</v>
      </c>
      <c r="T112" t="s">
        <v>2065</v>
      </c>
      <c r="V112" t="s">
        <v>185</v>
      </c>
      <c r="W112">
        <v>0</v>
      </c>
      <c r="X112" t="s">
        <v>2088</v>
      </c>
      <c r="AA112" t="s">
        <v>2226</v>
      </c>
      <c r="AC112" t="s">
        <v>2825</v>
      </c>
      <c r="AD112">
        <v>29</v>
      </c>
      <c r="AG112">
        <v>0</v>
      </c>
      <c r="AH112">
        <v>2</v>
      </c>
      <c r="AI112">
        <v>0</v>
      </c>
      <c r="AJ112">
        <v>53.22</v>
      </c>
      <c r="AM112" t="s">
        <v>3248</v>
      </c>
      <c r="AN112">
        <v>9000</v>
      </c>
    </row>
    <row r="113" spans="1:45">
      <c r="A113" s="1">
        <f>HYPERLINK("https://lsnyc.legalserver.org/matter/dynamic-profile/view/1905343","19-1905343")</f>
        <v>0</v>
      </c>
      <c r="B113" t="s">
        <v>54</v>
      </c>
      <c r="C113" t="s">
        <v>170</v>
      </c>
      <c r="D113" t="s">
        <v>141</v>
      </c>
      <c r="E113" t="s">
        <v>348</v>
      </c>
      <c r="F113" t="s">
        <v>781</v>
      </c>
      <c r="G113" t="s">
        <v>1216</v>
      </c>
      <c r="H113" t="s">
        <v>1600</v>
      </c>
      <c r="I113" t="s">
        <v>1749</v>
      </c>
      <c r="J113">
        <v>11233</v>
      </c>
      <c r="K113" t="s">
        <v>1779</v>
      </c>
      <c r="L113" t="s">
        <v>1781</v>
      </c>
      <c r="M113" t="s">
        <v>1782</v>
      </c>
      <c r="N113" t="s">
        <v>1783</v>
      </c>
      <c r="O113" t="s">
        <v>2040</v>
      </c>
      <c r="P113" t="s">
        <v>2053</v>
      </c>
      <c r="Q113" t="s">
        <v>2061</v>
      </c>
      <c r="R113" t="s">
        <v>2062</v>
      </c>
      <c r="S113" t="s">
        <v>1780</v>
      </c>
      <c r="T113" t="s">
        <v>2067</v>
      </c>
      <c r="U113" t="s">
        <v>2073</v>
      </c>
      <c r="V113" t="s">
        <v>170</v>
      </c>
      <c r="W113">
        <v>1322</v>
      </c>
      <c r="X113" t="s">
        <v>2088</v>
      </c>
      <c r="Y113" t="s">
        <v>2104</v>
      </c>
      <c r="Z113" t="s">
        <v>2113</v>
      </c>
      <c r="AA113" t="s">
        <v>2227</v>
      </c>
      <c r="AB113" t="s">
        <v>2695</v>
      </c>
      <c r="AC113" t="s">
        <v>2826</v>
      </c>
      <c r="AD113">
        <v>48</v>
      </c>
      <c r="AE113" t="s">
        <v>3223</v>
      </c>
      <c r="AF113" t="s">
        <v>3239</v>
      </c>
      <c r="AG113">
        <v>3</v>
      </c>
      <c r="AH113">
        <v>1</v>
      </c>
      <c r="AI113">
        <v>0</v>
      </c>
      <c r="AJ113">
        <v>53.77</v>
      </c>
      <c r="AM113" t="s">
        <v>3248</v>
      </c>
      <c r="AN113">
        <v>6715.8</v>
      </c>
    </row>
    <row r="114" spans="1:45">
      <c r="A114" s="1">
        <f>HYPERLINK("https://lsnyc.legalserver.org/matter/dynamic-profile/view/1909049","19-1909049")</f>
        <v>0</v>
      </c>
      <c r="B114" t="s">
        <v>83</v>
      </c>
      <c r="C114" t="s">
        <v>178</v>
      </c>
      <c r="E114" t="s">
        <v>349</v>
      </c>
      <c r="F114" t="s">
        <v>782</v>
      </c>
      <c r="G114" t="s">
        <v>1217</v>
      </c>
      <c r="H114">
        <v>34</v>
      </c>
      <c r="I114" t="s">
        <v>1754</v>
      </c>
      <c r="J114">
        <v>10033</v>
      </c>
      <c r="K114" t="s">
        <v>1779</v>
      </c>
      <c r="L114" t="s">
        <v>1781</v>
      </c>
      <c r="M114" t="s">
        <v>1782</v>
      </c>
      <c r="O114" t="s">
        <v>2031</v>
      </c>
      <c r="P114" t="s">
        <v>2051</v>
      </c>
      <c r="R114" t="s">
        <v>2062</v>
      </c>
      <c r="S114" t="s">
        <v>1779</v>
      </c>
      <c r="T114" t="s">
        <v>2065</v>
      </c>
      <c r="V114" t="s">
        <v>178</v>
      </c>
      <c r="W114">
        <v>1633.95</v>
      </c>
      <c r="X114" t="s">
        <v>2091</v>
      </c>
      <c r="Y114" t="s">
        <v>2099</v>
      </c>
      <c r="AA114" t="s">
        <v>2228</v>
      </c>
      <c r="AC114" t="s">
        <v>2827</v>
      </c>
      <c r="AD114">
        <v>20</v>
      </c>
      <c r="AE114" t="s">
        <v>3223</v>
      </c>
      <c r="AF114" t="s">
        <v>3238</v>
      </c>
      <c r="AG114">
        <v>17</v>
      </c>
      <c r="AH114">
        <v>4</v>
      </c>
      <c r="AI114">
        <v>1</v>
      </c>
      <c r="AJ114">
        <v>53.85</v>
      </c>
      <c r="AM114" t="s">
        <v>3249</v>
      </c>
      <c r="AN114">
        <v>16248</v>
      </c>
    </row>
    <row r="115" spans="1:45">
      <c r="A115" s="1">
        <f>HYPERLINK("https://lsnyc.legalserver.org/matter/dynamic-profile/view/1909290","19-1909290")</f>
        <v>0</v>
      </c>
      <c r="B115" t="s">
        <v>86</v>
      </c>
      <c r="C115" t="s">
        <v>141</v>
      </c>
      <c r="D115" t="s">
        <v>164</v>
      </c>
      <c r="E115" t="s">
        <v>350</v>
      </c>
      <c r="F115" t="s">
        <v>783</v>
      </c>
      <c r="G115" t="s">
        <v>1218</v>
      </c>
      <c r="H115" t="s">
        <v>1601</v>
      </c>
      <c r="I115" t="s">
        <v>1752</v>
      </c>
      <c r="J115">
        <v>10457</v>
      </c>
      <c r="K115" t="s">
        <v>1779</v>
      </c>
      <c r="L115" t="s">
        <v>1781</v>
      </c>
      <c r="M115" t="s">
        <v>1782</v>
      </c>
      <c r="N115" t="s">
        <v>1844</v>
      </c>
      <c r="O115" t="s">
        <v>2029</v>
      </c>
      <c r="P115" t="s">
        <v>2050</v>
      </c>
      <c r="Q115" t="s">
        <v>2057</v>
      </c>
      <c r="R115" t="s">
        <v>2062</v>
      </c>
      <c r="S115" t="s">
        <v>1780</v>
      </c>
      <c r="T115" t="s">
        <v>2065</v>
      </c>
      <c r="V115" t="s">
        <v>159</v>
      </c>
      <c r="W115">
        <v>461</v>
      </c>
      <c r="X115" t="s">
        <v>2089</v>
      </c>
      <c r="Y115" t="s">
        <v>2100</v>
      </c>
      <c r="Z115" t="s">
        <v>2110</v>
      </c>
      <c r="AA115" t="s">
        <v>2229</v>
      </c>
      <c r="AC115" t="s">
        <v>2828</v>
      </c>
      <c r="AD115">
        <v>239</v>
      </c>
      <c r="AF115" t="s">
        <v>1783</v>
      </c>
      <c r="AG115">
        <v>16</v>
      </c>
      <c r="AH115">
        <v>1</v>
      </c>
      <c r="AI115">
        <v>1</v>
      </c>
      <c r="AJ115">
        <v>54.86</v>
      </c>
      <c r="AM115" t="s">
        <v>3248</v>
      </c>
      <c r="AN115">
        <v>9276</v>
      </c>
    </row>
    <row r="116" spans="1:45">
      <c r="A116" s="1">
        <f>HYPERLINK("https://lsnyc.legalserver.org/matter/dynamic-profile/view/1909241","19-1909241")</f>
        <v>0</v>
      </c>
      <c r="B116" t="s">
        <v>61</v>
      </c>
      <c r="C116" t="s">
        <v>157</v>
      </c>
      <c r="E116" t="s">
        <v>256</v>
      </c>
      <c r="F116" t="s">
        <v>784</v>
      </c>
      <c r="G116" t="s">
        <v>1153</v>
      </c>
      <c r="H116" t="s">
        <v>1562</v>
      </c>
      <c r="I116" t="s">
        <v>1749</v>
      </c>
      <c r="J116">
        <v>11212</v>
      </c>
      <c r="K116" t="s">
        <v>1779</v>
      </c>
      <c r="L116" t="s">
        <v>1781</v>
      </c>
      <c r="M116" t="s">
        <v>1782</v>
      </c>
      <c r="N116" t="s">
        <v>1799</v>
      </c>
      <c r="O116" t="s">
        <v>1793</v>
      </c>
      <c r="P116" t="s">
        <v>2055</v>
      </c>
      <c r="R116" t="s">
        <v>2062</v>
      </c>
      <c r="S116" t="s">
        <v>1780</v>
      </c>
      <c r="T116" t="s">
        <v>2065</v>
      </c>
      <c r="U116" t="s">
        <v>2073</v>
      </c>
      <c r="V116" t="s">
        <v>2079</v>
      </c>
      <c r="W116">
        <v>200</v>
      </c>
      <c r="X116" t="s">
        <v>2088</v>
      </c>
      <c r="Y116" t="s">
        <v>2100</v>
      </c>
      <c r="AA116" t="s">
        <v>2230</v>
      </c>
      <c r="AB116" t="s">
        <v>2666</v>
      </c>
      <c r="AC116" t="s">
        <v>2829</v>
      </c>
      <c r="AD116">
        <v>96</v>
      </c>
      <c r="AE116" t="s">
        <v>3223</v>
      </c>
      <c r="AF116" t="s">
        <v>1783</v>
      </c>
      <c r="AG116">
        <v>4</v>
      </c>
      <c r="AH116">
        <v>1</v>
      </c>
      <c r="AI116">
        <v>0</v>
      </c>
      <c r="AJ116">
        <v>56.2</v>
      </c>
      <c r="AM116" t="s">
        <v>3248</v>
      </c>
      <c r="AN116">
        <v>7020</v>
      </c>
    </row>
    <row r="117" spans="1:45">
      <c r="A117" s="1">
        <f>HYPERLINK("https://lsnyc.legalserver.org/matter/dynamic-profile/view/1906057","19-1906057")</f>
        <v>0</v>
      </c>
      <c r="B117" t="s">
        <v>50</v>
      </c>
      <c r="C117" t="s">
        <v>158</v>
      </c>
      <c r="E117" t="s">
        <v>351</v>
      </c>
      <c r="F117" t="s">
        <v>785</v>
      </c>
      <c r="G117" t="s">
        <v>1219</v>
      </c>
      <c r="H117" t="s">
        <v>1602</v>
      </c>
      <c r="I117" t="s">
        <v>1749</v>
      </c>
      <c r="J117">
        <v>11226</v>
      </c>
      <c r="K117" t="s">
        <v>1779</v>
      </c>
      <c r="L117" t="s">
        <v>1781</v>
      </c>
      <c r="O117" t="s">
        <v>2032</v>
      </c>
      <c r="P117" t="s">
        <v>2054</v>
      </c>
      <c r="R117" t="s">
        <v>2062</v>
      </c>
      <c r="S117" t="s">
        <v>1779</v>
      </c>
      <c r="T117" t="s">
        <v>2065</v>
      </c>
      <c r="V117" t="s">
        <v>205</v>
      </c>
      <c r="W117">
        <v>0</v>
      </c>
      <c r="X117" t="s">
        <v>2088</v>
      </c>
      <c r="AA117" t="s">
        <v>2231</v>
      </c>
      <c r="AC117" t="s">
        <v>2830</v>
      </c>
      <c r="AD117">
        <v>54</v>
      </c>
      <c r="AG117">
        <v>0</v>
      </c>
      <c r="AH117">
        <v>3</v>
      </c>
      <c r="AI117">
        <v>0</v>
      </c>
      <c r="AJ117">
        <v>56.26</v>
      </c>
      <c r="AM117" t="s">
        <v>3253</v>
      </c>
      <c r="AN117">
        <v>12000</v>
      </c>
    </row>
    <row r="118" spans="1:45">
      <c r="A118" s="1">
        <f>HYPERLINK("https://lsnyc.legalserver.org/matter/dynamic-profile/view/1906390","19-1906390")</f>
        <v>0</v>
      </c>
      <c r="B118" t="s">
        <v>94</v>
      </c>
      <c r="C118" t="s">
        <v>161</v>
      </c>
      <c r="D118" t="s">
        <v>143</v>
      </c>
      <c r="E118" t="s">
        <v>352</v>
      </c>
      <c r="F118" t="s">
        <v>737</v>
      </c>
      <c r="G118" t="s">
        <v>1220</v>
      </c>
      <c r="H118" t="s">
        <v>1603</v>
      </c>
      <c r="I118" t="s">
        <v>1754</v>
      </c>
      <c r="J118">
        <v>10009</v>
      </c>
      <c r="K118" t="s">
        <v>1779</v>
      </c>
      <c r="L118" t="s">
        <v>1781</v>
      </c>
      <c r="M118" t="s">
        <v>1782</v>
      </c>
      <c r="O118" t="s">
        <v>1793</v>
      </c>
      <c r="P118" t="s">
        <v>2050</v>
      </c>
      <c r="Q118" t="s">
        <v>2057</v>
      </c>
      <c r="R118" t="s">
        <v>2062</v>
      </c>
      <c r="S118" t="s">
        <v>1780</v>
      </c>
      <c r="T118" t="s">
        <v>2069</v>
      </c>
      <c r="V118" t="s">
        <v>161</v>
      </c>
      <c r="W118">
        <v>400</v>
      </c>
      <c r="X118" t="s">
        <v>2091</v>
      </c>
      <c r="Y118" t="s">
        <v>2106</v>
      </c>
      <c r="Z118" t="s">
        <v>2110</v>
      </c>
      <c r="AA118" t="s">
        <v>2232</v>
      </c>
      <c r="AC118" t="s">
        <v>2831</v>
      </c>
      <c r="AD118">
        <v>0</v>
      </c>
      <c r="AE118" t="s">
        <v>3226</v>
      </c>
      <c r="AF118" t="s">
        <v>1783</v>
      </c>
      <c r="AG118">
        <v>41</v>
      </c>
      <c r="AH118">
        <v>1</v>
      </c>
      <c r="AI118">
        <v>1</v>
      </c>
      <c r="AJ118">
        <v>56.27</v>
      </c>
      <c r="AM118" t="s">
        <v>3249</v>
      </c>
      <c r="AN118">
        <v>9516</v>
      </c>
    </row>
    <row r="119" spans="1:45">
      <c r="A119" s="1">
        <f>HYPERLINK("https://lsnyc.legalserver.org/matter/dynamic-profile/view/1905739","19-1905739")</f>
        <v>0</v>
      </c>
      <c r="B119" t="s">
        <v>95</v>
      </c>
      <c r="C119" t="s">
        <v>146</v>
      </c>
      <c r="E119" t="s">
        <v>353</v>
      </c>
      <c r="F119" t="s">
        <v>692</v>
      </c>
      <c r="G119" t="s">
        <v>1221</v>
      </c>
      <c r="H119">
        <v>305</v>
      </c>
      <c r="I119" t="s">
        <v>1753</v>
      </c>
      <c r="J119">
        <v>10304</v>
      </c>
      <c r="K119" t="s">
        <v>1779</v>
      </c>
      <c r="L119" t="s">
        <v>1781</v>
      </c>
      <c r="M119" t="s">
        <v>1784</v>
      </c>
      <c r="N119" t="s">
        <v>1845</v>
      </c>
      <c r="O119" t="s">
        <v>2029</v>
      </c>
      <c r="P119" t="s">
        <v>2051</v>
      </c>
      <c r="R119" t="s">
        <v>2062</v>
      </c>
      <c r="S119" t="s">
        <v>1780</v>
      </c>
      <c r="T119" t="s">
        <v>2065</v>
      </c>
      <c r="U119" t="s">
        <v>2073</v>
      </c>
      <c r="V119" t="s">
        <v>146</v>
      </c>
      <c r="W119">
        <v>1245</v>
      </c>
      <c r="X119" t="s">
        <v>2090</v>
      </c>
      <c r="Y119" t="s">
        <v>2101</v>
      </c>
      <c r="AA119" t="s">
        <v>2233</v>
      </c>
      <c r="AB119" t="s">
        <v>2696</v>
      </c>
      <c r="AC119" t="s">
        <v>2832</v>
      </c>
      <c r="AD119">
        <v>105</v>
      </c>
      <c r="AE119" t="s">
        <v>3223</v>
      </c>
      <c r="AF119" t="s">
        <v>3239</v>
      </c>
      <c r="AG119">
        <v>2</v>
      </c>
      <c r="AH119">
        <v>1</v>
      </c>
      <c r="AI119">
        <v>2</v>
      </c>
      <c r="AJ119">
        <v>56.43</v>
      </c>
      <c r="AM119" t="s">
        <v>3248</v>
      </c>
      <c r="AN119">
        <v>12036</v>
      </c>
    </row>
    <row r="120" spans="1:45">
      <c r="A120" s="1">
        <f>HYPERLINK("https://lsnyc.legalserver.org/matter/dynamic-profile/view/1905743","19-1905743")</f>
        <v>0</v>
      </c>
      <c r="B120" t="s">
        <v>58</v>
      </c>
      <c r="C120" t="s">
        <v>145</v>
      </c>
      <c r="E120" t="s">
        <v>354</v>
      </c>
      <c r="F120" t="s">
        <v>786</v>
      </c>
      <c r="G120" t="s">
        <v>1208</v>
      </c>
      <c r="H120" t="s">
        <v>1604</v>
      </c>
      <c r="I120" t="s">
        <v>1749</v>
      </c>
      <c r="J120">
        <v>11226</v>
      </c>
      <c r="K120" t="s">
        <v>1779</v>
      </c>
      <c r="L120" t="s">
        <v>1781</v>
      </c>
      <c r="O120" t="s">
        <v>2032</v>
      </c>
      <c r="P120" t="s">
        <v>2053</v>
      </c>
      <c r="R120" t="s">
        <v>2062</v>
      </c>
      <c r="S120" t="s">
        <v>1779</v>
      </c>
      <c r="T120" t="s">
        <v>2065</v>
      </c>
      <c r="V120" t="s">
        <v>145</v>
      </c>
      <c r="W120">
        <v>0</v>
      </c>
      <c r="X120" t="s">
        <v>2088</v>
      </c>
      <c r="AA120" t="s">
        <v>2234</v>
      </c>
      <c r="AC120" t="s">
        <v>2833</v>
      </c>
      <c r="AD120">
        <v>36</v>
      </c>
      <c r="AE120" t="s">
        <v>3223</v>
      </c>
      <c r="AG120">
        <v>0</v>
      </c>
      <c r="AH120">
        <v>2</v>
      </c>
      <c r="AI120">
        <v>0</v>
      </c>
      <c r="AJ120">
        <v>56.77</v>
      </c>
      <c r="AM120" t="s">
        <v>3253</v>
      </c>
      <c r="AN120">
        <v>9600</v>
      </c>
    </row>
    <row r="121" spans="1:45">
      <c r="A121" s="1">
        <f>HYPERLINK("https://lsnyc.legalserver.org/matter/dynamic-profile/view/1910104","19-1910104")</f>
        <v>0</v>
      </c>
      <c r="B121" t="s">
        <v>58</v>
      </c>
      <c r="C121" t="s">
        <v>177</v>
      </c>
      <c r="E121" t="s">
        <v>355</v>
      </c>
      <c r="F121" t="s">
        <v>741</v>
      </c>
      <c r="G121" t="s">
        <v>1222</v>
      </c>
      <c r="H121">
        <v>10</v>
      </c>
      <c r="I121" t="s">
        <v>1749</v>
      </c>
      <c r="J121">
        <v>11225</v>
      </c>
      <c r="K121" t="s">
        <v>1779</v>
      </c>
      <c r="L121" t="s">
        <v>1781</v>
      </c>
      <c r="N121" t="s">
        <v>1783</v>
      </c>
      <c r="O121" t="s">
        <v>2039</v>
      </c>
      <c r="P121" t="s">
        <v>2054</v>
      </c>
      <c r="R121" t="s">
        <v>2062</v>
      </c>
      <c r="S121" t="s">
        <v>1780</v>
      </c>
      <c r="T121" t="s">
        <v>2065</v>
      </c>
      <c r="U121" t="s">
        <v>2073</v>
      </c>
      <c r="V121" t="s">
        <v>177</v>
      </c>
      <c r="W121">
        <v>1519.6</v>
      </c>
      <c r="X121" t="s">
        <v>2088</v>
      </c>
      <c r="AA121" t="s">
        <v>2235</v>
      </c>
      <c r="AD121">
        <v>12</v>
      </c>
      <c r="AE121" t="s">
        <v>3223</v>
      </c>
      <c r="AG121">
        <v>17</v>
      </c>
      <c r="AH121">
        <v>2</v>
      </c>
      <c r="AI121">
        <v>0</v>
      </c>
      <c r="AJ121">
        <v>57.69</v>
      </c>
      <c r="AM121" t="s">
        <v>3249</v>
      </c>
      <c r="AN121">
        <v>9756</v>
      </c>
    </row>
    <row r="122" spans="1:45">
      <c r="A122" s="1">
        <f>HYPERLINK("https://lsnyc.legalserver.org/matter/dynamic-profile/view/1909484","19-1909484")</f>
        <v>0</v>
      </c>
      <c r="B122" t="s">
        <v>57</v>
      </c>
      <c r="C122" t="s">
        <v>138</v>
      </c>
      <c r="D122" t="s">
        <v>138</v>
      </c>
      <c r="E122" t="s">
        <v>356</v>
      </c>
      <c r="F122" t="s">
        <v>787</v>
      </c>
      <c r="G122" t="s">
        <v>1223</v>
      </c>
      <c r="H122" t="s">
        <v>1605</v>
      </c>
      <c r="I122" t="s">
        <v>1749</v>
      </c>
      <c r="J122">
        <v>11208</v>
      </c>
      <c r="K122" t="s">
        <v>1779</v>
      </c>
      <c r="L122" t="s">
        <v>1781</v>
      </c>
      <c r="M122" t="s">
        <v>1782</v>
      </c>
      <c r="N122" t="s">
        <v>1846</v>
      </c>
      <c r="O122" t="s">
        <v>2029</v>
      </c>
      <c r="P122" t="s">
        <v>2050</v>
      </c>
      <c r="Q122" t="s">
        <v>2057</v>
      </c>
      <c r="R122" t="s">
        <v>2062</v>
      </c>
      <c r="S122" t="s">
        <v>1780</v>
      </c>
      <c r="T122" t="s">
        <v>2065</v>
      </c>
      <c r="V122" t="s">
        <v>141</v>
      </c>
      <c r="W122">
        <v>1064</v>
      </c>
      <c r="X122" t="s">
        <v>2088</v>
      </c>
      <c r="Y122" t="s">
        <v>2096</v>
      </c>
      <c r="Z122" t="s">
        <v>2110</v>
      </c>
      <c r="AA122" t="s">
        <v>2236</v>
      </c>
      <c r="AC122" t="s">
        <v>2834</v>
      </c>
      <c r="AD122">
        <v>2</v>
      </c>
      <c r="AF122" t="s">
        <v>1783</v>
      </c>
      <c r="AG122">
        <v>15</v>
      </c>
      <c r="AH122">
        <v>4</v>
      </c>
      <c r="AI122">
        <v>0</v>
      </c>
      <c r="AJ122">
        <v>58.39</v>
      </c>
      <c r="AM122" t="s">
        <v>3249</v>
      </c>
      <c r="AN122">
        <v>15036</v>
      </c>
    </row>
    <row r="123" spans="1:45">
      <c r="A123" s="1">
        <f>HYPERLINK("https://lsnyc.legalserver.org/matter/dynamic-profile/view/1909677","19-1909677")</f>
        <v>0</v>
      </c>
      <c r="B123" t="s">
        <v>85</v>
      </c>
      <c r="C123" t="s">
        <v>166</v>
      </c>
      <c r="E123" t="s">
        <v>357</v>
      </c>
      <c r="F123" t="s">
        <v>788</v>
      </c>
      <c r="G123" t="s">
        <v>1224</v>
      </c>
      <c r="H123" t="s">
        <v>1606</v>
      </c>
      <c r="I123" t="s">
        <v>1753</v>
      </c>
      <c r="J123">
        <v>10301</v>
      </c>
      <c r="K123" t="s">
        <v>1779</v>
      </c>
      <c r="L123" t="s">
        <v>1781</v>
      </c>
      <c r="M123" t="s">
        <v>1782</v>
      </c>
      <c r="N123" t="s">
        <v>1847</v>
      </c>
      <c r="O123" t="s">
        <v>2029</v>
      </c>
      <c r="P123" t="s">
        <v>2051</v>
      </c>
      <c r="R123" t="s">
        <v>2062</v>
      </c>
      <c r="S123" t="s">
        <v>1780</v>
      </c>
      <c r="T123" t="s">
        <v>2065</v>
      </c>
      <c r="U123" t="s">
        <v>2076</v>
      </c>
      <c r="V123" t="s">
        <v>166</v>
      </c>
      <c r="W123">
        <v>1534</v>
      </c>
      <c r="X123" t="s">
        <v>2090</v>
      </c>
      <c r="Y123" t="s">
        <v>2101</v>
      </c>
      <c r="AA123" t="s">
        <v>2237</v>
      </c>
      <c r="AB123">
        <v>6882415</v>
      </c>
      <c r="AC123" t="s">
        <v>2835</v>
      </c>
      <c r="AD123">
        <v>5</v>
      </c>
      <c r="AE123" t="s">
        <v>3222</v>
      </c>
      <c r="AF123" t="s">
        <v>3239</v>
      </c>
      <c r="AG123">
        <v>4</v>
      </c>
      <c r="AH123">
        <v>1</v>
      </c>
      <c r="AI123">
        <v>2</v>
      </c>
      <c r="AJ123">
        <v>58.96</v>
      </c>
      <c r="AM123" t="s">
        <v>3248</v>
      </c>
      <c r="AN123">
        <v>12576</v>
      </c>
      <c r="AP123" t="s">
        <v>3282</v>
      </c>
      <c r="AQ123" t="s">
        <v>3288</v>
      </c>
      <c r="AR123" t="s">
        <v>3294</v>
      </c>
      <c r="AS123" t="s">
        <v>3303</v>
      </c>
    </row>
    <row r="124" spans="1:45">
      <c r="A124" s="1">
        <f>HYPERLINK("https://lsnyc.legalserver.org/matter/dynamic-profile/view/1903853","19-1903853")</f>
        <v>0</v>
      </c>
      <c r="B124" t="s">
        <v>78</v>
      </c>
      <c r="C124" t="s">
        <v>168</v>
      </c>
      <c r="D124" t="s">
        <v>158</v>
      </c>
      <c r="E124" t="s">
        <v>358</v>
      </c>
      <c r="F124" t="s">
        <v>789</v>
      </c>
      <c r="G124" t="s">
        <v>1225</v>
      </c>
      <c r="H124">
        <v>1</v>
      </c>
      <c r="I124" t="s">
        <v>1749</v>
      </c>
      <c r="J124">
        <v>11233</v>
      </c>
      <c r="K124" t="s">
        <v>1779</v>
      </c>
      <c r="L124" t="s">
        <v>1781</v>
      </c>
      <c r="M124" t="s">
        <v>1782</v>
      </c>
      <c r="N124" t="s">
        <v>1848</v>
      </c>
      <c r="O124" t="s">
        <v>2029</v>
      </c>
      <c r="P124" t="s">
        <v>2055</v>
      </c>
      <c r="Q124" t="s">
        <v>2059</v>
      </c>
      <c r="R124" t="s">
        <v>2062</v>
      </c>
      <c r="S124" t="s">
        <v>1780</v>
      </c>
      <c r="T124" t="s">
        <v>2066</v>
      </c>
      <c r="U124" t="s">
        <v>2076</v>
      </c>
      <c r="V124" t="s">
        <v>223</v>
      </c>
      <c r="W124">
        <v>650</v>
      </c>
      <c r="X124" t="s">
        <v>2088</v>
      </c>
      <c r="Y124" t="s">
        <v>2101</v>
      </c>
      <c r="Z124" t="s">
        <v>2116</v>
      </c>
      <c r="AA124" t="s">
        <v>2238</v>
      </c>
      <c r="AC124" t="s">
        <v>2836</v>
      </c>
      <c r="AD124">
        <v>3</v>
      </c>
      <c r="AE124" t="s">
        <v>3222</v>
      </c>
      <c r="AF124" t="s">
        <v>1783</v>
      </c>
      <c r="AG124">
        <v>4</v>
      </c>
      <c r="AH124">
        <v>2</v>
      </c>
      <c r="AI124">
        <v>0</v>
      </c>
      <c r="AJ124">
        <v>59.04</v>
      </c>
      <c r="AM124" t="s">
        <v>3248</v>
      </c>
      <c r="AN124">
        <v>9984</v>
      </c>
      <c r="AQ124" t="s">
        <v>2094</v>
      </c>
      <c r="AR124" t="s">
        <v>3295</v>
      </c>
      <c r="AS124" t="s">
        <v>3304</v>
      </c>
    </row>
    <row r="125" spans="1:45">
      <c r="A125" s="1">
        <f>HYPERLINK("https://lsnyc.legalserver.org/matter/dynamic-profile/view/1907798","19-1907798")</f>
        <v>0</v>
      </c>
      <c r="B125" t="s">
        <v>96</v>
      </c>
      <c r="C125" t="s">
        <v>154</v>
      </c>
      <c r="E125" t="s">
        <v>359</v>
      </c>
      <c r="F125" t="s">
        <v>790</v>
      </c>
      <c r="G125" t="s">
        <v>1226</v>
      </c>
      <c r="H125" t="s">
        <v>1607</v>
      </c>
      <c r="I125" t="s">
        <v>1749</v>
      </c>
      <c r="J125">
        <v>11217</v>
      </c>
      <c r="K125" t="s">
        <v>1779</v>
      </c>
      <c r="L125" t="s">
        <v>1781</v>
      </c>
      <c r="M125" t="s">
        <v>1782</v>
      </c>
      <c r="O125" t="s">
        <v>2041</v>
      </c>
      <c r="P125" t="s">
        <v>2051</v>
      </c>
      <c r="R125" t="s">
        <v>2062</v>
      </c>
      <c r="T125" t="s">
        <v>2065</v>
      </c>
      <c r="V125" t="s">
        <v>192</v>
      </c>
      <c r="W125">
        <v>1900</v>
      </c>
      <c r="X125" t="s">
        <v>2088</v>
      </c>
      <c r="Y125" t="s">
        <v>2094</v>
      </c>
      <c r="AA125" t="s">
        <v>2239</v>
      </c>
      <c r="AC125" t="s">
        <v>2837</v>
      </c>
      <c r="AD125">
        <v>8</v>
      </c>
      <c r="AG125">
        <v>18</v>
      </c>
      <c r="AH125">
        <v>1</v>
      </c>
      <c r="AI125">
        <v>2</v>
      </c>
      <c r="AJ125">
        <v>59.24</v>
      </c>
      <c r="AM125" t="s">
        <v>3249</v>
      </c>
      <c r="AN125">
        <v>12636</v>
      </c>
    </row>
    <row r="126" spans="1:45">
      <c r="A126" s="1">
        <f>HYPERLINK("https://lsnyc.legalserver.org/matter/dynamic-profile/view/1901339","19-1901339")</f>
        <v>0</v>
      </c>
      <c r="B126" t="s">
        <v>46</v>
      </c>
      <c r="C126" t="s">
        <v>194</v>
      </c>
      <c r="E126" t="s">
        <v>360</v>
      </c>
      <c r="F126" t="s">
        <v>791</v>
      </c>
      <c r="G126" t="s">
        <v>1227</v>
      </c>
      <c r="I126" t="s">
        <v>1758</v>
      </c>
      <c r="J126">
        <v>11423</v>
      </c>
      <c r="K126" t="s">
        <v>1779</v>
      </c>
      <c r="L126" t="s">
        <v>1781</v>
      </c>
      <c r="M126" t="s">
        <v>1784</v>
      </c>
      <c r="N126" t="s">
        <v>1849</v>
      </c>
      <c r="O126" t="s">
        <v>2031</v>
      </c>
      <c r="P126" t="s">
        <v>2050</v>
      </c>
      <c r="R126" t="s">
        <v>2062</v>
      </c>
      <c r="S126" t="s">
        <v>1780</v>
      </c>
      <c r="T126" t="s">
        <v>2065</v>
      </c>
      <c r="U126" t="s">
        <v>2073</v>
      </c>
      <c r="V126" t="s">
        <v>172</v>
      </c>
      <c r="W126">
        <v>700</v>
      </c>
      <c r="X126" t="s">
        <v>2087</v>
      </c>
      <c r="Y126" t="s">
        <v>2092</v>
      </c>
      <c r="AA126" t="s">
        <v>2240</v>
      </c>
      <c r="AB126" t="s">
        <v>2697</v>
      </c>
      <c r="AC126" t="s">
        <v>2838</v>
      </c>
      <c r="AD126">
        <v>2</v>
      </c>
      <c r="AE126" t="s">
        <v>3222</v>
      </c>
      <c r="AF126" t="s">
        <v>1783</v>
      </c>
      <c r="AG126">
        <v>53</v>
      </c>
      <c r="AH126">
        <v>2</v>
      </c>
      <c r="AI126">
        <v>0</v>
      </c>
      <c r="AJ126">
        <v>59.61</v>
      </c>
      <c r="AM126" t="s">
        <v>3248</v>
      </c>
      <c r="AN126">
        <v>10080</v>
      </c>
      <c r="AR126" t="s">
        <v>3294</v>
      </c>
      <c r="AS126" t="s">
        <v>3305</v>
      </c>
    </row>
    <row r="127" spans="1:45">
      <c r="A127" s="1">
        <f>HYPERLINK("https://lsnyc.legalserver.org/matter/dynamic-profile/view/1906049","19-1906049")</f>
        <v>0</v>
      </c>
      <c r="B127" t="s">
        <v>82</v>
      </c>
      <c r="C127" t="s">
        <v>146</v>
      </c>
      <c r="E127" t="s">
        <v>361</v>
      </c>
      <c r="F127" t="s">
        <v>792</v>
      </c>
      <c r="G127" t="s">
        <v>1228</v>
      </c>
      <c r="H127" t="s">
        <v>1608</v>
      </c>
      <c r="I127" t="s">
        <v>1754</v>
      </c>
      <c r="J127">
        <v>10033</v>
      </c>
      <c r="K127" t="s">
        <v>1779</v>
      </c>
      <c r="L127" t="s">
        <v>1781</v>
      </c>
      <c r="M127" t="s">
        <v>1782</v>
      </c>
      <c r="P127" t="s">
        <v>2050</v>
      </c>
      <c r="R127" t="s">
        <v>2062</v>
      </c>
      <c r="S127" t="s">
        <v>1780</v>
      </c>
      <c r="T127" t="s">
        <v>2065</v>
      </c>
      <c r="V127" t="s">
        <v>146</v>
      </c>
      <c r="W127">
        <v>2668</v>
      </c>
      <c r="X127" t="s">
        <v>2091</v>
      </c>
      <c r="Y127" t="s">
        <v>2101</v>
      </c>
      <c r="AA127" t="s">
        <v>2241</v>
      </c>
      <c r="AC127" t="s">
        <v>2839</v>
      </c>
      <c r="AD127">
        <v>480</v>
      </c>
      <c r="AE127" t="s">
        <v>3223</v>
      </c>
      <c r="AF127" t="s">
        <v>1783</v>
      </c>
      <c r="AG127">
        <v>5</v>
      </c>
      <c r="AH127">
        <v>1</v>
      </c>
      <c r="AI127">
        <v>0</v>
      </c>
      <c r="AJ127">
        <v>60.53</v>
      </c>
      <c r="AM127" t="s">
        <v>3249</v>
      </c>
      <c r="AN127">
        <v>7560</v>
      </c>
    </row>
    <row r="128" spans="1:45">
      <c r="A128" s="1">
        <f>HYPERLINK("https://lsnyc.legalserver.org/matter/dynamic-profile/view/1904678","19-1904678")</f>
        <v>0</v>
      </c>
      <c r="B128" t="s">
        <v>97</v>
      </c>
      <c r="C128" t="s">
        <v>162</v>
      </c>
      <c r="E128" t="s">
        <v>362</v>
      </c>
      <c r="F128" t="s">
        <v>793</v>
      </c>
      <c r="G128" t="s">
        <v>1229</v>
      </c>
      <c r="H128" t="s">
        <v>1609</v>
      </c>
      <c r="I128" t="s">
        <v>1752</v>
      </c>
      <c r="J128">
        <v>10463</v>
      </c>
      <c r="K128" t="s">
        <v>1779</v>
      </c>
      <c r="L128" t="s">
        <v>1781</v>
      </c>
      <c r="M128" t="s">
        <v>1784</v>
      </c>
      <c r="N128" t="s">
        <v>1850</v>
      </c>
      <c r="O128" t="s">
        <v>2030</v>
      </c>
      <c r="P128" t="s">
        <v>2052</v>
      </c>
      <c r="R128" t="s">
        <v>2062</v>
      </c>
      <c r="S128" t="s">
        <v>1780</v>
      </c>
      <c r="T128" t="s">
        <v>2065</v>
      </c>
      <c r="V128" t="s">
        <v>162</v>
      </c>
      <c r="W128">
        <v>1133</v>
      </c>
      <c r="X128" t="s">
        <v>2091</v>
      </c>
      <c r="Y128" t="s">
        <v>2094</v>
      </c>
      <c r="AA128" t="s">
        <v>2242</v>
      </c>
      <c r="AB128" t="s">
        <v>2698</v>
      </c>
      <c r="AC128" t="s">
        <v>2840</v>
      </c>
      <c r="AD128">
        <v>84</v>
      </c>
      <c r="AE128" t="s">
        <v>3223</v>
      </c>
      <c r="AF128" t="s">
        <v>1783</v>
      </c>
      <c r="AG128">
        <v>5</v>
      </c>
      <c r="AH128">
        <v>1</v>
      </c>
      <c r="AI128">
        <v>1</v>
      </c>
      <c r="AJ128">
        <v>60.86</v>
      </c>
      <c r="AM128" t="s">
        <v>3249</v>
      </c>
      <c r="AN128">
        <v>10292.04</v>
      </c>
    </row>
    <row r="129" spans="1:41">
      <c r="A129" s="1">
        <f>HYPERLINK("https://lsnyc.legalserver.org/matter/dynamic-profile/view/1906741","19-1906741")</f>
        <v>0</v>
      </c>
      <c r="B129" t="s">
        <v>90</v>
      </c>
      <c r="C129" t="s">
        <v>158</v>
      </c>
      <c r="E129" t="s">
        <v>363</v>
      </c>
      <c r="F129" t="s">
        <v>787</v>
      </c>
      <c r="G129" t="s">
        <v>1230</v>
      </c>
      <c r="H129" t="s">
        <v>1610</v>
      </c>
      <c r="I129" t="s">
        <v>1752</v>
      </c>
      <c r="J129">
        <v>10455</v>
      </c>
      <c r="K129" t="s">
        <v>1779</v>
      </c>
      <c r="L129" t="s">
        <v>1781</v>
      </c>
      <c r="M129" t="s">
        <v>1782</v>
      </c>
      <c r="N129" t="s">
        <v>1851</v>
      </c>
      <c r="O129" t="s">
        <v>2030</v>
      </c>
      <c r="P129" t="s">
        <v>2051</v>
      </c>
      <c r="R129" t="s">
        <v>2062</v>
      </c>
      <c r="S129" t="s">
        <v>1780</v>
      </c>
      <c r="T129" t="s">
        <v>2065</v>
      </c>
      <c r="U129" t="s">
        <v>2075</v>
      </c>
      <c r="V129" t="s">
        <v>160</v>
      </c>
      <c r="W129">
        <v>347</v>
      </c>
      <c r="X129" t="s">
        <v>2089</v>
      </c>
      <c r="Y129" t="s">
        <v>2106</v>
      </c>
      <c r="AA129" t="s">
        <v>2243</v>
      </c>
      <c r="AC129" t="s">
        <v>2841</v>
      </c>
      <c r="AD129">
        <v>45</v>
      </c>
      <c r="AE129" t="s">
        <v>3226</v>
      </c>
      <c r="AF129" t="s">
        <v>1783</v>
      </c>
      <c r="AG129">
        <v>16</v>
      </c>
      <c r="AH129">
        <v>2</v>
      </c>
      <c r="AI129">
        <v>0</v>
      </c>
      <c r="AJ129">
        <v>61.5</v>
      </c>
      <c r="AM129" t="s">
        <v>3248</v>
      </c>
      <c r="AN129">
        <v>10400</v>
      </c>
    </row>
    <row r="130" spans="1:41">
      <c r="A130" s="1">
        <f>HYPERLINK("https://lsnyc.legalserver.org/matter/dynamic-profile/view/1908444","19-1908444")</f>
        <v>0</v>
      </c>
      <c r="B130" t="s">
        <v>61</v>
      </c>
      <c r="C130" t="s">
        <v>195</v>
      </c>
      <c r="E130" t="s">
        <v>271</v>
      </c>
      <c r="F130" t="s">
        <v>794</v>
      </c>
      <c r="G130" t="s">
        <v>1231</v>
      </c>
      <c r="H130">
        <v>201</v>
      </c>
      <c r="I130" t="s">
        <v>1754</v>
      </c>
      <c r="J130">
        <v>10025</v>
      </c>
      <c r="K130" t="s">
        <v>1779</v>
      </c>
      <c r="L130" t="s">
        <v>1781</v>
      </c>
      <c r="M130" t="s">
        <v>1784</v>
      </c>
      <c r="N130" t="s">
        <v>1799</v>
      </c>
      <c r="O130" t="s">
        <v>2033</v>
      </c>
      <c r="P130" t="s">
        <v>2054</v>
      </c>
      <c r="R130" t="s">
        <v>2062</v>
      </c>
      <c r="S130" t="s">
        <v>1780</v>
      </c>
      <c r="T130" t="s">
        <v>2065</v>
      </c>
      <c r="U130" t="s">
        <v>2073</v>
      </c>
      <c r="V130" t="s">
        <v>195</v>
      </c>
      <c r="W130">
        <v>900</v>
      </c>
      <c r="X130" t="s">
        <v>2088</v>
      </c>
      <c r="Y130" t="s">
        <v>2101</v>
      </c>
      <c r="AA130" t="s">
        <v>2244</v>
      </c>
      <c r="AB130">
        <v>10154731</v>
      </c>
      <c r="AC130" t="s">
        <v>2842</v>
      </c>
      <c r="AD130">
        <v>10</v>
      </c>
      <c r="AE130" t="s">
        <v>3223</v>
      </c>
      <c r="AF130" t="s">
        <v>3240</v>
      </c>
      <c r="AG130">
        <v>0</v>
      </c>
      <c r="AH130">
        <v>2</v>
      </c>
      <c r="AI130">
        <v>0</v>
      </c>
      <c r="AJ130">
        <v>61.5</v>
      </c>
      <c r="AM130" t="s">
        <v>3248</v>
      </c>
      <c r="AN130">
        <v>10400</v>
      </c>
      <c r="AO130" t="s">
        <v>3269</v>
      </c>
    </row>
    <row r="131" spans="1:41">
      <c r="A131" s="1">
        <f>HYPERLINK("https://lsnyc.legalserver.org/matter/dynamic-profile/view/1908938","19-1908938")</f>
        <v>0</v>
      </c>
      <c r="B131" t="s">
        <v>60</v>
      </c>
      <c r="C131" t="s">
        <v>196</v>
      </c>
      <c r="E131" t="s">
        <v>321</v>
      </c>
      <c r="F131" t="s">
        <v>795</v>
      </c>
      <c r="G131" t="s">
        <v>1132</v>
      </c>
      <c r="H131" t="s">
        <v>1600</v>
      </c>
      <c r="I131" t="s">
        <v>1749</v>
      </c>
      <c r="J131">
        <v>11225</v>
      </c>
      <c r="K131" t="s">
        <v>1779</v>
      </c>
      <c r="L131" t="s">
        <v>1781</v>
      </c>
      <c r="O131" t="s">
        <v>2033</v>
      </c>
      <c r="P131" t="s">
        <v>2053</v>
      </c>
      <c r="R131" t="s">
        <v>2062</v>
      </c>
      <c r="S131" t="s">
        <v>1780</v>
      </c>
      <c r="T131" t="s">
        <v>2065</v>
      </c>
      <c r="V131" t="s">
        <v>196</v>
      </c>
      <c r="W131">
        <v>600</v>
      </c>
      <c r="X131" t="s">
        <v>2088</v>
      </c>
      <c r="AA131" t="s">
        <v>2245</v>
      </c>
      <c r="AC131" t="s">
        <v>2843</v>
      </c>
      <c r="AD131">
        <v>46</v>
      </c>
      <c r="AG131">
        <v>20</v>
      </c>
      <c r="AH131">
        <v>2</v>
      </c>
      <c r="AI131">
        <v>0</v>
      </c>
      <c r="AJ131">
        <v>61.81</v>
      </c>
      <c r="AM131" t="s">
        <v>3248</v>
      </c>
      <c r="AN131">
        <v>10452</v>
      </c>
    </row>
    <row r="132" spans="1:41">
      <c r="A132" s="1">
        <f>HYPERLINK("https://lsnyc.legalserver.org/matter/dynamic-profile/view/1908665","19-1908665")</f>
        <v>0</v>
      </c>
      <c r="B132" t="s">
        <v>48</v>
      </c>
      <c r="C132" t="s">
        <v>174</v>
      </c>
      <c r="D132" t="s">
        <v>202</v>
      </c>
      <c r="E132" t="s">
        <v>364</v>
      </c>
      <c r="F132" t="s">
        <v>755</v>
      </c>
      <c r="G132" t="s">
        <v>1232</v>
      </c>
      <c r="H132">
        <v>2</v>
      </c>
      <c r="I132" t="s">
        <v>1765</v>
      </c>
      <c r="J132">
        <v>11693</v>
      </c>
      <c r="K132" t="s">
        <v>1779</v>
      </c>
      <c r="L132" t="s">
        <v>1781</v>
      </c>
      <c r="M132" t="s">
        <v>1782</v>
      </c>
      <c r="N132" t="s">
        <v>1852</v>
      </c>
      <c r="O132" t="s">
        <v>2029</v>
      </c>
      <c r="P132" t="s">
        <v>2050</v>
      </c>
      <c r="Q132" t="s">
        <v>2057</v>
      </c>
      <c r="R132" t="s">
        <v>2063</v>
      </c>
      <c r="S132" t="s">
        <v>1780</v>
      </c>
      <c r="T132" t="s">
        <v>2065</v>
      </c>
      <c r="U132" t="s">
        <v>2072</v>
      </c>
      <c r="V132" t="s">
        <v>202</v>
      </c>
      <c r="W132">
        <v>240</v>
      </c>
      <c r="X132" t="s">
        <v>2087</v>
      </c>
      <c r="Y132" t="s">
        <v>2093</v>
      </c>
      <c r="Z132" t="s">
        <v>2110</v>
      </c>
      <c r="AA132" t="s">
        <v>2246</v>
      </c>
      <c r="AB132" t="s">
        <v>2699</v>
      </c>
      <c r="AD132">
        <v>2</v>
      </c>
      <c r="AE132" t="s">
        <v>3222</v>
      </c>
      <c r="AF132" t="s">
        <v>3236</v>
      </c>
      <c r="AG132">
        <v>6</v>
      </c>
      <c r="AH132">
        <v>1</v>
      </c>
      <c r="AI132">
        <v>4</v>
      </c>
      <c r="AJ132">
        <v>62.63</v>
      </c>
      <c r="AK132" t="s">
        <v>3244</v>
      </c>
      <c r="AL132" t="s">
        <v>3245</v>
      </c>
      <c r="AM132" t="s">
        <v>3248</v>
      </c>
      <c r="AN132">
        <v>18896.54</v>
      </c>
    </row>
    <row r="133" spans="1:41">
      <c r="A133" s="1">
        <f>HYPERLINK("https://lsnyc.legalserver.org/matter/dynamic-profile/view/1904701","19-1904701")</f>
        <v>0</v>
      </c>
      <c r="B133" t="s">
        <v>67</v>
      </c>
      <c r="C133" t="s">
        <v>162</v>
      </c>
      <c r="E133" t="s">
        <v>365</v>
      </c>
      <c r="F133" t="s">
        <v>737</v>
      </c>
      <c r="G133" t="s">
        <v>1149</v>
      </c>
      <c r="H133">
        <v>34</v>
      </c>
      <c r="I133" t="s">
        <v>1754</v>
      </c>
      <c r="J133">
        <v>10034</v>
      </c>
      <c r="K133" t="s">
        <v>1779</v>
      </c>
      <c r="L133" t="s">
        <v>1781</v>
      </c>
      <c r="M133" t="s">
        <v>1782</v>
      </c>
      <c r="P133" t="s">
        <v>2052</v>
      </c>
      <c r="R133" t="s">
        <v>2062</v>
      </c>
      <c r="S133" t="s">
        <v>1779</v>
      </c>
      <c r="T133" t="s">
        <v>2065</v>
      </c>
      <c r="V133" t="s">
        <v>162</v>
      </c>
      <c r="W133">
        <v>812.02</v>
      </c>
      <c r="X133" t="s">
        <v>2091</v>
      </c>
      <c r="Y133" t="s">
        <v>2099</v>
      </c>
      <c r="AA133" t="s">
        <v>2247</v>
      </c>
      <c r="AC133" t="s">
        <v>2844</v>
      </c>
      <c r="AD133">
        <v>25</v>
      </c>
      <c r="AE133" t="s">
        <v>3223</v>
      </c>
      <c r="AF133" t="s">
        <v>3238</v>
      </c>
      <c r="AG133">
        <v>38</v>
      </c>
      <c r="AH133">
        <v>1</v>
      </c>
      <c r="AI133">
        <v>0</v>
      </c>
      <c r="AJ133">
        <v>64.05</v>
      </c>
      <c r="AM133" t="s">
        <v>3248</v>
      </c>
      <c r="AN133">
        <v>8000</v>
      </c>
    </row>
    <row r="134" spans="1:41">
      <c r="A134" s="1">
        <f>HYPERLINK("https://lsnyc.legalserver.org/matter/dynamic-profile/view/1909040","19-1909040")</f>
        <v>0</v>
      </c>
      <c r="B134" t="s">
        <v>83</v>
      </c>
      <c r="C134" t="s">
        <v>178</v>
      </c>
      <c r="E134" t="s">
        <v>292</v>
      </c>
      <c r="F134" t="s">
        <v>796</v>
      </c>
      <c r="G134" t="s">
        <v>1217</v>
      </c>
      <c r="H134">
        <v>24</v>
      </c>
      <c r="I134" t="s">
        <v>1754</v>
      </c>
      <c r="J134">
        <v>10033</v>
      </c>
      <c r="K134" t="s">
        <v>1779</v>
      </c>
      <c r="L134" t="s">
        <v>1781</v>
      </c>
      <c r="M134" t="s">
        <v>1782</v>
      </c>
      <c r="O134" t="s">
        <v>2031</v>
      </c>
      <c r="P134" t="s">
        <v>2051</v>
      </c>
      <c r="R134" t="s">
        <v>2062</v>
      </c>
      <c r="S134" t="s">
        <v>1779</v>
      </c>
      <c r="T134" t="s">
        <v>2065</v>
      </c>
      <c r="V134" t="s">
        <v>178</v>
      </c>
      <c r="W134">
        <v>838.08</v>
      </c>
      <c r="X134" t="s">
        <v>2091</v>
      </c>
      <c r="Y134" t="s">
        <v>2099</v>
      </c>
      <c r="AA134" t="s">
        <v>2248</v>
      </c>
      <c r="AC134" t="s">
        <v>2845</v>
      </c>
      <c r="AD134">
        <v>20</v>
      </c>
      <c r="AE134" t="s">
        <v>3223</v>
      </c>
      <c r="AF134" t="s">
        <v>3238</v>
      </c>
      <c r="AG134">
        <v>28</v>
      </c>
      <c r="AH134">
        <v>1</v>
      </c>
      <c r="AI134">
        <v>0</v>
      </c>
      <c r="AJ134">
        <v>64.05</v>
      </c>
      <c r="AM134" t="s">
        <v>3249</v>
      </c>
      <c r="AN134">
        <v>8000</v>
      </c>
    </row>
    <row r="135" spans="1:41">
      <c r="A135" s="1">
        <f>HYPERLINK("https://lsnyc.legalserver.org/matter/dynamic-profile/view/1901836","19-1901836")</f>
        <v>0</v>
      </c>
      <c r="B135" t="s">
        <v>56</v>
      </c>
      <c r="C135" t="s">
        <v>197</v>
      </c>
      <c r="E135" t="s">
        <v>366</v>
      </c>
      <c r="F135" t="s">
        <v>797</v>
      </c>
      <c r="G135" t="s">
        <v>1233</v>
      </c>
      <c r="H135" t="s">
        <v>1611</v>
      </c>
      <c r="I135" t="s">
        <v>1749</v>
      </c>
      <c r="J135">
        <v>11233</v>
      </c>
      <c r="K135" t="s">
        <v>1779</v>
      </c>
      <c r="L135" t="s">
        <v>1781</v>
      </c>
      <c r="M135" t="s">
        <v>1784</v>
      </c>
      <c r="N135" t="s">
        <v>1853</v>
      </c>
      <c r="O135" t="s">
        <v>2030</v>
      </c>
      <c r="P135" t="s">
        <v>2051</v>
      </c>
      <c r="R135" t="s">
        <v>2062</v>
      </c>
      <c r="S135" t="s">
        <v>1780</v>
      </c>
      <c r="T135" t="s">
        <v>2065</v>
      </c>
      <c r="U135" t="s">
        <v>2076</v>
      </c>
      <c r="V135" t="s">
        <v>161</v>
      </c>
      <c r="W135">
        <v>0</v>
      </c>
      <c r="X135" t="s">
        <v>2088</v>
      </c>
      <c r="Y135" t="s">
        <v>2098</v>
      </c>
      <c r="AA135" t="s">
        <v>2249</v>
      </c>
      <c r="AB135" t="s">
        <v>2700</v>
      </c>
      <c r="AC135" t="s">
        <v>2846</v>
      </c>
      <c r="AD135">
        <v>36</v>
      </c>
      <c r="AE135" t="s">
        <v>3223</v>
      </c>
      <c r="AF135" t="s">
        <v>3236</v>
      </c>
      <c r="AG135">
        <v>15</v>
      </c>
      <c r="AH135">
        <v>2</v>
      </c>
      <c r="AI135">
        <v>0</v>
      </c>
      <c r="AJ135">
        <v>64.87</v>
      </c>
      <c r="AM135" t="s">
        <v>3248</v>
      </c>
      <c r="AN135">
        <v>10970.16</v>
      </c>
    </row>
    <row r="136" spans="1:41">
      <c r="A136" s="1">
        <f>HYPERLINK("https://lsnyc.legalserver.org/matter/dynamic-profile/view/1908970","19-1908970")</f>
        <v>0</v>
      </c>
      <c r="B136" t="s">
        <v>98</v>
      </c>
      <c r="C136" t="s">
        <v>196</v>
      </c>
      <c r="E136" t="s">
        <v>367</v>
      </c>
      <c r="F136" t="s">
        <v>733</v>
      </c>
      <c r="G136" t="s">
        <v>1234</v>
      </c>
      <c r="I136" t="s">
        <v>1745</v>
      </c>
      <c r="J136">
        <v>11691</v>
      </c>
      <c r="K136" t="s">
        <v>1779</v>
      </c>
      <c r="L136" t="s">
        <v>1781</v>
      </c>
      <c r="M136" t="s">
        <v>1782</v>
      </c>
      <c r="N136" t="s">
        <v>1854</v>
      </c>
      <c r="O136" t="s">
        <v>2030</v>
      </c>
      <c r="P136" t="s">
        <v>2052</v>
      </c>
      <c r="R136" t="s">
        <v>2062</v>
      </c>
      <c r="S136" t="s">
        <v>1780</v>
      </c>
      <c r="T136" t="s">
        <v>2065</v>
      </c>
      <c r="V136" t="s">
        <v>196</v>
      </c>
      <c r="W136">
        <v>2100</v>
      </c>
      <c r="X136" t="s">
        <v>2087</v>
      </c>
      <c r="Y136" t="s">
        <v>2092</v>
      </c>
      <c r="AA136" t="s">
        <v>2250</v>
      </c>
      <c r="AC136" t="s">
        <v>2847</v>
      </c>
      <c r="AD136">
        <v>2</v>
      </c>
      <c r="AE136" t="s">
        <v>2704</v>
      </c>
      <c r="AF136" t="s">
        <v>3236</v>
      </c>
      <c r="AG136">
        <v>4</v>
      </c>
      <c r="AH136">
        <v>2</v>
      </c>
      <c r="AI136">
        <v>1</v>
      </c>
      <c r="AJ136">
        <v>65.04000000000001</v>
      </c>
      <c r="AM136" t="s">
        <v>3248</v>
      </c>
      <c r="AN136">
        <v>13872</v>
      </c>
    </row>
    <row r="137" spans="1:41">
      <c r="A137" s="1">
        <f>HYPERLINK("https://lsnyc.legalserver.org/matter/dynamic-profile/view/1906820","19-1906820")</f>
        <v>0</v>
      </c>
      <c r="B137" t="s">
        <v>64</v>
      </c>
      <c r="C137" t="s">
        <v>198</v>
      </c>
      <c r="E137" t="s">
        <v>368</v>
      </c>
      <c r="F137" t="s">
        <v>798</v>
      </c>
      <c r="G137" t="s">
        <v>1235</v>
      </c>
      <c r="H137" t="s">
        <v>1612</v>
      </c>
      <c r="I137" t="s">
        <v>1753</v>
      </c>
      <c r="J137">
        <v>10306</v>
      </c>
      <c r="K137" t="s">
        <v>1779</v>
      </c>
      <c r="L137" t="s">
        <v>1781</v>
      </c>
      <c r="M137" t="s">
        <v>1782</v>
      </c>
      <c r="N137" t="s">
        <v>1855</v>
      </c>
      <c r="O137" t="s">
        <v>2030</v>
      </c>
      <c r="P137" t="s">
        <v>2051</v>
      </c>
      <c r="R137" t="s">
        <v>2062</v>
      </c>
      <c r="S137" t="s">
        <v>1780</v>
      </c>
      <c r="T137" t="s">
        <v>2065</v>
      </c>
      <c r="U137" t="s">
        <v>2073</v>
      </c>
      <c r="V137" t="s">
        <v>198</v>
      </c>
      <c r="W137">
        <v>1820</v>
      </c>
      <c r="X137" t="s">
        <v>2090</v>
      </c>
      <c r="Y137" t="s">
        <v>2102</v>
      </c>
      <c r="AA137" t="s">
        <v>2251</v>
      </c>
      <c r="AC137" t="s">
        <v>2848</v>
      </c>
      <c r="AD137">
        <v>3</v>
      </c>
      <c r="AE137" t="s">
        <v>3222</v>
      </c>
      <c r="AF137" t="s">
        <v>3236</v>
      </c>
      <c r="AG137">
        <v>-1</v>
      </c>
      <c r="AH137">
        <v>2</v>
      </c>
      <c r="AI137">
        <v>0</v>
      </c>
      <c r="AJ137">
        <v>65.70999999999999</v>
      </c>
      <c r="AM137" t="s">
        <v>3248</v>
      </c>
      <c r="AN137">
        <v>11112</v>
      </c>
    </row>
    <row r="138" spans="1:41">
      <c r="A138" s="1">
        <f>HYPERLINK("https://lsnyc.legalserver.org/matter/dynamic-profile/view/1904669","19-1904669")</f>
        <v>0</v>
      </c>
      <c r="B138" t="s">
        <v>56</v>
      </c>
      <c r="C138" t="s">
        <v>162</v>
      </c>
      <c r="E138" t="s">
        <v>369</v>
      </c>
      <c r="F138" t="s">
        <v>799</v>
      </c>
      <c r="G138" t="s">
        <v>1155</v>
      </c>
      <c r="H138" t="s">
        <v>1545</v>
      </c>
      <c r="I138" t="s">
        <v>1749</v>
      </c>
      <c r="J138">
        <v>11208</v>
      </c>
      <c r="K138" t="s">
        <v>1779</v>
      </c>
      <c r="L138" t="s">
        <v>1781</v>
      </c>
      <c r="M138" t="s">
        <v>1784</v>
      </c>
      <c r="N138" t="s">
        <v>1856</v>
      </c>
      <c r="O138" t="s">
        <v>2029</v>
      </c>
      <c r="P138" t="s">
        <v>2051</v>
      </c>
      <c r="R138" t="s">
        <v>2062</v>
      </c>
      <c r="S138" t="s">
        <v>1780</v>
      </c>
      <c r="T138" t="s">
        <v>2065</v>
      </c>
      <c r="U138" t="s">
        <v>2076</v>
      </c>
      <c r="V138" t="s">
        <v>169</v>
      </c>
      <c r="W138">
        <v>0</v>
      </c>
      <c r="X138" t="s">
        <v>2088</v>
      </c>
      <c r="Y138" t="s">
        <v>2105</v>
      </c>
      <c r="AA138" t="s">
        <v>2252</v>
      </c>
      <c r="AB138" t="s">
        <v>2701</v>
      </c>
      <c r="AC138" t="s">
        <v>2849</v>
      </c>
      <c r="AD138">
        <v>319</v>
      </c>
      <c r="AE138" t="s">
        <v>3223</v>
      </c>
      <c r="AF138" t="s">
        <v>3239</v>
      </c>
      <c r="AG138">
        <v>0</v>
      </c>
      <c r="AH138">
        <v>1</v>
      </c>
      <c r="AI138">
        <v>7</v>
      </c>
      <c r="AJ138">
        <v>65.98</v>
      </c>
      <c r="AM138" t="s">
        <v>3248</v>
      </c>
      <c r="AN138">
        <v>28656</v>
      </c>
    </row>
    <row r="139" spans="1:41">
      <c r="A139" s="1">
        <f>HYPERLINK("https://lsnyc.legalserver.org/matter/dynamic-profile/view/1880652","18-1880652")</f>
        <v>0</v>
      </c>
      <c r="B139" t="s">
        <v>99</v>
      </c>
      <c r="C139" t="s">
        <v>199</v>
      </c>
      <c r="E139" t="s">
        <v>370</v>
      </c>
      <c r="F139" t="s">
        <v>800</v>
      </c>
      <c r="G139" t="s">
        <v>1236</v>
      </c>
      <c r="H139" t="s">
        <v>1613</v>
      </c>
      <c r="I139" t="s">
        <v>1749</v>
      </c>
      <c r="J139">
        <v>11233</v>
      </c>
      <c r="K139" t="s">
        <v>1779</v>
      </c>
      <c r="L139" t="s">
        <v>1779</v>
      </c>
      <c r="M139" t="s">
        <v>1782</v>
      </c>
      <c r="N139" t="s">
        <v>1857</v>
      </c>
      <c r="O139" t="s">
        <v>2029</v>
      </c>
      <c r="P139" t="s">
        <v>2051</v>
      </c>
      <c r="R139" t="s">
        <v>2062</v>
      </c>
      <c r="S139" t="s">
        <v>1780</v>
      </c>
      <c r="T139" t="s">
        <v>2065</v>
      </c>
      <c r="U139" t="s">
        <v>2076</v>
      </c>
      <c r="V139" t="s">
        <v>161</v>
      </c>
      <c r="W139">
        <v>700</v>
      </c>
      <c r="X139" t="s">
        <v>2088</v>
      </c>
      <c r="Y139" t="s">
        <v>2102</v>
      </c>
      <c r="AA139" t="s">
        <v>2253</v>
      </c>
      <c r="AC139" t="s">
        <v>2850</v>
      </c>
      <c r="AD139">
        <v>27</v>
      </c>
      <c r="AG139">
        <v>10</v>
      </c>
      <c r="AH139">
        <v>1</v>
      </c>
      <c r="AI139">
        <v>0</v>
      </c>
      <c r="AJ139">
        <v>66.72</v>
      </c>
      <c r="AM139" t="s">
        <v>3248</v>
      </c>
      <c r="AN139">
        <v>8100</v>
      </c>
      <c r="AO139" t="s">
        <v>3270</v>
      </c>
    </row>
    <row r="140" spans="1:41">
      <c r="A140" s="1">
        <f>HYPERLINK("https://lsnyc.legalserver.org/matter/dynamic-profile/view/1897018","19-1897018")</f>
        <v>0</v>
      </c>
      <c r="B140" t="s">
        <v>69</v>
      </c>
      <c r="C140" t="s">
        <v>200</v>
      </c>
      <c r="D140" t="s">
        <v>186</v>
      </c>
      <c r="E140" t="s">
        <v>371</v>
      </c>
      <c r="F140" t="s">
        <v>734</v>
      </c>
      <c r="G140" t="s">
        <v>1237</v>
      </c>
      <c r="H140" t="s">
        <v>1614</v>
      </c>
      <c r="I140" t="s">
        <v>1749</v>
      </c>
      <c r="J140">
        <v>11217</v>
      </c>
      <c r="K140" t="s">
        <v>1779</v>
      </c>
      <c r="L140" t="s">
        <v>1780</v>
      </c>
      <c r="M140" t="s">
        <v>1782</v>
      </c>
      <c r="N140" t="s">
        <v>1792</v>
      </c>
      <c r="O140" t="s">
        <v>2034</v>
      </c>
      <c r="P140" t="s">
        <v>2055</v>
      </c>
      <c r="Q140" t="s">
        <v>2057</v>
      </c>
      <c r="R140" t="s">
        <v>2062</v>
      </c>
      <c r="S140" t="s">
        <v>1780</v>
      </c>
      <c r="T140" t="s">
        <v>2065</v>
      </c>
      <c r="U140" t="s">
        <v>2073</v>
      </c>
      <c r="V140" t="s">
        <v>161</v>
      </c>
      <c r="W140">
        <v>2019.37</v>
      </c>
      <c r="X140" t="s">
        <v>2088</v>
      </c>
      <c r="Y140" t="s">
        <v>2093</v>
      </c>
      <c r="Z140" t="s">
        <v>2110</v>
      </c>
      <c r="AA140" t="s">
        <v>2254</v>
      </c>
      <c r="AC140" t="s">
        <v>2851</v>
      </c>
      <c r="AD140">
        <v>363</v>
      </c>
      <c r="AE140" t="s">
        <v>3223</v>
      </c>
      <c r="AF140" t="s">
        <v>3243</v>
      </c>
      <c r="AG140">
        <v>2</v>
      </c>
      <c r="AH140">
        <v>1</v>
      </c>
      <c r="AI140">
        <v>0</v>
      </c>
      <c r="AJ140">
        <v>67.25</v>
      </c>
      <c r="AM140" t="s">
        <v>3248</v>
      </c>
      <c r="AN140">
        <v>8400</v>
      </c>
    </row>
    <row r="141" spans="1:41">
      <c r="A141" s="1">
        <f>HYPERLINK("https://lsnyc.legalserver.org/matter/dynamic-profile/view/1906859","19-1906859")</f>
        <v>0</v>
      </c>
      <c r="B141" t="s">
        <v>95</v>
      </c>
      <c r="C141" t="s">
        <v>198</v>
      </c>
      <c r="D141" t="s">
        <v>152</v>
      </c>
      <c r="E141" t="s">
        <v>372</v>
      </c>
      <c r="F141" t="s">
        <v>801</v>
      </c>
      <c r="G141" t="s">
        <v>1238</v>
      </c>
      <c r="H141">
        <v>2</v>
      </c>
      <c r="I141" t="s">
        <v>1753</v>
      </c>
      <c r="J141">
        <v>10306</v>
      </c>
      <c r="K141" t="s">
        <v>1779</v>
      </c>
      <c r="L141" t="s">
        <v>1781</v>
      </c>
      <c r="M141" t="s">
        <v>1782</v>
      </c>
      <c r="O141" t="s">
        <v>1793</v>
      </c>
      <c r="P141" t="s">
        <v>2050</v>
      </c>
      <c r="Q141" t="s">
        <v>2057</v>
      </c>
      <c r="R141" t="s">
        <v>2063</v>
      </c>
      <c r="S141" t="s">
        <v>1780</v>
      </c>
      <c r="T141" t="s">
        <v>2065</v>
      </c>
      <c r="U141" t="s">
        <v>2073</v>
      </c>
      <c r="V141" t="s">
        <v>198</v>
      </c>
      <c r="W141">
        <v>1200</v>
      </c>
      <c r="X141" t="s">
        <v>2090</v>
      </c>
      <c r="Y141" t="s">
        <v>2093</v>
      </c>
      <c r="Z141" t="s">
        <v>2110</v>
      </c>
      <c r="AA141" t="s">
        <v>2255</v>
      </c>
      <c r="AC141" t="s">
        <v>2852</v>
      </c>
      <c r="AD141">
        <v>2</v>
      </c>
      <c r="AG141">
        <v>0</v>
      </c>
      <c r="AH141">
        <v>3</v>
      </c>
      <c r="AI141">
        <v>0</v>
      </c>
      <c r="AJ141">
        <v>67.51000000000001</v>
      </c>
      <c r="AK141" t="s">
        <v>3244</v>
      </c>
      <c r="AL141" t="s">
        <v>3245</v>
      </c>
      <c r="AM141" t="s">
        <v>3248</v>
      </c>
      <c r="AN141">
        <v>14400</v>
      </c>
    </row>
    <row r="142" spans="1:41">
      <c r="A142" s="1">
        <f>HYPERLINK("https://lsnyc.legalserver.org/matter/dynamic-profile/view/1908571","19-1908571")</f>
        <v>0</v>
      </c>
      <c r="B142" t="s">
        <v>69</v>
      </c>
      <c r="C142" t="s">
        <v>201</v>
      </c>
      <c r="E142" t="s">
        <v>373</v>
      </c>
      <c r="F142" t="s">
        <v>802</v>
      </c>
      <c r="G142" t="s">
        <v>1239</v>
      </c>
      <c r="H142" t="s">
        <v>1615</v>
      </c>
      <c r="I142" t="s">
        <v>1749</v>
      </c>
      <c r="J142">
        <v>11208</v>
      </c>
      <c r="K142" t="s">
        <v>1779</v>
      </c>
      <c r="L142" t="s">
        <v>1781</v>
      </c>
      <c r="M142" t="s">
        <v>1782</v>
      </c>
      <c r="N142" t="s">
        <v>1858</v>
      </c>
      <c r="O142" t="s">
        <v>2029</v>
      </c>
      <c r="P142" t="s">
        <v>2050</v>
      </c>
      <c r="R142" t="s">
        <v>2062</v>
      </c>
      <c r="T142" t="s">
        <v>2065</v>
      </c>
      <c r="V142" t="s">
        <v>201</v>
      </c>
      <c r="W142">
        <v>2199.98</v>
      </c>
      <c r="X142" t="s">
        <v>2088</v>
      </c>
      <c r="Y142" t="s">
        <v>2092</v>
      </c>
      <c r="AA142" t="s">
        <v>2256</v>
      </c>
      <c r="AB142" t="s">
        <v>2702</v>
      </c>
      <c r="AC142" t="s">
        <v>2853</v>
      </c>
      <c r="AD142">
        <v>0</v>
      </c>
      <c r="AG142">
        <v>0</v>
      </c>
      <c r="AH142">
        <v>1</v>
      </c>
      <c r="AI142">
        <v>3</v>
      </c>
      <c r="AJ142">
        <v>68.66</v>
      </c>
      <c r="AM142" t="s">
        <v>3248</v>
      </c>
      <c r="AN142">
        <v>17680</v>
      </c>
    </row>
    <row r="143" spans="1:41">
      <c r="A143" s="1">
        <f>HYPERLINK("https://lsnyc.legalserver.org/matter/dynamic-profile/view/1905118","19-1905118")</f>
        <v>0</v>
      </c>
      <c r="B143" t="s">
        <v>56</v>
      </c>
      <c r="C143" t="s">
        <v>151</v>
      </c>
      <c r="E143" t="s">
        <v>358</v>
      </c>
      <c r="F143" t="s">
        <v>417</v>
      </c>
      <c r="G143" t="s">
        <v>1240</v>
      </c>
      <c r="H143" t="s">
        <v>1616</v>
      </c>
      <c r="I143" t="s">
        <v>1749</v>
      </c>
      <c r="J143">
        <v>11233</v>
      </c>
      <c r="K143" t="s">
        <v>1779</v>
      </c>
      <c r="L143" t="s">
        <v>1781</v>
      </c>
      <c r="M143" t="s">
        <v>1782</v>
      </c>
      <c r="N143" t="s">
        <v>1859</v>
      </c>
      <c r="O143" t="s">
        <v>2030</v>
      </c>
      <c r="P143" t="s">
        <v>2051</v>
      </c>
      <c r="R143" t="s">
        <v>2062</v>
      </c>
      <c r="S143" t="s">
        <v>1780</v>
      </c>
      <c r="T143" t="s">
        <v>2065</v>
      </c>
      <c r="U143" t="s">
        <v>2073</v>
      </c>
      <c r="V143" t="s">
        <v>161</v>
      </c>
      <c r="W143">
        <v>826</v>
      </c>
      <c r="X143" t="s">
        <v>2088</v>
      </c>
      <c r="Y143" t="s">
        <v>2101</v>
      </c>
      <c r="AA143" t="s">
        <v>2257</v>
      </c>
      <c r="AB143" t="s">
        <v>2703</v>
      </c>
      <c r="AC143" t="s">
        <v>2854</v>
      </c>
      <c r="AD143">
        <v>42</v>
      </c>
      <c r="AE143" t="s">
        <v>3223</v>
      </c>
      <c r="AF143" t="s">
        <v>3240</v>
      </c>
      <c r="AG143">
        <v>14</v>
      </c>
      <c r="AH143">
        <v>1</v>
      </c>
      <c r="AI143">
        <v>0</v>
      </c>
      <c r="AJ143">
        <v>68.69</v>
      </c>
      <c r="AM143" t="s">
        <v>3248</v>
      </c>
      <c r="AN143">
        <v>8580</v>
      </c>
    </row>
    <row r="144" spans="1:41">
      <c r="A144" s="1">
        <f>HYPERLINK("https://lsnyc.legalserver.org/matter/dynamic-profile/view/1910966","19-1910966")</f>
        <v>0</v>
      </c>
      <c r="B144" t="s">
        <v>48</v>
      </c>
      <c r="C144" t="s">
        <v>142</v>
      </c>
      <c r="E144" t="s">
        <v>374</v>
      </c>
      <c r="F144" t="s">
        <v>803</v>
      </c>
      <c r="G144" t="s">
        <v>1241</v>
      </c>
      <c r="H144" t="s">
        <v>1617</v>
      </c>
      <c r="I144" t="s">
        <v>1746</v>
      </c>
      <c r="J144">
        <v>11435</v>
      </c>
      <c r="K144" t="s">
        <v>1779</v>
      </c>
      <c r="L144" t="s">
        <v>1781</v>
      </c>
      <c r="O144" t="s">
        <v>1793</v>
      </c>
      <c r="P144" t="s">
        <v>2050</v>
      </c>
      <c r="R144" t="s">
        <v>2063</v>
      </c>
      <c r="S144" t="s">
        <v>1780</v>
      </c>
      <c r="T144" t="s">
        <v>2065</v>
      </c>
      <c r="V144" t="s">
        <v>150</v>
      </c>
      <c r="W144">
        <v>1800</v>
      </c>
      <c r="X144" t="s">
        <v>2087</v>
      </c>
      <c r="Y144" t="s">
        <v>2093</v>
      </c>
      <c r="AA144" t="s">
        <v>2258</v>
      </c>
      <c r="AC144" t="s">
        <v>2855</v>
      </c>
      <c r="AD144">
        <v>2</v>
      </c>
      <c r="AE144" t="s">
        <v>3222</v>
      </c>
      <c r="AG144">
        <v>1</v>
      </c>
      <c r="AH144">
        <v>1</v>
      </c>
      <c r="AI144">
        <v>0</v>
      </c>
      <c r="AJ144">
        <v>69.58</v>
      </c>
      <c r="AM144" t="s">
        <v>3248</v>
      </c>
      <c r="AN144">
        <v>8690</v>
      </c>
    </row>
    <row r="145" spans="1:45">
      <c r="A145" s="1">
        <f>HYPERLINK("https://lsnyc.legalserver.org/matter/dynamic-profile/view/1909410","19-1909410")</f>
        <v>0</v>
      </c>
      <c r="B145" t="s">
        <v>66</v>
      </c>
      <c r="C145" t="s">
        <v>164</v>
      </c>
      <c r="E145" t="s">
        <v>375</v>
      </c>
      <c r="F145" t="s">
        <v>804</v>
      </c>
      <c r="G145" t="s">
        <v>1242</v>
      </c>
      <c r="H145" t="s">
        <v>1564</v>
      </c>
      <c r="I145" t="s">
        <v>1754</v>
      </c>
      <c r="J145">
        <v>10040</v>
      </c>
      <c r="K145" t="s">
        <v>1779</v>
      </c>
      <c r="L145" t="s">
        <v>1781</v>
      </c>
      <c r="M145" t="s">
        <v>1782</v>
      </c>
      <c r="O145" t="s">
        <v>2031</v>
      </c>
      <c r="P145" t="s">
        <v>2051</v>
      </c>
      <c r="R145" t="s">
        <v>2062</v>
      </c>
      <c r="S145" t="s">
        <v>1779</v>
      </c>
      <c r="T145" t="s">
        <v>2065</v>
      </c>
      <c r="V145" t="s">
        <v>164</v>
      </c>
      <c r="W145">
        <v>1860.63</v>
      </c>
      <c r="X145" t="s">
        <v>2091</v>
      </c>
      <c r="Y145" t="s">
        <v>2099</v>
      </c>
      <c r="AA145" t="s">
        <v>2259</v>
      </c>
      <c r="AC145" t="s">
        <v>2856</v>
      </c>
      <c r="AD145">
        <v>77</v>
      </c>
      <c r="AE145" t="s">
        <v>3223</v>
      </c>
      <c r="AF145" t="s">
        <v>1783</v>
      </c>
      <c r="AG145">
        <v>4</v>
      </c>
      <c r="AH145">
        <v>2</v>
      </c>
      <c r="AI145">
        <v>2</v>
      </c>
      <c r="AJ145">
        <v>69.90000000000001</v>
      </c>
      <c r="AM145" t="s">
        <v>3249</v>
      </c>
      <c r="AN145">
        <v>18000</v>
      </c>
    </row>
    <row r="146" spans="1:45">
      <c r="A146" s="1">
        <f>HYPERLINK("https://lsnyc.legalserver.org/matter/dynamic-profile/view/1906099","19-1906099")</f>
        <v>0</v>
      </c>
      <c r="B146" t="s">
        <v>82</v>
      </c>
      <c r="C146" t="s">
        <v>146</v>
      </c>
      <c r="E146" t="s">
        <v>376</v>
      </c>
      <c r="F146" t="s">
        <v>805</v>
      </c>
      <c r="G146" t="s">
        <v>1243</v>
      </c>
      <c r="H146" t="s">
        <v>1543</v>
      </c>
      <c r="I146" t="s">
        <v>1754</v>
      </c>
      <c r="J146">
        <v>10034</v>
      </c>
      <c r="K146" t="s">
        <v>1779</v>
      </c>
      <c r="L146" t="s">
        <v>1781</v>
      </c>
      <c r="M146" t="s">
        <v>1782</v>
      </c>
      <c r="O146" t="s">
        <v>2034</v>
      </c>
      <c r="P146" t="s">
        <v>2055</v>
      </c>
      <c r="R146" t="s">
        <v>2062</v>
      </c>
      <c r="S146" t="s">
        <v>1780</v>
      </c>
      <c r="T146" t="s">
        <v>2065</v>
      </c>
      <c r="V146" t="s">
        <v>146</v>
      </c>
      <c r="W146">
        <v>175</v>
      </c>
      <c r="X146" t="s">
        <v>2091</v>
      </c>
      <c r="AA146" t="s">
        <v>2260</v>
      </c>
      <c r="AC146" t="s">
        <v>2857</v>
      </c>
      <c r="AD146">
        <v>30</v>
      </c>
      <c r="AE146" t="s">
        <v>3223</v>
      </c>
      <c r="AF146" t="s">
        <v>1783</v>
      </c>
      <c r="AG146">
        <v>6</v>
      </c>
      <c r="AH146">
        <v>1</v>
      </c>
      <c r="AI146">
        <v>0</v>
      </c>
      <c r="AJ146">
        <v>69.97</v>
      </c>
      <c r="AM146" t="s">
        <v>3248</v>
      </c>
      <c r="AN146">
        <v>8739</v>
      </c>
    </row>
    <row r="147" spans="1:45">
      <c r="A147" s="1">
        <f>HYPERLINK("https://lsnyc.legalserver.org/matter/dynamic-profile/view/1907025","19-1907025")</f>
        <v>0</v>
      </c>
      <c r="B147" t="s">
        <v>50</v>
      </c>
      <c r="C147" t="s">
        <v>163</v>
      </c>
      <c r="E147" t="s">
        <v>377</v>
      </c>
      <c r="F147" t="s">
        <v>806</v>
      </c>
      <c r="G147" t="s">
        <v>1244</v>
      </c>
      <c r="H147" t="s">
        <v>1564</v>
      </c>
      <c r="I147" t="s">
        <v>1749</v>
      </c>
      <c r="J147">
        <v>11225</v>
      </c>
      <c r="K147" t="s">
        <v>1779</v>
      </c>
      <c r="L147" t="s">
        <v>1781</v>
      </c>
      <c r="M147" t="s">
        <v>1782</v>
      </c>
      <c r="O147" t="s">
        <v>2042</v>
      </c>
      <c r="P147" t="s">
        <v>2051</v>
      </c>
      <c r="R147" t="s">
        <v>2062</v>
      </c>
      <c r="S147" t="s">
        <v>1780</v>
      </c>
      <c r="T147" t="s">
        <v>2065</v>
      </c>
      <c r="V147" t="s">
        <v>163</v>
      </c>
      <c r="W147">
        <v>1450</v>
      </c>
      <c r="X147" t="s">
        <v>2088</v>
      </c>
      <c r="AA147" t="s">
        <v>2261</v>
      </c>
      <c r="AC147" t="s">
        <v>2858</v>
      </c>
      <c r="AD147">
        <v>72</v>
      </c>
      <c r="AG147">
        <v>0</v>
      </c>
      <c r="AH147">
        <v>3</v>
      </c>
      <c r="AI147">
        <v>0</v>
      </c>
      <c r="AJ147">
        <v>70.31999999999999</v>
      </c>
      <c r="AM147" t="s">
        <v>3248</v>
      </c>
      <c r="AN147">
        <v>15000</v>
      </c>
    </row>
    <row r="148" spans="1:45">
      <c r="A148" s="1">
        <f>HYPERLINK("https://lsnyc.legalserver.org/matter/dynamic-profile/view/1906349","19-1906349")</f>
        <v>0</v>
      </c>
      <c r="B148" t="s">
        <v>55</v>
      </c>
      <c r="C148" t="s">
        <v>184</v>
      </c>
      <c r="D148" t="s">
        <v>192</v>
      </c>
      <c r="E148" t="s">
        <v>378</v>
      </c>
      <c r="F148" t="s">
        <v>807</v>
      </c>
      <c r="G148" t="s">
        <v>1245</v>
      </c>
      <c r="H148">
        <v>2</v>
      </c>
      <c r="I148" t="s">
        <v>1749</v>
      </c>
      <c r="J148">
        <v>11208</v>
      </c>
      <c r="K148" t="s">
        <v>1779</v>
      </c>
      <c r="L148" t="s">
        <v>1781</v>
      </c>
      <c r="M148" t="s">
        <v>1782</v>
      </c>
      <c r="N148" t="s">
        <v>1860</v>
      </c>
      <c r="O148" t="s">
        <v>2030</v>
      </c>
      <c r="P148" t="s">
        <v>2055</v>
      </c>
      <c r="Q148" t="s">
        <v>2059</v>
      </c>
      <c r="R148" t="s">
        <v>2062</v>
      </c>
      <c r="S148" t="s">
        <v>1780</v>
      </c>
      <c r="T148" t="s">
        <v>2065</v>
      </c>
      <c r="U148" t="s">
        <v>2073</v>
      </c>
      <c r="V148" t="s">
        <v>158</v>
      </c>
      <c r="W148">
        <v>1500</v>
      </c>
      <c r="X148" t="s">
        <v>2088</v>
      </c>
      <c r="Y148" t="s">
        <v>2092</v>
      </c>
      <c r="Z148" t="s">
        <v>2110</v>
      </c>
      <c r="AA148" t="s">
        <v>2262</v>
      </c>
      <c r="AB148" t="s">
        <v>2704</v>
      </c>
      <c r="AC148" t="s">
        <v>2859</v>
      </c>
      <c r="AD148">
        <v>4</v>
      </c>
      <c r="AE148" t="s">
        <v>3222</v>
      </c>
      <c r="AF148" t="s">
        <v>3243</v>
      </c>
      <c r="AG148">
        <v>5</v>
      </c>
      <c r="AH148">
        <v>1</v>
      </c>
      <c r="AI148">
        <v>2</v>
      </c>
      <c r="AJ148">
        <v>70.31999999999999</v>
      </c>
      <c r="AM148" t="s">
        <v>3248</v>
      </c>
      <c r="AN148">
        <v>15000</v>
      </c>
      <c r="AR148" t="s">
        <v>3294</v>
      </c>
      <c r="AS148" t="s">
        <v>3306</v>
      </c>
    </row>
    <row r="149" spans="1:45">
      <c r="A149" s="1">
        <f>HYPERLINK("https://lsnyc.legalserver.org/matter/dynamic-profile/view/1903677","19-1903677")</f>
        <v>0</v>
      </c>
      <c r="B149" t="s">
        <v>85</v>
      </c>
      <c r="C149" t="s">
        <v>168</v>
      </c>
      <c r="E149" t="s">
        <v>379</v>
      </c>
      <c r="F149" t="s">
        <v>685</v>
      </c>
      <c r="G149" t="s">
        <v>1246</v>
      </c>
      <c r="H149" t="s">
        <v>1576</v>
      </c>
      <c r="I149" t="s">
        <v>1753</v>
      </c>
      <c r="J149">
        <v>10301</v>
      </c>
      <c r="K149" t="s">
        <v>1779</v>
      </c>
      <c r="L149" t="s">
        <v>1781</v>
      </c>
      <c r="M149" t="s">
        <v>1782</v>
      </c>
      <c r="N149" t="s">
        <v>1861</v>
      </c>
      <c r="O149" t="s">
        <v>2030</v>
      </c>
      <c r="P149" t="s">
        <v>2051</v>
      </c>
      <c r="R149" t="s">
        <v>2062</v>
      </c>
      <c r="S149" t="s">
        <v>1780</v>
      </c>
      <c r="T149" t="s">
        <v>2065</v>
      </c>
      <c r="U149" t="s">
        <v>2073</v>
      </c>
      <c r="V149" t="s">
        <v>168</v>
      </c>
      <c r="W149">
        <v>1515</v>
      </c>
      <c r="X149" t="s">
        <v>2090</v>
      </c>
      <c r="Y149" t="s">
        <v>2104</v>
      </c>
      <c r="AA149" t="s">
        <v>2263</v>
      </c>
      <c r="AC149" t="s">
        <v>2860</v>
      </c>
      <c r="AD149">
        <v>11</v>
      </c>
      <c r="AE149" t="s">
        <v>3223</v>
      </c>
      <c r="AF149" t="s">
        <v>3240</v>
      </c>
      <c r="AG149">
        <v>1</v>
      </c>
      <c r="AH149">
        <v>1</v>
      </c>
      <c r="AI149">
        <v>2</v>
      </c>
      <c r="AJ149">
        <v>70.31999999999999</v>
      </c>
      <c r="AM149" t="s">
        <v>3248</v>
      </c>
      <c r="AN149">
        <v>15000</v>
      </c>
    </row>
    <row r="150" spans="1:45">
      <c r="A150" s="1">
        <f>HYPERLINK("https://lsnyc.legalserver.org/matter/dynamic-profile/view/1908673","19-1908673")</f>
        <v>0</v>
      </c>
      <c r="B150" t="s">
        <v>66</v>
      </c>
      <c r="C150" t="s">
        <v>174</v>
      </c>
      <c r="E150" t="s">
        <v>380</v>
      </c>
      <c r="F150" t="s">
        <v>808</v>
      </c>
      <c r="G150" t="s">
        <v>1247</v>
      </c>
      <c r="H150" t="s">
        <v>1618</v>
      </c>
      <c r="I150" t="s">
        <v>1754</v>
      </c>
      <c r="J150">
        <v>10040</v>
      </c>
      <c r="K150" t="s">
        <v>1779</v>
      </c>
      <c r="L150" t="s">
        <v>1781</v>
      </c>
      <c r="M150" t="s">
        <v>1782</v>
      </c>
      <c r="O150" t="s">
        <v>2030</v>
      </c>
      <c r="P150" t="s">
        <v>2052</v>
      </c>
      <c r="R150" t="s">
        <v>2062</v>
      </c>
      <c r="S150" t="s">
        <v>1780</v>
      </c>
      <c r="T150" t="s">
        <v>2065</v>
      </c>
      <c r="V150" t="s">
        <v>174</v>
      </c>
      <c r="W150">
        <v>215</v>
      </c>
      <c r="X150" t="s">
        <v>2091</v>
      </c>
      <c r="Y150" t="s">
        <v>2099</v>
      </c>
      <c r="AA150" t="s">
        <v>2264</v>
      </c>
      <c r="AC150" t="s">
        <v>2861</v>
      </c>
      <c r="AD150">
        <v>37</v>
      </c>
      <c r="AE150" t="s">
        <v>3223</v>
      </c>
      <c r="AF150" t="s">
        <v>2094</v>
      </c>
      <c r="AG150">
        <v>5</v>
      </c>
      <c r="AH150">
        <v>1</v>
      </c>
      <c r="AI150">
        <v>0</v>
      </c>
      <c r="AJ150">
        <v>70.62</v>
      </c>
      <c r="AM150" t="s">
        <v>3249</v>
      </c>
      <c r="AN150">
        <v>8820</v>
      </c>
    </row>
    <row r="151" spans="1:45">
      <c r="A151" s="1">
        <f>HYPERLINK("https://lsnyc.legalserver.org/matter/dynamic-profile/view/1908559","19-1908559")</f>
        <v>0</v>
      </c>
      <c r="B151" t="s">
        <v>100</v>
      </c>
      <c r="C151" t="s">
        <v>201</v>
      </c>
      <c r="E151" t="s">
        <v>381</v>
      </c>
      <c r="F151" t="s">
        <v>809</v>
      </c>
      <c r="G151" t="s">
        <v>1248</v>
      </c>
      <c r="H151">
        <v>25</v>
      </c>
      <c r="I151" t="s">
        <v>1752</v>
      </c>
      <c r="J151">
        <v>10460</v>
      </c>
      <c r="K151" t="s">
        <v>1779</v>
      </c>
      <c r="L151" t="s">
        <v>1781</v>
      </c>
      <c r="M151" t="s">
        <v>1782</v>
      </c>
      <c r="N151" t="s">
        <v>1862</v>
      </c>
      <c r="O151" t="s">
        <v>2029</v>
      </c>
      <c r="P151" t="s">
        <v>2051</v>
      </c>
      <c r="R151" t="s">
        <v>2062</v>
      </c>
      <c r="S151" t="s">
        <v>1780</v>
      </c>
      <c r="T151" t="s">
        <v>2065</v>
      </c>
      <c r="U151" t="s">
        <v>2075</v>
      </c>
      <c r="V151" t="s">
        <v>2079</v>
      </c>
      <c r="W151">
        <v>1587.81</v>
      </c>
      <c r="X151" t="s">
        <v>2089</v>
      </c>
      <c r="Y151" t="s">
        <v>2101</v>
      </c>
      <c r="AA151" t="s">
        <v>2265</v>
      </c>
      <c r="AC151" t="s">
        <v>2862</v>
      </c>
      <c r="AD151">
        <v>0</v>
      </c>
      <c r="AE151" t="s">
        <v>3223</v>
      </c>
      <c r="AF151" t="s">
        <v>3236</v>
      </c>
      <c r="AG151">
        <v>8</v>
      </c>
      <c r="AH151">
        <v>2</v>
      </c>
      <c r="AI151">
        <v>2</v>
      </c>
      <c r="AJ151">
        <v>70.68000000000001</v>
      </c>
      <c r="AM151" t="s">
        <v>3249</v>
      </c>
      <c r="AN151">
        <v>18200</v>
      </c>
    </row>
    <row r="152" spans="1:45">
      <c r="A152" s="1">
        <f>HYPERLINK("https://lsnyc.legalserver.org/matter/dynamic-profile/view/1910706","19-1910706")</f>
        <v>0</v>
      </c>
      <c r="B152" t="s">
        <v>73</v>
      </c>
      <c r="C152" t="s">
        <v>143</v>
      </c>
      <c r="E152" t="s">
        <v>270</v>
      </c>
      <c r="F152" t="s">
        <v>810</v>
      </c>
      <c r="G152" t="s">
        <v>1249</v>
      </c>
      <c r="H152" t="s">
        <v>1619</v>
      </c>
      <c r="I152" t="s">
        <v>1754</v>
      </c>
      <c r="J152">
        <v>10040</v>
      </c>
      <c r="K152" t="s">
        <v>1779</v>
      </c>
      <c r="L152" t="s">
        <v>1781</v>
      </c>
      <c r="M152" t="s">
        <v>1782</v>
      </c>
      <c r="O152" t="s">
        <v>2031</v>
      </c>
      <c r="P152" t="s">
        <v>2052</v>
      </c>
      <c r="R152" t="s">
        <v>2062</v>
      </c>
      <c r="S152" t="s">
        <v>1780</v>
      </c>
      <c r="T152" t="s">
        <v>2065</v>
      </c>
      <c r="V152" t="s">
        <v>143</v>
      </c>
      <c r="W152">
        <v>2050</v>
      </c>
      <c r="X152" t="s">
        <v>2091</v>
      </c>
      <c r="Y152" t="s">
        <v>2101</v>
      </c>
      <c r="AA152" t="s">
        <v>2266</v>
      </c>
      <c r="AC152" t="s">
        <v>2863</v>
      </c>
      <c r="AD152">
        <v>54</v>
      </c>
      <c r="AE152" t="s">
        <v>3223</v>
      </c>
      <c r="AF152" t="s">
        <v>1783</v>
      </c>
      <c r="AG152">
        <v>4</v>
      </c>
      <c r="AH152">
        <v>2</v>
      </c>
      <c r="AI152">
        <v>0</v>
      </c>
      <c r="AJ152">
        <v>70.95999999999999</v>
      </c>
      <c r="AM152" t="s">
        <v>3248</v>
      </c>
      <c r="AN152">
        <v>12000</v>
      </c>
    </row>
    <row r="153" spans="1:45">
      <c r="A153" s="1">
        <f>HYPERLINK("https://lsnyc.legalserver.org/matter/dynamic-profile/view/1910952","19-1910952")</f>
        <v>0</v>
      </c>
      <c r="B153" t="s">
        <v>55</v>
      </c>
      <c r="C153" t="s">
        <v>142</v>
      </c>
      <c r="E153" t="s">
        <v>382</v>
      </c>
      <c r="F153" t="s">
        <v>811</v>
      </c>
      <c r="G153" t="s">
        <v>1250</v>
      </c>
      <c r="I153" t="s">
        <v>1749</v>
      </c>
      <c r="J153">
        <v>11208</v>
      </c>
      <c r="K153" t="s">
        <v>1779</v>
      </c>
      <c r="L153" t="s">
        <v>1781</v>
      </c>
      <c r="M153" t="s">
        <v>1784</v>
      </c>
      <c r="N153" t="s">
        <v>1863</v>
      </c>
      <c r="O153" t="s">
        <v>2030</v>
      </c>
      <c r="R153" t="s">
        <v>2062</v>
      </c>
      <c r="S153" t="s">
        <v>1780</v>
      </c>
      <c r="T153" t="s">
        <v>2065</v>
      </c>
      <c r="U153" t="s">
        <v>2073</v>
      </c>
      <c r="V153" t="s">
        <v>134</v>
      </c>
      <c r="W153">
        <v>1800</v>
      </c>
      <c r="X153" t="s">
        <v>2088</v>
      </c>
      <c r="Y153" t="s">
        <v>2102</v>
      </c>
      <c r="AA153" t="s">
        <v>2267</v>
      </c>
      <c r="AB153" t="s">
        <v>2705</v>
      </c>
      <c r="AC153" t="s">
        <v>2864</v>
      </c>
      <c r="AD153">
        <v>2</v>
      </c>
      <c r="AE153" t="s">
        <v>3222</v>
      </c>
      <c r="AF153" t="s">
        <v>3236</v>
      </c>
      <c r="AG153">
        <v>12</v>
      </c>
      <c r="AH153">
        <v>4</v>
      </c>
      <c r="AI153">
        <v>1</v>
      </c>
      <c r="AJ153">
        <v>71.59</v>
      </c>
      <c r="AM153" t="s">
        <v>3248</v>
      </c>
      <c r="AN153">
        <v>21600</v>
      </c>
    </row>
    <row r="154" spans="1:45">
      <c r="A154" s="1">
        <f>HYPERLINK("https://lsnyc.legalserver.org/matter/dynamic-profile/view/1907609","19-1907609")</f>
        <v>0</v>
      </c>
      <c r="B154" t="s">
        <v>96</v>
      </c>
      <c r="C154" t="s">
        <v>160</v>
      </c>
      <c r="E154" t="s">
        <v>383</v>
      </c>
      <c r="F154" t="s">
        <v>812</v>
      </c>
      <c r="G154" t="s">
        <v>1251</v>
      </c>
      <c r="H154" t="s">
        <v>1620</v>
      </c>
      <c r="I154" t="s">
        <v>1749</v>
      </c>
      <c r="J154">
        <v>11210</v>
      </c>
      <c r="K154" t="s">
        <v>1779</v>
      </c>
      <c r="L154" t="s">
        <v>1781</v>
      </c>
      <c r="M154" t="s">
        <v>1782</v>
      </c>
      <c r="O154" t="s">
        <v>2033</v>
      </c>
      <c r="P154" t="s">
        <v>2054</v>
      </c>
      <c r="R154" t="s">
        <v>2062</v>
      </c>
      <c r="S154" t="s">
        <v>1780</v>
      </c>
      <c r="T154" t="s">
        <v>2065</v>
      </c>
      <c r="V154" t="s">
        <v>160</v>
      </c>
      <c r="W154">
        <v>1725</v>
      </c>
      <c r="X154" t="s">
        <v>2088</v>
      </c>
      <c r="AA154" t="s">
        <v>2268</v>
      </c>
      <c r="AD154">
        <v>65</v>
      </c>
      <c r="AG154">
        <v>20</v>
      </c>
      <c r="AH154">
        <v>6</v>
      </c>
      <c r="AI154">
        <v>2</v>
      </c>
      <c r="AJ154">
        <v>71.84</v>
      </c>
      <c r="AM154" t="s">
        <v>3253</v>
      </c>
      <c r="AN154">
        <v>31200</v>
      </c>
    </row>
    <row r="155" spans="1:45">
      <c r="A155" s="1">
        <f>HYPERLINK("https://lsnyc.legalserver.org/matter/dynamic-profile/view/1907589","19-1907589")</f>
        <v>0</v>
      </c>
      <c r="B155" t="s">
        <v>96</v>
      </c>
      <c r="C155" t="s">
        <v>160</v>
      </c>
      <c r="E155" t="s">
        <v>383</v>
      </c>
      <c r="F155" t="s">
        <v>812</v>
      </c>
      <c r="G155" t="s">
        <v>1251</v>
      </c>
      <c r="H155" t="s">
        <v>1620</v>
      </c>
      <c r="I155" t="s">
        <v>1749</v>
      </c>
      <c r="J155">
        <v>11210</v>
      </c>
      <c r="K155" t="s">
        <v>1779</v>
      </c>
      <c r="L155" t="s">
        <v>1781</v>
      </c>
      <c r="M155" t="s">
        <v>1782</v>
      </c>
      <c r="N155" t="s">
        <v>1864</v>
      </c>
      <c r="O155" t="s">
        <v>2030</v>
      </c>
      <c r="P155" t="s">
        <v>2051</v>
      </c>
      <c r="R155" t="s">
        <v>2062</v>
      </c>
      <c r="S155" t="s">
        <v>1780</v>
      </c>
      <c r="T155" t="s">
        <v>2065</v>
      </c>
      <c r="V155" t="s">
        <v>160</v>
      </c>
      <c r="W155">
        <v>1725</v>
      </c>
      <c r="X155" t="s">
        <v>2088</v>
      </c>
      <c r="AA155" t="s">
        <v>2268</v>
      </c>
      <c r="AD155">
        <v>65</v>
      </c>
      <c r="AG155">
        <v>20</v>
      </c>
      <c r="AH155">
        <v>6</v>
      </c>
      <c r="AI155">
        <v>2</v>
      </c>
      <c r="AJ155">
        <v>71.84</v>
      </c>
      <c r="AM155" t="s">
        <v>3253</v>
      </c>
      <c r="AN155">
        <v>31200</v>
      </c>
    </row>
    <row r="156" spans="1:45">
      <c r="A156" s="1">
        <f>HYPERLINK("https://lsnyc.legalserver.org/matter/dynamic-profile/view/1909603","19-1909603")</f>
        <v>0</v>
      </c>
      <c r="B156" t="s">
        <v>71</v>
      </c>
      <c r="C156" t="s">
        <v>202</v>
      </c>
      <c r="E156" t="s">
        <v>384</v>
      </c>
      <c r="F156" t="s">
        <v>813</v>
      </c>
      <c r="G156" t="s">
        <v>1252</v>
      </c>
      <c r="H156" t="s">
        <v>1621</v>
      </c>
      <c r="I156" t="s">
        <v>1754</v>
      </c>
      <c r="J156">
        <v>10039</v>
      </c>
      <c r="K156" t="s">
        <v>1779</v>
      </c>
      <c r="L156" t="s">
        <v>1781</v>
      </c>
      <c r="M156" t="s">
        <v>1782</v>
      </c>
      <c r="N156" t="s">
        <v>1865</v>
      </c>
      <c r="O156" t="s">
        <v>2043</v>
      </c>
      <c r="P156" t="s">
        <v>2051</v>
      </c>
      <c r="R156" t="s">
        <v>2063</v>
      </c>
      <c r="S156" t="s">
        <v>1780</v>
      </c>
      <c r="T156" t="s">
        <v>2068</v>
      </c>
      <c r="U156" t="s">
        <v>2073</v>
      </c>
      <c r="V156" t="s">
        <v>202</v>
      </c>
      <c r="W156">
        <v>844</v>
      </c>
      <c r="X156" t="s">
        <v>2091</v>
      </c>
      <c r="Y156" t="s">
        <v>2096</v>
      </c>
      <c r="AA156" t="s">
        <v>2269</v>
      </c>
      <c r="AC156" t="s">
        <v>2865</v>
      </c>
      <c r="AD156">
        <v>360</v>
      </c>
      <c r="AE156" t="s">
        <v>3231</v>
      </c>
      <c r="AF156" t="s">
        <v>1783</v>
      </c>
      <c r="AG156">
        <v>12</v>
      </c>
      <c r="AH156">
        <v>1</v>
      </c>
      <c r="AI156">
        <v>3</v>
      </c>
      <c r="AJ156">
        <v>71.86</v>
      </c>
      <c r="AM156" t="s">
        <v>3248</v>
      </c>
      <c r="AN156">
        <v>18504</v>
      </c>
    </row>
    <row r="157" spans="1:45">
      <c r="A157" s="1">
        <f>HYPERLINK("https://lsnyc.legalserver.org/matter/dynamic-profile/view/1910248","19-1910248")</f>
        <v>0</v>
      </c>
      <c r="B157" t="s">
        <v>51</v>
      </c>
      <c r="C157" t="s">
        <v>203</v>
      </c>
      <c r="E157" t="s">
        <v>347</v>
      </c>
      <c r="F157" t="s">
        <v>780</v>
      </c>
      <c r="G157" t="s">
        <v>1215</v>
      </c>
      <c r="H157" t="s">
        <v>1599</v>
      </c>
      <c r="I157" t="s">
        <v>1749</v>
      </c>
      <c r="J157">
        <v>11238</v>
      </c>
      <c r="K157" t="s">
        <v>1779</v>
      </c>
      <c r="L157" t="s">
        <v>1781</v>
      </c>
      <c r="M157" t="s">
        <v>1782</v>
      </c>
      <c r="O157" t="s">
        <v>2030</v>
      </c>
      <c r="P157" t="s">
        <v>2051</v>
      </c>
      <c r="R157" t="s">
        <v>2062</v>
      </c>
      <c r="S157" t="s">
        <v>1780</v>
      </c>
      <c r="T157" t="s">
        <v>2065</v>
      </c>
      <c r="V157" t="s">
        <v>203</v>
      </c>
      <c r="W157">
        <v>0</v>
      </c>
      <c r="X157" t="s">
        <v>2088</v>
      </c>
      <c r="AA157" t="s">
        <v>2226</v>
      </c>
      <c r="AC157" t="s">
        <v>2825</v>
      </c>
      <c r="AD157">
        <v>0</v>
      </c>
      <c r="AG157">
        <v>0</v>
      </c>
      <c r="AH157">
        <v>1</v>
      </c>
      <c r="AI157">
        <v>0</v>
      </c>
      <c r="AJ157">
        <v>72.06</v>
      </c>
      <c r="AM157" t="s">
        <v>3248</v>
      </c>
      <c r="AN157">
        <v>9000</v>
      </c>
    </row>
    <row r="158" spans="1:45">
      <c r="A158" s="1">
        <f>HYPERLINK("https://lsnyc.legalserver.org/matter/dynamic-profile/view/1906125","19-1906125")</f>
        <v>0</v>
      </c>
      <c r="B158" t="s">
        <v>82</v>
      </c>
      <c r="C158" t="s">
        <v>146</v>
      </c>
      <c r="E158" t="s">
        <v>385</v>
      </c>
      <c r="F158" t="s">
        <v>814</v>
      </c>
      <c r="G158" t="s">
        <v>1146</v>
      </c>
      <c r="H158" t="s">
        <v>1576</v>
      </c>
      <c r="I158" t="s">
        <v>1754</v>
      </c>
      <c r="J158">
        <v>10040</v>
      </c>
      <c r="K158" t="s">
        <v>1779</v>
      </c>
      <c r="L158" t="s">
        <v>1781</v>
      </c>
      <c r="M158" t="s">
        <v>1782</v>
      </c>
      <c r="N158" t="s">
        <v>1866</v>
      </c>
      <c r="O158" t="s">
        <v>2030</v>
      </c>
      <c r="P158" t="s">
        <v>2051</v>
      </c>
      <c r="R158" t="s">
        <v>2062</v>
      </c>
      <c r="S158" t="s">
        <v>1780</v>
      </c>
      <c r="T158" t="s">
        <v>2065</v>
      </c>
      <c r="U158" t="s">
        <v>2073</v>
      </c>
      <c r="V158" t="s">
        <v>146</v>
      </c>
      <c r="W158">
        <v>1143.13</v>
      </c>
      <c r="X158" t="s">
        <v>2091</v>
      </c>
      <c r="Y158" t="s">
        <v>2101</v>
      </c>
      <c r="AA158" t="s">
        <v>2270</v>
      </c>
      <c r="AC158" t="s">
        <v>2866</v>
      </c>
      <c r="AD158">
        <v>42</v>
      </c>
      <c r="AE158" t="s">
        <v>3223</v>
      </c>
      <c r="AF158" t="s">
        <v>3238</v>
      </c>
      <c r="AG158">
        <v>29</v>
      </c>
      <c r="AH158">
        <v>1</v>
      </c>
      <c r="AI158">
        <v>0</v>
      </c>
      <c r="AJ158">
        <v>72.06</v>
      </c>
      <c r="AM158" t="s">
        <v>3248</v>
      </c>
      <c r="AN158">
        <v>9000</v>
      </c>
    </row>
    <row r="159" spans="1:45">
      <c r="A159" s="1">
        <f>HYPERLINK("https://lsnyc.legalserver.org/matter/dynamic-profile/view/1909324","19-1909324")</f>
        <v>0</v>
      </c>
      <c r="B159" t="s">
        <v>73</v>
      </c>
      <c r="C159" t="s">
        <v>141</v>
      </c>
      <c r="E159" t="s">
        <v>386</v>
      </c>
      <c r="F159" t="s">
        <v>815</v>
      </c>
      <c r="G159" t="s">
        <v>1253</v>
      </c>
      <c r="H159">
        <v>31</v>
      </c>
      <c r="I159" t="s">
        <v>1754</v>
      </c>
      <c r="J159">
        <v>10033</v>
      </c>
      <c r="K159" t="s">
        <v>1779</v>
      </c>
      <c r="L159" t="s">
        <v>1781</v>
      </c>
      <c r="M159" t="s">
        <v>1782</v>
      </c>
      <c r="O159" t="s">
        <v>2029</v>
      </c>
      <c r="P159" t="s">
        <v>2052</v>
      </c>
      <c r="R159" t="s">
        <v>2062</v>
      </c>
      <c r="S159" t="s">
        <v>1780</v>
      </c>
      <c r="T159" t="s">
        <v>2065</v>
      </c>
      <c r="V159" t="s">
        <v>141</v>
      </c>
      <c r="W159">
        <v>792.47</v>
      </c>
      <c r="X159" t="s">
        <v>2091</v>
      </c>
      <c r="Y159" t="s">
        <v>2104</v>
      </c>
      <c r="AA159" t="s">
        <v>2271</v>
      </c>
      <c r="AC159" t="s">
        <v>2867</v>
      </c>
      <c r="AD159">
        <v>38</v>
      </c>
      <c r="AE159" t="s">
        <v>3223</v>
      </c>
      <c r="AF159" t="s">
        <v>3238</v>
      </c>
      <c r="AG159">
        <v>16</v>
      </c>
      <c r="AH159">
        <v>1</v>
      </c>
      <c r="AI159">
        <v>0</v>
      </c>
      <c r="AJ159">
        <v>72.06</v>
      </c>
      <c r="AM159" t="s">
        <v>3249</v>
      </c>
      <c r="AN159">
        <v>9000</v>
      </c>
    </row>
    <row r="160" spans="1:45">
      <c r="A160" s="1">
        <f>HYPERLINK("https://lsnyc.legalserver.org/matter/dynamic-profile/view/1905375","19-1905375")</f>
        <v>0</v>
      </c>
      <c r="B160" t="s">
        <v>69</v>
      </c>
      <c r="C160" t="s">
        <v>170</v>
      </c>
      <c r="D160" t="s">
        <v>205</v>
      </c>
      <c r="E160" t="s">
        <v>313</v>
      </c>
      <c r="F160" t="s">
        <v>816</v>
      </c>
      <c r="G160" t="s">
        <v>1254</v>
      </c>
      <c r="H160" t="s">
        <v>1622</v>
      </c>
      <c r="I160" t="s">
        <v>1749</v>
      </c>
      <c r="J160">
        <v>11233</v>
      </c>
      <c r="K160" t="s">
        <v>1779</v>
      </c>
      <c r="L160" t="s">
        <v>1781</v>
      </c>
      <c r="M160" t="s">
        <v>1782</v>
      </c>
      <c r="N160" t="s">
        <v>1792</v>
      </c>
      <c r="O160" t="s">
        <v>1793</v>
      </c>
      <c r="P160" t="s">
        <v>2050</v>
      </c>
      <c r="Q160" t="s">
        <v>2057</v>
      </c>
      <c r="R160" t="s">
        <v>2062</v>
      </c>
      <c r="S160" t="s">
        <v>1780</v>
      </c>
      <c r="T160" t="s">
        <v>2065</v>
      </c>
      <c r="U160" t="s">
        <v>2073</v>
      </c>
      <c r="V160" t="s">
        <v>170</v>
      </c>
      <c r="W160">
        <v>550</v>
      </c>
      <c r="X160" t="s">
        <v>2088</v>
      </c>
      <c r="Z160" t="s">
        <v>2110</v>
      </c>
      <c r="AA160" t="s">
        <v>2272</v>
      </c>
      <c r="AB160" t="s">
        <v>2706</v>
      </c>
      <c r="AC160" t="s">
        <v>2868</v>
      </c>
      <c r="AD160">
        <v>6</v>
      </c>
      <c r="AE160" t="s">
        <v>3223</v>
      </c>
      <c r="AF160" t="s">
        <v>1783</v>
      </c>
      <c r="AG160">
        <v>44</v>
      </c>
      <c r="AH160">
        <v>1</v>
      </c>
      <c r="AI160">
        <v>0</v>
      </c>
      <c r="AJ160">
        <v>72.15000000000001</v>
      </c>
      <c r="AM160" t="s">
        <v>3249</v>
      </c>
      <c r="AN160">
        <v>9012</v>
      </c>
    </row>
    <row r="161" spans="1:45">
      <c r="A161" s="1">
        <f>HYPERLINK("https://lsnyc.legalserver.org/matter/dynamic-profile/view/1906232","19-1906232")</f>
        <v>0</v>
      </c>
      <c r="B161" t="s">
        <v>67</v>
      </c>
      <c r="C161" t="s">
        <v>140</v>
      </c>
      <c r="E161" t="s">
        <v>387</v>
      </c>
      <c r="F161" t="s">
        <v>817</v>
      </c>
      <c r="G161" t="s">
        <v>1255</v>
      </c>
      <c r="H161" t="s">
        <v>1623</v>
      </c>
      <c r="I161" t="s">
        <v>1754</v>
      </c>
      <c r="J161">
        <v>10040</v>
      </c>
      <c r="K161" t="s">
        <v>1779</v>
      </c>
      <c r="L161" t="s">
        <v>1781</v>
      </c>
      <c r="M161" t="s">
        <v>1782</v>
      </c>
      <c r="P161" t="s">
        <v>2052</v>
      </c>
      <c r="R161" t="s">
        <v>2062</v>
      </c>
      <c r="S161" t="s">
        <v>1780</v>
      </c>
      <c r="T161" t="s">
        <v>2065</v>
      </c>
      <c r="V161" t="s">
        <v>140</v>
      </c>
      <c r="W161">
        <v>1372.65</v>
      </c>
      <c r="X161" t="s">
        <v>2091</v>
      </c>
      <c r="Y161" t="s">
        <v>2099</v>
      </c>
      <c r="AA161" t="s">
        <v>2273</v>
      </c>
      <c r="AD161">
        <v>75</v>
      </c>
      <c r="AE161" t="s">
        <v>3223</v>
      </c>
      <c r="AF161" t="s">
        <v>1783</v>
      </c>
      <c r="AG161">
        <v>11</v>
      </c>
      <c r="AH161">
        <v>1</v>
      </c>
      <c r="AI161">
        <v>0</v>
      </c>
      <c r="AJ161">
        <v>72.63</v>
      </c>
      <c r="AM161" t="s">
        <v>3248</v>
      </c>
      <c r="AN161">
        <v>9072</v>
      </c>
    </row>
    <row r="162" spans="1:45">
      <c r="A162" s="1">
        <f>HYPERLINK("https://lsnyc.legalserver.org/matter/dynamic-profile/view/1878104","18-1878104")</f>
        <v>0</v>
      </c>
      <c r="B162" t="s">
        <v>101</v>
      </c>
      <c r="C162" t="s">
        <v>204</v>
      </c>
      <c r="D162" t="s">
        <v>155</v>
      </c>
      <c r="E162" t="s">
        <v>388</v>
      </c>
      <c r="F162" t="s">
        <v>818</v>
      </c>
      <c r="G162" t="s">
        <v>1256</v>
      </c>
      <c r="H162" t="s">
        <v>1551</v>
      </c>
      <c r="I162" t="s">
        <v>1749</v>
      </c>
      <c r="J162">
        <v>11237</v>
      </c>
      <c r="K162" t="s">
        <v>1779</v>
      </c>
      <c r="L162" t="s">
        <v>1781</v>
      </c>
      <c r="M162" t="s">
        <v>1782</v>
      </c>
      <c r="N162" t="s">
        <v>1867</v>
      </c>
      <c r="O162" t="s">
        <v>2030</v>
      </c>
      <c r="P162" t="s">
        <v>2051</v>
      </c>
      <c r="Q162" t="s">
        <v>2058</v>
      </c>
      <c r="R162" t="s">
        <v>2062</v>
      </c>
      <c r="S162" t="s">
        <v>1780</v>
      </c>
      <c r="T162" t="s">
        <v>2065</v>
      </c>
      <c r="V162" t="s">
        <v>135</v>
      </c>
      <c r="W162">
        <v>0</v>
      </c>
      <c r="X162" t="s">
        <v>2088</v>
      </c>
      <c r="Z162" t="s">
        <v>2114</v>
      </c>
      <c r="AA162" t="s">
        <v>2274</v>
      </c>
      <c r="AC162" t="s">
        <v>2869</v>
      </c>
      <c r="AD162">
        <v>0</v>
      </c>
      <c r="AG162">
        <v>0</v>
      </c>
      <c r="AH162">
        <v>1</v>
      </c>
      <c r="AI162">
        <v>0</v>
      </c>
      <c r="AJ162">
        <v>72.65000000000001</v>
      </c>
      <c r="AM162" t="s">
        <v>3248</v>
      </c>
      <c r="AN162">
        <v>8820</v>
      </c>
      <c r="AP162" t="s">
        <v>3286</v>
      </c>
      <c r="AQ162" t="s">
        <v>3291</v>
      </c>
      <c r="AR162" t="s">
        <v>3294</v>
      </c>
      <c r="AS162" t="s">
        <v>3307</v>
      </c>
    </row>
    <row r="163" spans="1:45">
      <c r="A163" s="1">
        <f>HYPERLINK("https://lsnyc.legalserver.org/matter/dynamic-profile/view/1908646","19-1908646")</f>
        <v>0</v>
      </c>
      <c r="B163" t="s">
        <v>102</v>
      </c>
      <c r="C163" t="s">
        <v>182</v>
      </c>
      <c r="E163" t="s">
        <v>389</v>
      </c>
      <c r="F163" t="s">
        <v>804</v>
      </c>
      <c r="G163" t="s">
        <v>1257</v>
      </c>
      <c r="I163" t="s">
        <v>1756</v>
      </c>
      <c r="J163">
        <v>11354</v>
      </c>
      <c r="K163" t="s">
        <v>1779</v>
      </c>
      <c r="L163" t="s">
        <v>1781</v>
      </c>
      <c r="M163" t="s">
        <v>1782</v>
      </c>
      <c r="N163" t="s">
        <v>1868</v>
      </c>
      <c r="O163" t="s">
        <v>2030</v>
      </c>
      <c r="P163" t="s">
        <v>2051</v>
      </c>
      <c r="R163" t="s">
        <v>2062</v>
      </c>
      <c r="S163" t="s">
        <v>1780</v>
      </c>
      <c r="T163" t="s">
        <v>2065</v>
      </c>
      <c r="U163" t="s">
        <v>2073</v>
      </c>
      <c r="V163" t="s">
        <v>182</v>
      </c>
      <c r="W163">
        <v>2400</v>
      </c>
      <c r="X163" t="s">
        <v>2087</v>
      </c>
      <c r="Y163" t="s">
        <v>2092</v>
      </c>
      <c r="AA163" t="s">
        <v>2275</v>
      </c>
      <c r="AB163" t="s">
        <v>2707</v>
      </c>
      <c r="AD163">
        <v>3</v>
      </c>
      <c r="AE163" t="s">
        <v>3222</v>
      </c>
      <c r="AF163" t="s">
        <v>2094</v>
      </c>
      <c r="AG163">
        <v>1</v>
      </c>
      <c r="AH163">
        <v>2</v>
      </c>
      <c r="AI163">
        <v>4</v>
      </c>
      <c r="AJ163">
        <v>72.84999999999999</v>
      </c>
      <c r="AM163" t="s">
        <v>3249</v>
      </c>
      <c r="AN163">
        <v>25200</v>
      </c>
    </row>
    <row r="164" spans="1:45">
      <c r="A164" s="1">
        <f>HYPERLINK("https://lsnyc.legalserver.org/matter/dynamic-profile/view/1910208","19-1910208")</f>
        <v>0</v>
      </c>
      <c r="B164" t="s">
        <v>103</v>
      </c>
      <c r="C164" t="s">
        <v>203</v>
      </c>
      <c r="E164" t="s">
        <v>390</v>
      </c>
      <c r="F164" t="s">
        <v>819</v>
      </c>
      <c r="G164" t="s">
        <v>1258</v>
      </c>
      <c r="H164" t="s">
        <v>1543</v>
      </c>
      <c r="I164" t="s">
        <v>1754</v>
      </c>
      <c r="J164">
        <v>10035</v>
      </c>
      <c r="K164" t="s">
        <v>1779</v>
      </c>
      <c r="L164" t="s">
        <v>1781</v>
      </c>
      <c r="M164" t="s">
        <v>1782</v>
      </c>
      <c r="N164" t="s">
        <v>1869</v>
      </c>
      <c r="O164" t="s">
        <v>2030</v>
      </c>
      <c r="P164" t="s">
        <v>2052</v>
      </c>
      <c r="R164" t="s">
        <v>2062</v>
      </c>
      <c r="S164" t="s">
        <v>1780</v>
      </c>
      <c r="T164" t="s">
        <v>2065</v>
      </c>
      <c r="V164" t="s">
        <v>203</v>
      </c>
      <c r="W164">
        <v>1620.05</v>
      </c>
      <c r="X164" t="s">
        <v>2091</v>
      </c>
      <c r="Y164" t="s">
        <v>2100</v>
      </c>
      <c r="AA164" t="s">
        <v>2276</v>
      </c>
      <c r="AC164" t="s">
        <v>2870</v>
      </c>
      <c r="AD164">
        <v>0</v>
      </c>
      <c r="AE164" t="s">
        <v>3223</v>
      </c>
      <c r="AF164" t="s">
        <v>3236</v>
      </c>
      <c r="AG164">
        <v>12</v>
      </c>
      <c r="AH164">
        <v>1</v>
      </c>
      <c r="AI164">
        <v>0</v>
      </c>
      <c r="AJ164">
        <v>72.86</v>
      </c>
      <c r="AM164" t="s">
        <v>3248</v>
      </c>
      <c r="AN164">
        <v>9100</v>
      </c>
    </row>
    <row r="165" spans="1:45">
      <c r="A165" s="1">
        <f>HYPERLINK("https://lsnyc.legalserver.org/matter/dynamic-profile/view/1909360","19-1909360")</f>
        <v>0</v>
      </c>
      <c r="B165" t="s">
        <v>86</v>
      </c>
      <c r="C165" t="s">
        <v>141</v>
      </c>
      <c r="D165" t="s">
        <v>164</v>
      </c>
      <c r="E165" t="s">
        <v>391</v>
      </c>
      <c r="F165" t="s">
        <v>820</v>
      </c>
      <c r="G165" t="s">
        <v>1259</v>
      </c>
      <c r="H165" t="s">
        <v>1624</v>
      </c>
      <c r="I165" t="s">
        <v>1752</v>
      </c>
      <c r="J165">
        <v>10458</v>
      </c>
      <c r="K165" t="s">
        <v>1779</v>
      </c>
      <c r="L165" t="s">
        <v>1781</v>
      </c>
      <c r="M165" t="s">
        <v>1782</v>
      </c>
      <c r="N165" t="s">
        <v>1870</v>
      </c>
      <c r="O165" t="s">
        <v>2029</v>
      </c>
      <c r="P165" t="s">
        <v>2050</v>
      </c>
      <c r="Q165" t="s">
        <v>2057</v>
      </c>
      <c r="R165" t="s">
        <v>2062</v>
      </c>
      <c r="S165" t="s">
        <v>1780</v>
      </c>
      <c r="T165" t="s">
        <v>2065</v>
      </c>
      <c r="V165" t="s">
        <v>159</v>
      </c>
      <c r="W165">
        <v>1150</v>
      </c>
      <c r="X165" t="s">
        <v>2089</v>
      </c>
      <c r="Y165" t="s">
        <v>2100</v>
      </c>
      <c r="Z165" t="s">
        <v>2110</v>
      </c>
      <c r="AA165" t="s">
        <v>2277</v>
      </c>
      <c r="AC165" t="s">
        <v>2871</v>
      </c>
      <c r="AD165">
        <v>94</v>
      </c>
      <c r="AE165" t="s">
        <v>3223</v>
      </c>
      <c r="AF165" t="s">
        <v>3241</v>
      </c>
      <c r="AG165">
        <v>8</v>
      </c>
      <c r="AH165">
        <v>1</v>
      </c>
      <c r="AI165">
        <v>0</v>
      </c>
      <c r="AJ165">
        <v>72.90000000000001</v>
      </c>
      <c r="AM165" t="s">
        <v>3249</v>
      </c>
      <c r="AN165">
        <v>9105.360000000001</v>
      </c>
    </row>
    <row r="166" spans="1:45">
      <c r="A166" s="1">
        <f>HYPERLINK("https://lsnyc.legalserver.org/matter/dynamic-profile/view/1906045","19-1906045")</f>
        <v>0</v>
      </c>
      <c r="B166" t="s">
        <v>93</v>
      </c>
      <c r="C166" t="s">
        <v>146</v>
      </c>
      <c r="D166" t="s">
        <v>140</v>
      </c>
      <c r="E166" t="s">
        <v>392</v>
      </c>
      <c r="F166" t="s">
        <v>821</v>
      </c>
      <c r="G166" t="s">
        <v>1260</v>
      </c>
      <c r="H166" t="s">
        <v>1609</v>
      </c>
      <c r="I166" t="s">
        <v>1752</v>
      </c>
      <c r="J166">
        <v>10467</v>
      </c>
      <c r="K166" t="s">
        <v>1779</v>
      </c>
      <c r="L166" t="s">
        <v>1781</v>
      </c>
      <c r="M166" t="s">
        <v>1782</v>
      </c>
      <c r="N166" t="s">
        <v>1871</v>
      </c>
      <c r="O166" t="s">
        <v>2032</v>
      </c>
      <c r="P166" t="s">
        <v>2055</v>
      </c>
      <c r="Q166" t="s">
        <v>2059</v>
      </c>
      <c r="R166" t="s">
        <v>2062</v>
      </c>
      <c r="S166" t="s">
        <v>1780</v>
      </c>
      <c r="T166" t="s">
        <v>2066</v>
      </c>
      <c r="V166" t="s">
        <v>161</v>
      </c>
      <c r="W166">
        <v>811</v>
      </c>
      <c r="X166" t="s">
        <v>2089</v>
      </c>
      <c r="Y166" t="s">
        <v>2101</v>
      </c>
      <c r="Z166" t="s">
        <v>2110</v>
      </c>
      <c r="AA166" t="s">
        <v>2278</v>
      </c>
      <c r="AC166" t="s">
        <v>2872</v>
      </c>
      <c r="AD166">
        <v>53</v>
      </c>
      <c r="AE166" t="s">
        <v>3223</v>
      </c>
      <c r="AF166" t="s">
        <v>3238</v>
      </c>
      <c r="AG166">
        <v>42</v>
      </c>
      <c r="AH166">
        <v>1</v>
      </c>
      <c r="AI166">
        <v>0</v>
      </c>
      <c r="AJ166">
        <v>73.02</v>
      </c>
      <c r="AM166" t="s">
        <v>3249</v>
      </c>
      <c r="AN166">
        <v>9120</v>
      </c>
    </row>
    <row r="167" spans="1:45">
      <c r="A167" s="1">
        <f>HYPERLINK("https://lsnyc.legalserver.org/matter/dynamic-profile/view/1904525","19-1904525")</f>
        <v>0</v>
      </c>
      <c r="B167" t="s">
        <v>93</v>
      </c>
      <c r="C167" t="s">
        <v>169</v>
      </c>
      <c r="D167" t="s">
        <v>145</v>
      </c>
      <c r="E167" t="s">
        <v>393</v>
      </c>
      <c r="F167" t="s">
        <v>821</v>
      </c>
      <c r="G167" t="s">
        <v>1260</v>
      </c>
      <c r="H167" t="s">
        <v>1609</v>
      </c>
      <c r="I167" t="s">
        <v>1752</v>
      </c>
      <c r="J167">
        <v>10467</v>
      </c>
      <c r="K167" t="s">
        <v>1779</v>
      </c>
      <c r="L167" t="s">
        <v>1781</v>
      </c>
      <c r="M167" t="s">
        <v>1782</v>
      </c>
      <c r="N167" t="s">
        <v>1871</v>
      </c>
      <c r="O167" t="s">
        <v>2029</v>
      </c>
      <c r="P167" t="s">
        <v>2051</v>
      </c>
      <c r="Q167" t="s">
        <v>2058</v>
      </c>
      <c r="R167" t="s">
        <v>2062</v>
      </c>
      <c r="S167" t="s">
        <v>1780</v>
      </c>
      <c r="T167" t="s">
        <v>2065</v>
      </c>
      <c r="U167" t="s">
        <v>2073</v>
      </c>
      <c r="V167" t="s">
        <v>213</v>
      </c>
      <c r="W167">
        <v>811</v>
      </c>
      <c r="X167" t="s">
        <v>2089</v>
      </c>
      <c r="Y167" t="s">
        <v>2101</v>
      </c>
      <c r="Z167" t="s">
        <v>2111</v>
      </c>
      <c r="AA167" t="s">
        <v>2278</v>
      </c>
      <c r="AC167" t="s">
        <v>2872</v>
      </c>
      <c r="AD167">
        <v>53</v>
      </c>
      <c r="AE167" t="s">
        <v>3223</v>
      </c>
      <c r="AF167" t="s">
        <v>3238</v>
      </c>
      <c r="AG167">
        <v>42</v>
      </c>
      <c r="AH167">
        <v>1</v>
      </c>
      <c r="AI167">
        <v>0</v>
      </c>
      <c r="AJ167">
        <v>73.02</v>
      </c>
      <c r="AM167" t="s">
        <v>3249</v>
      </c>
      <c r="AN167">
        <v>9120</v>
      </c>
      <c r="AQ167" t="s">
        <v>3290</v>
      </c>
      <c r="AR167" t="s">
        <v>3294</v>
      </c>
      <c r="AS167" t="s">
        <v>3301</v>
      </c>
    </row>
    <row r="168" spans="1:45">
      <c r="A168" s="1">
        <f>HYPERLINK("https://lsnyc.legalserver.org/matter/dynamic-profile/view/1904528","19-1904528")</f>
        <v>0</v>
      </c>
      <c r="B168" t="s">
        <v>93</v>
      </c>
      <c r="C168" t="s">
        <v>169</v>
      </c>
      <c r="D168" t="s">
        <v>162</v>
      </c>
      <c r="E168" t="s">
        <v>393</v>
      </c>
      <c r="F168" t="s">
        <v>821</v>
      </c>
      <c r="G168" t="s">
        <v>1260</v>
      </c>
      <c r="H168" t="s">
        <v>1609</v>
      </c>
      <c r="I168" t="s">
        <v>1752</v>
      </c>
      <c r="J168">
        <v>10467</v>
      </c>
      <c r="K168" t="s">
        <v>1779</v>
      </c>
      <c r="L168" t="s">
        <v>1781</v>
      </c>
      <c r="M168" t="s">
        <v>1782</v>
      </c>
      <c r="N168" t="s">
        <v>1871</v>
      </c>
      <c r="O168" t="s">
        <v>2035</v>
      </c>
      <c r="P168" t="s">
        <v>2055</v>
      </c>
      <c r="Q168" t="s">
        <v>2059</v>
      </c>
      <c r="R168" t="s">
        <v>2062</v>
      </c>
      <c r="S168" t="s">
        <v>1780</v>
      </c>
      <c r="T168" t="s">
        <v>2066</v>
      </c>
      <c r="V168" t="s">
        <v>213</v>
      </c>
      <c r="W168">
        <v>811</v>
      </c>
      <c r="X168" t="s">
        <v>2089</v>
      </c>
      <c r="Y168" t="s">
        <v>2101</v>
      </c>
      <c r="Z168" t="s">
        <v>2116</v>
      </c>
      <c r="AA168" t="s">
        <v>2278</v>
      </c>
      <c r="AC168" t="s">
        <v>2872</v>
      </c>
      <c r="AD168">
        <v>53</v>
      </c>
      <c r="AE168" t="s">
        <v>3223</v>
      </c>
      <c r="AF168" t="s">
        <v>3238</v>
      </c>
      <c r="AG168">
        <v>42</v>
      </c>
      <c r="AH168">
        <v>1</v>
      </c>
      <c r="AI168">
        <v>0</v>
      </c>
      <c r="AJ168">
        <v>73.02</v>
      </c>
      <c r="AM168" t="s">
        <v>3249</v>
      </c>
      <c r="AN168">
        <v>9120</v>
      </c>
    </row>
    <row r="169" spans="1:45">
      <c r="A169" s="1">
        <f>HYPERLINK("https://lsnyc.legalserver.org/matter/dynamic-profile/view/1906523","19-1906523")</f>
        <v>0</v>
      </c>
      <c r="B169" t="s">
        <v>55</v>
      </c>
      <c r="C169" t="s">
        <v>205</v>
      </c>
      <c r="E169" t="s">
        <v>394</v>
      </c>
      <c r="F169" t="s">
        <v>822</v>
      </c>
      <c r="G169" t="s">
        <v>1261</v>
      </c>
      <c r="H169" t="s">
        <v>1552</v>
      </c>
      <c r="I169" t="s">
        <v>1749</v>
      </c>
      <c r="J169">
        <v>11212</v>
      </c>
      <c r="K169" t="s">
        <v>1779</v>
      </c>
      <c r="L169" t="s">
        <v>1781</v>
      </c>
      <c r="M169" t="s">
        <v>1782</v>
      </c>
      <c r="N169" t="s">
        <v>1872</v>
      </c>
      <c r="O169" t="s">
        <v>2030</v>
      </c>
      <c r="P169" t="s">
        <v>2051</v>
      </c>
      <c r="R169" t="s">
        <v>2062</v>
      </c>
      <c r="S169" t="s">
        <v>1780</v>
      </c>
      <c r="T169" t="s">
        <v>2065</v>
      </c>
      <c r="U169" t="s">
        <v>2075</v>
      </c>
      <c r="V169" t="s">
        <v>139</v>
      </c>
      <c r="W169">
        <v>2001</v>
      </c>
      <c r="X169" t="s">
        <v>2088</v>
      </c>
      <c r="Y169" t="s">
        <v>2104</v>
      </c>
      <c r="AA169" t="s">
        <v>2279</v>
      </c>
      <c r="AB169" t="s">
        <v>1799</v>
      </c>
      <c r="AC169" t="s">
        <v>2873</v>
      </c>
      <c r="AD169">
        <v>74</v>
      </c>
      <c r="AE169" t="s">
        <v>3226</v>
      </c>
      <c r="AF169" t="s">
        <v>3237</v>
      </c>
      <c r="AG169">
        <v>11</v>
      </c>
      <c r="AH169">
        <v>2</v>
      </c>
      <c r="AI169">
        <v>1</v>
      </c>
      <c r="AJ169">
        <v>73.14</v>
      </c>
      <c r="AM169" t="s">
        <v>3248</v>
      </c>
      <c r="AN169">
        <v>15600</v>
      </c>
    </row>
    <row r="170" spans="1:45">
      <c r="A170" s="1">
        <f>HYPERLINK("https://lsnyc.legalserver.org/matter/dynamic-profile/view/1904758","19-1904758")</f>
        <v>0</v>
      </c>
      <c r="B170" t="s">
        <v>63</v>
      </c>
      <c r="C170" t="s">
        <v>162</v>
      </c>
      <c r="E170" t="s">
        <v>312</v>
      </c>
      <c r="F170" t="s">
        <v>823</v>
      </c>
      <c r="G170" t="s">
        <v>1262</v>
      </c>
      <c r="H170" t="s">
        <v>1564</v>
      </c>
      <c r="I170" t="s">
        <v>1752</v>
      </c>
      <c r="J170">
        <v>10474</v>
      </c>
      <c r="K170" t="s">
        <v>1779</v>
      </c>
      <c r="L170" t="s">
        <v>1781</v>
      </c>
      <c r="M170" t="s">
        <v>1782</v>
      </c>
      <c r="O170" t="s">
        <v>2029</v>
      </c>
      <c r="P170" t="s">
        <v>2054</v>
      </c>
      <c r="R170" t="s">
        <v>2062</v>
      </c>
      <c r="S170" t="s">
        <v>1780</v>
      </c>
      <c r="T170" t="s">
        <v>2065</v>
      </c>
      <c r="U170" t="s">
        <v>2073</v>
      </c>
      <c r="V170" t="s">
        <v>161</v>
      </c>
      <c r="W170">
        <v>912.41</v>
      </c>
      <c r="X170" t="s">
        <v>2089</v>
      </c>
      <c r="Y170" t="s">
        <v>2101</v>
      </c>
      <c r="AA170" t="s">
        <v>2280</v>
      </c>
      <c r="AD170">
        <v>60</v>
      </c>
      <c r="AE170" t="s">
        <v>3223</v>
      </c>
      <c r="AF170" t="s">
        <v>1783</v>
      </c>
      <c r="AG170">
        <v>15</v>
      </c>
      <c r="AH170">
        <v>3</v>
      </c>
      <c r="AI170">
        <v>0</v>
      </c>
      <c r="AJ170">
        <v>73.14</v>
      </c>
      <c r="AM170" t="s">
        <v>3249</v>
      </c>
      <c r="AN170">
        <v>15600</v>
      </c>
    </row>
    <row r="171" spans="1:45">
      <c r="A171" s="1">
        <f>HYPERLINK("https://lsnyc.legalserver.org/matter/dynamic-profile/view/1908586","19-1908586")</f>
        <v>0</v>
      </c>
      <c r="B171" t="s">
        <v>70</v>
      </c>
      <c r="C171" t="s">
        <v>182</v>
      </c>
      <c r="E171" t="s">
        <v>395</v>
      </c>
      <c r="F171" t="s">
        <v>824</v>
      </c>
      <c r="G171" t="s">
        <v>1263</v>
      </c>
      <c r="H171" t="s">
        <v>1625</v>
      </c>
      <c r="I171" t="s">
        <v>1754</v>
      </c>
      <c r="J171">
        <v>10035</v>
      </c>
      <c r="K171" t="s">
        <v>1779</v>
      </c>
      <c r="L171" t="s">
        <v>1781</v>
      </c>
      <c r="M171" t="s">
        <v>1782</v>
      </c>
      <c r="N171" t="s">
        <v>1873</v>
      </c>
      <c r="O171" t="s">
        <v>2030</v>
      </c>
      <c r="P171" t="s">
        <v>2051</v>
      </c>
      <c r="R171" t="s">
        <v>2062</v>
      </c>
      <c r="S171" t="s">
        <v>1779</v>
      </c>
      <c r="T171" t="s">
        <v>2065</v>
      </c>
      <c r="U171" t="s">
        <v>2073</v>
      </c>
      <c r="V171" t="s">
        <v>152</v>
      </c>
      <c r="W171">
        <v>1630.81</v>
      </c>
      <c r="X171" t="s">
        <v>2091</v>
      </c>
      <c r="Y171" t="s">
        <v>2096</v>
      </c>
      <c r="AA171" t="s">
        <v>2281</v>
      </c>
      <c r="AC171" t="s">
        <v>2874</v>
      </c>
      <c r="AD171">
        <v>72</v>
      </c>
      <c r="AE171" t="s">
        <v>3223</v>
      </c>
      <c r="AF171" t="s">
        <v>3236</v>
      </c>
      <c r="AG171">
        <v>19</v>
      </c>
      <c r="AH171">
        <v>2</v>
      </c>
      <c r="AI171">
        <v>2</v>
      </c>
      <c r="AJ171">
        <v>73.70999999999999</v>
      </c>
      <c r="AM171" t="s">
        <v>3248</v>
      </c>
      <c r="AN171">
        <v>18980</v>
      </c>
    </row>
    <row r="172" spans="1:45">
      <c r="A172" s="1">
        <f>HYPERLINK("https://lsnyc.legalserver.org/matter/dynamic-profile/view/1910139","19-1910139")</f>
        <v>0</v>
      </c>
      <c r="B172" t="s">
        <v>62</v>
      </c>
      <c r="C172" t="s">
        <v>177</v>
      </c>
      <c r="E172" t="s">
        <v>396</v>
      </c>
      <c r="F172" t="s">
        <v>825</v>
      </c>
      <c r="G172" t="s">
        <v>1264</v>
      </c>
      <c r="H172" t="s">
        <v>1626</v>
      </c>
      <c r="I172" t="s">
        <v>1752</v>
      </c>
      <c r="J172">
        <v>10451</v>
      </c>
      <c r="K172" t="s">
        <v>1779</v>
      </c>
      <c r="L172" t="s">
        <v>1781</v>
      </c>
      <c r="M172" t="s">
        <v>1782</v>
      </c>
      <c r="O172" t="s">
        <v>1793</v>
      </c>
      <c r="P172" t="s">
        <v>2050</v>
      </c>
      <c r="R172" t="s">
        <v>2062</v>
      </c>
      <c r="S172" t="s">
        <v>1780</v>
      </c>
      <c r="T172" t="s">
        <v>2065</v>
      </c>
      <c r="V172" t="s">
        <v>180</v>
      </c>
      <c r="W172">
        <v>1061</v>
      </c>
      <c r="X172" t="s">
        <v>2089</v>
      </c>
      <c r="Y172" t="s">
        <v>2100</v>
      </c>
      <c r="AA172" t="s">
        <v>2282</v>
      </c>
      <c r="AC172" t="s">
        <v>2875</v>
      </c>
      <c r="AD172">
        <v>176</v>
      </c>
      <c r="AE172" t="s">
        <v>3223</v>
      </c>
      <c r="AF172" t="s">
        <v>3243</v>
      </c>
      <c r="AG172">
        <v>3</v>
      </c>
      <c r="AH172">
        <v>2</v>
      </c>
      <c r="AI172">
        <v>0</v>
      </c>
      <c r="AJ172">
        <v>73.73</v>
      </c>
      <c r="AM172" t="s">
        <v>3248</v>
      </c>
      <c r="AN172">
        <v>12468</v>
      </c>
    </row>
    <row r="173" spans="1:45">
      <c r="A173" s="1">
        <f>HYPERLINK("https://lsnyc.legalserver.org/matter/dynamic-profile/view/1908585","19-1908585")</f>
        <v>0</v>
      </c>
      <c r="B173" t="s">
        <v>70</v>
      </c>
      <c r="C173" t="s">
        <v>182</v>
      </c>
      <c r="E173" t="s">
        <v>397</v>
      </c>
      <c r="F173" t="s">
        <v>744</v>
      </c>
      <c r="G173" t="s">
        <v>1265</v>
      </c>
      <c r="H173" t="s">
        <v>1627</v>
      </c>
      <c r="I173" t="s">
        <v>1754</v>
      </c>
      <c r="J173">
        <v>10035</v>
      </c>
      <c r="K173" t="s">
        <v>1779</v>
      </c>
      <c r="L173" t="s">
        <v>1781</v>
      </c>
      <c r="M173" t="s">
        <v>1782</v>
      </c>
      <c r="O173" t="s">
        <v>1793</v>
      </c>
      <c r="P173" t="s">
        <v>2050</v>
      </c>
      <c r="R173" t="s">
        <v>2062</v>
      </c>
      <c r="S173" t="s">
        <v>1780</v>
      </c>
      <c r="T173" t="s">
        <v>2065</v>
      </c>
      <c r="U173" t="s">
        <v>2073</v>
      </c>
      <c r="V173" t="s">
        <v>208</v>
      </c>
      <c r="W173">
        <v>354</v>
      </c>
      <c r="X173" t="s">
        <v>2091</v>
      </c>
      <c r="Y173" t="s">
        <v>2096</v>
      </c>
      <c r="AA173" t="s">
        <v>2283</v>
      </c>
      <c r="AC173" t="s">
        <v>2876</v>
      </c>
      <c r="AD173">
        <v>24</v>
      </c>
      <c r="AE173" t="s">
        <v>2704</v>
      </c>
      <c r="AF173" t="s">
        <v>1783</v>
      </c>
      <c r="AG173">
        <v>33</v>
      </c>
      <c r="AH173">
        <v>1</v>
      </c>
      <c r="AI173">
        <v>0</v>
      </c>
      <c r="AJ173">
        <v>73.79000000000001</v>
      </c>
      <c r="AM173" t="s">
        <v>3249</v>
      </c>
      <c r="AN173">
        <v>9216</v>
      </c>
    </row>
    <row r="174" spans="1:45">
      <c r="A174" s="1">
        <f>HYPERLINK("https://lsnyc.legalserver.org/matter/dynamic-profile/view/1908100","19-1908100")</f>
        <v>0</v>
      </c>
      <c r="B174" t="s">
        <v>55</v>
      </c>
      <c r="C174" t="s">
        <v>171</v>
      </c>
      <c r="E174" t="s">
        <v>398</v>
      </c>
      <c r="F174" t="s">
        <v>826</v>
      </c>
      <c r="G174" t="s">
        <v>1266</v>
      </c>
      <c r="H174" t="s">
        <v>1628</v>
      </c>
      <c r="I174" t="s">
        <v>1749</v>
      </c>
      <c r="J174">
        <v>11212</v>
      </c>
      <c r="K174" t="s">
        <v>1779</v>
      </c>
      <c r="L174" t="s">
        <v>1781</v>
      </c>
      <c r="M174" t="s">
        <v>1782</v>
      </c>
      <c r="N174" t="s">
        <v>1874</v>
      </c>
      <c r="O174" t="s">
        <v>2030</v>
      </c>
      <c r="P174" t="s">
        <v>2051</v>
      </c>
      <c r="R174" t="s">
        <v>2062</v>
      </c>
      <c r="S174" t="s">
        <v>1780</v>
      </c>
      <c r="T174" t="s">
        <v>2065</v>
      </c>
      <c r="U174" t="s">
        <v>2073</v>
      </c>
      <c r="V174" t="s">
        <v>159</v>
      </c>
      <c r="W174">
        <v>1027</v>
      </c>
      <c r="X174" t="s">
        <v>2088</v>
      </c>
      <c r="AA174" t="s">
        <v>2284</v>
      </c>
      <c r="AB174" t="s">
        <v>2666</v>
      </c>
      <c r="AC174" t="s">
        <v>2877</v>
      </c>
      <c r="AD174">
        <v>260</v>
      </c>
      <c r="AE174" t="s">
        <v>3226</v>
      </c>
      <c r="AF174" t="s">
        <v>3237</v>
      </c>
      <c r="AG174">
        <v>17</v>
      </c>
      <c r="AH174">
        <v>1</v>
      </c>
      <c r="AI174">
        <v>0</v>
      </c>
      <c r="AJ174">
        <v>74.08</v>
      </c>
      <c r="AM174" t="s">
        <v>3248</v>
      </c>
      <c r="AN174">
        <v>9252</v>
      </c>
    </row>
    <row r="175" spans="1:45">
      <c r="A175" s="1">
        <f>HYPERLINK("https://lsnyc.legalserver.org/matter/dynamic-profile/view/1907182","19-1907182")</f>
        <v>0</v>
      </c>
      <c r="B175" t="s">
        <v>104</v>
      </c>
      <c r="C175" t="s">
        <v>160</v>
      </c>
      <c r="E175" t="s">
        <v>399</v>
      </c>
      <c r="F175" t="s">
        <v>827</v>
      </c>
      <c r="G175" t="s">
        <v>1267</v>
      </c>
      <c r="H175" t="s">
        <v>1629</v>
      </c>
      <c r="I175" t="s">
        <v>1753</v>
      </c>
      <c r="J175">
        <v>10301</v>
      </c>
      <c r="K175" t="s">
        <v>1779</v>
      </c>
      <c r="L175" t="s">
        <v>1781</v>
      </c>
      <c r="M175" t="s">
        <v>1782</v>
      </c>
      <c r="N175" t="s">
        <v>1875</v>
      </c>
      <c r="O175" t="s">
        <v>2030</v>
      </c>
      <c r="P175" t="s">
        <v>2051</v>
      </c>
      <c r="R175" t="s">
        <v>2062</v>
      </c>
      <c r="S175" t="s">
        <v>1780</v>
      </c>
      <c r="T175" t="s">
        <v>2069</v>
      </c>
      <c r="U175" t="s">
        <v>2073</v>
      </c>
      <c r="V175" t="s">
        <v>160</v>
      </c>
      <c r="W175">
        <v>215</v>
      </c>
      <c r="X175" t="s">
        <v>2090</v>
      </c>
      <c r="Y175" t="s">
        <v>2104</v>
      </c>
      <c r="AA175" t="s">
        <v>2285</v>
      </c>
      <c r="AC175" t="s">
        <v>2878</v>
      </c>
      <c r="AD175">
        <v>454</v>
      </c>
      <c r="AE175" t="s">
        <v>3225</v>
      </c>
      <c r="AF175" t="s">
        <v>3236</v>
      </c>
      <c r="AG175">
        <v>37</v>
      </c>
      <c r="AH175">
        <v>1</v>
      </c>
      <c r="AI175">
        <v>0</v>
      </c>
      <c r="AJ175">
        <v>74.08</v>
      </c>
      <c r="AM175" t="s">
        <v>3248</v>
      </c>
      <c r="AN175">
        <v>9252</v>
      </c>
    </row>
    <row r="176" spans="1:45">
      <c r="A176" s="1">
        <f>HYPERLINK("https://lsnyc.legalserver.org/matter/dynamic-profile/view/1910361","19-1910361")</f>
        <v>0</v>
      </c>
      <c r="B176" t="s">
        <v>105</v>
      </c>
      <c r="C176" t="s">
        <v>150</v>
      </c>
      <c r="E176" t="s">
        <v>330</v>
      </c>
      <c r="F176" t="s">
        <v>698</v>
      </c>
      <c r="G176" t="s">
        <v>1268</v>
      </c>
      <c r="H176" t="s">
        <v>1564</v>
      </c>
      <c r="I176" t="s">
        <v>1766</v>
      </c>
      <c r="J176">
        <v>10002</v>
      </c>
      <c r="K176" t="s">
        <v>1779</v>
      </c>
      <c r="L176" t="s">
        <v>1781</v>
      </c>
      <c r="M176" t="s">
        <v>1782</v>
      </c>
      <c r="O176" t="s">
        <v>1793</v>
      </c>
      <c r="P176" t="s">
        <v>2052</v>
      </c>
      <c r="R176" t="s">
        <v>2062</v>
      </c>
      <c r="S176" t="s">
        <v>1780</v>
      </c>
      <c r="T176" t="s">
        <v>2065</v>
      </c>
      <c r="V176" t="s">
        <v>150</v>
      </c>
      <c r="W176">
        <v>250</v>
      </c>
      <c r="X176" t="s">
        <v>2091</v>
      </c>
      <c r="Y176" t="s">
        <v>2096</v>
      </c>
      <c r="AA176" t="s">
        <v>2286</v>
      </c>
      <c r="AC176" t="s">
        <v>2879</v>
      </c>
      <c r="AD176">
        <v>0</v>
      </c>
      <c r="AE176" t="s">
        <v>2704</v>
      </c>
      <c r="AF176" t="s">
        <v>3236</v>
      </c>
      <c r="AG176">
        <v>41</v>
      </c>
      <c r="AH176">
        <v>1</v>
      </c>
      <c r="AI176">
        <v>0</v>
      </c>
      <c r="AJ176">
        <v>74.08</v>
      </c>
      <c r="AM176" t="s">
        <v>3248</v>
      </c>
      <c r="AN176">
        <v>9252</v>
      </c>
    </row>
    <row r="177" spans="1:45">
      <c r="A177" s="1">
        <f>HYPERLINK("https://lsnyc.legalserver.org/matter/dynamic-profile/view/1908436","19-1908436")</f>
        <v>0</v>
      </c>
      <c r="B177" t="s">
        <v>85</v>
      </c>
      <c r="C177" t="s">
        <v>164</v>
      </c>
      <c r="E177" t="s">
        <v>400</v>
      </c>
      <c r="F177" t="s">
        <v>770</v>
      </c>
      <c r="G177" t="s">
        <v>1269</v>
      </c>
      <c r="H177" t="s">
        <v>1630</v>
      </c>
      <c r="I177" t="s">
        <v>1753</v>
      </c>
      <c r="J177">
        <v>10304</v>
      </c>
      <c r="K177" t="s">
        <v>1779</v>
      </c>
      <c r="L177" t="s">
        <v>1781</v>
      </c>
      <c r="M177" t="s">
        <v>1782</v>
      </c>
      <c r="N177" t="s">
        <v>1876</v>
      </c>
      <c r="O177" t="s">
        <v>2030</v>
      </c>
      <c r="P177" t="s">
        <v>2051</v>
      </c>
      <c r="R177" t="s">
        <v>2062</v>
      </c>
      <c r="S177" t="s">
        <v>1780</v>
      </c>
      <c r="T177" t="s">
        <v>2065</v>
      </c>
      <c r="U177" t="s">
        <v>2073</v>
      </c>
      <c r="V177" t="s">
        <v>141</v>
      </c>
      <c r="W177">
        <v>169</v>
      </c>
      <c r="X177" t="s">
        <v>2090</v>
      </c>
      <c r="Y177" t="s">
        <v>2102</v>
      </c>
      <c r="AA177" t="s">
        <v>2287</v>
      </c>
      <c r="AC177" t="s">
        <v>2880</v>
      </c>
      <c r="AD177">
        <v>305</v>
      </c>
      <c r="AE177" t="s">
        <v>3226</v>
      </c>
      <c r="AF177" t="s">
        <v>3236</v>
      </c>
      <c r="AG177">
        <v>18</v>
      </c>
      <c r="AH177">
        <v>1</v>
      </c>
      <c r="AI177">
        <v>0</v>
      </c>
      <c r="AJ177">
        <v>74.27</v>
      </c>
      <c r="AM177" t="s">
        <v>3248</v>
      </c>
      <c r="AN177">
        <v>9276</v>
      </c>
    </row>
    <row r="178" spans="1:45">
      <c r="A178" s="1">
        <f>HYPERLINK("https://lsnyc.legalserver.org/matter/dynamic-profile/view/1906584","19-1906584")</f>
        <v>0</v>
      </c>
      <c r="B178" t="s">
        <v>106</v>
      </c>
      <c r="C178" t="s">
        <v>165</v>
      </c>
      <c r="E178" t="s">
        <v>395</v>
      </c>
      <c r="F178" t="s">
        <v>682</v>
      </c>
      <c r="G178" t="s">
        <v>1270</v>
      </c>
      <c r="H178" t="s">
        <v>1631</v>
      </c>
      <c r="I178" t="s">
        <v>1752</v>
      </c>
      <c r="J178">
        <v>10452</v>
      </c>
      <c r="K178" t="s">
        <v>1779</v>
      </c>
      <c r="L178" t="s">
        <v>1781</v>
      </c>
      <c r="M178" t="s">
        <v>1782</v>
      </c>
      <c r="O178" t="s">
        <v>1793</v>
      </c>
      <c r="P178" t="s">
        <v>2050</v>
      </c>
      <c r="R178" t="s">
        <v>2062</v>
      </c>
      <c r="S178" t="s">
        <v>1780</v>
      </c>
      <c r="T178" t="s">
        <v>2065</v>
      </c>
      <c r="V178" t="s">
        <v>180</v>
      </c>
      <c r="W178">
        <v>640</v>
      </c>
      <c r="X178" t="s">
        <v>2089</v>
      </c>
      <c r="Y178" t="s">
        <v>2101</v>
      </c>
      <c r="AA178" t="s">
        <v>2288</v>
      </c>
      <c r="AC178" t="s">
        <v>2881</v>
      </c>
      <c r="AD178">
        <v>52</v>
      </c>
      <c r="AE178" t="s">
        <v>3223</v>
      </c>
      <c r="AF178" t="s">
        <v>3236</v>
      </c>
      <c r="AG178">
        <v>6</v>
      </c>
      <c r="AH178">
        <v>1</v>
      </c>
      <c r="AI178">
        <v>0</v>
      </c>
      <c r="AJ178">
        <v>74.36</v>
      </c>
      <c r="AM178" t="s">
        <v>3248</v>
      </c>
      <c r="AN178">
        <v>9288</v>
      </c>
    </row>
    <row r="179" spans="1:45">
      <c r="A179" s="1">
        <f>HYPERLINK("https://lsnyc.legalserver.org/matter/dynamic-profile/view/1906244","19-1906244")</f>
        <v>0</v>
      </c>
      <c r="B179" t="s">
        <v>57</v>
      </c>
      <c r="C179" t="s">
        <v>140</v>
      </c>
      <c r="D179" t="s">
        <v>138</v>
      </c>
      <c r="E179" t="s">
        <v>401</v>
      </c>
      <c r="F179" t="s">
        <v>828</v>
      </c>
      <c r="G179" t="s">
        <v>1271</v>
      </c>
      <c r="H179" t="s">
        <v>1554</v>
      </c>
      <c r="I179" t="s">
        <v>1749</v>
      </c>
      <c r="J179">
        <v>11233</v>
      </c>
      <c r="K179" t="s">
        <v>1779</v>
      </c>
      <c r="L179" t="s">
        <v>1781</v>
      </c>
      <c r="M179" t="s">
        <v>1782</v>
      </c>
      <c r="N179" t="s">
        <v>1792</v>
      </c>
      <c r="O179" t="s">
        <v>1793</v>
      </c>
      <c r="P179" t="s">
        <v>2055</v>
      </c>
      <c r="Q179" t="s">
        <v>2059</v>
      </c>
      <c r="R179" t="s">
        <v>2062</v>
      </c>
      <c r="S179" t="s">
        <v>1780</v>
      </c>
      <c r="T179" t="s">
        <v>2065</v>
      </c>
      <c r="V179" t="s">
        <v>140</v>
      </c>
      <c r="W179">
        <v>259</v>
      </c>
      <c r="X179" t="s">
        <v>2088</v>
      </c>
      <c r="Y179" t="s">
        <v>2101</v>
      </c>
      <c r="Z179" t="s">
        <v>2112</v>
      </c>
      <c r="AA179" t="s">
        <v>2289</v>
      </c>
      <c r="AD179">
        <v>6</v>
      </c>
      <c r="AE179" t="s">
        <v>3223</v>
      </c>
      <c r="AG179">
        <v>9</v>
      </c>
      <c r="AH179">
        <v>1</v>
      </c>
      <c r="AI179">
        <v>0</v>
      </c>
      <c r="AJ179">
        <v>74.45999999999999</v>
      </c>
      <c r="AM179" t="s">
        <v>3248</v>
      </c>
      <c r="AN179">
        <v>9300</v>
      </c>
    </row>
    <row r="180" spans="1:45">
      <c r="A180" s="1">
        <f>HYPERLINK("https://lsnyc.legalserver.org/matter/dynamic-profile/view/1910624","19-1910624")</f>
        <v>0</v>
      </c>
      <c r="B180" t="s">
        <v>58</v>
      </c>
      <c r="C180" t="s">
        <v>134</v>
      </c>
      <c r="E180" t="s">
        <v>402</v>
      </c>
      <c r="F180" t="s">
        <v>829</v>
      </c>
      <c r="G180" t="s">
        <v>1272</v>
      </c>
      <c r="H180" t="s">
        <v>1619</v>
      </c>
      <c r="I180" t="s">
        <v>1749</v>
      </c>
      <c r="J180">
        <v>11226</v>
      </c>
      <c r="K180" t="s">
        <v>1779</v>
      </c>
      <c r="L180" t="s">
        <v>1781</v>
      </c>
      <c r="R180" t="s">
        <v>2062</v>
      </c>
      <c r="T180" t="s">
        <v>2065</v>
      </c>
      <c r="V180" t="s">
        <v>238</v>
      </c>
      <c r="W180">
        <v>0</v>
      </c>
      <c r="X180" t="s">
        <v>2088</v>
      </c>
      <c r="AA180" t="s">
        <v>2290</v>
      </c>
      <c r="AD180">
        <v>0</v>
      </c>
      <c r="AG180">
        <v>0</v>
      </c>
      <c r="AH180">
        <v>2</v>
      </c>
      <c r="AI180">
        <v>0</v>
      </c>
      <c r="AJ180">
        <v>74.51000000000001</v>
      </c>
      <c r="AM180" t="s">
        <v>3248</v>
      </c>
      <c r="AN180">
        <v>12600</v>
      </c>
    </row>
    <row r="181" spans="1:45">
      <c r="A181" s="1">
        <f>HYPERLINK("https://lsnyc.legalserver.org/matter/dynamic-profile/view/1905954","19-1905954")</f>
        <v>0</v>
      </c>
      <c r="B181" t="s">
        <v>82</v>
      </c>
      <c r="C181" t="s">
        <v>186</v>
      </c>
      <c r="E181" t="s">
        <v>403</v>
      </c>
      <c r="F181" t="s">
        <v>830</v>
      </c>
      <c r="G181" t="s">
        <v>1273</v>
      </c>
      <c r="H181">
        <v>22</v>
      </c>
      <c r="I181" t="s">
        <v>1754</v>
      </c>
      <c r="J181">
        <v>10033</v>
      </c>
      <c r="K181" t="s">
        <v>1779</v>
      </c>
      <c r="L181" t="s">
        <v>1781</v>
      </c>
      <c r="M181" t="s">
        <v>1782</v>
      </c>
      <c r="O181" t="s">
        <v>2034</v>
      </c>
      <c r="P181" t="s">
        <v>2050</v>
      </c>
      <c r="R181" t="s">
        <v>2062</v>
      </c>
      <c r="S181" t="s">
        <v>1780</v>
      </c>
      <c r="T181" t="s">
        <v>2065</v>
      </c>
      <c r="V181" t="s">
        <v>186</v>
      </c>
      <c r="W181">
        <v>1296.98</v>
      </c>
      <c r="X181" t="s">
        <v>2091</v>
      </c>
      <c r="Y181" t="s">
        <v>2097</v>
      </c>
      <c r="Z181" t="s">
        <v>2110</v>
      </c>
      <c r="AA181" t="s">
        <v>2291</v>
      </c>
      <c r="AC181" t="s">
        <v>2882</v>
      </c>
      <c r="AD181">
        <v>41</v>
      </c>
      <c r="AE181" t="s">
        <v>3223</v>
      </c>
      <c r="AF181" t="s">
        <v>1783</v>
      </c>
      <c r="AG181">
        <v>26</v>
      </c>
      <c r="AH181">
        <v>1</v>
      </c>
      <c r="AI181">
        <v>0</v>
      </c>
      <c r="AJ181">
        <v>74.72</v>
      </c>
      <c r="AM181" t="s">
        <v>3249</v>
      </c>
      <c r="AN181">
        <v>9332.440000000001</v>
      </c>
    </row>
    <row r="182" spans="1:45">
      <c r="A182" s="1">
        <f>HYPERLINK("https://lsnyc.legalserver.org/matter/dynamic-profile/view/1890310","19-1890310")</f>
        <v>0</v>
      </c>
      <c r="B182" t="s">
        <v>92</v>
      </c>
      <c r="C182" t="s">
        <v>206</v>
      </c>
      <c r="D182" t="s">
        <v>226</v>
      </c>
      <c r="E182" t="s">
        <v>404</v>
      </c>
      <c r="F182" t="s">
        <v>831</v>
      </c>
      <c r="G182" t="s">
        <v>1274</v>
      </c>
      <c r="H182" t="s">
        <v>1632</v>
      </c>
      <c r="I182" t="s">
        <v>1753</v>
      </c>
      <c r="J182">
        <v>10304</v>
      </c>
      <c r="K182" t="s">
        <v>1779</v>
      </c>
      <c r="L182" t="s">
        <v>1781</v>
      </c>
      <c r="M182" t="s">
        <v>1782</v>
      </c>
      <c r="O182" t="s">
        <v>2033</v>
      </c>
      <c r="P182" t="s">
        <v>2055</v>
      </c>
      <c r="Q182" t="s">
        <v>2059</v>
      </c>
      <c r="R182" t="s">
        <v>2062</v>
      </c>
      <c r="S182" t="s">
        <v>1780</v>
      </c>
      <c r="T182" t="s">
        <v>2065</v>
      </c>
      <c r="U182" t="s">
        <v>2073</v>
      </c>
      <c r="V182" t="s">
        <v>226</v>
      </c>
      <c r="W182">
        <v>0</v>
      </c>
      <c r="X182" t="s">
        <v>2090</v>
      </c>
      <c r="Z182" t="s">
        <v>2110</v>
      </c>
      <c r="AA182" t="s">
        <v>2292</v>
      </c>
      <c r="AC182" t="s">
        <v>2883</v>
      </c>
      <c r="AD182">
        <v>0</v>
      </c>
      <c r="AG182">
        <v>0</v>
      </c>
      <c r="AH182">
        <v>1</v>
      </c>
      <c r="AI182">
        <v>4</v>
      </c>
      <c r="AJ182">
        <v>75.15000000000001</v>
      </c>
      <c r="AM182" t="s">
        <v>3248</v>
      </c>
      <c r="AN182">
        <v>22672</v>
      </c>
      <c r="AQ182" t="s">
        <v>2094</v>
      </c>
    </row>
    <row r="183" spans="1:45">
      <c r="A183" s="1">
        <f>HYPERLINK("https://lsnyc.legalserver.org/matter/dynamic-profile/view/1906273","19-1906273")</f>
        <v>0</v>
      </c>
      <c r="B183" t="s">
        <v>99</v>
      </c>
      <c r="C183" t="s">
        <v>184</v>
      </c>
      <c r="D183" t="s">
        <v>178</v>
      </c>
      <c r="E183" t="s">
        <v>405</v>
      </c>
      <c r="F183" t="s">
        <v>832</v>
      </c>
      <c r="G183" t="s">
        <v>1275</v>
      </c>
      <c r="H183" t="s">
        <v>1633</v>
      </c>
      <c r="I183" t="s">
        <v>1749</v>
      </c>
      <c r="J183">
        <v>11233</v>
      </c>
      <c r="K183" t="s">
        <v>1779</v>
      </c>
      <c r="L183" t="s">
        <v>1781</v>
      </c>
      <c r="M183" t="s">
        <v>1782</v>
      </c>
      <c r="N183" t="s">
        <v>1877</v>
      </c>
      <c r="O183" t="s">
        <v>2029</v>
      </c>
      <c r="P183" t="s">
        <v>2051</v>
      </c>
      <c r="Q183" t="s">
        <v>2058</v>
      </c>
      <c r="R183" t="s">
        <v>2062</v>
      </c>
      <c r="S183" t="s">
        <v>1780</v>
      </c>
      <c r="T183" t="s">
        <v>2065</v>
      </c>
      <c r="U183" t="s">
        <v>2073</v>
      </c>
      <c r="V183" t="s">
        <v>140</v>
      </c>
      <c r="W183">
        <v>2300</v>
      </c>
      <c r="X183" t="s">
        <v>2088</v>
      </c>
      <c r="Y183" t="s">
        <v>2094</v>
      </c>
      <c r="Z183" t="s">
        <v>2111</v>
      </c>
      <c r="AA183" t="s">
        <v>2293</v>
      </c>
      <c r="AC183" t="s">
        <v>2884</v>
      </c>
      <c r="AD183">
        <v>3</v>
      </c>
      <c r="AE183" t="s">
        <v>3222</v>
      </c>
      <c r="AF183" t="s">
        <v>3243</v>
      </c>
      <c r="AG183">
        <v>4</v>
      </c>
      <c r="AH183">
        <v>3</v>
      </c>
      <c r="AI183">
        <v>3</v>
      </c>
      <c r="AJ183">
        <v>75.17</v>
      </c>
      <c r="AM183" t="s">
        <v>3248</v>
      </c>
      <c r="AN183">
        <v>26000</v>
      </c>
    </row>
    <row r="184" spans="1:45">
      <c r="A184" s="1">
        <f>HYPERLINK("https://lsnyc.legalserver.org/matter/dynamic-profile/view/1909226","19-1909226")</f>
        <v>0</v>
      </c>
      <c r="B184" t="s">
        <v>81</v>
      </c>
      <c r="C184" t="s">
        <v>157</v>
      </c>
      <c r="E184" t="s">
        <v>405</v>
      </c>
      <c r="F184" t="s">
        <v>832</v>
      </c>
      <c r="G184" t="s">
        <v>1275</v>
      </c>
      <c r="H184" t="s">
        <v>1633</v>
      </c>
      <c r="I184" t="s">
        <v>1749</v>
      </c>
      <c r="J184">
        <v>11233</v>
      </c>
      <c r="K184" t="s">
        <v>1779</v>
      </c>
      <c r="L184" t="s">
        <v>1781</v>
      </c>
      <c r="M184" t="s">
        <v>1782</v>
      </c>
      <c r="N184" t="s">
        <v>1878</v>
      </c>
      <c r="O184" t="s">
        <v>2030</v>
      </c>
      <c r="P184" t="s">
        <v>2051</v>
      </c>
      <c r="R184" t="s">
        <v>2062</v>
      </c>
      <c r="S184" t="s">
        <v>1780</v>
      </c>
      <c r="T184" t="s">
        <v>2065</v>
      </c>
      <c r="U184" t="s">
        <v>2073</v>
      </c>
      <c r="V184" t="s">
        <v>140</v>
      </c>
      <c r="W184">
        <v>2300</v>
      </c>
      <c r="X184" t="s">
        <v>2088</v>
      </c>
      <c r="Y184" t="s">
        <v>2101</v>
      </c>
      <c r="AA184" t="s">
        <v>2293</v>
      </c>
      <c r="AB184" t="s">
        <v>1783</v>
      </c>
      <c r="AC184" t="s">
        <v>2884</v>
      </c>
      <c r="AD184">
        <v>3</v>
      </c>
      <c r="AE184" t="s">
        <v>3223</v>
      </c>
      <c r="AF184" t="s">
        <v>3243</v>
      </c>
      <c r="AG184">
        <v>4</v>
      </c>
      <c r="AH184">
        <v>3</v>
      </c>
      <c r="AI184">
        <v>3</v>
      </c>
      <c r="AJ184">
        <v>75.17</v>
      </c>
      <c r="AM184" t="s">
        <v>3248</v>
      </c>
      <c r="AN184">
        <v>26000</v>
      </c>
    </row>
    <row r="185" spans="1:45">
      <c r="A185" s="1">
        <f>HYPERLINK("https://lsnyc.legalserver.org/matter/dynamic-profile/view/1910156","19-1910156")</f>
        <v>0</v>
      </c>
      <c r="B185" t="s">
        <v>74</v>
      </c>
      <c r="C185" t="s">
        <v>203</v>
      </c>
      <c r="E185" t="s">
        <v>406</v>
      </c>
      <c r="F185" t="s">
        <v>833</v>
      </c>
      <c r="G185" t="s">
        <v>1276</v>
      </c>
      <c r="I185" t="s">
        <v>1767</v>
      </c>
      <c r="J185">
        <v>11357</v>
      </c>
      <c r="K185" t="s">
        <v>1779</v>
      </c>
      <c r="L185" t="s">
        <v>1781</v>
      </c>
      <c r="M185" t="s">
        <v>1782</v>
      </c>
      <c r="N185" t="s">
        <v>1879</v>
      </c>
      <c r="O185" t="s">
        <v>2029</v>
      </c>
      <c r="P185" t="s">
        <v>2051</v>
      </c>
      <c r="R185" t="s">
        <v>2063</v>
      </c>
      <c r="S185" t="s">
        <v>1780</v>
      </c>
      <c r="T185" t="s">
        <v>2065</v>
      </c>
      <c r="U185" t="s">
        <v>2077</v>
      </c>
      <c r="V185" t="s">
        <v>203</v>
      </c>
      <c r="W185">
        <v>0.01</v>
      </c>
      <c r="X185" t="s">
        <v>2087</v>
      </c>
      <c r="Y185" t="s">
        <v>2093</v>
      </c>
      <c r="AA185" t="s">
        <v>2294</v>
      </c>
      <c r="AC185" t="s">
        <v>2885</v>
      </c>
      <c r="AD185">
        <v>2</v>
      </c>
      <c r="AE185" t="s">
        <v>3222</v>
      </c>
      <c r="AF185" t="s">
        <v>1783</v>
      </c>
      <c r="AG185">
        <v>4</v>
      </c>
      <c r="AH185">
        <v>1</v>
      </c>
      <c r="AI185">
        <v>0</v>
      </c>
      <c r="AJ185">
        <v>75.8</v>
      </c>
      <c r="AL185" t="s">
        <v>3245</v>
      </c>
      <c r="AM185" t="s">
        <v>3248</v>
      </c>
      <c r="AN185">
        <v>9468</v>
      </c>
    </row>
    <row r="186" spans="1:45">
      <c r="A186" s="1">
        <f>HYPERLINK("https://lsnyc.legalserver.org/matter/dynamic-profile/view/1907769","19-1907769")</f>
        <v>0</v>
      </c>
      <c r="B186" t="s">
        <v>68</v>
      </c>
      <c r="C186" t="s">
        <v>154</v>
      </c>
      <c r="E186" t="s">
        <v>407</v>
      </c>
      <c r="F186" t="s">
        <v>834</v>
      </c>
      <c r="G186" t="s">
        <v>1153</v>
      </c>
      <c r="H186" t="s">
        <v>1568</v>
      </c>
      <c r="I186" t="s">
        <v>1749</v>
      </c>
      <c r="J186">
        <v>11212</v>
      </c>
      <c r="K186" t="s">
        <v>1779</v>
      </c>
      <c r="L186" t="s">
        <v>1781</v>
      </c>
      <c r="M186" t="s">
        <v>1782</v>
      </c>
      <c r="N186" t="s">
        <v>1783</v>
      </c>
      <c r="O186" t="s">
        <v>2033</v>
      </c>
      <c r="P186" t="s">
        <v>2055</v>
      </c>
      <c r="R186" t="s">
        <v>2062</v>
      </c>
      <c r="S186" t="s">
        <v>1779</v>
      </c>
      <c r="T186" t="s">
        <v>2065</v>
      </c>
      <c r="U186" t="s">
        <v>2073</v>
      </c>
      <c r="V186" t="s">
        <v>152</v>
      </c>
      <c r="W186">
        <v>257</v>
      </c>
      <c r="X186" t="s">
        <v>2088</v>
      </c>
      <c r="Y186" t="s">
        <v>2100</v>
      </c>
      <c r="AA186" t="s">
        <v>2295</v>
      </c>
      <c r="AC186" t="s">
        <v>2886</v>
      </c>
      <c r="AD186">
        <v>96</v>
      </c>
      <c r="AE186" t="s">
        <v>3223</v>
      </c>
      <c r="AF186" t="s">
        <v>2094</v>
      </c>
      <c r="AG186">
        <v>6</v>
      </c>
      <c r="AH186">
        <v>1</v>
      </c>
      <c r="AI186">
        <v>0</v>
      </c>
      <c r="AJ186">
        <v>76</v>
      </c>
      <c r="AM186" t="s">
        <v>3248</v>
      </c>
      <c r="AN186">
        <v>9492</v>
      </c>
    </row>
    <row r="187" spans="1:45">
      <c r="A187" s="1">
        <f>HYPERLINK("https://lsnyc.legalserver.org/matter/dynamic-profile/view/1910748","19-1910748")</f>
        <v>0</v>
      </c>
      <c r="B187" t="s">
        <v>69</v>
      </c>
      <c r="C187" t="s">
        <v>143</v>
      </c>
      <c r="E187" t="s">
        <v>408</v>
      </c>
      <c r="F187" t="s">
        <v>835</v>
      </c>
      <c r="G187" t="s">
        <v>1277</v>
      </c>
      <c r="I187" t="s">
        <v>1749</v>
      </c>
      <c r="J187">
        <v>11208</v>
      </c>
      <c r="K187" t="s">
        <v>1779</v>
      </c>
      <c r="L187" t="s">
        <v>1781</v>
      </c>
      <c r="M187" t="s">
        <v>1782</v>
      </c>
      <c r="N187" t="s">
        <v>1880</v>
      </c>
      <c r="O187" t="s">
        <v>2030</v>
      </c>
      <c r="P187" t="s">
        <v>2052</v>
      </c>
      <c r="R187" t="s">
        <v>2062</v>
      </c>
      <c r="S187" t="s">
        <v>1780</v>
      </c>
      <c r="T187" t="s">
        <v>2065</v>
      </c>
      <c r="U187" t="s">
        <v>2073</v>
      </c>
      <c r="V187" t="s">
        <v>143</v>
      </c>
      <c r="W187">
        <v>1057</v>
      </c>
      <c r="X187" t="s">
        <v>2088</v>
      </c>
      <c r="AA187" t="s">
        <v>2296</v>
      </c>
      <c r="AB187" t="s">
        <v>2708</v>
      </c>
      <c r="AC187" t="s">
        <v>2887</v>
      </c>
      <c r="AD187">
        <v>300</v>
      </c>
      <c r="AF187" t="s">
        <v>3242</v>
      </c>
      <c r="AG187">
        <v>2</v>
      </c>
      <c r="AH187">
        <v>1</v>
      </c>
      <c r="AI187">
        <v>0</v>
      </c>
      <c r="AJ187">
        <v>76</v>
      </c>
      <c r="AM187" t="s">
        <v>3248</v>
      </c>
      <c r="AN187">
        <v>9492</v>
      </c>
    </row>
    <row r="188" spans="1:45">
      <c r="A188" s="1">
        <f>HYPERLINK("https://lsnyc.legalserver.org/matter/dynamic-profile/view/1905947","19-1905947")</f>
        <v>0</v>
      </c>
      <c r="B188" t="s">
        <v>107</v>
      </c>
      <c r="C188" t="s">
        <v>186</v>
      </c>
      <c r="E188" t="s">
        <v>409</v>
      </c>
      <c r="F188" t="s">
        <v>836</v>
      </c>
      <c r="G188" t="s">
        <v>1278</v>
      </c>
      <c r="H188" t="s">
        <v>1634</v>
      </c>
      <c r="I188" t="s">
        <v>1754</v>
      </c>
      <c r="J188">
        <v>10032</v>
      </c>
      <c r="K188" t="s">
        <v>1779</v>
      </c>
      <c r="L188" t="s">
        <v>1781</v>
      </c>
      <c r="M188" t="s">
        <v>1784</v>
      </c>
      <c r="N188" t="s">
        <v>1881</v>
      </c>
      <c r="O188" t="s">
        <v>2029</v>
      </c>
      <c r="P188" t="s">
        <v>2052</v>
      </c>
      <c r="R188" t="s">
        <v>2062</v>
      </c>
      <c r="S188" t="s">
        <v>1780</v>
      </c>
      <c r="T188" t="s">
        <v>2065</v>
      </c>
      <c r="V188" t="s">
        <v>186</v>
      </c>
      <c r="W188">
        <v>711</v>
      </c>
      <c r="X188" t="s">
        <v>2091</v>
      </c>
      <c r="Y188" t="s">
        <v>2092</v>
      </c>
      <c r="AA188" t="s">
        <v>2297</v>
      </c>
      <c r="AB188" t="s">
        <v>2709</v>
      </c>
      <c r="AC188" t="s">
        <v>2888</v>
      </c>
      <c r="AD188">
        <v>22</v>
      </c>
      <c r="AE188" t="s">
        <v>3223</v>
      </c>
      <c r="AF188" t="s">
        <v>1783</v>
      </c>
      <c r="AG188">
        <v>30</v>
      </c>
      <c r="AH188">
        <v>1</v>
      </c>
      <c r="AI188">
        <v>0</v>
      </c>
      <c r="AJ188">
        <v>76</v>
      </c>
      <c r="AM188" t="s">
        <v>3249</v>
      </c>
      <c r="AN188">
        <v>9492</v>
      </c>
    </row>
    <row r="189" spans="1:45">
      <c r="A189" s="1">
        <f>HYPERLINK("https://lsnyc.legalserver.org/matter/dynamic-profile/view/1907767","19-1907767")</f>
        <v>0</v>
      </c>
      <c r="B189" t="s">
        <v>68</v>
      </c>
      <c r="C189" t="s">
        <v>154</v>
      </c>
      <c r="E189" t="s">
        <v>347</v>
      </c>
      <c r="F189" t="s">
        <v>837</v>
      </c>
      <c r="G189" t="s">
        <v>1153</v>
      </c>
      <c r="H189" t="s">
        <v>1635</v>
      </c>
      <c r="I189" t="s">
        <v>1749</v>
      </c>
      <c r="J189">
        <v>11212</v>
      </c>
      <c r="K189" t="s">
        <v>1779</v>
      </c>
      <c r="L189" t="s">
        <v>1781</v>
      </c>
      <c r="M189" t="s">
        <v>1782</v>
      </c>
      <c r="N189" t="s">
        <v>1783</v>
      </c>
      <c r="O189" t="s">
        <v>2033</v>
      </c>
      <c r="P189" t="s">
        <v>2055</v>
      </c>
      <c r="R189" t="s">
        <v>2062</v>
      </c>
      <c r="S189" t="s">
        <v>1779</v>
      </c>
      <c r="T189" t="s">
        <v>2065</v>
      </c>
      <c r="V189" t="s">
        <v>165</v>
      </c>
      <c r="W189">
        <v>165</v>
      </c>
      <c r="X189" t="s">
        <v>2088</v>
      </c>
      <c r="Y189" t="s">
        <v>2100</v>
      </c>
      <c r="AA189" t="s">
        <v>2298</v>
      </c>
      <c r="AC189" t="s">
        <v>2889</v>
      </c>
      <c r="AD189">
        <v>96</v>
      </c>
      <c r="AE189" t="s">
        <v>3223</v>
      </c>
      <c r="AF189" t="s">
        <v>2094</v>
      </c>
      <c r="AG189">
        <v>6</v>
      </c>
      <c r="AH189">
        <v>1</v>
      </c>
      <c r="AI189">
        <v>0</v>
      </c>
      <c r="AJ189">
        <v>76.29000000000001</v>
      </c>
      <c r="AM189" t="s">
        <v>3248</v>
      </c>
      <c r="AN189">
        <v>9528</v>
      </c>
    </row>
    <row r="190" spans="1:45">
      <c r="A190" s="1">
        <f>HYPERLINK("https://lsnyc.legalserver.org/matter/dynamic-profile/view/1906776","19-1906776")</f>
        <v>0</v>
      </c>
      <c r="B190" t="s">
        <v>108</v>
      </c>
      <c r="C190" t="s">
        <v>158</v>
      </c>
      <c r="D190" t="s">
        <v>156</v>
      </c>
      <c r="E190" t="s">
        <v>410</v>
      </c>
      <c r="F190" t="s">
        <v>838</v>
      </c>
      <c r="G190" t="s">
        <v>1279</v>
      </c>
      <c r="H190" t="s">
        <v>1636</v>
      </c>
      <c r="I190" t="s">
        <v>1749</v>
      </c>
      <c r="J190">
        <v>11206</v>
      </c>
      <c r="K190" t="s">
        <v>1779</v>
      </c>
      <c r="L190" t="s">
        <v>1781</v>
      </c>
      <c r="M190" t="s">
        <v>1782</v>
      </c>
      <c r="O190" t="s">
        <v>2044</v>
      </c>
      <c r="P190" t="s">
        <v>2053</v>
      </c>
      <c r="Q190" t="s">
        <v>2061</v>
      </c>
      <c r="R190" t="s">
        <v>2062</v>
      </c>
      <c r="S190" t="s">
        <v>1780</v>
      </c>
      <c r="T190" t="s">
        <v>2065</v>
      </c>
      <c r="V190" t="s">
        <v>158</v>
      </c>
      <c r="W190">
        <v>0</v>
      </c>
      <c r="X190" t="s">
        <v>2088</v>
      </c>
      <c r="Z190" t="s">
        <v>2111</v>
      </c>
      <c r="AA190" t="s">
        <v>2299</v>
      </c>
      <c r="AC190" t="s">
        <v>2890</v>
      </c>
      <c r="AD190">
        <v>774</v>
      </c>
      <c r="AG190">
        <v>0</v>
      </c>
      <c r="AH190">
        <v>1</v>
      </c>
      <c r="AI190">
        <v>0</v>
      </c>
      <c r="AJ190">
        <v>76.86</v>
      </c>
      <c r="AM190" t="s">
        <v>3254</v>
      </c>
      <c r="AN190">
        <v>9600</v>
      </c>
      <c r="AR190" t="s">
        <v>3294</v>
      </c>
      <c r="AS190" t="s">
        <v>3308</v>
      </c>
    </row>
    <row r="191" spans="1:45">
      <c r="A191" s="1">
        <f>HYPERLINK("https://lsnyc.legalserver.org/matter/dynamic-profile/view/1904896","19-1904896")</f>
        <v>0</v>
      </c>
      <c r="B191" t="s">
        <v>82</v>
      </c>
      <c r="C191" t="s">
        <v>176</v>
      </c>
      <c r="E191" t="s">
        <v>403</v>
      </c>
      <c r="F191" t="s">
        <v>839</v>
      </c>
      <c r="G191" t="s">
        <v>1280</v>
      </c>
      <c r="H191" t="s">
        <v>1637</v>
      </c>
      <c r="I191" t="s">
        <v>1754</v>
      </c>
      <c r="J191">
        <v>10034</v>
      </c>
      <c r="K191" t="s">
        <v>1779</v>
      </c>
      <c r="L191" t="s">
        <v>1781</v>
      </c>
      <c r="M191" t="s">
        <v>1782</v>
      </c>
      <c r="P191" t="s">
        <v>2055</v>
      </c>
      <c r="R191" t="s">
        <v>2062</v>
      </c>
      <c r="S191" t="s">
        <v>1780</v>
      </c>
      <c r="T191" t="s">
        <v>2065</v>
      </c>
      <c r="V191" t="s">
        <v>176</v>
      </c>
      <c r="W191">
        <v>1036.77</v>
      </c>
      <c r="X191" t="s">
        <v>2091</v>
      </c>
      <c r="Y191" t="s">
        <v>2099</v>
      </c>
      <c r="AA191" t="s">
        <v>2300</v>
      </c>
      <c r="AC191" t="s">
        <v>2891</v>
      </c>
      <c r="AD191">
        <v>65</v>
      </c>
      <c r="AE191" t="s">
        <v>3223</v>
      </c>
      <c r="AF191" t="s">
        <v>1783</v>
      </c>
      <c r="AG191">
        <v>4</v>
      </c>
      <c r="AH191">
        <v>1</v>
      </c>
      <c r="AI191">
        <v>0</v>
      </c>
      <c r="AJ191">
        <v>76.86</v>
      </c>
      <c r="AM191" t="s">
        <v>3248</v>
      </c>
      <c r="AN191">
        <v>9600</v>
      </c>
    </row>
    <row r="192" spans="1:45">
      <c r="A192" s="1">
        <f>HYPERLINK("https://lsnyc.legalserver.org/matter/dynamic-profile/view/1904693","19-1904693")</f>
        <v>0</v>
      </c>
      <c r="B192" t="s">
        <v>67</v>
      </c>
      <c r="C192" t="s">
        <v>162</v>
      </c>
      <c r="E192" t="s">
        <v>405</v>
      </c>
      <c r="F192" t="s">
        <v>840</v>
      </c>
      <c r="G192" t="s">
        <v>1149</v>
      </c>
      <c r="H192">
        <v>31</v>
      </c>
      <c r="I192" t="s">
        <v>1754</v>
      </c>
      <c r="J192">
        <v>10034</v>
      </c>
      <c r="K192" t="s">
        <v>1779</v>
      </c>
      <c r="L192" t="s">
        <v>1781</v>
      </c>
      <c r="M192" t="s">
        <v>1782</v>
      </c>
      <c r="P192" t="s">
        <v>2052</v>
      </c>
      <c r="R192" t="s">
        <v>2062</v>
      </c>
      <c r="S192" t="s">
        <v>1779</v>
      </c>
      <c r="T192" t="s">
        <v>2065</v>
      </c>
      <c r="V192" t="s">
        <v>162</v>
      </c>
      <c r="W192">
        <v>997</v>
      </c>
      <c r="X192" t="s">
        <v>2091</v>
      </c>
      <c r="Y192" t="s">
        <v>2099</v>
      </c>
      <c r="AA192" t="s">
        <v>2301</v>
      </c>
      <c r="AD192">
        <v>25</v>
      </c>
      <c r="AE192" t="s">
        <v>3223</v>
      </c>
      <c r="AF192" t="s">
        <v>1783</v>
      </c>
      <c r="AG192">
        <v>5</v>
      </c>
      <c r="AH192">
        <v>3</v>
      </c>
      <c r="AI192">
        <v>2</v>
      </c>
      <c r="AJ192">
        <v>77.56</v>
      </c>
      <c r="AM192" t="s">
        <v>3249</v>
      </c>
      <c r="AN192">
        <v>23400</v>
      </c>
    </row>
    <row r="193" spans="1:45">
      <c r="A193" s="1">
        <f>HYPERLINK("https://lsnyc.legalserver.org/matter/dynamic-profile/view/1905437","19-1905437")</f>
        <v>0</v>
      </c>
      <c r="B193" t="s">
        <v>84</v>
      </c>
      <c r="C193" t="s">
        <v>172</v>
      </c>
      <c r="E193" t="s">
        <v>330</v>
      </c>
      <c r="F193" t="s">
        <v>841</v>
      </c>
      <c r="G193" t="s">
        <v>1281</v>
      </c>
      <c r="H193">
        <v>16</v>
      </c>
      <c r="I193" t="s">
        <v>1754</v>
      </c>
      <c r="J193">
        <v>10032</v>
      </c>
      <c r="K193" t="s">
        <v>1779</v>
      </c>
      <c r="L193" t="s">
        <v>1781</v>
      </c>
      <c r="M193" t="s">
        <v>1782</v>
      </c>
      <c r="N193" t="s">
        <v>1882</v>
      </c>
      <c r="O193" t="s">
        <v>2032</v>
      </c>
      <c r="P193" t="s">
        <v>2053</v>
      </c>
      <c r="R193" t="s">
        <v>2062</v>
      </c>
      <c r="S193" t="s">
        <v>1780</v>
      </c>
      <c r="T193" t="s">
        <v>2065</v>
      </c>
      <c r="V193" t="s">
        <v>172</v>
      </c>
      <c r="W193">
        <v>1142.3</v>
      </c>
      <c r="X193" t="s">
        <v>2091</v>
      </c>
      <c r="Y193" t="s">
        <v>2101</v>
      </c>
      <c r="AA193" t="s">
        <v>2302</v>
      </c>
      <c r="AC193" t="s">
        <v>2892</v>
      </c>
      <c r="AD193">
        <v>20</v>
      </c>
      <c r="AE193" t="s">
        <v>3223</v>
      </c>
      <c r="AF193" t="s">
        <v>1783</v>
      </c>
      <c r="AG193">
        <v>25</v>
      </c>
      <c r="AH193">
        <v>3</v>
      </c>
      <c r="AI193">
        <v>2</v>
      </c>
      <c r="AJ193">
        <v>77.56</v>
      </c>
      <c r="AM193" t="s">
        <v>3249</v>
      </c>
      <c r="AN193">
        <v>23400</v>
      </c>
    </row>
    <row r="194" spans="1:45">
      <c r="A194" s="1">
        <f>HYPERLINK("https://lsnyc.legalserver.org/matter/dynamic-profile/view/1905779","19-1905779")</f>
        <v>0</v>
      </c>
      <c r="B194" t="s">
        <v>109</v>
      </c>
      <c r="C194" t="s">
        <v>145</v>
      </c>
      <c r="E194" t="s">
        <v>411</v>
      </c>
      <c r="F194" t="s">
        <v>842</v>
      </c>
      <c r="G194" t="s">
        <v>1282</v>
      </c>
      <c r="H194" t="s">
        <v>1638</v>
      </c>
      <c r="I194" t="s">
        <v>1745</v>
      </c>
      <c r="J194">
        <v>11691</v>
      </c>
      <c r="K194" t="s">
        <v>1779</v>
      </c>
      <c r="L194" t="s">
        <v>1781</v>
      </c>
      <c r="M194" t="s">
        <v>1782</v>
      </c>
      <c r="N194" t="s">
        <v>1883</v>
      </c>
      <c r="O194" t="s">
        <v>2029</v>
      </c>
      <c r="P194" t="s">
        <v>2051</v>
      </c>
      <c r="R194" t="s">
        <v>2062</v>
      </c>
      <c r="S194" t="s">
        <v>1780</v>
      </c>
      <c r="T194" t="s">
        <v>2065</v>
      </c>
      <c r="U194" t="s">
        <v>2074</v>
      </c>
      <c r="V194" t="s">
        <v>140</v>
      </c>
      <c r="W194">
        <v>1400</v>
      </c>
      <c r="X194" t="s">
        <v>2087</v>
      </c>
      <c r="Y194" t="s">
        <v>2095</v>
      </c>
      <c r="AA194" t="s">
        <v>2303</v>
      </c>
      <c r="AC194" t="s">
        <v>2893</v>
      </c>
      <c r="AD194">
        <v>462</v>
      </c>
      <c r="AE194" t="s">
        <v>3227</v>
      </c>
      <c r="AF194" t="s">
        <v>3236</v>
      </c>
      <c r="AG194">
        <v>35</v>
      </c>
      <c r="AH194">
        <v>1</v>
      </c>
      <c r="AI194">
        <v>0</v>
      </c>
      <c r="AJ194">
        <v>78.78</v>
      </c>
      <c r="AM194" t="s">
        <v>3248</v>
      </c>
      <c r="AN194">
        <v>9840</v>
      </c>
    </row>
    <row r="195" spans="1:45">
      <c r="A195" s="1">
        <f>HYPERLINK("https://lsnyc.legalserver.org/matter/dynamic-profile/view/1906917","19-1906917")</f>
        <v>0</v>
      </c>
      <c r="B195" t="s">
        <v>62</v>
      </c>
      <c r="C195" t="s">
        <v>152</v>
      </c>
      <c r="D195" t="s">
        <v>208</v>
      </c>
      <c r="E195" t="s">
        <v>292</v>
      </c>
      <c r="F195" t="s">
        <v>843</v>
      </c>
      <c r="G195" t="s">
        <v>1283</v>
      </c>
      <c r="H195" t="s">
        <v>1639</v>
      </c>
      <c r="I195" t="s">
        <v>1752</v>
      </c>
      <c r="J195">
        <v>10452</v>
      </c>
      <c r="K195" t="s">
        <v>1779</v>
      </c>
      <c r="L195" t="s">
        <v>1781</v>
      </c>
      <c r="M195" t="s">
        <v>1782</v>
      </c>
      <c r="O195" t="s">
        <v>1793</v>
      </c>
      <c r="P195" t="s">
        <v>2055</v>
      </c>
      <c r="Q195" t="s">
        <v>2059</v>
      </c>
      <c r="R195" t="s">
        <v>2062</v>
      </c>
      <c r="S195" t="s">
        <v>1780</v>
      </c>
      <c r="T195" t="s">
        <v>2065</v>
      </c>
      <c r="V195" t="s">
        <v>154</v>
      </c>
      <c r="W195">
        <v>422.23</v>
      </c>
      <c r="X195" t="s">
        <v>2089</v>
      </c>
      <c r="Y195" t="s">
        <v>2100</v>
      </c>
      <c r="Z195" t="s">
        <v>2112</v>
      </c>
      <c r="AA195" t="s">
        <v>2304</v>
      </c>
      <c r="AC195" t="s">
        <v>2894</v>
      </c>
      <c r="AD195">
        <v>60</v>
      </c>
      <c r="AE195" t="s">
        <v>3232</v>
      </c>
      <c r="AF195" t="s">
        <v>3238</v>
      </c>
      <c r="AG195">
        <v>0</v>
      </c>
      <c r="AH195">
        <v>1</v>
      </c>
      <c r="AI195">
        <v>0</v>
      </c>
      <c r="AJ195">
        <v>79.06999999999999</v>
      </c>
      <c r="AM195" t="s">
        <v>3249</v>
      </c>
      <c r="AN195">
        <v>9876</v>
      </c>
    </row>
    <row r="196" spans="1:45">
      <c r="A196" s="1">
        <f>HYPERLINK("https://lsnyc.legalserver.org/matter/dynamic-profile/view/1904367","19-1904367")</f>
        <v>0</v>
      </c>
      <c r="B196" t="s">
        <v>110</v>
      </c>
      <c r="C196" t="s">
        <v>191</v>
      </c>
      <c r="E196" t="s">
        <v>412</v>
      </c>
      <c r="F196" t="s">
        <v>844</v>
      </c>
      <c r="G196" t="s">
        <v>1284</v>
      </c>
      <c r="H196">
        <v>6</v>
      </c>
      <c r="I196" t="s">
        <v>1754</v>
      </c>
      <c r="J196">
        <v>10033</v>
      </c>
      <c r="K196" t="s">
        <v>1779</v>
      </c>
      <c r="L196" t="s">
        <v>1781</v>
      </c>
      <c r="M196" t="s">
        <v>1782</v>
      </c>
      <c r="O196" t="s">
        <v>2041</v>
      </c>
      <c r="P196" t="s">
        <v>2051</v>
      </c>
      <c r="R196" t="s">
        <v>2062</v>
      </c>
      <c r="S196" t="s">
        <v>1780</v>
      </c>
      <c r="T196" t="s">
        <v>2065</v>
      </c>
      <c r="V196" t="s">
        <v>191</v>
      </c>
      <c r="W196">
        <v>163</v>
      </c>
      <c r="X196" t="s">
        <v>2091</v>
      </c>
      <c r="Y196" t="s">
        <v>2101</v>
      </c>
      <c r="AA196" t="s">
        <v>2305</v>
      </c>
      <c r="AC196" t="s">
        <v>2895</v>
      </c>
      <c r="AD196">
        <v>36</v>
      </c>
      <c r="AE196" t="s">
        <v>3223</v>
      </c>
      <c r="AF196" t="s">
        <v>3236</v>
      </c>
      <c r="AG196">
        <v>22</v>
      </c>
      <c r="AH196">
        <v>1</v>
      </c>
      <c r="AI196">
        <v>0</v>
      </c>
      <c r="AJ196">
        <v>79.55</v>
      </c>
      <c r="AM196" t="s">
        <v>3249</v>
      </c>
      <c r="AN196">
        <v>9936</v>
      </c>
    </row>
    <row r="197" spans="1:45">
      <c r="A197" s="1">
        <f>HYPERLINK("https://lsnyc.legalserver.org/matter/dynamic-profile/view/1904190","19-1904190")</f>
        <v>0</v>
      </c>
      <c r="B197" t="s">
        <v>71</v>
      </c>
      <c r="C197" t="s">
        <v>147</v>
      </c>
      <c r="E197" t="s">
        <v>413</v>
      </c>
      <c r="F197" t="s">
        <v>804</v>
      </c>
      <c r="G197" t="s">
        <v>1285</v>
      </c>
      <c r="H197">
        <v>309</v>
      </c>
      <c r="I197" t="s">
        <v>1754</v>
      </c>
      <c r="J197">
        <v>10029</v>
      </c>
      <c r="K197" t="s">
        <v>1779</v>
      </c>
      <c r="L197" t="s">
        <v>1781</v>
      </c>
      <c r="M197" t="s">
        <v>1782</v>
      </c>
      <c r="O197" t="s">
        <v>2031</v>
      </c>
      <c r="P197" t="s">
        <v>2052</v>
      </c>
      <c r="R197" t="s">
        <v>2062</v>
      </c>
      <c r="S197" t="s">
        <v>1779</v>
      </c>
      <c r="T197" t="s">
        <v>2065</v>
      </c>
      <c r="U197" t="s">
        <v>2073</v>
      </c>
      <c r="V197" t="s">
        <v>137</v>
      </c>
      <c r="W197">
        <v>274</v>
      </c>
      <c r="X197" t="s">
        <v>2091</v>
      </c>
      <c r="Y197" t="s">
        <v>2096</v>
      </c>
      <c r="AA197" t="s">
        <v>2306</v>
      </c>
      <c r="AC197" t="s">
        <v>2896</v>
      </c>
      <c r="AD197">
        <v>108</v>
      </c>
      <c r="AE197" t="s">
        <v>3226</v>
      </c>
      <c r="AF197" t="s">
        <v>1783</v>
      </c>
      <c r="AG197">
        <v>29</v>
      </c>
      <c r="AH197">
        <v>2</v>
      </c>
      <c r="AI197">
        <v>0</v>
      </c>
      <c r="AJ197">
        <v>79.91</v>
      </c>
      <c r="AM197" t="s">
        <v>3248</v>
      </c>
      <c r="AN197">
        <v>13512</v>
      </c>
    </row>
    <row r="198" spans="1:45">
      <c r="A198" s="1">
        <f>HYPERLINK("https://lsnyc.legalserver.org/matter/dynamic-profile/view/1907979","19-1907979")</f>
        <v>0</v>
      </c>
      <c r="B198" t="s">
        <v>57</v>
      </c>
      <c r="C198" t="s">
        <v>155</v>
      </c>
      <c r="D198" t="s">
        <v>182</v>
      </c>
      <c r="E198" t="s">
        <v>414</v>
      </c>
      <c r="F198" t="s">
        <v>789</v>
      </c>
      <c r="G198" t="s">
        <v>1286</v>
      </c>
      <c r="H198" t="s">
        <v>1640</v>
      </c>
      <c r="I198" t="s">
        <v>1749</v>
      </c>
      <c r="J198">
        <v>11225</v>
      </c>
      <c r="K198" t="s">
        <v>1779</v>
      </c>
      <c r="L198" t="s">
        <v>1781</v>
      </c>
      <c r="M198" t="s">
        <v>1782</v>
      </c>
      <c r="N198" t="s">
        <v>1884</v>
      </c>
      <c r="O198" t="s">
        <v>2029</v>
      </c>
      <c r="P198" t="s">
        <v>2050</v>
      </c>
      <c r="Q198" t="s">
        <v>2057</v>
      </c>
      <c r="R198" t="s">
        <v>2062</v>
      </c>
      <c r="S198" t="s">
        <v>1780</v>
      </c>
      <c r="T198" t="s">
        <v>2065</v>
      </c>
      <c r="U198" t="s">
        <v>2074</v>
      </c>
      <c r="V198" t="s">
        <v>155</v>
      </c>
      <c r="W198">
        <v>800</v>
      </c>
      <c r="X198" t="s">
        <v>2088</v>
      </c>
      <c r="Y198" t="s">
        <v>2102</v>
      </c>
      <c r="Z198" t="s">
        <v>2110</v>
      </c>
      <c r="AA198" t="s">
        <v>2307</v>
      </c>
      <c r="AB198" t="s">
        <v>2666</v>
      </c>
      <c r="AC198" t="s">
        <v>2897</v>
      </c>
      <c r="AD198">
        <v>3</v>
      </c>
      <c r="AE198" t="s">
        <v>2704</v>
      </c>
      <c r="AF198" t="s">
        <v>1783</v>
      </c>
      <c r="AG198">
        <v>5</v>
      </c>
      <c r="AH198">
        <v>1</v>
      </c>
      <c r="AI198">
        <v>0</v>
      </c>
      <c r="AJ198">
        <v>80.51000000000001</v>
      </c>
      <c r="AM198" t="s">
        <v>3248</v>
      </c>
      <c r="AN198">
        <v>10056</v>
      </c>
    </row>
    <row r="199" spans="1:45">
      <c r="A199" s="1">
        <f>HYPERLINK("https://lsnyc.legalserver.org/matter/dynamic-profile/view/1903507","19-1903507")</f>
        <v>0</v>
      </c>
      <c r="B199" t="s">
        <v>111</v>
      </c>
      <c r="C199" t="s">
        <v>207</v>
      </c>
      <c r="D199" t="s">
        <v>164</v>
      </c>
      <c r="E199" t="s">
        <v>415</v>
      </c>
      <c r="F199" t="s">
        <v>845</v>
      </c>
      <c r="G199" t="s">
        <v>1287</v>
      </c>
      <c r="H199">
        <v>402</v>
      </c>
      <c r="I199" t="s">
        <v>1749</v>
      </c>
      <c r="J199">
        <v>11212</v>
      </c>
      <c r="K199" t="s">
        <v>1779</v>
      </c>
      <c r="L199" t="s">
        <v>1781</v>
      </c>
      <c r="M199" t="s">
        <v>1782</v>
      </c>
      <c r="N199" t="s">
        <v>1793</v>
      </c>
      <c r="O199" t="s">
        <v>1793</v>
      </c>
      <c r="P199" t="s">
        <v>2050</v>
      </c>
      <c r="Q199" t="s">
        <v>2057</v>
      </c>
      <c r="R199" t="s">
        <v>2062</v>
      </c>
      <c r="S199" t="s">
        <v>1780</v>
      </c>
      <c r="T199" t="s">
        <v>2065</v>
      </c>
      <c r="V199" t="s">
        <v>213</v>
      </c>
      <c r="W199">
        <v>336</v>
      </c>
      <c r="X199" t="s">
        <v>2088</v>
      </c>
      <c r="Y199" t="s">
        <v>2094</v>
      </c>
      <c r="Z199" t="s">
        <v>2110</v>
      </c>
      <c r="AA199" t="s">
        <v>2308</v>
      </c>
      <c r="AC199" t="s">
        <v>2898</v>
      </c>
      <c r="AD199">
        <v>161</v>
      </c>
      <c r="AE199" t="s">
        <v>3225</v>
      </c>
      <c r="AF199" t="s">
        <v>3241</v>
      </c>
      <c r="AG199">
        <v>2</v>
      </c>
      <c r="AH199">
        <v>1</v>
      </c>
      <c r="AI199">
        <v>0</v>
      </c>
      <c r="AJ199">
        <v>80.7</v>
      </c>
      <c r="AM199" t="s">
        <v>3248</v>
      </c>
      <c r="AN199">
        <v>10080</v>
      </c>
    </row>
    <row r="200" spans="1:45">
      <c r="A200" s="1">
        <f>HYPERLINK("https://lsnyc.legalserver.org/matter/dynamic-profile/view/1907759","19-1907759")</f>
        <v>0</v>
      </c>
      <c r="B200" t="s">
        <v>61</v>
      </c>
      <c r="C200" t="s">
        <v>154</v>
      </c>
      <c r="E200" t="s">
        <v>416</v>
      </c>
      <c r="F200" t="s">
        <v>846</v>
      </c>
      <c r="G200" t="s">
        <v>1153</v>
      </c>
      <c r="H200" t="s">
        <v>1641</v>
      </c>
      <c r="I200" t="s">
        <v>1749</v>
      </c>
      <c r="J200">
        <v>11212</v>
      </c>
      <c r="K200" t="s">
        <v>1779</v>
      </c>
      <c r="L200" t="s">
        <v>1781</v>
      </c>
      <c r="M200" t="s">
        <v>1782</v>
      </c>
      <c r="N200" t="s">
        <v>1783</v>
      </c>
      <c r="O200" t="s">
        <v>2033</v>
      </c>
      <c r="P200" t="s">
        <v>2055</v>
      </c>
      <c r="R200" t="s">
        <v>2062</v>
      </c>
      <c r="S200" t="s">
        <v>1779</v>
      </c>
      <c r="T200" t="s">
        <v>2065</v>
      </c>
      <c r="U200" t="s">
        <v>2073</v>
      </c>
      <c r="V200" t="s">
        <v>146</v>
      </c>
      <c r="W200">
        <v>594.1799999999999</v>
      </c>
      <c r="X200" t="s">
        <v>2088</v>
      </c>
      <c r="Y200" t="s">
        <v>2100</v>
      </c>
      <c r="AA200" t="s">
        <v>2309</v>
      </c>
      <c r="AC200" t="s">
        <v>2899</v>
      </c>
      <c r="AD200">
        <v>96</v>
      </c>
      <c r="AE200" t="s">
        <v>3223</v>
      </c>
      <c r="AF200" t="s">
        <v>3238</v>
      </c>
      <c r="AG200">
        <v>35</v>
      </c>
      <c r="AH200">
        <v>1</v>
      </c>
      <c r="AI200">
        <v>0</v>
      </c>
      <c r="AJ200">
        <v>80.7</v>
      </c>
      <c r="AM200" t="s">
        <v>3248</v>
      </c>
      <c r="AN200">
        <v>10080</v>
      </c>
    </row>
    <row r="201" spans="1:45">
      <c r="A201" s="1">
        <f>HYPERLINK("https://lsnyc.legalserver.org/matter/dynamic-profile/view/1904660","19-1904660")</f>
        <v>0</v>
      </c>
      <c r="B201" t="s">
        <v>112</v>
      </c>
      <c r="C201" t="s">
        <v>162</v>
      </c>
      <c r="D201" t="s">
        <v>156</v>
      </c>
      <c r="E201" t="s">
        <v>274</v>
      </c>
      <c r="F201" t="s">
        <v>847</v>
      </c>
      <c r="G201" t="s">
        <v>1288</v>
      </c>
      <c r="H201" t="s">
        <v>1642</v>
      </c>
      <c r="I201" t="s">
        <v>1754</v>
      </c>
      <c r="J201">
        <v>10030</v>
      </c>
      <c r="K201" t="s">
        <v>1779</v>
      </c>
      <c r="L201" t="s">
        <v>1781</v>
      </c>
      <c r="M201" t="s">
        <v>1782</v>
      </c>
      <c r="N201" t="s">
        <v>1885</v>
      </c>
      <c r="O201" t="s">
        <v>2029</v>
      </c>
      <c r="P201" t="s">
        <v>2050</v>
      </c>
      <c r="Q201" t="s">
        <v>2057</v>
      </c>
      <c r="R201" t="s">
        <v>2062</v>
      </c>
      <c r="S201" t="s">
        <v>1780</v>
      </c>
      <c r="T201" t="s">
        <v>2065</v>
      </c>
      <c r="U201" t="s">
        <v>2073</v>
      </c>
      <c r="V201" t="s">
        <v>162</v>
      </c>
      <c r="W201">
        <v>0</v>
      </c>
      <c r="X201" t="s">
        <v>2091</v>
      </c>
      <c r="Y201" t="s">
        <v>2092</v>
      </c>
      <c r="Z201" t="s">
        <v>2110</v>
      </c>
      <c r="AA201" t="s">
        <v>2310</v>
      </c>
      <c r="AC201" t="s">
        <v>2900</v>
      </c>
      <c r="AD201">
        <v>18</v>
      </c>
      <c r="AE201" t="s">
        <v>3223</v>
      </c>
      <c r="AF201" t="s">
        <v>1783</v>
      </c>
      <c r="AG201">
        <v>8</v>
      </c>
      <c r="AH201">
        <v>1</v>
      </c>
      <c r="AI201">
        <v>0</v>
      </c>
      <c r="AJ201">
        <v>80.90000000000001</v>
      </c>
      <c r="AM201" t="s">
        <v>3248</v>
      </c>
      <c r="AN201">
        <v>10104</v>
      </c>
    </row>
    <row r="202" spans="1:45">
      <c r="A202" s="1">
        <f>HYPERLINK("https://lsnyc.legalserver.org/matter/dynamic-profile/view/1910916","19-1910916")</f>
        <v>0</v>
      </c>
      <c r="B202" t="s">
        <v>51</v>
      </c>
      <c r="C202" t="s">
        <v>142</v>
      </c>
      <c r="E202" t="s">
        <v>417</v>
      </c>
      <c r="F202" t="s">
        <v>848</v>
      </c>
      <c r="G202" t="s">
        <v>1289</v>
      </c>
      <c r="H202" t="s">
        <v>1643</v>
      </c>
      <c r="I202" t="s">
        <v>1749</v>
      </c>
      <c r="J202">
        <v>11220</v>
      </c>
      <c r="K202" t="s">
        <v>1779</v>
      </c>
      <c r="L202" t="s">
        <v>1781</v>
      </c>
      <c r="M202" t="s">
        <v>1782</v>
      </c>
      <c r="O202" t="s">
        <v>2031</v>
      </c>
      <c r="P202" t="s">
        <v>2051</v>
      </c>
      <c r="R202" t="s">
        <v>2062</v>
      </c>
      <c r="S202" t="s">
        <v>1780</v>
      </c>
      <c r="T202" t="s">
        <v>2065</v>
      </c>
      <c r="U202" t="s">
        <v>2075</v>
      </c>
      <c r="V202" t="s">
        <v>144</v>
      </c>
      <c r="W202">
        <v>0</v>
      </c>
      <c r="X202" t="s">
        <v>2088</v>
      </c>
      <c r="Y202" t="s">
        <v>2102</v>
      </c>
      <c r="AA202" t="s">
        <v>2311</v>
      </c>
      <c r="AC202" t="s">
        <v>2901</v>
      </c>
      <c r="AD202">
        <v>6</v>
      </c>
      <c r="AE202" t="s">
        <v>3223</v>
      </c>
      <c r="AG202">
        <v>66</v>
      </c>
      <c r="AH202">
        <v>1</v>
      </c>
      <c r="AI202">
        <v>0</v>
      </c>
      <c r="AJ202">
        <v>81.18000000000001</v>
      </c>
      <c r="AM202" t="s">
        <v>3248</v>
      </c>
      <c r="AN202">
        <v>10140</v>
      </c>
    </row>
    <row r="203" spans="1:45">
      <c r="A203" s="1">
        <f>HYPERLINK("https://lsnyc.legalserver.org/matter/dynamic-profile/view/1906773","19-1906773")</f>
        <v>0</v>
      </c>
      <c r="B203" t="s">
        <v>110</v>
      </c>
      <c r="C203" t="s">
        <v>158</v>
      </c>
      <c r="D203" t="s">
        <v>158</v>
      </c>
      <c r="E203" t="s">
        <v>418</v>
      </c>
      <c r="F203" t="s">
        <v>849</v>
      </c>
      <c r="G203" t="s">
        <v>1290</v>
      </c>
      <c r="H203" t="s">
        <v>1644</v>
      </c>
      <c r="I203" t="s">
        <v>1754</v>
      </c>
      <c r="J203">
        <v>10033</v>
      </c>
      <c r="K203" t="s">
        <v>1779</v>
      </c>
      <c r="L203" t="s">
        <v>1781</v>
      </c>
      <c r="M203" t="s">
        <v>1782</v>
      </c>
      <c r="N203" t="s">
        <v>1886</v>
      </c>
      <c r="O203" t="s">
        <v>2034</v>
      </c>
      <c r="P203" t="s">
        <v>2050</v>
      </c>
      <c r="Q203" t="s">
        <v>2057</v>
      </c>
      <c r="R203" t="s">
        <v>2062</v>
      </c>
      <c r="S203" t="s">
        <v>1780</v>
      </c>
      <c r="T203" t="s">
        <v>2065</v>
      </c>
      <c r="V203" t="s">
        <v>158</v>
      </c>
      <c r="W203">
        <v>474.35</v>
      </c>
      <c r="X203" t="s">
        <v>2091</v>
      </c>
      <c r="Y203" t="s">
        <v>2099</v>
      </c>
      <c r="Z203" t="s">
        <v>2110</v>
      </c>
      <c r="AA203" t="s">
        <v>2312</v>
      </c>
      <c r="AC203" t="s">
        <v>2902</v>
      </c>
      <c r="AD203">
        <v>54</v>
      </c>
      <c r="AE203" t="s">
        <v>3223</v>
      </c>
      <c r="AF203" t="s">
        <v>3238</v>
      </c>
      <c r="AG203">
        <v>24</v>
      </c>
      <c r="AH203">
        <v>1</v>
      </c>
      <c r="AI203">
        <v>0</v>
      </c>
      <c r="AJ203">
        <v>81.67</v>
      </c>
      <c r="AM203" t="s">
        <v>3249</v>
      </c>
      <c r="AN203">
        <v>10200</v>
      </c>
    </row>
    <row r="204" spans="1:45">
      <c r="A204" s="1">
        <f>HYPERLINK("https://lsnyc.legalserver.org/matter/dynamic-profile/view/1903827","19-1903827")</f>
        <v>0</v>
      </c>
      <c r="B204" t="s">
        <v>64</v>
      </c>
      <c r="C204" t="s">
        <v>168</v>
      </c>
      <c r="D204" t="s">
        <v>154</v>
      </c>
      <c r="E204" t="s">
        <v>419</v>
      </c>
      <c r="F204" t="s">
        <v>850</v>
      </c>
      <c r="G204" t="s">
        <v>1291</v>
      </c>
      <c r="H204" t="s">
        <v>1645</v>
      </c>
      <c r="I204" t="s">
        <v>1753</v>
      </c>
      <c r="J204">
        <v>10301</v>
      </c>
      <c r="K204" t="s">
        <v>1779</v>
      </c>
      <c r="L204" t="s">
        <v>1781</v>
      </c>
      <c r="M204" t="s">
        <v>1782</v>
      </c>
      <c r="N204" t="s">
        <v>1887</v>
      </c>
      <c r="O204" t="s">
        <v>2030</v>
      </c>
      <c r="P204" t="s">
        <v>2051</v>
      </c>
      <c r="Q204" t="s">
        <v>2058</v>
      </c>
      <c r="R204" t="s">
        <v>2062</v>
      </c>
      <c r="S204" t="s">
        <v>1780</v>
      </c>
      <c r="T204" t="s">
        <v>2065</v>
      </c>
      <c r="U204" t="s">
        <v>2073</v>
      </c>
      <c r="V204" t="s">
        <v>168</v>
      </c>
      <c r="W204">
        <v>1250</v>
      </c>
      <c r="X204" t="s">
        <v>2090</v>
      </c>
      <c r="Y204" t="s">
        <v>2092</v>
      </c>
      <c r="Z204" t="s">
        <v>2111</v>
      </c>
      <c r="AA204" t="s">
        <v>2313</v>
      </c>
      <c r="AC204" t="s">
        <v>2903</v>
      </c>
      <c r="AD204">
        <v>48</v>
      </c>
      <c r="AE204" t="s">
        <v>3222</v>
      </c>
      <c r="AF204" t="s">
        <v>1783</v>
      </c>
      <c r="AG204">
        <v>4</v>
      </c>
      <c r="AH204">
        <v>2</v>
      </c>
      <c r="AI204">
        <v>2</v>
      </c>
      <c r="AJ204">
        <v>81.79000000000001</v>
      </c>
      <c r="AM204" t="s">
        <v>3248</v>
      </c>
      <c r="AN204">
        <v>21060</v>
      </c>
      <c r="AP204" t="s">
        <v>3285</v>
      </c>
      <c r="AQ204" t="s">
        <v>3292</v>
      </c>
      <c r="AR204" t="s">
        <v>3294</v>
      </c>
      <c r="AS204" t="s">
        <v>3309</v>
      </c>
    </row>
    <row r="205" spans="1:45">
      <c r="A205" s="1">
        <f>HYPERLINK("https://lsnyc.legalserver.org/matter/dynamic-profile/view/1909825","19-1909825")</f>
        <v>0</v>
      </c>
      <c r="B205" t="s">
        <v>66</v>
      </c>
      <c r="C205" t="s">
        <v>166</v>
      </c>
      <c r="D205" t="s">
        <v>150</v>
      </c>
      <c r="E205" t="s">
        <v>420</v>
      </c>
      <c r="F205" t="s">
        <v>851</v>
      </c>
      <c r="G205" t="s">
        <v>1292</v>
      </c>
      <c r="I205" t="s">
        <v>1754</v>
      </c>
      <c r="J205">
        <v>10033</v>
      </c>
      <c r="K205" t="s">
        <v>1779</v>
      </c>
      <c r="L205" t="s">
        <v>1781</v>
      </c>
      <c r="M205" t="s">
        <v>1782</v>
      </c>
      <c r="O205" t="s">
        <v>1793</v>
      </c>
      <c r="P205" t="s">
        <v>2050</v>
      </c>
      <c r="Q205" t="s">
        <v>2057</v>
      </c>
      <c r="R205" t="s">
        <v>2062</v>
      </c>
      <c r="S205" t="s">
        <v>1780</v>
      </c>
      <c r="T205" t="s">
        <v>2065</v>
      </c>
      <c r="V205" t="s">
        <v>166</v>
      </c>
      <c r="W205">
        <v>1069.67</v>
      </c>
      <c r="X205" t="s">
        <v>2091</v>
      </c>
      <c r="Y205" t="s">
        <v>2099</v>
      </c>
      <c r="Z205" t="s">
        <v>2110</v>
      </c>
      <c r="AA205" t="s">
        <v>2314</v>
      </c>
      <c r="AC205" t="s">
        <v>2904</v>
      </c>
      <c r="AD205">
        <v>19</v>
      </c>
      <c r="AE205" t="s">
        <v>3223</v>
      </c>
      <c r="AF205" t="s">
        <v>3238</v>
      </c>
      <c r="AG205">
        <v>36</v>
      </c>
      <c r="AH205">
        <v>2</v>
      </c>
      <c r="AI205">
        <v>0</v>
      </c>
      <c r="AJ205">
        <v>82.03</v>
      </c>
      <c r="AM205" t="s">
        <v>3249</v>
      </c>
      <c r="AN205">
        <v>13872</v>
      </c>
    </row>
    <row r="206" spans="1:45">
      <c r="A206" s="1">
        <f>HYPERLINK("https://lsnyc.legalserver.org/matter/dynamic-profile/view/1910583","19-1910583")</f>
        <v>0</v>
      </c>
      <c r="B206" t="s">
        <v>71</v>
      </c>
      <c r="C206" t="s">
        <v>134</v>
      </c>
      <c r="E206" t="s">
        <v>421</v>
      </c>
      <c r="F206" t="s">
        <v>852</v>
      </c>
      <c r="G206" t="s">
        <v>1293</v>
      </c>
      <c r="H206" t="s">
        <v>1611</v>
      </c>
      <c r="I206" t="s">
        <v>1754</v>
      </c>
      <c r="J206">
        <v>10029</v>
      </c>
      <c r="K206" t="s">
        <v>1779</v>
      </c>
      <c r="L206" t="s">
        <v>1781</v>
      </c>
      <c r="M206" t="s">
        <v>1782</v>
      </c>
      <c r="O206" t="s">
        <v>1793</v>
      </c>
      <c r="P206" t="s">
        <v>2052</v>
      </c>
      <c r="R206" t="s">
        <v>2062</v>
      </c>
      <c r="T206" t="s">
        <v>2065</v>
      </c>
      <c r="V206" t="s">
        <v>232</v>
      </c>
      <c r="W206">
        <v>1414.03</v>
      </c>
      <c r="X206" t="s">
        <v>2091</v>
      </c>
      <c r="Y206" t="s">
        <v>2096</v>
      </c>
      <c r="AA206" t="s">
        <v>2315</v>
      </c>
      <c r="AC206" t="s">
        <v>2905</v>
      </c>
      <c r="AD206">
        <v>0</v>
      </c>
      <c r="AE206" t="s">
        <v>3223</v>
      </c>
      <c r="AF206" t="s">
        <v>3238</v>
      </c>
      <c r="AG206">
        <v>4</v>
      </c>
      <c r="AH206">
        <v>1</v>
      </c>
      <c r="AI206">
        <v>0</v>
      </c>
      <c r="AJ206">
        <v>82.34</v>
      </c>
      <c r="AM206" t="s">
        <v>3248</v>
      </c>
      <c r="AN206">
        <v>10284</v>
      </c>
    </row>
    <row r="207" spans="1:45">
      <c r="A207" s="1">
        <f>HYPERLINK("https://lsnyc.legalserver.org/matter/dynamic-profile/view/1908679","19-1908679")</f>
        <v>0</v>
      </c>
      <c r="B207" t="s">
        <v>48</v>
      </c>
      <c r="C207" t="s">
        <v>174</v>
      </c>
      <c r="E207" t="s">
        <v>422</v>
      </c>
      <c r="F207" t="s">
        <v>853</v>
      </c>
      <c r="G207" t="s">
        <v>1294</v>
      </c>
      <c r="I207" t="s">
        <v>1764</v>
      </c>
      <c r="J207">
        <v>11416</v>
      </c>
      <c r="K207" t="s">
        <v>1779</v>
      </c>
      <c r="L207" t="s">
        <v>1781</v>
      </c>
      <c r="O207" t="s">
        <v>1793</v>
      </c>
      <c r="P207" t="s">
        <v>2050</v>
      </c>
      <c r="R207" t="s">
        <v>2063</v>
      </c>
      <c r="S207" t="s">
        <v>1780</v>
      </c>
      <c r="T207" t="s">
        <v>2065</v>
      </c>
      <c r="U207" t="s">
        <v>2073</v>
      </c>
      <c r="V207" t="s">
        <v>149</v>
      </c>
      <c r="W207">
        <v>880</v>
      </c>
      <c r="X207" t="s">
        <v>2087</v>
      </c>
      <c r="Y207" t="s">
        <v>2093</v>
      </c>
      <c r="AA207" t="s">
        <v>2316</v>
      </c>
      <c r="AC207" t="s">
        <v>2906</v>
      </c>
      <c r="AD207">
        <v>1</v>
      </c>
      <c r="AE207" t="s">
        <v>3222</v>
      </c>
      <c r="AF207" t="s">
        <v>1783</v>
      </c>
      <c r="AG207">
        <v>20</v>
      </c>
      <c r="AH207">
        <v>3</v>
      </c>
      <c r="AI207">
        <v>0</v>
      </c>
      <c r="AJ207">
        <v>82.36</v>
      </c>
      <c r="AK207" t="s">
        <v>3244</v>
      </c>
      <c r="AL207" t="s">
        <v>3245</v>
      </c>
      <c r="AM207" t="s">
        <v>3248</v>
      </c>
      <c r="AN207">
        <v>17568</v>
      </c>
    </row>
    <row r="208" spans="1:45">
      <c r="A208" s="1">
        <f>HYPERLINK("https://lsnyc.legalserver.org/matter/dynamic-profile/view/1910486","19-1910486")</f>
        <v>0</v>
      </c>
      <c r="B208" t="s">
        <v>84</v>
      </c>
      <c r="C208" t="s">
        <v>150</v>
      </c>
      <c r="D208" t="s">
        <v>150</v>
      </c>
      <c r="E208" t="s">
        <v>423</v>
      </c>
      <c r="F208" t="s">
        <v>854</v>
      </c>
      <c r="G208" t="s">
        <v>1295</v>
      </c>
      <c r="H208" t="s">
        <v>1646</v>
      </c>
      <c r="I208" t="s">
        <v>1754</v>
      </c>
      <c r="J208">
        <v>10032</v>
      </c>
      <c r="K208" t="s">
        <v>1779</v>
      </c>
      <c r="L208" t="s">
        <v>1781</v>
      </c>
      <c r="M208" t="s">
        <v>1782</v>
      </c>
      <c r="O208" t="s">
        <v>1793</v>
      </c>
      <c r="P208" t="s">
        <v>2055</v>
      </c>
      <c r="Q208" t="s">
        <v>2059</v>
      </c>
      <c r="R208" t="s">
        <v>2062</v>
      </c>
      <c r="S208" t="s">
        <v>1780</v>
      </c>
      <c r="T208" t="s">
        <v>2065</v>
      </c>
      <c r="V208" t="s">
        <v>150</v>
      </c>
      <c r="W208">
        <v>1132</v>
      </c>
      <c r="X208" t="s">
        <v>2091</v>
      </c>
      <c r="Y208" t="s">
        <v>2101</v>
      </c>
      <c r="Z208" t="s">
        <v>2112</v>
      </c>
      <c r="AA208" t="s">
        <v>2317</v>
      </c>
      <c r="AC208" t="s">
        <v>2907</v>
      </c>
      <c r="AD208">
        <v>14</v>
      </c>
      <c r="AE208" t="s">
        <v>3223</v>
      </c>
      <c r="AF208" t="s">
        <v>3238</v>
      </c>
      <c r="AG208">
        <v>16</v>
      </c>
      <c r="AH208">
        <v>1</v>
      </c>
      <c r="AI208">
        <v>0</v>
      </c>
      <c r="AJ208">
        <v>82.43000000000001</v>
      </c>
      <c r="AM208" t="s">
        <v>3248</v>
      </c>
      <c r="AN208">
        <v>10296</v>
      </c>
    </row>
    <row r="209" spans="1:45">
      <c r="A209" s="1">
        <f>HYPERLINK("https://lsnyc.legalserver.org/matter/dynamic-profile/view/1908375","19-1908375")</f>
        <v>0</v>
      </c>
      <c r="B209" t="s">
        <v>72</v>
      </c>
      <c r="C209" t="s">
        <v>195</v>
      </c>
      <c r="E209" t="s">
        <v>424</v>
      </c>
      <c r="F209" t="s">
        <v>804</v>
      </c>
      <c r="G209" t="s">
        <v>1296</v>
      </c>
      <c r="H209" t="s">
        <v>1647</v>
      </c>
      <c r="I209" t="s">
        <v>1761</v>
      </c>
      <c r="J209">
        <v>11377</v>
      </c>
      <c r="K209" t="s">
        <v>1779</v>
      </c>
      <c r="L209" t="s">
        <v>1781</v>
      </c>
      <c r="M209" t="s">
        <v>1782</v>
      </c>
      <c r="N209" t="s">
        <v>1888</v>
      </c>
      <c r="O209" t="s">
        <v>2032</v>
      </c>
      <c r="P209" t="s">
        <v>2053</v>
      </c>
      <c r="R209" t="s">
        <v>2062</v>
      </c>
      <c r="S209" t="s">
        <v>1779</v>
      </c>
      <c r="T209" t="s">
        <v>2065</v>
      </c>
      <c r="V209" t="s">
        <v>195</v>
      </c>
      <c r="W209">
        <v>1382</v>
      </c>
      <c r="X209" t="s">
        <v>2087</v>
      </c>
      <c r="Y209" t="s">
        <v>2092</v>
      </c>
      <c r="AA209" t="s">
        <v>2318</v>
      </c>
      <c r="AC209" t="s">
        <v>2908</v>
      </c>
      <c r="AD209">
        <v>66</v>
      </c>
      <c r="AE209" t="s">
        <v>3223</v>
      </c>
      <c r="AF209" t="s">
        <v>1783</v>
      </c>
      <c r="AG209">
        <v>19</v>
      </c>
      <c r="AH209">
        <v>2</v>
      </c>
      <c r="AI209">
        <v>0</v>
      </c>
      <c r="AJ209">
        <v>82.79000000000001</v>
      </c>
      <c r="AM209" t="s">
        <v>3249</v>
      </c>
      <c r="AN209">
        <v>14000</v>
      </c>
    </row>
    <row r="210" spans="1:45">
      <c r="A210" s="1">
        <f>HYPERLINK("https://lsnyc.legalserver.org/matter/dynamic-profile/view/1907812","19-1907812")</f>
        <v>0</v>
      </c>
      <c r="B210" t="s">
        <v>54</v>
      </c>
      <c r="C210" t="s">
        <v>208</v>
      </c>
      <c r="E210" t="s">
        <v>425</v>
      </c>
      <c r="F210" t="s">
        <v>855</v>
      </c>
      <c r="G210" t="s">
        <v>1297</v>
      </c>
      <c r="H210">
        <v>426</v>
      </c>
      <c r="I210" t="s">
        <v>1749</v>
      </c>
      <c r="J210">
        <v>11208</v>
      </c>
      <c r="K210" t="s">
        <v>1779</v>
      </c>
      <c r="L210" t="s">
        <v>1781</v>
      </c>
      <c r="M210" t="s">
        <v>1782</v>
      </c>
      <c r="N210" t="s">
        <v>1889</v>
      </c>
      <c r="O210" t="s">
        <v>1793</v>
      </c>
      <c r="P210" t="s">
        <v>2054</v>
      </c>
      <c r="R210" t="s">
        <v>2062</v>
      </c>
      <c r="S210" t="s">
        <v>1780</v>
      </c>
      <c r="T210" t="s">
        <v>2067</v>
      </c>
      <c r="U210" t="s">
        <v>2075</v>
      </c>
      <c r="V210" t="s">
        <v>154</v>
      </c>
      <c r="W210">
        <v>208</v>
      </c>
      <c r="X210" t="s">
        <v>2088</v>
      </c>
      <c r="Y210" t="s">
        <v>2107</v>
      </c>
      <c r="AA210" t="s">
        <v>2319</v>
      </c>
      <c r="AB210" t="s">
        <v>1799</v>
      </c>
      <c r="AC210" t="s">
        <v>2909</v>
      </c>
      <c r="AD210">
        <v>40</v>
      </c>
      <c r="AE210" t="s">
        <v>3226</v>
      </c>
      <c r="AF210" t="s">
        <v>3236</v>
      </c>
      <c r="AG210">
        <v>11</v>
      </c>
      <c r="AH210">
        <v>1</v>
      </c>
      <c r="AI210">
        <v>0</v>
      </c>
      <c r="AJ210">
        <v>83.2</v>
      </c>
      <c r="AM210" t="s">
        <v>3248</v>
      </c>
      <c r="AN210">
        <v>10392</v>
      </c>
      <c r="AO210" t="s">
        <v>3271</v>
      </c>
    </row>
    <row r="211" spans="1:45">
      <c r="A211" s="1">
        <f>HYPERLINK("https://lsnyc.legalserver.org/matter/dynamic-profile/view/1910678","19-1910678")</f>
        <v>0</v>
      </c>
      <c r="B211" t="s">
        <v>56</v>
      </c>
      <c r="C211" t="s">
        <v>134</v>
      </c>
      <c r="E211" t="s">
        <v>426</v>
      </c>
      <c r="F211" t="s">
        <v>856</v>
      </c>
      <c r="G211" t="s">
        <v>1298</v>
      </c>
      <c r="I211" t="s">
        <v>1749</v>
      </c>
      <c r="J211">
        <v>11207</v>
      </c>
      <c r="K211" t="s">
        <v>1779</v>
      </c>
      <c r="L211" t="s">
        <v>1781</v>
      </c>
      <c r="M211" t="s">
        <v>1782</v>
      </c>
      <c r="R211" t="s">
        <v>2062</v>
      </c>
      <c r="S211" t="s">
        <v>1780</v>
      </c>
      <c r="T211" t="s">
        <v>2065</v>
      </c>
      <c r="V211" t="s">
        <v>134</v>
      </c>
      <c r="W211">
        <v>680</v>
      </c>
      <c r="X211" t="s">
        <v>2088</v>
      </c>
      <c r="Y211" t="s">
        <v>2101</v>
      </c>
      <c r="AA211" t="s">
        <v>2320</v>
      </c>
      <c r="AB211" t="s">
        <v>2710</v>
      </c>
      <c r="AC211" t="s">
        <v>2910</v>
      </c>
      <c r="AD211">
        <v>3</v>
      </c>
      <c r="AE211" t="s">
        <v>2704</v>
      </c>
      <c r="AF211" t="s">
        <v>3238</v>
      </c>
      <c r="AG211">
        <v>34</v>
      </c>
      <c r="AH211">
        <v>1</v>
      </c>
      <c r="AI211">
        <v>0</v>
      </c>
      <c r="AJ211">
        <v>83.23</v>
      </c>
      <c r="AM211" t="s">
        <v>3249</v>
      </c>
      <c r="AN211">
        <v>10396</v>
      </c>
    </row>
    <row r="212" spans="1:45">
      <c r="A212" s="1">
        <f>HYPERLINK("https://lsnyc.legalserver.org/matter/dynamic-profile/view/1909340","19-1909340")</f>
        <v>0</v>
      </c>
      <c r="B212" t="s">
        <v>73</v>
      </c>
      <c r="C212" t="s">
        <v>141</v>
      </c>
      <c r="E212" t="s">
        <v>427</v>
      </c>
      <c r="F212" t="s">
        <v>857</v>
      </c>
      <c r="G212" t="s">
        <v>1299</v>
      </c>
      <c r="H212" t="s">
        <v>1632</v>
      </c>
      <c r="I212" t="s">
        <v>1754</v>
      </c>
      <c r="J212">
        <v>10033</v>
      </c>
      <c r="K212" t="s">
        <v>1779</v>
      </c>
      <c r="L212" t="s">
        <v>1781</v>
      </c>
      <c r="M212" t="s">
        <v>1782</v>
      </c>
      <c r="P212" t="s">
        <v>2052</v>
      </c>
      <c r="R212" t="s">
        <v>2062</v>
      </c>
      <c r="S212" t="s">
        <v>1780</v>
      </c>
      <c r="T212" t="s">
        <v>2065</v>
      </c>
      <c r="V212" t="s">
        <v>141</v>
      </c>
      <c r="W212">
        <v>1235</v>
      </c>
      <c r="X212" t="s">
        <v>2091</v>
      </c>
      <c r="Y212" t="s">
        <v>2099</v>
      </c>
      <c r="AA212" t="s">
        <v>2321</v>
      </c>
      <c r="AC212" t="s">
        <v>2911</v>
      </c>
      <c r="AD212">
        <v>0</v>
      </c>
      <c r="AE212" t="s">
        <v>3223</v>
      </c>
      <c r="AF212" t="s">
        <v>1783</v>
      </c>
      <c r="AG212">
        <v>18</v>
      </c>
      <c r="AH212">
        <v>1</v>
      </c>
      <c r="AI212">
        <v>0</v>
      </c>
      <c r="AJ212">
        <v>83.27</v>
      </c>
      <c r="AM212" t="s">
        <v>3249</v>
      </c>
      <c r="AN212">
        <v>10400</v>
      </c>
    </row>
    <row r="213" spans="1:45">
      <c r="A213" s="1">
        <f>HYPERLINK("https://lsnyc.legalserver.org/matter/dynamic-profile/view/1905950","19-1905950")</f>
        <v>0</v>
      </c>
      <c r="B213" t="s">
        <v>94</v>
      </c>
      <c r="C213" t="s">
        <v>186</v>
      </c>
      <c r="D213" t="s">
        <v>143</v>
      </c>
      <c r="E213" t="s">
        <v>428</v>
      </c>
      <c r="F213" t="s">
        <v>858</v>
      </c>
      <c r="G213" t="s">
        <v>1300</v>
      </c>
      <c r="H213" t="s">
        <v>1576</v>
      </c>
      <c r="I213" t="s">
        <v>1754</v>
      </c>
      <c r="J213">
        <v>10035</v>
      </c>
      <c r="K213" t="s">
        <v>1779</v>
      </c>
      <c r="L213" t="s">
        <v>1781</v>
      </c>
      <c r="M213" t="s">
        <v>1784</v>
      </c>
      <c r="N213" t="s">
        <v>1890</v>
      </c>
      <c r="O213" t="s">
        <v>2030</v>
      </c>
      <c r="P213" t="s">
        <v>2050</v>
      </c>
      <c r="Q213" t="s">
        <v>2057</v>
      </c>
      <c r="R213" t="s">
        <v>2062</v>
      </c>
      <c r="S213" t="s">
        <v>1780</v>
      </c>
      <c r="T213" t="s">
        <v>2065</v>
      </c>
      <c r="U213" t="s">
        <v>2076</v>
      </c>
      <c r="V213" t="s">
        <v>186</v>
      </c>
      <c r="W213">
        <v>1587</v>
      </c>
      <c r="X213" t="s">
        <v>2091</v>
      </c>
      <c r="Y213" t="s">
        <v>2102</v>
      </c>
      <c r="Z213" t="s">
        <v>2110</v>
      </c>
      <c r="AA213" t="s">
        <v>2322</v>
      </c>
      <c r="AB213" t="s">
        <v>2711</v>
      </c>
      <c r="AC213" t="s">
        <v>2912</v>
      </c>
      <c r="AD213">
        <v>24</v>
      </c>
      <c r="AE213" t="s">
        <v>3226</v>
      </c>
      <c r="AF213" t="s">
        <v>1783</v>
      </c>
      <c r="AG213">
        <v>5</v>
      </c>
      <c r="AH213">
        <v>1</v>
      </c>
      <c r="AI213">
        <v>0</v>
      </c>
      <c r="AJ213">
        <v>83.39</v>
      </c>
      <c r="AM213" t="s">
        <v>3248</v>
      </c>
      <c r="AN213">
        <v>10416</v>
      </c>
    </row>
    <row r="214" spans="1:45">
      <c r="A214" s="1">
        <f>HYPERLINK("https://lsnyc.legalserver.org/matter/dynamic-profile/view/1907707","19-1907707")</f>
        <v>0</v>
      </c>
      <c r="B214" t="s">
        <v>72</v>
      </c>
      <c r="C214" t="s">
        <v>185</v>
      </c>
      <c r="E214" t="s">
        <v>292</v>
      </c>
      <c r="F214" t="s">
        <v>725</v>
      </c>
      <c r="G214" t="s">
        <v>1301</v>
      </c>
      <c r="H214" t="s">
        <v>1570</v>
      </c>
      <c r="I214" t="s">
        <v>1761</v>
      </c>
      <c r="J214">
        <v>11377</v>
      </c>
      <c r="K214" t="s">
        <v>1779</v>
      </c>
      <c r="L214" t="s">
        <v>1781</v>
      </c>
      <c r="M214" t="s">
        <v>1782</v>
      </c>
      <c r="O214" t="s">
        <v>2032</v>
      </c>
      <c r="P214" t="s">
        <v>2053</v>
      </c>
      <c r="R214" t="s">
        <v>2062</v>
      </c>
      <c r="S214" t="s">
        <v>1779</v>
      </c>
      <c r="T214" t="s">
        <v>2065</v>
      </c>
      <c r="V214" t="s">
        <v>185</v>
      </c>
      <c r="W214">
        <v>1102</v>
      </c>
      <c r="X214" t="s">
        <v>2087</v>
      </c>
      <c r="Y214" t="s">
        <v>2100</v>
      </c>
      <c r="AA214" t="s">
        <v>2323</v>
      </c>
      <c r="AC214" t="s">
        <v>2913</v>
      </c>
      <c r="AD214">
        <v>234</v>
      </c>
      <c r="AE214" t="s">
        <v>2704</v>
      </c>
      <c r="AF214" t="s">
        <v>3236</v>
      </c>
      <c r="AG214">
        <v>40</v>
      </c>
      <c r="AH214">
        <v>2</v>
      </c>
      <c r="AI214">
        <v>0</v>
      </c>
      <c r="AJ214">
        <v>83.52</v>
      </c>
      <c r="AM214" t="s">
        <v>3249</v>
      </c>
      <c r="AN214">
        <v>14124</v>
      </c>
    </row>
    <row r="215" spans="1:45">
      <c r="A215" s="1">
        <f>HYPERLINK("https://lsnyc.legalserver.org/matter/dynamic-profile/view/1904277","19-1904277")</f>
        <v>0</v>
      </c>
      <c r="B215" t="s">
        <v>90</v>
      </c>
      <c r="C215" t="s">
        <v>135</v>
      </c>
      <c r="D215" t="s">
        <v>243</v>
      </c>
      <c r="E215" t="s">
        <v>429</v>
      </c>
      <c r="F215" t="s">
        <v>859</v>
      </c>
      <c r="G215" t="s">
        <v>1302</v>
      </c>
      <c r="H215" t="s">
        <v>1645</v>
      </c>
      <c r="I215" t="s">
        <v>1752</v>
      </c>
      <c r="J215">
        <v>10460</v>
      </c>
      <c r="K215" t="s">
        <v>1779</v>
      </c>
      <c r="L215" t="s">
        <v>1781</v>
      </c>
      <c r="M215" t="s">
        <v>1782</v>
      </c>
      <c r="N215" t="s">
        <v>1891</v>
      </c>
      <c r="O215" t="s">
        <v>2030</v>
      </c>
      <c r="P215" t="s">
        <v>2055</v>
      </c>
      <c r="Q215" t="s">
        <v>2059</v>
      </c>
      <c r="R215" t="s">
        <v>2062</v>
      </c>
      <c r="S215" t="s">
        <v>1780</v>
      </c>
      <c r="T215" t="s">
        <v>2065</v>
      </c>
      <c r="V215" t="s">
        <v>191</v>
      </c>
      <c r="W215">
        <v>1723.03</v>
      </c>
      <c r="X215" t="s">
        <v>2089</v>
      </c>
      <c r="Y215" t="s">
        <v>2101</v>
      </c>
      <c r="Z215" t="s">
        <v>2116</v>
      </c>
      <c r="AA215" t="s">
        <v>2324</v>
      </c>
      <c r="AC215" t="s">
        <v>2914</v>
      </c>
      <c r="AD215">
        <v>200</v>
      </c>
      <c r="AE215" t="s">
        <v>3233</v>
      </c>
      <c r="AF215" t="s">
        <v>3236</v>
      </c>
      <c r="AG215">
        <v>3</v>
      </c>
      <c r="AH215">
        <v>2</v>
      </c>
      <c r="AI215">
        <v>0</v>
      </c>
      <c r="AJ215">
        <v>83.73999999999999</v>
      </c>
      <c r="AM215" t="s">
        <v>3248</v>
      </c>
      <c r="AN215">
        <v>14160</v>
      </c>
    </row>
    <row r="216" spans="1:45">
      <c r="A216" s="1">
        <f>HYPERLINK("https://lsnyc.legalserver.org/matter/dynamic-profile/view/1904423","19-1904423")</f>
        <v>0</v>
      </c>
      <c r="B216" t="s">
        <v>85</v>
      </c>
      <c r="C216" t="s">
        <v>176</v>
      </c>
      <c r="E216" t="s">
        <v>430</v>
      </c>
      <c r="F216" t="s">
        <v>860</v>
      </c>
      <c r="G216" t="s">
        <v>1221</v>
      </c>
      <c r="H216">
        <v>513</v>
      </c>
      <c r="I216" t="s">
        <v>1753</v>
      </c>
      <c r="J216">
        <v>10304</v>
      </c>
      <c r="K216" t="s">
        <v>1779</v>
      </c>
      <c r="L216" t="s">
        <v>1781</v>
      </c>
      <c r="M216" t="s">
        <v>1782</v>
      </c>
      <c r="N216" t="s">
        <v>1892</v>
      </c>
      <c r="O216" t="s">
        <v>2030</v>
      </c>
      <c r="P216" t="s">
        <v>2051</v>
      </c>
      <c r="R216" t="s">
        <v>2062</v>
      </c>
      <c r="S216" t="s">
        <v>1780</v>
      </c>
      <c r="T216" t="s">
        <v>2065</v>
      </c>
      <c r="U216" t="s">
        <v>2073</v>
      </c>
      <c r="V216" t="s">
        <v>176</v>
      </c>
      <c r="W216">
        <v>1202.3</v>
      </c>
      <c r="X216" t="s">
        <v>2090</v>
      </c>
      <c r="Y216" t="s">
        <v>2095</v>
      </c>
      <c r="AA216" t="s">
        <v>2325</v>
      </c>
      <c r="AC216" t="s">
        <v>2915</v>
      </c>
      <c r="AD216">
        <v>105</v>
      </c>
      <c r="AE216" t="s">
        <v>3223</v>
      </c>
      <c r="AF216" t="s">
        <v>3241</v>
      </c>
      <c r="AG216">
        <v>8</v>
      </c>
      <c r="AH216">
        <v>1</v>
      </c>
      <c r="AI216">
        <v>0</v>
      </c>
      <c r="AJ216">
        <v>84.36</v>
      </c>
      <c r="AM216" t="s">
        <v>3248</v>
      </c>
      <c r="AN216">
        <v>10536</v>
      </c>
    </row>
    <row r="217" spans="1:45">
      <c r="A217" s="1">
        <f>HYPERLINK("https://lsnyc.legalserver.org/matter/dynamic-profile/view/1907747","19-1907747")</f>
        <v>0</v>
      </c>
      <c r="B217" t="s">
        <v>57</v>
      </c>
      <c r="C217" t="s">
        <v>154</v>
      </c>
      <c r="E217" t="s">
        <v>431</v>
      </c>
      <c r="F217" t="s">
        <v>861</v>
      </c>
      <c r="G217" t="s">
        <v>1303</v>
      </c>
      <c r="H217" t="s">
        <v>1648</v>
      </c>
      <c r="I217" t="s">
        <v>1749</v>
      </c>
      <c r="J217">
        <v>11219</v>
      </c>
      <c r="K217" t="s">
        <v>1779</v>
      </c>
      <c r="L217" t="s">
        <v>1781</v>
      </c>
      <c r="M217" t="s">
        <v>1782</v>
      </c>
      <c r="N217" t="s">
        <v>1893</v>
      </c>
      <c r="O217" t="s">
        <v>2030</v>
      </c>
      <c r="P217" t="s">
        <v>2051</v>
      </c>
      <c r="R217" t="s">
        <v>2062</v>
      </c>
      <c r="S217" t="s">
        <v>1780</v>
      </c>
      <c r="T217" t="s">
        <v>2065</v>
      </c>
      <c r="V217" t="s">
        <v>160</v>
      </c>
      <c r="W217">
        <v>900</v>
      </c>
      <c r="X217" t="s">
        <v>2088</v>
      </c>
      <c r="Y217" t="s">
        <v>2101</v>
      </c>
      <c r="AA217" t="s">
        <v>2326</v>
      </c>
      <c r="AC217" t="s">
        <v>2916</v>
      </c>
      <c r="AD217">
        <v>6</v>
      </c>
      <c r="AE217" t="s">
        <v>3223</v>
      </c>
      <c r="AF217" t="s">
        <v>1783</v>
      </c>
      <c r="AG217">
        <v>10</v>
      </c>
      <c r="AH217">
        <v>3</v>
      </c>
      <c r="AI217">
        <v>0</v>
      </c>
      <c r="AJ217">
        <v>84.39</v>
      </c>
      <c r="AM217" t="s">
        <v>3249</v>
      </c>
      <c r="AN217">
        <v>18000</v>
      </c>
    </row>
    <row r="218" spans="1:45">
      <c r="A218" s="1">
        <f>HYPERLINK("https://lsnyc.legalserver.org/matter/dynamic-profile/view/1909838","19-1909838")</f>
        <v>0</v>
      </c>
      <c r="B218" t="s">
        <v>66</v>
      </c>
      <c r="C218" t="s">
        <v>166</v>
      </c>
      <c r="E218" t="s">
        <v>403</v>
      </c>
      <c r="F218" t="s">
        <v>862</v>
      </c>
      <c r="G218" t="s">
        <v>1304</v>
      </c>
      <c r="I218" t="s">
        <v>1754</v>
      </c>
      <c r="J218">
        <v>10034</v>
      </c>
      <c r="K218" t="s">
        <v>1779</v>
      </c>
      <c r="L218" t="s">
        <v>1781</v>
      </c>
      <c r="M218" t="s">
        <v>1782</v>
      </c>
      <c r="P218" t="s">
        <v>2052</v>
      </c>
      <c r="R218" t="s">
        <v>2062</v>
      </c>
      <c r="S218" t="s">
        <v>1780</v>
      </c>
      <c r="T218" t="s">
        <v>2065</v>
      </c>
      <c r="V218" t="s">
        <v>166</v>
      </c>
      <c r="W218">
        <v>1700</v>
      </c>
      <c r="X218" t="s">
        <v>2091</v>
      </c>
      <c r="Y218" t="s">
        <v>2106</v>
      </c>
      <c r="AA218" t="s">
        <v>2327</v>
      </c>
      <c r="AC218" t="s">
        <v>2917</v>
      </c>
      <c r="AD218">
        <v>24</v>
      </c>
      <c r="AE218" t="s">
        <v>3223</v>
      </c>
      <c r="AF218" t="s">
        <v>3241</v>
      </c>
      <c r="AG218">
        <v>1</v>
      </c>
      <c r="AH218">
        <v>1</v>
      </c>
      <c r="AI218">
        <v>0</v>
      </c>
      <c r="AJ218">
        <v>84.64</v>
      </c>
      <c r="AM218" t="s">
        <v>3248</v>
      </c>
      <c r="AN218">
        <v>10572</v>
      </c>
    </row>
    <row r="219" spans="1:45">
      <c r="A219" s="1">
        <f>HYPERLINK("https://lsnyc.legalserver.org/matter/dynamic-profile/view/1880321","18-1880321")</f>
        <v>0</v>
      </c>
      <c r="B219" t="s">
        <v>101</v>
      </c>
      <c r="C219" t="s">
        <v>209</v>
      </c>
      <c r="D219" t="s">
        <v>155</v>
      </c>
      <c r="E219" t="s">
        <v>432</v>
      </c>
      <c r="F219" t="s">
        <v>863</v>
      </c>
      <c r="G219" t="s">
        <v>1305</v>
      </c>
      <c r="H219" t="s">
        <v>1649</v>
      </c>
      <c r="I219" t="s">
        <v>1749</v>
      </c>
      <c r="J219">
        <v>11208</v>
      </c>
      <c r="K219" t="s">
        <v>1779</v>
      </c>
      <c r="L219" t="s">
        <v>1781</v>
      </c>
      <c r="M219" t="s">
        <v>1782</v>
      </c>
      <c r="N219" t="s">
        <v>1894</v>
      </c>
      <c r="O219" t="s">
        <v>2030</v>
      </c>
      <c r="P219" t="s">
        <v>2051</v>
      </c>
      <c r="Q219" t="s">
        <v>2058</v>
      </c>
      <c r="R219" t="s">
        <v>2062</v>
      </c>
      <c r="S219" t="s">
        <v>1780</v>
      </c>
      <c r="T219" t="s">
        <v>2065</v>
      </c>
      <c r="U219" t="s">
        <v>2073</v>
      </c>
      <c r="V219" t="s">
        <v>226</v>
      </c>
      <c r="W219">
        <v>0</v>
      </c>
      <c r="X219" t="s">
        <v>2088</v>
      </c>
      <c r="Y219" t="s">
        <v>2101</v>
      </c>
      <c r="Z219" t="s">
        <v>2111</v>
      </c>
      <c r="AA219" t="s">
        <v>2328</v>
      </c>
      <c r="AC219" t="s">
        <v>2918</v>
      </c>
      <c r="AD219">
        <v>294</v>
      </c>
      <c r="AE219" t="s">
        <v>3225</v>
      </c>
      <c r="AF219" t="s">
        <v>3241</v>
      </c>
      <c r="AG219">
        <v>5</v>
      </c>
      <c r="AH219">
        <v>1</v>
      </c>
      <c r="AI219">
        <v>0</v>
      </c>
      <c r="AJ219">
        <v>84.70999999999999</v>
      </c>
      <c r="AM219" t="s">
        <v>3248</v>
      </c>
      <c r="AN219">
        <v>10284</v>
      </c>
      <c r="AP219" t="s">
        <v>3285</v>
      </c>
      <c r="AQ219" t="s">
        <v>3290</v>
      </c>
      <c r="AR219" t="s">
        <v>3294</v>
      </c>
      <c r="AS219" t="s">
        <v>3310</v>
      </c>
    </row>
    <row r="220" spans="1:45">
      <c r="A220" s="1">
        <f>HYPERLINK("https://lsnyc.legalserver.org/matter/dynamic-profile/view/1908891","19-1908891")</f>
        <v>0</v>
      </c>
      <c r="B220" t="s">
        <v>74</v>
      </c>
      <c r="C220" t="s">
        <v>196</v>
      </c>
      <c r="D220" t="s">
        <v>233</v>
      </c>
      <c r="E220" t="s">
        <v>363</v>
      </c>
      <c r="F220" t="s">
        <v>864</v>
      </c>
      <c r="G220" t="s">
        <v>1306</v>
      </c>
      <c r="H220" t="s">
        <v>1650</v>
      </c>
      <c r="I220" t="s">
        <v>1756</v>
      </c>
      <c r="J220">
        <v>11367</v>
      </c>
      <c r="K220" t="s">
        <v>1779</v>
      </c>
      <c r="L220" t="s">
        <v>1781</v>
      </c>
      <c r="M220" t="s">
        <v>1782</v>
      </c>
      <c r="O220" t="s">
        <v>2031</v>
      </c>
      <c r="P220" t="s">
        <v>2055</v>
      </c>
      <c r="Q220" t="s">
        <v>2059</v>
      </c>
      <c r="R220" t="s">
        <v>2062</v>
      </c>
      <c r="S220" t="s">
        <v>1780</v>
      </c>
      <c r="T220" t="s">
        <v>2065</v>
      </c>
      <c r="U220" t="s">
        <v>2073</v>
      </c>
      <c r="V220" t="s">
        <v>233</v>
      </c>
      <c r="W220">
        <v>1063</v>
      </c>
      <c r="X220" t="s">
        <v>2087</v>
      </c>
      <c r="Y220" t="s">
        <v>2108</v>
      </c>
      <c r="Z220" t="s">
        <v>2112</v>
      </c>
      <c r="AA220" t="s">
        <v>2329</v>
      </c>
      <c r="AB220" t="s">
        <v>2712</v>
      </c>
      <c r="AC220" t="s">
        <v>2919</v>
      </c>
      <c r="AD220">
        <v>12</v>
      </c>
      <c r="AE220" t="s">
        <v>3232</v>
      </c>
      <c r="AF220" t="s">
        <v>3238</v>
      </c>
      <c r="AG220">
        <v>30</v>
      </c>
      <c r="AH220">
        <v>2</v>
      </c>
      <c r="AI220">
        <v>0</v>
      </c>
      <c r="AJ220">
        <v>85.16</v>
      </c>
      <c r="AM220" t="s">
        <v>3249</v>
      </c>
      <c r="AN220">
        <v>14400</v>
      </c>
    </row>
    <row r="221" spans="1:45">
      <c r="A221" s="1">
        <f>HYPERLINK("https://lsnyc.legalserver.org/matter/dynamic-profile/view/1905689","19-1905689")</f>
        <v>0</v>
      </c>
      <c r="B221" t="s">
        <v>58</v>
      </c>
      <c r="C221" t="s">
        <v>185</v>
      </c>
      <c r="E221" t="s">
        <v>433</v>
      </c>
      <c r="F221" t="s">
        <v>865</v>
      </c>
      <c r="G221" t="s">
        <v>1208</v>
      </c>
      <c r="H221" t="s">
        <v>1644</v>
      </c>
      <c r="I221" t="s">
        <v>1749</v>
      </c>
      <c r="J221">
        <v>11226</v>
      </c>
      <c r="K221" t="s">
        <v>1779</v>
      </c>
      <c r="L221" t="s">
        <v>1781</v>
      </c>
      <c r="O221" t="s">
        <v>2032</v>
      </c>
      <c r="P221" t="s">
        <v>2053</v>
      </c>
      <c r="R221" t="s">
        <v>2062</v>
      </c>
      <c r="S221" t="s">
        <v>1779</v>
      </c>
      <c r="T221" t="s">
        <v>2065</v>
      </c>
      <c r="V221" t="s">
        <v>145</v>
      </c>
      <c r="W221">
        <v>0</v>
      </c>
      <c r="X221" t="s">
        <v>2088</v>
      </c>
      <c r="AA221" t="s">
        <v>2330</v>
      </c>
      <c r="AC221" t="s">
        <v>2920</v>
      </c>
      <c r="AD221">
        <v>36</v>
      </c>
      <c r="AE221" t="s">
        <v>3223</v>
      </c>
      <c r="AG221">
        <v>0</v>
      </c>
      <c r="AH221">
        <v>2</v>
      </c>
      <c r="AI221">
        <v>0</v>
      </c>
      <c r="AJ221">
        <v>85.16</v>
      </c>
      <c r="AM221" t="s">
        <v>3248</v>
      </c>
      <c r="AN221">
        <v>14400</v>
      </c>
    </row>
    <row r="222" spans="1:45">
      <c r="A222" s="1">
        <f>HYPERLINK("https://lsnyc.legalserver.org/matter/dynamic-profile/view/1909659","19-1909659")</f>
        <v>0</v>
      </c>
      <c r="B222" t="s">
        <v>85</v>
      </c>
      <c r="C222" t="s">
        <v>166</v>
      </c>
      <c r="E222" t="s">
        <v>434</v>
      </c>
      <c r="F222" t="s">
        <v>866</v>
      </c>
      <c r="G222" t="s">
        <v>1307</v>
      </c>
      <c r="I222" t="s">
        <v>1753</v>
      </c>
      <c r="J222">
        <v>10301</v>
      </c>
      <c r="K222" t="s">
        <v>1779</v>
      </c>
      <c r="L222" t="s">
        <v>1781</v>
      </c>
      <c r="M222" t="s">
        <v>1782</v>
      </c>
      <c r="N222" t="s">
        <v>1895</v>
      </c>
      <c r="P222" t="s">
        <v>2051</v>
      </c>
      <c r="R222" t="s">
        <v>2062</v>
      </c>
      <c r="S222" t="s">
        <v>1780</v>
      </c>
      <c r="T222" t="s">
        <v>2065</v>
      </c>
      <c r="U222" t="s">
        <v>2073</v>
      </c>
      <c r="V222" t="s">
        <v>166</v>
      </c>
      <c r="W222">
        <v>1200</v>
      </c>
      <c r="X222" t="s">
        <v>2090</v>
      </c>
      <c r="Y222" t="s">
        <v>2109</v>
      </c>
      <c r="AA222" t="s">
        <v>2331</v>
      </c>
      <c r="AC222" t="s">
        <v>2921</v>
      </c>
      <c r="AD222">
        <v>2</v>
      </c>
      <c r="AE222" t="s">
        <v>3222</v>
      </c>
      <c r="AF222" t="s">
        <v>1783</v>
      </c>
      <c r="AG222">
        <v>23</v>
      </c>
      <c r="AH222">
        <v>1</v>
      </c>
      <c r="AI222">
        <v>1</v>
      </c>
      <c r="AJ222">
        <v>85.16</v>
      </c>
      <c r="AM222" t="s">
        <v>3248</v>
      </c>
      <c r="AN222">
        <v>14400</v>
      </c>
    </row>
    <row r="223" spans="1:45">
      <c r="A223" s="1">
        <f>HYPERLINK("https://lsnyc.legalserver.org/matter/dynamic-profile/view/1907664","19-1907664")</f>
        <v>0</v>
      </c>
      <c r="B223" t="s">
        <v>58</v>
      </c>
      <c r="C223" t="s">
        <v>185</v>
      </c>
      <c r="E223" t="s">
        <v>435</v>
      </c>
      <c r="F223" t="s">
        <v>417</v>
      </c>
      <c r="G223" t="s">
        <v>1208</v>
      </c>
      <c r="H223" t="s">
        <v>1651</v>
      </c>
      <c r="I223" t="s">
        <v>1749</v>
      </c>
      <c r="J223">
        <v>11226</v>
      </c>
      <c r="K223" t="s">
        <v>1779</v>
      </c>
      <c r="L223" t="s">
        <v>1781</v>
      </c>
      <c r="M223" t="s">
        <v>1782</v>
      </c>
      <c r="O223" t="s">
        <v>2032</v>
      </c>
      <c r="P223" t="s">
        <v>2053</v>
      </c>
      <c r="R223" t="s">
        <v>2062</v>
      </c>
      <c r="S223" t="s">
        <v>1779</v>
      </c>
      <c r="T223" t="s">
        <v>2065</v>
      </c>
      <c r="V223" t="s">
        <v>185</v>
      </c>
      <c r="W223">
        <v>0</v>
      </c>
      <c r="X223" t="s">
        <v>2088</v>
      </c>
      <c r="AA223" t="s">
        <v>2332</v>
      </c>
      <c r="AC223" t="s">
        <v>2922</v>
      </c>
      <c r="AD223">
        <v>36</v>
      </c>
      <c r="AE223" t="s">
        <v>3223</v>
      </c>
      <c r="AG223">
        <v>0</v>
      </c>
      <c r="AH223">
        <v>3</v>
      </c>
      <c r="AI223">
        <v>0</v>
      </c>
      <c r="AJ223">
        <v>85.33</v>
      </c>
      <c r="AM223" t="s">
        <v>3255</v>
      </c>
      <c r="AN223">
        <v>18200</v>
      </c>
      <c r="AO223" t="s">
        <v>3272</v>
      </c>
    </row>
    <row r="224" spans="1:45">
      <c r="A224" s="1">
        <f>HYPERLINK("https://lsnyc.legalserver.org/matter/dynamic-profile/view/1906862","19-1906862")</f>
        <v>0</v>
      </c>
      <c r="B224" t="s">
        <v>95</v>
      </c>
      <c r="C224" t="s">
        <v>198</v>
      </c>
      <c r="E224" t="s">
        <v>436</v>
      </c>
      <c r="F224" t="s">
        <v>867</v>
      </c>
      <c r="G224" t="s">
        <v>1308</v>
      </c>
      <c r="H224" t="s">
        <v>1652</v>
      </c>
      <c r="I224" t="s">
        <v>1753</v>
      </c>
      <c r="J224">
        <v>10301</v>
      </c>
      <c r="K224" t="s">
        <v>1779</v>
      </c>
      <c r="L224" t="s">
        <v>1781</v>
      </c>
      <c r="M224" t="s">
        <v>1782</v>
      </c>
      <c r="N224" t="s">
        <v>1896</v>
      </c>
      <c r="O224" t="s">
        <v>2030</v>
      </c>
      <c r="P224" t="s">
        <v>2051</v>
      </c>
      <c r="R224" t="s">
        <v>2062</v>
      </c>
      <c r="S224" t="s">
        <v>1780</v>
      </c>
      <c r="T224" t="s">
        <v>2065</v>
      </c>
      <c r="U224" t="s">
        <v>2073</v>
      </c>
      <c r="V224" t="s">
        <v>198</v>
      </c>
      <c r="W224">
        <v>0</v>
      </c>
      <c r="X224" t="s">
        <v>2090</v>
      </c>
      <c r="Y224" t="s">
        <v>2101</v>
      </c>
      <c r="AA224" t="s">
        <v>2333</v>
      </c>
      <c r="AC224" t="s">
        <v>2923</v>
      </c>
      <c r="AD224">
        <v>454</v>
      </c>
      <c r="AF224" t="s">
        <v>1783</v>
      </c>
      <c r="AG224">
        <v>-1</v>
      </c>
      <c r="AH224">
        <v>1</v>
      </c>
      <c r="AI224">
        <v>2</v>
      </c>
      <c r="AJ224">
        <v>85.33</v>
      </c>
      <c r="AM224" t="s">
        <v>3256</v>
      </c>
      <c r="AN224">
        <v>18200</v>
      </c>
    </row>
    <row r="225" spans="1:40">
      <c r="A225" s="1">
        <f>HYPERLINK("https://lsnyc.legalserver.org/matter/dynamic-profile/view/1904298","19-1904298")</f>
        <v>0</v>
      </c>
      <c r="B225" t="s">
        <v>52</v>
      </c>
      <c r="C225" t="s">
        <v>135</v>
      </c>
      <c r="E225" t="s">
        <v>400</v>
      </c>
      <c r="F225" t="s">
        <v>868</v>
      </c>
      <c r="G225" t="s">
        <v>1309</v>
      </c>
      <c r="H225" t="s">
        <v>1653</v>
      </c>
      <c r="I225" t="s">
        <v>1749</v>
      </c>
      <c r="J225">
        <v>11213</v>
      </c>
      <c r="K225" t="s">
        <v>1779</v>
      </c>
      <c r="L225" t="s">
        <v>1781</v>
      </c>
      <c r="M225" t="s">
        <v>1782</v>
      </c>
      <c r="N225" t="s">
        <v>1897</v>
      </c>
      <c r="O225" t="s">
        <v>2029</v>
      </c>
      <c r="P225" t="s">
        <v>2051</v>
      </c>
      <c r="R225" t="s">
        <v>2062</v>
      </c>
      <c r="S225" t="s">
        <v>1780</v>
      </c>
      <c r="T225" t="s">
        <v>2065</v>
      </c>
      <c r="U225" t="s">
        <v>2073</v>
      </c>
      <c r="V225" t="s">
        <v>147</v>
      </c>
      <c r="W225">
        <v>300</v>
      </c>
      <c r="X225" t="s">
        <v>2088</v>
      </c>
      <c r="Y225" t="s">
        <v>2100</v>
      </c>
      <c r="AA225" t="s">
        <v>2334</v>
      </c>
      <c r="AB225" t="s">
        <v>2666</v>
      </c>
      <c r="AC225" t="s">
        <v>2924</v>
      </c>
      <c r="AD225">
        <v>34</v>
      </c>
      <c r="AE225" t="s">
        <v>3232</v>
      </c>
      <c r="AF225" t="s">
        <v>1783</v>
      </c>
      <c r="AG225">
        <v>44</v>
      </c>
      <c r="AH225">
        <v>1</v>
      </c>
      <c r="AI225">
        <v>0</v>
      </c>
      <c r="AJ225">
        <v>86.47</v>
      </c>
      <c r="AM225" t="s">
        <v>3248</v>
      </c>
      <c r="AN225">
        <v>10800</v>
      </c>
    </row>
    <row r="226" spans="1:40">
      <c r="A226" s="1">
        <f>HYPERLINK("https://lsnyc.legalserver.org/matter/dynamic-profile/view/1899388","19-1899388")</f>
        <v>0</v>
      </c>
      <c r="B226" t="s">
        <v>95</v>
      </c>
      <c r="C226" t="s">
        <v>210</v>
      </c>
      <c r="D226" t="s">
        <v>185</v>
      </c>
      <c r="E226" t="s">
        <v>437</v>
      </c>
      <c r="F226" t="s">
        <v>869</v>
      </c>
      <c r="G226" t="s">
        <v>1310</v>
      </c>
      <c r="H226" t="s">
        <v>1555</v>
      </c>
      <c r="I226" t="s">
        <v>1753</v>
      </c>
      <c r="J226">
        <v>10301</v>
      </c>
      <c r="K226" t="s">
        <v>1779</v>
      </c>
      <c r="L226" t="s">
        <v>1781</v>
      </c>
      <c r="M226" t="s">
        <v>1782</v>
      </c>
      <c r="O226" t="s">
        <v>2029</v>
      </c>
      <c r="P226" t="s">
        <v>2050</v>
      </c>
      <c r="Q226" t="s">
        <v>2057</v>
      </c>
      <c r="R226" t="s">
        <v>2062</v>
      </c>
      <c r="S226" t="s">
        <v>1780</v>
      </c>
      <c r="T226" t="s">
        <v>2065</v>
      </c>
      <c r="U226" t="s">
        <v>2073</v>
      </c>
      <c r="V226" t="s">
        <v>205</v>
      </c>
      <c r="W226">
        <v>433</v>
      </c>
      <c r="X226" t="s">
        <v>2090</v>
      </c>
      <c r="Y226" t="s">
        <v>2101</v>
      </c>
      <c r="Z226" t="s">
        <v>2110</v>
      </c>
      <c r="AA226" t="s">
        <v>2335</v>
      </c>
      <c r="AC226" t="s">
        <v>2925</v>
      </c>
      <c r="AD226">
        <v>0</v>
      </c>
      <c r="AG226">
        <v>1</v>
      </c>
      <c r="AH226">
        <v>1</v>
      </c>
      <c r="AI226">
        <v>2</v>
      </c>
      <c r="AJ226">
        <v>86.75</v>
      </c>
      <c r="AM226" t="s">
        <v>3248</v>
      </c>
      <c r="AN226">
        <v>18504</v>
      </c>
    </row>
    <row r="227" spans="1:40">
      <c r="A227" s="1">
        <f>HYPERLINK("https://lsnyc.legalserver.org/matter/dynamic-profile/view/1906841","19-1906841")</f>
        <v>0</v>
      </c>
      <c r="B227" t="s">
        <v>94</v>
      </c>
      <c r="C227" t="s">
        <v>198</v>
      </c>
      <c r="D227" t="s">
        <v>143</v>
      </c>
      <c r="E227" t="s">
        <v>438</v>
      </c>
      <c r="F227" t="s">
        <v>870</v>
      </c>
      <c r="G227" t="s">
        <v>1311</v>
      </c>
      <c r="H227" t="s">
        <v>1568</v>
      </c>
      <c r="I227" t="s">
        <v>1754</v>
      </c>
      <c r="J227">
        <v>10039</v>
      </c>
      <c r="K227" t="s">
        <v>1779</v>
      </c>
      <c r="L227" t="s">
        <v>1781</v>
      </c>
      <c r="M227" t="s">
        <v>1784</v>
      </c>
      <c r="N227" t="s">
        <v>1898</v>
      </c>
      <c r="O227" t="s">
        <v>2029</v>
      </c>
      <c r="P227" t="s">
        <v>2050</v>
      </c>
      <c r="Q227" t="s">
        <v>2057</v>
      </c>
      <c r="R227" t="s">
        <v>2062</v>
      </c>
      <c r="S227" t="s">
        <v>1780</v>
      </c>
      <c r="T227" t="s">
        <v>2065</v>
      </c>
      <c r="V227" t="s">
        <v>198</v>
      </c>
      <c r="W227">
        <v>500.88</v>
      </c>
      <c r="X227" t="s">
        <v>2091</v>
      </c>
      <c r="Y227" t="s">
        <v>2092</v>
      </c>
      <c r="Z227" t="s">
        <v>2110</v>
      </c>
      <c r="AA227" t="s">
        <v>2336</v>
      </c>
      <c r="AB227" t="s">
        <v>2713</v>
      </c>
      <c r="AC227" t="s">
        <v>2926</v>
      </c>
      <c r="AD227">
        <v>10</v>
      </c>
      <c r="AE227" t="s">
        <v>3223</v>
      </c>
      <c r="AF227" t="s">
        <v>1783</v>
      </c>
      <c r="AG227">
        <v>2</v>
      </c>
      <c r="AH227">
        <v>1</v>
      </c>
      <c r="AI227">
        <v>0</v>
      </c>
      <c r="AJ227">
        <v>87.53</v>
      </c>
      <c r="AM227" t="s">
        <v>3248</v>
      </c>
      <c r="AN227">
        <v>10932</v>
      </c>
    </row>
    <row r="228" spans="1:40">
      <c r="A228" s="1">
        <f>HYPERLINK("https://lsnyc.legalserver.org/matter/dynamic-profile/view/1905115","19-1905115")</f>
        <v>0</v>
      </c>
      <c r="B228" t="s">
        <v>60</v>
      </c>
      <c r="C228" t="s">
        <v>151</v>
      </c>
      <c r="E228" t="s">
        <v>439</v>
      </c>
      <c r="F228" t="s">
        <v>871</v>
      </c>
      <c r="G228" t="s">
        <v>1312</v>
      </c>
      <c r="H228" t="s">
        <v>1654</v>
      </c>
      <c r="I228" t="s">
        <v>1749</v>
      </c>
      <c r="J228">
        <v>11220</v>
      </c>
      <c r="K228" t="s">
        <v>1779</v>
      </c>
      <c r="L228" t="s">
        <v>1781</v>
      </c>
      <c r="P228" t="s">
        <v>2051</v>
      </c>
      <c r="R228" t="s">
        <v>2062</v>
      </c>
      <c r="S228" t="s">
        <v>1779</v>
      </c>
      <c r="T228" t="s">
        <v>2065</v>
      </c>
      <c r="V228" t="s">
        <v>176</v>
      </c>
      <c r="W228">
        <v>0</v>
      </c>
      <c r="X228" t="s">
        <v>2088</v>
      </c>
      <c r="AA228" t="s">
        <v>2337</v>
      </c>
      <c r="AC228" t="s">
        <v>2927</v>
      </c>
      <c r="AD228">
        <v>54</v>
      </c>
      <c r="AF228" t="s">
        <v>3238</v>
      </c>
      <c r="AG228">
        <v>0</v>
      </c>
      <c r="AH228">
        <v>3</v>
      </c>
      <c r="AI228">
        <v>0</v>
      </c>
      <c r="AJ228">
        <v>88.05</v>
      </c>
      <c r="AM228" t="s">
        <v>3248</v>
      </c>
      <c r="AN228">
        <v>18780</v>
      </c>
    </row>
    <row r="229" spans="1:40">
      <c r="A229" s="1">
        <f>HYPERLINK("https://lsnyc.legalserver.org/matter/dynamic-profile/view/1909431","19-1909431")</f>
        <v>0</v>
      </c>
      <c r="B229" t="s">
        <v>48</v>
      </c>
      <c r="C229" t="s">
        <v>164</v>
      </c>
      <c r="E229" t="s">
        <v>440</v>
      </c>
      <c r="F229" t="s">
        <v>872</v>
      </c>
      <c r="G229" t="s">
        <v>1313</v>
      </c>
      <c r="H229" t="s">
        <v>1583</v>
      </c>
      <c r="I229" t="s">
        <v>1759</v>
      </c>
      <c r="J229">
        <v>11101</v>
      </c>
      <c r="K229" t="s">
        <v>1779</v>
      </c>
      <c r="L229" t="s">
        <v>1781</v>
      </c>
      <c r="M229" t="s">
        <v>1782</v>
      </c>
      <c r="N229" t="s">
        <v>1899</v>
      </c>
      <c r="O229" t="s">
        <v>2032</v>
      </c>
      <c r="P229" t="s">
        <v>2055</v>
      </c>
      <c r="R229" t="s">
        <v>2062</v>
      </c>
      <c r="S229" t="s">
        <v>1780</v>
      </c>
      <c r="T229" t="s">
        <v>2065</v>
      </c>
      <c r="V229" t="s">
        <v>164</v>
      </c>
      <c r="W229">
        <v>0</v>
      </c>
      <c r="X229" t="s">
        <v>2087</v>
      </c>
      <c r="AA229" t="s">
        <v>2338</v>
      </c>
      <c r="AC229" t="s">
        <v>2928</v>
      </c>
      <c r="AD229">
        <v>45</v>
      </c>
      <c r="AG229">
        <v>0</v>
      </c>
      <c r="AH229">
        <v>2</v>
      </c>
      <c r="AI229">
        <v>0</v>
      </c>
      <c r="AJ229">
        <v>88.7</v>
      </c>
      <c r="AM229" t="s">
        <v>3248</v>
      </c>
      <c r="AN229">
        <v>15000</v>
      </c>
    </row>
    <row r="230" spans="1:40">
      <c r="A230" s="1">
        <f>HYPERLINK("https://lsnyc.legalserver.org/matter/dynamic-profile/view/1904398","19-1904398")</f>
        <v>0</v>
      </c>
      <c r="B230" t="s">
        <v>68</v>
      </c>
      <c r="C230" t="s">
        <v>191</v>
      </c>
      <c r="D230" t="s">
        <v>191</v>
      </c>
      <c r="E230" t="s">
        <v>441</v>
      </c>
      <c r="F230" t="s">
        <v>685</v>
      </c>
      <c r="G230" t="s">
        <v>1314</v>
      </c>
      <c r="H230" t="s">
        <v>1604</v>
      </c>
      <c r="I230" t="s">
        <v>1749</v>
      </c>
      <c r="J230">
        <v>11212</v>
      </c>
      <c r="K230" t="s">
        <v>1779</v>
      </c>
      <c r="L230" t="s">
        <v>1781</v>
      </c>
      <c r="M230" t="s">
        <v>1782</v>
      </c>
      <c r="N230" t="s">
        <v>1783</v>
      </c>
      <c r="O230" t="s">
        <v>1793</v>
      </c>
      <c r="P230" t="s">
        <v>2055</v>
      </c>
      <c r="Q230" t="s">
        <v>2059</v>
      </c>
      <c r="R230" t="s">
        <v>2062</v>
      </c>
      <c r="S230" t="s">
        <v>1779</v>
      </c>
      <c r="T230" t="s">
        <v>2065</v>
      </c>
      <c r="U230" t="s">
        <v>2073</v>
      </c>
      <c r="V230" t="s">
        <v>168</v>
      </c>
      <c r="W230">
        <v>755</v>
      </c>
      <c r="X230" t="s">
        <v>2088</v>
      </c>
      <c r="Y230" t="s">
        <v>2094</v>
      </c>
      <c r="Z230" t="s">
        <v>2117</v>
      </c>
      <c r="AA230" t="s">
        <v>2295</v>
      </c>
      <c r="AB230" t="s">
        <v>1783</v>
      </c>
      <c r="AC230" t="s">
        <v>2929</v>
      </c>
      <c r="AD230">
        <v>32</v>
      </c>
      <c r="AE230" t="s">
        <v>3223</v>
      </c>
      <c r="AF230" t="s">
        <v>1783</v>
      </c>
      <c r="AG230">
        <v>30</v>
      </c>
      <c r="AH230">
        <v>2</v>
      </c>
      <c r="AI230">
        <v>0</v>
      </c>
      <c r="AJ230">
        <v>89.13</v>
      </c>
      <c r="AM230" t="s">
        <v>3248</v>
      </c>
      <c r="AN230">
        <v>15072</v>
      </c>
    </row>
    <row r="231" spans="1:40">
      <c r="A231" s="1">
        <f>HYPERLINK("https://lsnyc.legalserver.org/matter/dynamic-profile/view/1908992","19-1908992")</f>
        <v>0</v>
      </c>
      <c r="B231" t="s">
        <v>62</v>
      </c>
      <c r="C231" t="s">
        <v>196</v>
      </c>
      <c r="E231" t="s">
        <v>398</v>
      </c>
      <c r="F231" t="s">
        <v>873</v>
      </c>
      <c r="G231" t="s">
        <v>1315</v>
      </c>
      <c r="H231" t="s">
        <v>1555</v>
      </c>
      <c r="I231" t="s">
        <v>1752</v>
      </c>
      <c r="J231">
        <v>10457</v>
      </c>
      <c r="K231" t="s">
        <v>1779</v>
      </c>
      <c r="L231" t="s">
        <v>1781</v>
      </c>
      <c r="M231" t="s">
        <v>1782</v>
      </c>
      <c r="O231" t="s">
        <v>1793</v>
      </c>
      <c r="P231" t="s">
        <v>2055</v>
      </c>
      <c r="R231" t="s">
        <v>2062</v>
      </c>
      <c r="S231" t="s">
        <v>1780</v>
      </c>
      <c r="T231" t="s">
        <v>2065</v>
      </c>
      <c r="V231" t="s">
        <v>180</v>
      </c>
      <c r="W231">
        <v>2268</v>
      </c>
      <c r="X231" t="s">
        <v>2089</v>
      </c>
      <c r="Y231" t="s">
        <v>2100</v>
      </c>
      <c r="AA231" t="s">
        <v>2339</v>
      </c>
      <c r="AC231" t="s">
        <v>2930</v>
      </c>
      <c r="AD231">
        <v>3</v>
      </c>
      <c r="AE231" t="s">
        <v>3222</v>
      </c>
      <c r="AF231" t="s">
        <v>3236</v>
      </c>
      <c r="AG231">
        <v>1</v>
      </c>
      <c r="AH231">
        <v>1</v>
      </c>
      <c r="AI231">
        <v>0</v>
      </c>
      <c r="AJ231">
        <v>89.45</v>
      </c>
      <c r="AM231" t="s">
        <v>3249</v>
      </c>
      <c r="AN231">
        <v>11172</v>
      </c>
    </row>
    <row r="232" spans="1:40">
      <c r="A232" s="1">
        <f>HYPERLINK("https://lsnyc.legalserver.org/matter/dynamic-profile/view/1907026","19-1907026")</f>
        <v>0</v>
      </c>
      <c r="B232" t="s">
        <v>73</v>
      </c>
      <c r="C232" t="s">
        <v>163</v>
      </c>
      <c r="E232" t="s">
        <v>363</v>
      </c>
      <c r="F232" t="s">
        <v>874</v>
      </c>
      <c r="G232" t="s">
        <v>1316</v>
      </c>
      <c r="H232">
        <v>21</v>
      </c>
      <c r="I232" t="s">
        <v>1754</v>
      </c>
      <c r="J232">
        <v>10034</v>
      </c>
      <c r="K232" t="s">
        <v>1779</v>
      </c>
      <c r="L232" t="s">
        <v>1781</v>
      </c>
      <c r="M232" t="s">
        <v>1784</v>
      </c>
      <c r="N232" t="s">
        <v>1900</v>
      </c>
      <c r="O232" t="s">
        <v>2030</v>
      </c>
      <c r="P232" t="s">
        <v>2055</v>
      </c>
      <c r="R232" t="s">
        <v>2062</v>
      </c>
      <c r="S232" t="s">
        <v>1780</v>
      </c>
      <c r="T232" t="s">
        <v>2065</v>
      </c>
      <c r="V232" t="s">
        <v>154</v>
      </c>
      <c r="W232">
        <v>1717</v>
      </c>
      <c r="X232" t="s">
        <v>2091</v>
      </c>
      <c r="Y232" t="s">
        <v>2102</v>
      </c>
      <c r="AA232" t="s">
        <v>2340</v>
      </c>
      <c r="AB232" t="s">
        <v>2714</v>
      </c>
      <c r="AC232" t="s">
        <v>2931</v>
      </c>
      <c r="AD232">
        <v>27</v>
      </c>
      <c r="AE232" t="s">
        <v>3223</v>
      </c>
      <c r="AF232" t="s">
        <v>1783</v>
      </c>
      <c r="AG232">
        <v>1</v>
      </c>
      <c r="AH232">
        <v>2</v>
      </c>
      <c r="AI232">
        <v>1</v>
      </c>
      <c r="AJ232">
        <v>89.45</v>
      </c>
      <c r="AM232" t="s">
        <v>3249</v>
      </c>
      <c r="AN232">
        <v>19080</v>
      </c>
    </row>
    <row r="233" spans="1:40">
      <c r="A233" s="1">
        <f>HYPERLINK("https://lsnyc.legalserver.org/matter/dynamic-profile/view/1906897","19-1906897")</f>
        <v>0</v>
      </c>
      <c r="B233" t="s">
        <v>113</v>
      </c>
      <c r="C233" t="s">
        <v>152</v>
      </c>
      <c r="D233" t="s">
        <v>177</v>
      </c>
      <c r="E233" t="s">
        <v>442</v>
      </c>
      <c r="F233" t="s">
        <v>875</v>
      </c>
      <c r="G233" t="s">
        <v>1317</v>
      </c>
      <c r="H233" t="s">
        <v>1582</v>
      </c>
      <c r="I233" t="s">
        <v>1754</v>
      </c>
      <c r="J233">
        <v>10002</v>
      </c>
      <c r="K233" t="s">
        <v>1779</v>
      </c>
      <c r="L233" t="s">
        <v>1781</v>
      </c>
      <c r="M233" t="s">
        <v>1782</v>
      </c>
      <c r="O233" t="s">
        <v>1793</v>
      </c>
      <c r="P233" t="s">
        <v>2050</v>
      </c>
      <c r="Q233" t="s">
        <v>2057</v>
      </c>
      <c r="R233" t="s">
        <v>2062</v>
      </c>
      <c r="S233" t="s">
        <v>1780</v>
      </c>
      <c r="T233" t="s">
        <v>2065</v>
      </c>
      <c r="V233" t="s">
        <v>152</v>
      </c>
      <c r="W233">
        <v>947</v>
      </c>
      <c r="X233" t="s">
        <v>2091</v>
      </c>
      <c r="Y233" t="s">
        <v>2096</v>
      </c>
      <c r="Z233" t="s">
        <v>2110</v>
      </c>
      <c r="AA233" t="s">
        <v>2341</v>
      </c>
      <c r="AC233" t="s">
        <v>2932</v>
      </c>
      <c r="AD233">
        <v>0</v>
      </c>
      <c r="AE233" t="s">
        <v>3223</v>
      </c>
      <c r="AF233" t="s">
        <v>3243</v>
      </c>
      <c r="AG233">
        <v>1</v>
      </c>
      <c r="AH233">
        <v>1</v>
      </c>
      <c r="AI233">
        <v>0</v>
      </c>
      <c r="AJ233">
        <v>89.93000000000001</v>
      </c>
      <c r="AM233" t="s">
        <v>3257</v>
      </c>
      <c r="AN233">
        <v>11232</v>
      </c>
    </row>
    <row r="234" spans="1:40">
      <c r="A234" s="1">
        <f>HYPERLINK("https://lsnyc.legalserver.org/matter/dynamic-profile/view/1907469","19-1907469")</f>
        <v>0</v>
      </c>
      <c r="B234" t="s">
        <v>60</v>
      </c>
      <c r="C234" t="s">
        <v>139</v>
      </c>
      <c r="E234" t="s">
        <v>443</v>
      </c>
      <c r="F234" t="s">
        <v>876</v>
      </c>
      <c r="G234" t="s">
        <v>1132</v>
      </c>
      <c r="H234" t="s">
        <v>1655</v>
      </c>
      <c r="I234" t="s">
        <v>1749</v>
      </c>
      <c r="J234">
        <v>11225</v>
      </c>
      <c r="K234" t="s">
        <v>1779</v>
      </c>
      <c r="L234" t="s">
        <v>1781</v>
      </c>
      <c r="M234" t="s">
        <v>1782</v>
      </c>
      <c r="O234" t="s">
        <v>2033</v>
      </c>
      <c r="P234" t="s">
        <v>2054</v>
      </c>
      <c r="R234" t="s">
        <v>2062</v>
      </c>
      <c r="S234" t="s">
        <v>1779</v>
      </c>
      <c r="T234" t="s">
        <v>2065</v>
      </c>
      <c r="V234" t="s">
        <v>139</v>
      </c>
      <c r="W234">
        <v>0</v>
      </c>
      <c r="X234" t="s">
        <v>2088</v>
      </c>
      <c r="AA234" t="s">
        <v>2342</v>
      </c>
      <c r="AD234">
        <v>46</v>
      </c>
      <c r="AG234">
        <v>0</v>
      </c>
      <c r="AH234">
        <v>3</v>
      </c>
      <c r="AI234">
        <v>0</v>
      </c>
      <c r="AJ234">
        <v>90.01000000000001</v>
      </c>
      <c r="AM234" t="s">
        <v>3248</v>
      </c>
      <c r="AN234">
        <v>19200</v>
      </c>
    </row>
    <row r="235" spans="1:40">
      <c r="A235" s="1">
        <f>HYPERLINK("https://lsnyc.legalserver.org/matter/dynamic-profile/view/1906355","19-1906355")</f>
        <v>0</v>
      </c>
      <c r="B235" t="s">
        <v>104</v>
      </c>
      <c r="C235" t="s">
        <v>165</v>
      </c>
      <c r="E235" t="s">
        <v>444</v>
      </c>
      <c r="F235" t="s">
        <v>749</v>
      </c>
      <c r="G235" t="s">
        <v>1318</v>
      </c>
      <c r="H235">
        <v>3</v>
      </c>
      <c r="I235" t="s">
        <v>1753</v>
      </c>
      <c r="J235">
        <v>10301</v>
      </c>
      <c r="K235" t="s">
        <v>1779</v>
      </c>
      <c r="L235" t="s">
        <v>1781</v>
      </c>
      <c r="M235" t="s">
        <v>1782</v>
      </c>
      <c r="N235" t="s">
        <v>1901</v>
      </c>
      <c r="O235" t="s">
        <v>2029</v>
      </c>
      <c r="P235" t="s">
        <v>2051</v>
      </c>
      <c r="R235" t="s">
        <v>2062</v>
      </c>
      <c r="S235" t="s">
        <v>1780</v>
      </c>
      <c r="T235" t="s">
        <v>2065</v>
      </c>
      <c r="U235" t="s">
        <v>2073</v>
      </c>
      <c r="V235" t="s">
        <v>205</v>
      </c>
      <c r="W235">
        <v>675</v>
      </c>
      <c r="X235" t="s">
        <v>2090</v>
      </c>
      <c r="Y235" t="s">
        <v>2102</v>
      </c>
      <c r="AA235" t="s">
        <v>2343</v>
      </c>
      <c r="AC235" t="s">
        <v>2933</v>
      </c>
      <c r="AD235">
        <v>2</v>
      </c>
      <c r="AE235" t="s">
        <v>3222</v>
      </c>
      <c r="AF235" t="s">
        <v>1783</v>
      </c>
      <c r="AG235">
        <v>-1</v>
      </c>
      <c r="AH235">
        <v>2</v>
      </c>
      <c r="AI235">
        <v>1</v>
      </c>
      <c r="AJ235">
        <v>91.42</v>
      </c>
      <c r="AM235" t="s">
        <v>3248</v>
      </c>
      <c r="AN235">
        <v>19500</v>
      </c>
    </row>
    <row r="236" spans="1:40">
      <c r="A236" s="1">
        <f>HYPERLINK("https://lsnyc.legalserver.org/matter/dynamic-profile/view/1910702","19-1910702")</f>
        <v>0</v>
      </c>
      <c r="B236" t="s">
        <v>72</v>
      </c>
      <c r="C236" t="s">
        <v>143</v>
      </c>
      <c r="E236" t="s">
        <v>445</v>
      </c>
      <c r="F236" t="s">
        <v>388</v>
      </c>
      <c r="G236" t="s">
        <v>1319</v>
      </c>
      <c r="H236" t="s">
        <v>1540</v>
      </c>
      <c r="I236" t="s">
        <v>1756</v>
      </c>
      <c r="J236">
        <v>11355</v>
      </c>
      <c r="K236" t="s">
        <v>1779</v>
      </c>
      <c r="L236" t="s">
        <v>1781</v>
      </c>
      <c r="M236" t="s">
        <v>1782</v>
      </c>
      <c r="N236" t="s">
        <v>1902</v>
      </c>
      <c r="O236" t="s">
        <v>2029</v>
      </c>
      <c r="P236" t="s">
        <v>2050</v>
      </c>
      <c r="R236" t="s">
        <v>2062</v>
      </c>
      <c r="S236" t="s">
        <v>1780</v>
      </c>
      <c r="T236" t="s">
        <v>2065</v>
      </c>
      <c r="V236" t="s">
        <v>143</v>
      </c>
      <c r="W236">
        <v>1500</v>
      </c>
      <c r="X236" t="s">
        <v>2087</v>
      </c>
      <c r="Y236" t="s">
        <v>2092</v>
      </c>
      <c r="AA236" t="s">
        <v>2344</v>
      </c>
      <c r="AC236" t="s">
        <v>2934</v>
      </c>
      <c r="AD236">
        <v>2</v>
      </c>
      <c r="AE236" t="s">
        <v>2704</v>
      </c>
      <c r="AF236" t="s">
        <v>1783</v>
      </c>
      <c r="AG236">
        <v>19</v>
      </c>
      <c r="AH236">
        <v>3</v>
      </c>
      <c r="AI236">
        <v>0</v>
      </c>
      <c r="AJ236">
        <v>92.17</v>
      </c>
      <c r="AM236" t="s">
        <v>3248</v>
      </c>
      <c r="AN236">
        <v>19660</v>
      </c>
    </row>
    <row r="237" spans="1:40">
      <c r="A237" s="1">
        <f>HYPERLINK("https://lsnyc.legalserver.org/matter/dynamic-profile/view/1910958","19-1910958")</f>
        <v>0</v>
      </c>
      <c r="B237" t="s">
        <v>57</v>
      </c>
      <c r="C237" t="s">
        <v>142</v>
      </c>
      <c r="E237" t="s">
        <v>446</v>
      </c>
      <c r="F237" t="s">
        <v>877</v>
      </c>
      <c r="G237" t="s">
        <v>1320</v>
      </c>
      <c r="I237" t="s">
        <v>1749</v>
      </c>
      <c r="J237">
        <v>11208</v>
      </c>
      <c r="K237" t="s">
        <v>1779</v>
      </c>
      <c r="L237" t="s">
        <v>1781</v>
      </c>
      <c r="M237" t="s">
        <v>1784</v>
      </c>
      <c r="N237" t="s">
        <v>1903</v>
      </c>
      <c r="O237" t="s">
        <v>2030</v>
      </c>
      <c r="R237" t="s">
        <v>2062</v>
      </c>
      <c r="S237" t="s">
        <v>1780</v>
      </c>
      <c r="T237" t="s">
        <v>2065</v>
      </c>
      <c r="U237" t="s">
        <v>2073</v>
      </c>
      <c r="V237" t="s">
        <v>134</v>
      </c>
      <c r="W237">
        <v>1600</v>
      </c>
      <c r="X237" t="s">
        <v>2088</v>
      </c>
      <c r="Y237" t="s">
        <v>2102</v>
      </c>
      <c r="AA237" t="s">
        <v>2345</v>
      </c>
      <c r="AB237" t="s">
        <v>2715</v>
      </c>
      <c r="AC237" t="s">
        <v>2935</v>
      </c>
      <c r="AD237">
        <v>2</v>
      </c>
      <c r="AE237" t="s">
        <v>3222</v>
      </c>
      <c r="AF237" t="s">
        <v>1783</v>
      </c>
      <c r="AG237">
        <v>0</v>
      </c>
      <c r="AH237">
        <v>2</v>
      </c>
      <c r="AI237">
        <v>0</v>
      </c>
      <c r="AJ237">
        <v>92.25</v>
      </c>
      <c r="AM237" t="s">
        <v>3249</v>
      </c>
      <c r="AN237">
        <v>15600</v>
      </c>
    </row>
    <row r="238" spans="1:40">
      <c r="A238" s="1">
        <f>HYPERLINK("https://lsnyc.legalserver.org/matter/dynamic-profile/view/1910130","19-1910130")</f>
        <v>0</v>
      </c>
      <c r="B238" t="s">
        <v>62</v>
      </c>
      <c r="C238" t="s">
        <v>177</v>
      </c>
      <c r="E238" t="s">
        <v>447</v>
      </c>
      <c r="F238" t="s">
        <v>878</v>
      </c>
      <c r="G238" t="s">
        <v>1321</v>
      </c>
      <c r="H238" t="s">
        <v>1656</v>
      </c>
      <c r="I238" t="s">
        <v>1752</v>
      </c>
      <c r="J238">
        <v>10452</v>
      </c>
      <c r="K238" t="s">
        <v>1779</v>
      </c>
      <c r="L238" t="s">
        <v>1781</v>
      </c>
      <c r="M238" t="s">
        <v>1782</v>
      </c>
      <c r="O238" t="s">
        <v>1793</v>
      </c>
      <c r="P238" t="s">
        <v>2050</v>
      </c>
      <c r="R238" t="s">
        <v>2062</v>
      </c>
      <c r="S238" t="s">
        <v>1780</v>
      </c>
      <c r="T238" t="s">
        <v>2065</v>
      </c>
      <c r="V238" t="s">
        <v>180</v>
      </c>
      <c r="W238">
        <v>640</v>
      </c>
      <c r="X238" t="s">
        <v>2089</v>
      </c>
      <c r="Y238" t="s">
        <v>2100</v>
      </c>
      <c r="AA238" t="s">
        <v>2346</v>
      </c>
      <c r="AD238">
        <v>59</v>
      </c>
      <c r="AE238" t="s">
        <v>3234</v>
      </c>
      <c r="AF238" t="s">
        <v>1783</v>
      </c>
      <c r="AG238">
        <v>1</v>
      </c>
      <c r="AH238">
        <v>1</v>
      </c>
      <c r="AI238">
        <v>1</v>
      </c>
      <c r="AJ238">
        <v>92.25</v>
      </c>
      <c r="AM238" t="s">
        <v>3249</v>
      </c>
      <c r="AN238">
        <v>15600</v>
      </c>
    </row>
    <row r="239" spans="1:40">
      <c r="A239" s="1">
        <f>HYPERLINK("https://lsnyc.legalserver.org/matter/dynamic-profile/view/1908656","19-1908656")</f>
        <v>0</v>
      </c>
      <c r="B239" t="s">
        <v>70</v>
      </c>
      <c r="C239" t="s">
        <v>174</v>
      </c>
      <c r="E239" t="s">
        <v>448</v>
      </c>
      <c r="F239" t="s">
        <v>879</v>
      </c>
      <c r="G239" t="s">
        <v>1263</v>
      </c>
      <c r="H239" t="s">
        <v>1657</v>
      </c>
      <c r="I239" t="s">
        <v>1754</v>
      </c>
      <c r="J239">
        <v>10035</v>
      </c>
      <c r="K239" t="s">
        <v>1779</v>
      </c>
      <c r="L239" t="s">
        <v>1781</v>
      </c>
      <c r="M239" t="s">
        <v>1782</v>
      </c>
      <c r="O239" t="s">
        <v>2031</v>
      </c>
      <c r="P239" t="s">
        <v>2052</v>
      </c>
      <c r="R239" t="s">
        <v>2062</v>
      </c>
      <c r="S239" t="s">
        <v>1779</v>
      </c>
      <c r="T239" t="s">
        <v>2065</v>
      </c>
      <c r="U239" t="s">
        <v>2073</v>
      </c>
      <c r="V239" t="s">
        <v>174</v>
      </c>
      <c r="W239">
        <v>1883.38</v>
      </c>
      <c r="X239" t="s">
        <v>2091</v>
      </c>
      <c r="Y239" t="s">
        <v>2096</v>
      </c>
      <c r="AA239" t="s">
        <v>2347</v>
      </c>
      <c r="AC239" t="s">
        <v>2936</v>
      </c>
      <c r="AD239">
        <v>72</v>
      </c>
      <c r="AE239" t="s">
        <v>3223</v>
      </c>
      <c r="AF239" t="s">
        <v>3236</v>
      </c>
      <c r="AG239">
        <v>36</v>
      </c>
      <c r="AH239">
        <v>1</v>
      </c>
      <c r="AI239">
        <v>0</v>
      </c>
      <c r="AJ239">
        <v>92.52</v>
      </c>
      <c r="AM239" t="s">
        <v>3248</v>
      </c>
      <c r="AN239">
        <v>11556</v>
      </c>
    </row>
    <row r="240" spans="1:40">
      <c r="A240" s="1">
        <f>HYPERLINK("https://lsnyc.legalserver.org/matter/dynamic-profile/view/1909027","19-1909027")</f>
        <v>0</v>
      </c>
      <c r="B240" t="s">
        <v>83</v>
      </c>
      <c r="C240" t="s">
        <v>178</v>
      </c>
      <c r="E240" t="s">
        <v>449</v>
      </c>
      <c r="F240" t="s">
        <v>880</v>
      </c>
      <c r="G240" t="s">
        <v>1217</v>
      </c>
      <c r="H240">
        <v>1</v>
      </c>
      <c r="I240" t="s">
        <v>1754</v>
      </c>
      <c r="J240">
        <v>10033</v>
      </c>
      <c r="K240" t="s">
        <v>1779</v>
      </c>
      <c r="L240" t="s">
        <v>1781</v>
      </c>
      <c r="M240" t="s">
        <v>1782</v>
      </c>
      <c r="P240" t="s">
        <v>2052</v>
      </c>
      <c r="R240" t="s">
        <v>2062</v>
      </c>
      <c r="S240" t="s">
        <v>1779</v>
      </c>
      <c r="T240" t="s">
        <v>2065</v>
      </c>
      <c r="V240" t="s">
        <v>178</v>
      </c>
      <c r="W240">
        <v>0</v>
      </c>
      <c r="X240" t="s">
        <v>2091</v>
      </c>
      <c r="Y240" t="s">
        <v>2101</v>
      </c>
      <c r="AA240" t="s">
        <v>2348</v>
      </c>
      <c r="AC240" t="s">
        <v>2937</v>
      </c>
      <c r="AD240">
        <v>29</v>
      </c>
      <c r="AE240" t="s">
        <v>3223</v>
      </c>
      <c r="AF240" t="s">
        <v>3238</v>
      </c>
      <c r="AG240">
        <v>2</v>
      </c>
      <c r="AH240">
        <v>2</v>
      </c>
      <c r="AI240">
        <v>0</v>
      </c>
      <c r="AJ240">
        <v>92.54000000000001</v>
      </c>
      <c r="AM240" t="s">
        <v>3249</v>
      </c>
      <c r="AN240">
        <v>15648</v>
      </c>
    </row>
    <row r="241" spans="1:45">
      <c r="A241" s="1">
        <f>HYPERLINK("https://lsnyc.legalserver.org/matter/dynamic-profile/view/1905354","19-1905354")</f>
        <v>0</v>
      </c>
      <c r="B241" t="s">
        <v>114</v>
      </c>
      <c r="C241" t="s">
        <v>170</v>
      </c>
      <c r="E241" t="s">
        <v>450</v>
      </c>
      <c r="F241" t="s">
        <v>769</v>
      </c>
      <c r="G241" t="s">
        <v>1322</v>
      </c>
      <c r="H241" t="s">
        <v>1658</v>
      </c>
      <c r="I241" t="s">
        <v>1752</v>
      </c>
      <c r="J241">
        <v>10459</v>
      </c>
      <c r="K241" t="s">
        <v>1779</v>
      </c>
      <c r="L241" t="s">
        <v>1781</v>
      </c>
      <c r="M241" t="s">
        <v>1784</v>
      </c>
      <c r="N241" t="s">
        <v>1904</v>
      </c>
      <c r="O241" t="s">
        <v>2029</v>
      </c>
      <c r="P241" t="s">
        <v>2051</v>
      </c>
      <c r="R241" t="s">
        <v>2062</v>
      </c>
      <c r="T241" t="s">
        <v>2065</v>
      </c>
      <c r="V241" t="s">
        <v>182</v>
      </c>
      <c r="W241">
        <v>833</v>
      </c>
      <c r="X241" t="s">
        <v>2089</v>
      </c>
      <c r="Y241" t="s">
        <v>2094</v>
      </c>
      <c r="AA241" t="s">
        <v>2349</v>
      </c>
      <c r="AB241" t="s">
        <v>2716</v>
      </c>
      <c r="AC241" t="s">
        <v>2938</v>
      </c>
      <c r="AD241">
        <v>67</v>
      </c>
      <c r="AE241" t="s">
        <v>3223</v>
      </c>
      <c r="AF241" t="s">
        <v>1783</v>
      </c>
      <c r="AG241">
        <v>14</v>
      </c>
      <c r="AH241">
        <v>3</v>
      </c>
      <c r="AI241">
        <v>0</v>
      </c>
      <c r="AJ241">
        <v>92.70999999999999</v>
      </c>
      <c r="AM241" t="s">
        <v>3249</v>
      </c>
      <c r="AN241">
        <v>19776</v>
      </c>
    </row>
    <row r="242" spans="1:45">
      <c r="A242" s="1">
        <f>HYPERLINK("https://lsnyc.legalserver.org/matter/dynamic-profile/view/1907790","19-1907790")</f>
        <v>0</v>
      </c>
      <c r="B242" t="s">
        <v>68</v>
      </c>
      <c r="C242" t="s">
        <v>154</v>
      </c>
      <c r="E242" t="s">
        <v>451</v>
      </c>
      <c r="F242" t="s">
        <v>881</v>
      </c>
      <c r="G242" t="s">
        <v>1153</v>
      </c>
      <c r="H242" t="s">
        <v>1659</v>
      </c>
      <c r="I242" t="s">
        <v>1749</v>
      </c>
      <c r="J242">
        <v>11212</v>
      </c>
      <c r="K242" t="s">
        <v>1779</v>
      </c>
      <c r="L242" t="s">
        <v>1781</v>
      </c>
      <c r="M242" t="s">
        <v>1782</v>
      </c>
      <c r="N242" t="s">
        <v>1783</v>
      </c>
      <c r="O242" t="s">
        <v>2033</v>
      </c>
      <c r="P242" t="s">
        <v>2055</v>
      </c>
      <c r="R242" t="s">
        <v>2062</v>
      </c>
      <c r="S242" t="s">
        <v>1779</v>
      </c>
      <c r="T242" t="s">
        <v>2065</v>
      </c>
      <c r="U242" t="s">
        <v>2073</v>
      </c>
      <c r="V242" t="s">
        <v>146</v>
      </c>
      <c r="W242">
        <v>164.4</v>
      </c>
      <c r="X242" t="s">
        <v>2088</v>
      </c>
      <c r="Y242" t="s">
        <v>2100</v>
      </c>
      <c r="AA242" t="s">
        <v>2350</v>
      </c>
      <c r="AC242" t="s">
        <v>2939</v>
      </c>
      <c r="AD242">
        <v>96</v>
      </c>
      <c r="AE242" t="s">
        <v>3223</v>
      </c>
      <c r="AF242" t="s">
        <v>2094</v>
      </c>
      <c r="AG242">
        <v>10</v>
      </c>
      <c r="AH242">
        <v>1</v>
      </c>
      <c r="AI242">
        <v>0</v>
      </c>
      <c r="AJ242">
        <v>93.09999999999999</v>
      </c>
      <c r="AM242" t="s">
        <v>3248</v>
      </c>
      <c r="AN242">
        <v>11628</v>
      </c>
    </row>
    <row r="243" spans="1:45">
      <c r="A243" s="1">
        <f>HYPERLINK("https://lsnyc.legalserver.org/matter/dynamic-profile/view/1907453","19-1907453")</f>
        <v>0</v>
      </c>
      <c r="B243" t="s">
        <v>115</v>
      </c>
      <c r="C243" t="s">
        <v>139</v>
      </c>
      <c r="E243" t="s">
        <v>452</v>
      </c>
      <c r="F243" t="s">
        <v>882</v>
      </c>
      <c r="G243" t="s">
        <v>1323</v>
      </c>
      <c r="H243" t="s">
        <v>1578</v>
      </c>
      <c r="I243" t="s">
        <v>1768</v>
      </c>
      <c r="J243">
        <v>11421</v>
      </c>
      <c r="K243" t="s">
        <v>1779</v>
      </c>
      <c r="L243" t="s">
        <v>1781</v>
      </c>
      <c r="M243" t="s">
        <v>1782</v>
      </c>
      <c r="N243" t="s">
        <v>1905</v>
      </c>
      <c r="O243" t="s">
        <v>2029</v>
      </c>
      <c r="P243" t="s">
        <v>2051</v>
      </c>
      <c r="R243" t="s">
        <v>2062</v>
      </c>
      <c r="S243" t="s">
        <v>1780</v>
      </c>
      <c r="T243" t="s">
        <v>2065</v>
      </c>
      <c r="U243" t="s">
        <v>2076</v>
      </c>
      <c r="V243" t="s">
        <v>139</v>
      </c>
      <c r="W243">
        <v>1800</v>
      </c>
      <c r="X243" t="s">
        <v>2087</v>
      </c>
      <c r="Y243" t="s">
        <v>2092</v>
      </c>
      <c r="AA243" t="s">
        <v>2351</v>
      </c>
      <c r="AC243" t="s">
        <v>2940</v>
      </c>
      <c r="AD243">
        <v>2</v>
      </c>
      <c r="AE243" t="s">
        <v>2704</v>
      </c>
      <c r="AF243" t="s">
        <v>1783</v>
      </c>
      <c r="AG243">
        <v>8</v>
      </c>
      <c r="AH243">
        <v>1</v>
      </c>
      <c r="AI243">
        <v>3</v>
      </c>
      <c r="AJ243">
        <v>93.2</v>
      </c>
      <c r="AM243" t="s">
        <v>3248</v>
      </c>
      <c r="AN243">
        <v>24000</v>
      </c>
    </row>
    <row r="244" spans="1:45">
      <c r="A244" s="1">
        <f>HYPERLINK("https://lsnyc.legalserver.org/matter/dynamic-profile/view/1909614","19-1909614")</f>
        <v>0</v>
      </c>
      <c r="B244" t="s">
        <v>67</v>
      </c>
      <c r="C244" t="s">
        <v>202</v>
      </c>
      <c r="E244" t="s">
        <v>453</v>
      </c>
      <c r="F244" t="s">
        <v>883</v>
      </c>
      <c r="G244" t="s">
        <v>1324</v>
      </c>
      <c r="I244" t="s">
        <v>1754</v>
      </c>
      <c r="J244">
        <v>10033</v>
      </c>
      <c r="K244" t="s">
        <v>1779</v>
      </c>
      <c r="L244" t="s">
        <v>1781</v>
      </c>
      <c r="M244" t="s">
        <v>1782</v>
      </c>
      <c r="P244" t="s">
        <v>2052</v>
      </c>
      <c r="R244" t="s">
        <v>2062</v>
      </c>
      <c r="S244" t="s">
        <v>1780</v>
      </c>
      <c r="T244" t="s">
        <v>2065</v>
      </c>
      <c r="V244" t="s">
        <v>202</v>
      </c>
      <c r="W244">
        <v>370</v>
      </c>
      <c r="X244" t="s">
        <v>2091</v>
      </c>
      <c r="Y244" t="s">
        <v>2099</v>
      </c>
      <c r="AA244" t="s">
        <v>2352</v>
      </c>
      <c r="AC244" t="s">
        <v>2941</v>
      </c>
      <c r="AD244">
        <v>43</v>
      </c>
      <c r="AE244" t="s">
        <v>3232</v>
      </c>
      <c r="AF244" t="s">
        <v>1783</v>
      </c>
      <c r="AG244">
        <v>30</v>
      </c>
      <c r="AH244">
        <v>4</v>
      </c>
      <c r="AI244">
        <v>0</v>
      </c>
      <c r="AJ244">
        <v>93.2</v>
      </c>
      <c r="AM244" t="s">
        <v>3249</v>
      </c>
      <c r="AN244">
        <v>23998</v>
      </c>
    </row>
    <row r="245" spans="1:45">
      <c r="A245" s="1">
        <f>HYPERLINK("https://lsnyc.legalserver.org/matter/dynamic-profile/view/1907462","19-1907462")</f>
        <v>0</v>
      </c>
      <c r="B245" t="s">
        <v>89</v>
      </c>
      <c r="C245" t="s">
        <v>139</v>
      </c>
      <c r="E245" t="s">
        <v>454</v>
      </c>
      <c r="F245" t="s">
        <v>884</v>
      </c>
      <c r="G245" t="s">
        <v>1325</v>
      </c>
      <c r="I245" t="s">
        <v>1755</v>
      </c>
      <c r="J245">
        <v>11429</v>
      </c>
      <c r="K245" t="s">
        <v>1779</v>
      </c>
      <c r="L245" t="s">
        <v>1781</v>
      </c>
      <c r="M245" t="s">
        <v>1782</v>
      </c>
      <c r="N245" t="s">
        <v>1906</v>
      </c>
      <c r="O245" t="s">
        <v>2029</v>
      </c>
      <c r="P245" t="s">
        <v>2050</v>
      </c>
      <c r="R245" t="s">
        <v>2062</v>
      </c>
      <c r="S245" t="s">
        <v>1780</v>
      </c>
      <c r="T245" t="s">
        <v>2065</v>
      </c>
      <c r="U245" t="s">
        <v>2076</v>
      </c>
      <c r="V245" t="s">
        <v>139</v>
      </c>
      <c r="W245">
        <v>450</v>
      </c>
      <c r="X245" t="s">
        <v>2087</v>
      </c>
      <c r="Y245" t="s">
        <v>2092</v>
      </c>
      <c r="AA245" t="s">
        <v>2353</v>
      </c>
      <c r="AC245" t="s">
        <v>2712</v>
      </c>
      <c r="AD245">
        <v>2</v>
      </c>
      <c r="AE245" t="s">
        <v>2704</v>
      </c>
      <c r="AF245" t="s">
        <v>1783</v>
      </c>
      <c r="AG245">
        <v>2</v>
      </c>
      <c r="AH245">
        <v>1</v>
      </c>
      <c r="AI245">
        <v>2</v>
      </c>
      <c r="AJ245">
        <v>93.76000000000001</v>
      </c>
      <c r="AM245" t="s">
        <v>3248</v>
      </c>
      <c r="AN245">
        <v>20000</v>
      </c>
    </row>
    <row r="246" spans="1:45">
      <c r="A246" s="1">
        <f>HYPERLINK("https://lsnyc.legalserver.org/matter/dynamic-profile/view/1906488","19-1906488")</f>
        <v>0</v>
      </c>
      <c r="B246" t="s">
        <v>45</v>
      </c>
      <c r="C246" t="s">
        <v>205</v>
      </c>
      <c r="D246" t="s">
        <v>144</v>
      </c>
      <c r="E246" t="s">
        <v>455</v>
      </c>
      <c r="F246" t="s">
        <v>885</v>
      </c>
      <c r="G246" t="s">
        <v>1326</v>
      </c>
      <c r="H246" t="s">
        <v>1660</v>
      </c>
      <c r="I246" t="s">
        <v>1756</v>
      </c>
      <c r="J246">
        <v>11355</v>
      </c>
      <c r="K246" t="s">
        <v>1779</v>
      </c>
      <c r="L246" t="s">
        <v>1781</v>
      </c>
      <c r="M246" t="s">
        <v>1782</v>
      </c>
      <c r="N246" t="s">
        <v>1799</v>
      </c>
      <c r="O246" t="s">
        <v>1793</v>
      </c>
      <c r="P246" t="s">
        <v>2055</v>
      </c>
      <c r="Q246" t="s">
        <v>2059</v>
      </c>
      <c r="R246" t="s">
        <v>2062</v>
      </c>
      <c r="S246" t="s">
        <v>1780</v>
      </c>
      <c r="T246" t="s">
        <v>2065</v>
      </c>
      <c r="U246" t="s">
        <v>2073</v>
      </c>
      <c r="V246" t="s">
        <v>205</v>
      </c>
      <c r="W246">
        <v>1750</v>
      </c>
      <c r="X246" t="s">
        <v>2087</v>
      </c>
      <c r="Y246" t="s">
        <v>2097</v>
      </c>
      <c r="Z246" t="s">
        <v>2112</v>
      </c>
      <c r="AA246" t="s">
        <v>2354</v>
      </c>
      <c r="AB246" t="s">
        <v>1783</v>
      </c>
      <c r="AC246" t="s">
        <v>2942</v>
      </c>
      <c r="AD246">
        <v>146</v>
      </c>
      <c r="AE246" t="s">
        <v>3223</v>
      </c>
      <c r="AF246" t="s">
        <v>1783</v>
      </c>
      <c r="AG246">
        <v>4</v>
      </c>
      <c r="AH246">
        <v>2</v>
      </c>
      <c r="AI246">
        <v>1</v>
      </c>
      <c r="AJ246">
        <v>93.76000000000001</v>
      </c>
      <c r="AM246" t="s">
        <v>3258</v>
      </c>
      <c r="AN246">
        <v>20000</v>
      </c>
      <c r="AQ246" t="s">
        <v>2094</v>
      </c>
      <c r="AS246" t="s">
        <v>3311</v>
      </c>
    </row>
    <row r="247" spans="1:45">
      <c r="A247" s="1">
        <f>HYPERLINK("https://lsnyc.legalserver.org/matter/dynamic-profile/view/1909273","19-1909273")</f>
        <v>0</v>
      </c>
      <c r="B247" t="s">
        <v>108</v>
      </c>
      <c r="C247" t="s">
        <v>141</v>
      </c>
      <c r="E247" t="s">
        <v>355</v>
      </c>
      <c r="F247" t="s">
        <v>886</v>
      </c>
      <c r="G247" t="s">
        <v>1327</v>
      </c>
      <c r="I247" t="s">
        <v>1749</v>
      </c>
      <c r="J247">
        <v>11217</v>
      </c>
      <c r="K247" t="s">
        <v>1779</v>
      </c>
      <c r="L247" t="s">
        <v>1781</v>
      </c>
      <c r="M247" t="s">
        <v>1782</v>
      </c>
      <c r="O247" t="s">
        <v>2033</v>
      </c>
      <c r="P247" t="s">
        <v>2054</v>
      </c>
      <c r="R247" t="s">
        <v>2062</v>
      </c>
      <c r="T247" t="s">
        <v>2065</v>
      </c>
      <c r="V247" t="s">
        <v>141</v>
      </c>
      <c r="W247">
        <v>0</v>
      </c>
      <c r="X247" t="s">
        <v>2088</v>
      </c>
      <c r="AA247" t="s">
        <v>2355</v>
      </c>
      <c r="AC247" t="s">
        <v>2943</v>
      </c>
      <c r="AD247">
        <v>20</v>
      </c>
      <c r="AG247">
        <v>0</v>
      </c>
      <c r="AH247">
        <v>2</v>
      </c>
      <c r="AI247">
        <v>1</v>
      </c>
      <c r="AJ247">
        <v>93.76000000000001</v>
      </c>
      <c r="AM247" t="s">
        <v>3259</v>
      </c>
      <c r="AN247">
        <v>20000</v>
      </c>
    </row>
    <row r="248" spans="1:45">
      <c r="A248" s="1">
        <f>HYPERLINK("https://lsnyc.legalserver.org/matter/dynamic-profile/view/1907958","19-1907958")</f>
        <v>0</v>
      </c>
      <c r="B248" t="s">
        <v>96</v>
      </c>
      <c r="C248" t="s">
        <v>155</v>
      </c>
      <c r="E248" t="s">
        <v>355</v>
      </c>
      <c r="F248" t="s">
        <v>886</v>
      </c>
      <c r="G248" t="s">
        <v>1327</v>
      </c>
      <c r="I248" t="s">
        <v>1749</v>
      </c>
      <c r="J248">
        <v>11217</v>
      </c>
      <c r="K248" t="s">
        <v>1779</v>
      </c>
      <c r="L248" t="s">
        <v>1781</v>
      </c>
      <c r="M248" t="s">
        <v>1782</v>
      </c>
      <c r="N248" t="s">
        <v>1907</v>
      </c>
      <c r="O248" t="s">
        <v>2030</v>
      </c>
      <c r="P248" t="s">
        <v>2051</v>
      </c>
      <c r="R248" t="s">
        <v>2062</v>
      </c>
      <c r="T248" t="s">
        <v>2065</v>
      </c>
      <c r="V248" t="s">
        <v>155</v>
      </c>
      <c r="W248">
        <v>1739.1</v>
      </c>
      <c r="X248" t="s">
        <v>2088</v>
      </c>
      <c r="Y248" t="s">
        <v>2101</v>
      </c>
      <c r="AA248" t="s">
        <v>2355</v>
      </c>
      <c r="AC248" t="s">
        <v>2943</v>
      </c>
      <c r="AD248">
        <v>20</v>
      </c>
      <c r="AE248" t="s">
        <v>3223</v>
      </c>
      <c r="AF248" t="s">
        <v>1783</v>
      </c>
      <c r="AG248">
        <v>22</v>
      </c>
      <c r="AH248">
        <v>3</v>
      </c>
      <c r="AI248">
        <v>0</v>
      </c>
      <c r="AJ248">
        <v>93.76000000000001</v>
      </c>
      <c r="AM248" t="s">
        <v>3259</v>
      </c>
      <c r="AN248">
        <v>20000</v>
      </c>
    </row>
    <row r="249" spans="1:45">
      <c r="A249" s="1">
        <f>HYPERLINK("https://lsnyc.legalserver.org/matter/dynamic-profile/view/1904907","19-1904907")</f>
        <v>0</v>
      </c>
      <c r="B249" t="s">
        <v>48</v>
      </c>
      <c r="C249" t="s">
        <v>176</v>
      </c>
      <c r="D249" t="s">
        <v>202</v>
      </c>
      <c r="E249" t="s">
        <v>364</v>
      </c>
      <c r="F249" t="s">
        <v>755</v>
      </c>
      <c r="G249" t="s">
        <v>1232</v>
      </c>
      <c r="H249">
        <v>2</v>
      </c>
      <c r="I249" t="s">
        <v>1765</v>
      </c>
      <c r="J249">
        <v>11693</v>
      </c>
      <c r="K249" t="s">
        <v>1779</v>
      </c>
      <c r="L249" t="s">
        <v>1781</v>
      </c>
      <c r="M249" t="s">
        <v>1782</v>
      </c>
      <c r="N249" t="s">
        <v>1852</v>
      </c>
      <c r="O249" t="s">
        <v>2029</v>
      </c>
      <c r="P249" t="s">
        <v>2050</v>
      </c>
      <c r="Q249" t="s">
        <v>2057</v>
      </c>
      <c r="R249" t="s">
        <v>2062</v>
      </c>
      <c r="S249" t="s">
        <v>1780</v>
      </c>
      <c r="T249" t="s">
        <v>2065</v>
      </c>
      <c r="U249" t="s">
        <v>2073</v>
      </c>
      <c r="V249" t="s">
        <v>202</v>
      </c>
      <c r="W249">
        <v>2022</v>
      </c>
      <c r="X249" t="s">
        <v>2087</v>
      </c>
      <c r="Y249" t="s">
        <v>2092</v>
      </c>
      <c r="Z249" t="s">
        <v>2110</v>
      </c>
      <c r="AA249" t="s">
        <v>2246</v>
      </c>
      <c r="AB249" t="s">
        <v>2717</v>
      </c>
      <c r="AC249" t="s">
        <v>2944</v>
      </c>
      <c r="AD249">
        <v>2</v>
      </c>
      <c r="AE249" t="s">
        <v>3222</v>
      </c>
      <c r="AF249" t="s">
        <v>3236</v>
      </c>
      <c r="AG249">
        <v>5</v>
      </c>
      <c r="AH249">
        <v>2</v>
      </c>
      <c r="AI249">
        <v>6</v>
      </c>
      <c r="AJ249">
        <v>93.98999999999999</v>
      </c>
      <c r="AM249" t="s">
        <v>3248</v>
      </c>
      <c r="AN249">
        <v>40821.98</v>
      </c>
    </row>
    <row r="250" spans="1:45">
      <c r="A250" s="1">
        <f>HYPERLINK("https://lsnyc.legalserver.org/matter/dynamic-profile/view/1908658","19-1908658")</f>
        <v>0</v>
      </c>
      <c r="B250" t="s">
        <v>102</v>
      </c>
      <c r="C250" t="s">
        <v>174</v>
      </c>
      <c r="E250" t="s">
        <v>456</v>
      </c>
      <c r="F250" t="s">
        <v>887</v>
      </c>
      <c r="G250" t="s">
        <v>1328</v>
      </c>
      <c r="H250">
        <v>314</v>
      </c>
      <c r="I250" t="s">
        <v>1756</v>
      </c>
      <c r="J250">
        <v>11354</v>
      </c>
      <c r="K250" t="s">
        <v>1779</v>
      </c>
      <c r="L250" t="s">
        <v>1781</v>
      </c>
      <c r="N250" t="s">
        <v>1908</v>
      </c>
      <c r="O250" t="s">
        <v>2030</v>
      </c>
      <c r="P250" t="s">
        <v>2051</v>
      </c>
      <c r="R250" t="s">
        <v>2062</v>
      </c>
      <c r="S250" t="s">
        <v>1780</v>
      </c>
      <c r="T250" t="s">
        <v>2065</v>
      </c>
      <c r="U250" t="s">
        <v>2073</v>
      </c>
      <c r="V250" t="s">
        <v>174</v>
      </c>
      <c r="W250">
        <v>1150.87</v>
      </c>
      <c r="X250" t="s">
        <v>2087</v>
      </c>
      <c r="Y250" t="s">
        <v>2103</v>
      </c>
      <c r="AA250" t="s">
        <v>2356</v>
      </c>
      <c r="AC250" t="s">
        <v>2945</v>
      </c>
      <c r="AD250">
        <v>0</v>
      </c>
      <c r="AE250" t="s">
        <v>3223</v>
      </c>
      <c r="AF250" t="s">
        <v>3238</v>
      </c>
      <c r="AG250">
        <v>30</v>
      </c>
      <c r="AH250">
        <v>1</v>
      </c>
      <c r="AI250">
        <v>0</v>
      </c>
      <c r="AJ250">
        <v>94.83</v>
      </c>
      <c r="AM250" t="s">
        <v>3260</v>
      </c>
      <c r="AN250">
        <v>11844</v>
      </c>
    </row>
    <row r="251" spans="1:45">
      <c r="A251" s="1">
        <f>HYPERLINK("https://lsnyc.legalserver.org/matter/dynamic-profile/view/1908659","19-1908659")</f>
        <v>0</v>
      </c>
      <c r="B251" t="s">
        <v>110</v>
      </c>
      <c r="C251" t="s">
        <v>174</v>
      </c>
      <c r="D251" t="s">
        <v>159</v>
      </c>
      <c r="E251" t="s">
        <v>372</v>
      </c>
      <c r="F251" t="s">
        <v>808</v>
      </c>
      <c r="G251" t="s">
        <v>1329</v>
      </c>
      <c r="H251" t="s">
        <v>1604</v>
      </c>
      <c r="I251" t="s">
        <v>1754</v>
      </c>
      <c r="J251">
        <v>10032</v>
      </c>
      <c r="K251" t="s">
        <v>1779</v>
      </c>
      <c r="L251" t="s">
        <v>1781</v>
      </c>
      <c r="M251" t="s">
        <v>1782</v>
      </c>
      <c r="N251" t="s">
        <v>1909</v>
      </c>
      <c r="P251" t="s">
        <v>2050</v>
      </c>
      <c r="Q251" t="s">
        <v>2057</v>
      </c>
      <c r="R251" t="s">
        <v>2062</v>
      </c>
      <c r="S251" t="s">
        <v>1780</v>
      </c>
      <c r="T251" t="s">
        <v>2065</v>
      </c>
      <c r="V251" t="s">
        <v>174</v>
      </c>
      <c r="W251">
        <v>199.43</v>
      </c>
      <c r="X251" t="s">
        <v>2091</v>
      </c>
      <c r="Y251" t="s">
        <v>2099</v>
      </c>
      <c r="Z251" t="s">
        <v>2110</v>
      </c>
      <c r="AA251" t="s">
        <v>2357</v>
      </c>
      <c r="AC251" t="s">
        <v>2946</v>
      </c>
      <c r="AD251">
        <v>45</v>
      </c>
      <c r="AE251" t="s">
        <v>3223</v>
      </c>
      <c r="AF251" t="s">
        <v>3238</v>
      </c>
      <c r="AG251">
        <v>60</v>
      </c>
      <c r="AH251">
        <v>2</v>
      </c>
      <c r="AI251">
        <v>0</v>
      </c>
      <c r="AJ251">
        <v>94.95</v>
      </c>
      <c r="AM251" t="s">
        <v>3249</v>
      </c>
      <c r="AN251">
        <v>16056</v>
      </c>
    </row>
    <row r="252" spans="1:45">
      <c r="A252" s="1">
        <f>HYPERLINK("https://lsnyc.legalserver.org/matter/dynamic-profile/view/1903654","19-1903654")</f>
        <v>0</v>
      </c>
      <c r="B252" t="s">
        <v>57</v>
      </c>
      <c r="C252" t="s">
        <v>211</v>
      </c>
      <c r="E252" t="s">
        <v>457</v>
      </c>
      <c r="F252" t="s">
        <v>888</v>
      </c>
      <c r="G252" t="s">
        <v>1330</v>
      </c>
      <c r="H252" t="s">
        <v>1568</v>
      </c>
      <c r="I252" t="s">
        <v>1749</v>
      </c>
      <c r="J252">
        <v>11225</v>
      </c>
      <c r="K252" t="s">
        <v>1779</v>
      </c>
      <c r="L252" t="s">
        <v>1781</v>
      </c>
      <c r="M252" t="s">
        <v>1782</v>
      </c>
      <c r="N252" t="s">
        <v>1910</v>
      </c>
      <c r="O252" t="s">
        <v>2030</v>
      </c>
      <c r="P252" t="s">
        <v>2051</v>
      </c>
      <c r="R252" t="s">
        <v>2062</v>
      </c>
      <c r="S252" t="s">
        <v>1780</v>
      </c>
      <c r="T252" t="s">
        <v>2065</v>
      </c>
      <c r="U252" t="s">
        <v>2076</v>
      </c>
      <c r="V252" t="s">
        <v>191</v>
      </c>
      <c r="W252">
        <v>678</v>
      </c>
      <c r="X252" t="s">
        <v>2088</v>
      </c>
      <c r="Y252" t="s">
        <v>2101</v>
      </c>
      <c r="AA252" t="s">
        <v>2358</v>
      </c>
      <c r="AB252" t="s">
        <v>1783</v>
      </c>
      <c r="AC252" t="s">
        <v>2947</v>
      </c>
      <c r="AD252">
        <v>26</v>
      </c>
      <c r="AF252" t="s">
        <v>3237</v>
      </c>
      <c r="AG252">
        <v>19</v>
      </c>
      <c r="AH252">
        <v>2</v>
      </c>
      <c r="AI252">
        <v>3</v>
      </c>
      <c r="AJ252">
        <v>95.66</v>
      </c>
      <c r="AL252" t="s">
        <v>3246</v>
      </c>
      <c r="AM252" t="s">
        <v>3248</v>
      </c>
      <c r="AN252">
        <v>28860</v>
      </c>
    </row>
    <row r="253" spans="1:45">
      <c r="A253" s="1">
        <f>HYPERLINK("https://lsnyc.legalserver.org/matter/dynamic-profile/view/1905676","19-1905676")</f>
        <v>0</v>
      </c>
      <c r="B253" t="s">
        <v>58</v>
      </c>
      <c r="C253" t="s">
        <v>145</v>
      </c>
      <c r="E253" t="s">
        <v>351</v>
      </c>
      <c r="F253" t="s">
        <v>889</v>
      </c>
      <c r="G253" t="s">
        <v>1208</v>
      </c>
      <c r="H253" t="s">
        <v>1661</v>
      </c>
      <c r="I253" t="s">
        <v>1749</v>
      </c>
      <c r="J253">
        <v>11226</v>
      </c>
      <c r="K253" t="s">
        <v>1779</v>
      </c>
      <c r="L253" t="s">
        <v>1781</v>
      </c>
      <c r="O253" t="s">
        <v>2032</v>
      </c>
      <c r="P253" t="s">
        <v>2053</v>
      </c>
      <c r="R253" t="s">
        <v>2062</v>
      </c>
      <c r="S253" t="s">
        <v>1779</v>
      </c>
      <c r="T253" t="s">
        <v>2065</v>
      </c>
      <c r="V253" t="s">
        <v>145</v>
      </c>
      <c r="W253">
        <v>0</v>
      </c>
      <c r="X253" t="s">
        <v>2088</v>
      </c>
      <c r="AA253" t="s">
        <v>2359</v>
      </c>
      <c r="AC253" t="s">
        <v>2948</v>
      </c>
      <c r="AD253">
        <v>36</v>
      </c>
      <c r="AE253" t="s">
        <v>3223</v>
      </c>
      <c r="AG253">
        <v>0</v>
      </c>
      <c r="AH253">
        <v>1</v>
      </c>
      <c r="AI253">
        <v>0</v>
      </c>
      <c r="AJ253">
        <v>96.08</v>
      </c>
      <c r="AM253" t="s">
        <v>3253</v>
      </c>
      <c r="AN253">
        <v>12000</v>
      </c>
    </row>
    <row r="254" spans="1:45">
      <c r="A254" s="1">
        <f>HYPERLINK("https://lsnyc.legalserver.org/matter/dynamic-profile/view/1894553","19-1894553")</f>
        <v>0</v>
      </c>
      <c r="B254" t="s">
        <v>59</v>
      </c>
      <c r="C254" t="s">
        <v>180</v>
      </c>
      <c r="E254" t="s">
        <v>458</v>
      </c>
      <c r="F254" t="s">
        <v>297</v>
      </c>
      <c r="G254" t="s">
        <v>1186</v>
      </c>
      <c r="H254" t="s">
        <v>1554</v>
      </c>
      <c r="I254" t="s">
        <v>1749</v>
      </c>
      <c r="J254">
        <v>11225</v>
      </c>
      <c r="K254" t="s">
        <v>1779</v>
      </c>
      <c r="L254" t="s">
        <v>1781</v>
      </c>
      <c r="M254" t="s">
        <v>1782</v>
      </c>
      <c r="P254" t="s">
        <v>2053</v>
      </c>
      <c r="R254" t="s">
        <v>2062</v>
      </c>
      <c r="S254" t="s">
        <v>1779</v>
      </c>
      <c r="T254" t="s">
        <v>2065</v>
      </c>
      <c r="V254" t="s">
        <v>177</v>
      </c>
      <c r="W254">
        <v>0</v>
      </c>
      <c r="X254" t="s">
        <v>2088</v>
      </c>
      <c r="AA254" t="s">
        <v>2360</v>
      </c>
      <c r="AC254" t="s">
        <v>2949</v>
      </c>
      <c r="AD254">
        <v>0</v>
      </c>
      <c r="AG254">
        <v>0</v>
      </c>
      <c r="AH254">
        <v>1</v>
      </c>
      <c r="AI254">
        <v>0</v>
      </c>
      <c r="AJ254">
        <v>96.08</v>
      </c>
      <c r="AM254" t="s">
        <v>3248</v>
      </c>
      <c r="AN254">
        <v>12000</v>
      </c>
    </row>
    <row r="255" spans="1:45">
      <c r="A255" s="1">
        <f>HYPERLINK("https://lsnyc.legalserver.org/matter/dynamic-profile/view/1904712","19-1904712")</f>
        <v>0</v>
      </c>
      <c r="B255" t="s">
        <v>67</v>
      </c>
      <c r="C255" t="s">
        <v>162</v>
      </c>
      <c r="E255" t="s">
        <v>279</v>
      </c>
      <c r="F255" t="s">
        <v>787</v>
      </c>
      <c r="G255" t="s">
        <v>1149</v>
      </c>
      <c r="H255">
        <v>44</v>
      </c>
      <c r="I255" t="s">
        <v>1754</v>
      </c>
      <c r="J255">
        <v>10034</v>
      </c>
      <c r="K255" t="s">
        <v>1779</v>
      </c>
      <c r="L255" t="s">
        <v>1781</v>
      </c>
      <c r="M255" t="s">
        <v>1782</v>
      </c>
      <c r="P255" t="s">
        <v>2052</v>
      </c>
      <c r="R255" t="s">
        <v>2062</v>
      </c>
      <c r="S255" t="s">
        <v>1779</v>
      </c>
      <c r="T255" t="s">
        <v>2065</v>
      </c>
      <c r="V255" t="s">
        <v>162</v>
      </c>
      <c r="W255">
        <v>1180.21</v>
      </c>
      <c r="X255" t="s">
        <v>2091</v>
      </c>
      <c r="Y255" t="s">
        <v>2099</v>
      </c>
      <c r="AA255" t="s">
        <v>2361</v>
      </c>
      <c r="AD255">
        <v>25</v>
      </c>
      <c r="AE255" t="s">
        <v>3223</v>
      </c>
      <c r="AF255" t="s">
        <v>1783</v>
      </c>
      <c r="AG255">
        <v>14</v>
      </c>
      <c r="AH255">
        <v>2</v>
      </c>
      <c r="AI255">
        <v>3</v>
      </c>
      <c r="AJ255">
        <v>96.12</v>
      </c>
      <c r="AM255" t="s">
        <v>3249</v>
      </c>
      <c r="AN255">
        <v>29000</v>
      </c>
    </row>
    <row r="256" spans="1:45">
      <c r="A256" s="1">
        <f>HYPERLINK("https://lsnyc.legalserver.org/matter/dynamic-profile/view/1906981","19-1906981")</f>
        <v>0</v>
      </c>
      <c r="B256" t="s">
        <v>85</v>
      </c>
      <c r="C256" t="s">
        <v>148</v>
      </c>
      <c r="E256" t="s">
        <v>459</v>
      </c>
      <c r="F256" t="s">
        <v>890</v>
      </c>
      <c r="G256" t="s">
        <v>1331</v>
      </c>
      <c r="I256" t="s">
        <v>1753</v>
      </c>
      <c r="J256">
        <v>10304</v>
      </c>
      <c r="K256" t="s">
        <v>1779</v>
      </c>
      <c r="L256" t="s">
        <v>1781</v>
      </c>
      <c r="M256" t="s">
        <v>1782</v>
      </c>
      <c r="N256" t="s">
        <v>1792</v>
      </c>
      <c r="O256" t="s">
        <v>1793</v>
      </c>
      <c r="P256" t="s">
        <v>2055</v>
      </c>
      <c r="R256" t="s">
        <v>2062</v>
      </c>
      <c r="S256" t="s">
        <v>1780</v>
      </c>
      <c r="T256" t="s">
        <v>2065</v>
      </c>
      <c r="U256" t="s">
        <v>2073</v>
      </c>
      <c r="V256" t="s">
        <v>148</v>
      </c>
      <c r="W256">
        <v>1750</v>
      </c>
      <c r="X256" t="s">
        <v>2090</v>
      </c>
      <c r="Y256" t="s">
        <v>2092</v>
      </c>
      <c r="AA256" t="s">
        <v>2362</v>
      </c>
      <c r="AC256" t="s">
        <v>2950</v>
      </c>
      <c r="AD256">
        <v>1</v>
      </c>
      <c r="AE256" t="s">
        <v>3222</v>
      </c>
      <c r="AF256" t="s">
        <v>1783</v>
      </c>
      <c r="AG256">
        <v>5</v>
      </c>
      <c r="AH256">
        <v>2</v>
      </c>
      <c r="AI256">
        <v>2</v>
      </c>
      <c r="AJ256">
        <v>96.33</v>
      </c>
      <c r="AM256" t="s">
        <v>3248</v>
      </c>
      <c r="AN256">
        <v>24804</v>
      </c>
    </row>
    <row r="257" spans="1:41">
      <c r="A257" s="1">
        <f>HYPERLINK("https://lsnyc.legalserver.org/matter/dynamic-profile/view/1907318","19-1907318")</f>
        <v>0</v>
      </c>
      <c r="B257" t="s">
        <v>48</v>
      </c>
      <c r="C257" t="s">
        <v>156</v>
      </c>
      <c r="E257" t="s">
        <v>292</v>
      </c>
      <c r="F257" t="s">
        <v>770</v>
      </c>
      <c r="G257" t="s">
        <v>1332</v>
      </c>
      <c r="H257" t="s">
        <v>1623</v>
      </c>
      <c r="I257" t="s">
        <v>1769</v>
      </c>
      <c r="J257">
        <v>11385</v>
      </c>
      <c r="K257" t="s">
        <v>1779</v>
      </c>
      <c r="L257" t="s">
        <v>1781</v>
      </c>
      <c r="M257" t="s">
        <v>1782</v>
      </c>
      <c r="N257" t="s">
        <v>1911</v>
      </c>
      <c r="O257" t="s">
        <v>2045</v>
      </c>
      <c r="P257" t="s">
        <v>2055</v>
      </c>
      <c r="R257" t="s">
        <v>2063</v>
      </c>
      <c r="S257" t="s">
        <v>1780</v>
      </c>
      <c r="T257" t="s">
        <v>2065</v>
      </c>
      <c r="U257" t="s">
        <v>2074</v>
      </c>
      <c r="V257" t="s">
        <v>156</v>
      </c>
      <c r="W257">
        <v>1734</v>
      </c>
      <c r="X257" t="s">
        <v>2087</v>
      </c>
      <c r="Y257" t="s">
        <v>2093</v>
      </c>
      <c r="AA257" t="s">
        <v>2363</v>
      </c>
      <c r="AC257" t="s">
        <v>2712</v>
      </c>
      <c r="AD257">
        <v>6</v>
      </c>
      <c r="AE257" t="s">
        <v>3223</v>
      </c>
      <c r="AF257" t="s">
        <v>1783</v>
      </c>
      <c r="AG257">
        <v>4</v>
      </c>
      <c r="AH257">
        <v>1</v>
      </c>
      <c r="AI257">
        <v>3</v>
      </c>
      <c r="AJ257">
        <v>96.93000000000001</v>
      </c>
      <c r="AK257" t="s">
        <v>3244</v>
      </c>
      <c r="AL257" t="s">
        <v>3245</v>
      </c>
      <c r="AM257" t="s">
        <v>3249</v>
      </c>
      <c r="AN257">
        <v>24960</v>
      </c>
    </row>
    <row r="258" spans="1:41">
      <c r="A258" s="1">
        <f>HYPERLINK("https://lsnyc.legalserver.org/matter/dynamic-profile/view/1906286","19-1906286")</f>
        <v>0</v>
      </c>
      <c r="B258" t="s">
        <v>58</v>
      </c>
      <c r="C258" t="s">
        <v>184</v>
      </c>
      <c r="E258" t="s">
        <v>460</v>
      </c>
      <c r="F258" t="s">
        <v>891</v>
      </c>
      <c r="G258" t="s">
        <v>1333</v>
      </c>
      <c r="H258" t="s">
        <v>1565</v>
      </c>
      <c r="I258" t="s">
        <v>1749</v>
      </c>
      <c r="J258">
        <v>11226</v>
      </c>
      <c r="K258" t="s">
        <v>1779</v>
      </c>
      <c r="L258" t="s">
        <v>1781</v>
      </c>
      <c r="M258" t="s">
        <v>1782</v>
      </c>
      <c r="N258" t="s">
        <v>1912</v>
      </c>
      <c r="O258" t="s">
        <v>2032</v>
      </c>
      <c r="P258" t="s">
        <v>2054</v>
      </c>
      <c r="R258" t="s">
        <v>2062</v>
      </c>
      <c r="S258" t="s">
        <v>1780</v>
      </c>
      <c r="T258" t="s">
        <v>2065</v>
      </c>
      <c r="V258" t="s">
        <v>184</v>
      </c>
      <c r="W258">
        <v>1024.45</v>
      </c>
      <c r="X258" t="s">
        <v>2088</v>
      </c>
      <c r="AA258" t="s">
        <v>2364</v>
      </c>
      <c r="AD258">
        <v>27</v>
      </c>
      <c r="AE258" t="s">
        <v>3223</v>
      </c>
      <c r="AG258">
        <v>23</v>
      </c>
      <c r="AH258">
        <v>4</v>
      </c>
      <c r="AI258">
        <v>0</v>
      </c>
      <c r="AJ258">
        <v>97.09</v>
      </c>
      <c r="AM258" t="s">
        <v>3248</v>
      </c>
      <c r="AN258">
        <v>25000</v>
      </c>
    </row>
    <row r="259" spans="1:41">
      <c r="A259" s="1">
        <f>HYPERLINK("https://lsnyc.legalserver.org/matter/dynamic-profile/view/1906180","19-1906180")</f>
        <v>0</v>
      </c>
      <c r="B259" t="s">
        <v>72</v>
      </c>
      <c r="C259" t="s">
        <v>140</v>
      </c>
      <c r="E259" t="s">
        <v>341</v>
      </c>
      <c r="F259" t="s">
        <v>892</v>
      </c>
      <c r="G259" t="s">
        <v>1334</v>
      </c>
      <c r="I259" t="s">
        <v>1746</v>
      </c>
      <c r="J259">
        <v>11435</v>
      </c>
      <c r="K259" t="s">
        <v>1779</v>
      </c>
      <c r="L259" t="s">
        <v>1781</v>
      </c>
      <c r="M259" t="s">
        <v>1782</v>
      </c>
      <c r="N259" t="s">
        <v>1913</v>
      </c>
      <c r="O259" t="s">
        <v>2029</v>
      </c>
      <c r="P259" t="s">
        <v>2050</v>
      </c>
      <c r="R259" t="s">
        <v>2062</v>
      </c>
      <c r="S259" t="s">
        <v>1780</v>
      </c>
      <c r="T259" t="s">
        <v>2065</v>
      </c>
      <c r="U259" t="s">
        <v>2073</v>
      </c>
      <c r="V259" t="s">
        <v>140</v>
      </c>
      <c r="W259">
        <v>3100</v>
      </c>
      <c r="X259" t="s">
        <v>2087</v>
      </c>
      <c r="Y259" t="s">
        <v>2092</v>
      </c>
      <c r="AA259" t="s">
        <v>2365</v>
      </c>
      <c r="AC259" t="s">
        <v>2951</v>
      </c>
      <c r="AD259">
        <v>1</v>
      </c>
      <c r="AE259" t="s">
        <v>2704</v>
      </c>
      <c r="AF259" t="s">
        <v>1783</v>
      </c>
      <c r="AG259">
        <v>-1</v>
      </c>
      <c r="AH259">
        <v>4</v>
      </c>
      <c r="AI259">
        <v>3</v>
      </c>
      <c r="AJ259">
        <v>97.26000000000001</v>
      </c>
      <c r="AM259" t="s">
        <v>3248</v>
      </c>
      <c r="AN259">
        <v>37940</v>
      </c>
    </row>
    <row r="260" spans="1:41">
      <c r="A260" s="1">
        <f>HYPERLINK("https://lsnyc.legalserver.org/matter/dynamic-profile/view/1902841","19-1902841")</f>
        <v>0</v>
      </c>
      <c r="B260" t="s">
        <v>116</v>
      </c>
      <c r="C260" t="s">
        <v>212</v>
      </c>
      <c r="E260" t="s">
        <v>461</v>
      </c>
      <c r="F260" t="s">
        <v>893</v>
      </c>
      <c r="G260" t="s">
        <v>1335</v>
      </c>
      <c r="H260" t="s">
        <v>1576</v>
      </c>
      <c r="I260" t="s">
        <v>1752</v>
      </c>
      <c r="J260">
        <v>10452</v>
      </c>
      <c r="K260" t="s">
        <v>1779</v>
      </c>
      <c r="L260" t="s">
        <v>1781</v>
      </c>
      <c r="M260" t="s">
        <v>1782</v>
      </c>
      <c r="N260" t="s">
        <v>1914</v>
      </c>
      <c r="O260" t="s">
        <v>2030</v>
      </c>
      <c r="P260" t="s">
        <v>2051</v>
      </c>
      <c r="R260" t="s">
        <v>2062</v>
      </c>
      <c r="S260" t="s">
        <v>1780</v>
      </c>
      <c r="T260" t="s">
        <v>2065</v>
      </c>
      <c r="V260" t="s">
        <v>213</v>
      </c>
      <c r="W260">
        <v>950</v>
      </c>
      <c r="X260" t="s">
        <v>2089</v>
      </c>
      <c r="Y260" t="s">
        <v>2100</v>
      </c>
      <c r="AA260" t="s">
        <v>2366</v>
      </c>
      <c r="AC260" t="s">
        <v>2952</v>
      </c>
      <c r="AD260">
        <v>9</v>
      </c>
      <c r="AE260" t="s">
        <v>3223</v>
      </c>
      <c r="AF260" t="s">
        <v>1783</v>
      </c>
      <c r="AG260">
        <v>4</v>
      </c>
      <c r="AH260">
        <v>1</v>
      </c>
      <c r="AI260">
        <v>2</v>
      </c>
      <c r="AJ260">
        <v>97.27</v>
      </c>
      <c r="AM260" t="s">
        <v>3248</v>
      </c>
      <c r="AN260">
        <v>20748</v>
      </c>
    </row>
    <row r="261" spans="1:41">
      <c r="A261" s="1">
        <f>HYPERLINK("https://lsnyc.legalserver.org/matter/dynamic-profile/view/1910547","19-1910547")</f>
        <v>0</v>
      </c>
      <c r="B261" t="s">
        <v>58</v>
      </c>
      <c r="C261" t="s">
        <v>144</v>
      </c>
      <c r="E261" t="s">
        <v>462</v>
      </c>
      <c r="F261" t="s">
        <v>861</v>
      </c>
      <c r="G261" t="s">
        <v>1336</v>
      </c>
      <c r="H261" t="s">
        <v>1565</v>
      </c>
      <c r="I261" t="s">
        <v>1749</v>
      </c>
      <c r="J261">
        <v>11231</v>
      </c>
      <c r="K261" t="s">
        <v>1779</v>
      </c>
      <c r="L261" t="s">
        <v>1781</v>
      </c>
      <c r="M261" t="s">
        <v>1782</v>
      </c>
      <c r="O261" t="s">
        <v>2030</v>
      </c>
      <c r="P261" t="s">
        <v>2054</v>
      </c>
      <c r="R261" t="s">
        <v>2062</v>
      </c>
      <c r="S261" t="s">
        <v>1780</v>
      </c>
      <c r="T261" t="s">
        <v>2065</v>
      </c>
      <c r="U261" t="s">
        <v>2073</v>
      </c>
      <c r="V261" t="s">
        <v>144</v>
      </c>
      <c r="W261">
        <v>787.48</v>
      </c>
      <c r="X261" t="s">
        <v>2088</v>
      </c>
      <c r="Y261" t="s">
        <v>2101</v>
      </c>
      <c r="AA261" t="s">
        <v>2367</v>
      </c>
      <c r="AC261" t="s">
        <v>2953</v>
      </c>
      <c r="AD261">
        <v>9</v>
      </c>
      <c r="AE261" t="s">
        <v>3223</v>
      </c>
      <c r="AF261" t="s">
        <v>2094</v>
      </c>
      <c r="AG261">
        <v>21</v>
      </c>
      <c r="AH261">
        <v>2</v>
      </c>
      <c r="AI261">
        <v>0</v>
      </c>
      <c r="AJ261">
        <v>97.76000000000001</v>
      </c>
      <c r="AM261" t="s">
        <v>3248</v>
      </c>
      <c r="AN261">
        <v>16532</v>
      </c>
    </row>
    <row r="262" spans="1:41">
      <c r="A262" s="1">
        <f>HYPERLINK("https://lsnyc.legalserver.org/matter/dynamic-profile/view/1908599","19-1908599")</f>
        <v>0</v>
      </c>
      <c r="B262" t="s">
        <v>56</v>
      </c>
      <c r="C262" t="s">
        <v>182</v>
      </c>
      <c r="D262" t="s">
        <v>144</v>
      </c>
      <c r="E262" t="s">
        <v>463</v>
      </c>
      <c r="F262" t="s">
        <v>894</v>
      </c>
      <c r="G262" t="s">
        <v>1127</v>
      </c>
      <c r="H262" t="s">
        <v>1632</v>
      </c>
      <c r="I262" t="s">
        <v>1749</v>
      </c>
      <c r="J262">
        <v>11233</v>
      </c>
      <c r="K262" t="s">
        <v>1779</v>
      </c>
      <c r="L262" t="s">
        <v>1781</v>
      </c>
      <c r="M262" t="s">
        <v>1782</v>
      </c>
      <c r="N262" t="s">
        <v>1915</v>
      </c>
      <c r="O262" t="s">
        <v>2030</v>
      </c>
      <c r="P262" t="s">
        <v>2050</v>
      </c>
      <c r="Q262" t="s">
        <v>2057</v>
      </c>
      <c r="R262" t="s">
        <v>2062</v>
      </c>
      <c r="S262" t="s">
        <v>1780</v>
      </c>
      <c r="T262" t="s">
        <v>2065</v>
      </c>
      <c r="U262" t="s">
        <v>2073</v>
      </c>
      <c r="V262" t="s">
        <v>182</v>
      </c>
      <c r="W262">
        <v>827.8200000000001</v>
      </c>
      <c r="X262" t="s">
        <v>2088</v>
      </c>
      <c r="Y262" t="s">
        <v>2101</v>
      </c>
      <c r="Z262" t="s">
        <v>2110</v>
      </c>
      <c r="AA262" t="s">
        <v>2368</v>
      </c>
      <c r="AB262">
        <v>32751364</v>
      </c>
      <c r="AC262" t="s">
        <v>2954</v>
      </c>
      <c r="AD262">
        <v>1107</v>
      </c>
      <c r="AE262" t="s">
        <v>3223</v>
      </c>
      <c r="AF262" t="s">
        <v>3237</v>
      </c>
      <c r="AG262">
        <v>24</v>
      </c>
      <c r="AH262">
        <v>2</v>
      </c>
      <c r="AI262">
        <v>0</v>
      </c>
      <c r="AJ262">
        <v>97.98</v>
      </c>
      <c r="AM262" t="s">
        <v>3248</v>
      </c>
      <c r="AN262">
        <v>16568.3</v>
      </c>
    </row>
    <row r="263" spans="1:41">
      <c r="A263" s="1">
        <f>HYPERLINK("https://lsnyc.legalserver.org/matter/dynamic-profile/view/1910604","19-1910604")</f>
        <v>0</v>
      </c>
      <c r="B263" t="s">
        <v>58</v>
      </c>
      <c r="C263" t="s">
        <v>134</v>
      </c>
      <c r="E263" t="s">
        <v>464</v>
      </c>
      <c r="F263" t="s">
        <v>744</v>
      </c>
      <c r="G263" t="s">
        <v>1272</v>
      </c>
      <c r="H263" t="s">
        <v>1573</v>
      </c>
      <c r="I263" t="s">
        <v>1749</v>
      </c>
      <c r="J263">
        <v>11226</v>
      </c>
      <c r="K263" t="s">
        <v>1779</v>
      </c>
      <c r="L263" t="s">
        <v>1781</v>
      </c>
      <c r="M263" t="s">
        <v>1782</v>
      </c>
      <c r="O263" t="s">
        <v>2031</v>
      </c>
      <c r="P263" t="s">
        <v>2051</v>
      </c>
      <c r="R263" t="s">
        <v>2062</v>
      </c>
      <c r="S263" t="s">
        <v>1779</v>
      </c>
      <c r="T263" t="s">
        <v>2065</v>
      </c>
      <c r="U263" t="s">
        <v>2073</v>
      </c>
      <c r="V263" t="s">
        <v>134</v>
      </c>
      <c r="W263">
        <v>2100</v>
      </c>
      <c r="X263" t="s">
        <v>2088</v>
      </c>
      <c r="Y263" t="s">
        <v>2100</v>
      </c>
      <c r="AA263" t="s">
        <v>2369</v>
      </c>
      <c r="AD263">
        <v>16</v>
      </c>
      <c r="AE263" t="s">
        <v>3223</v>
      </c>
      <c r="AF263" t="s">
        <v>2094</v>
      </c>
      <c r="AG263">
        <v>-1</v>
      </c>
      <c r="AH263">
        <v>3</v>
      </c>
      <c r="AI263">
        <v>3</v>
      </c>
      <c r="AJ263">
        <v>98.38</v>
      </c>
      <c r="AM263" t="s">
        <v>3248</v>
      </c>
      <c r="AN263">
        <v>34028</v>
      </c>
    </row>
    <row r="264" spans="1:41">
      <c r="A264" s="1">
        <f>HYPERLINK("https://lsnyc.legalserver.org/matter/dynamic-profile/view/1910617","19-1910617")</f>
        <v>0</v>
      </c>
      <c r="B264" t="s">
        <v>58</v>
      </c>
      <c r="C264" t="s">
        <v>134</v>
      </c>
      <c r="E264" t="s">
        <v>464</v>
      </c>
      <c r="F264" t="s">
        <v>744</v>
      </c>
      <c r="G264" t="s">
        <v>1272</v>
      </c>
      <c r="H264" t="s">
        <v>1573</v>
      </c>
      <c r="I264" t="s">
        <v>1749</v>
      </c>
      <c r="J264">
        <v>11226</v>
      </c>
      <c r="K264" t="s">
        <v>1779</v>
      </c>
      <c r="L264" t="s">
        <v>1781</v>
      </c>
      <c r="M264" t="s">
        <v>1782</v>
      </c>
      <c r="O264" t="s">
        <v>2031</v>
      </c>
      <c r="P264" t="s">
        <v>2051</v>
      </c>
      <c r="R264" t="s">
        <v>2062</v>
      </c>
      <c r="S264" t="s">
        <v>1779</v>
      </c>
      <c r="T264" t="s">
        <v>2065</v>
      </c>
      <c r="U264" t="s">
        <v>2073</v>
      </c>
      <c r="V264" t="s">
        <v>134</v>
      </c>
      <c r="W264">
        <v>2100</v>
      </c>
      <c r="X264" t="s">
        <v>2088</v>
      </c>
      <c r="Y264" t="s">
        <v>2100</v>
      </c>
      <c r="AA264" t="s">
        <v>2369</v>
      </c>
      <c r="AD264">
        <v>16</v>
      </c>
      <c r="AE264" t="s">
        <v>3223</v>
      </c>
      <c r="AF264" t="s">
        <v>2094</v>
      </c>
      <c r="AG264">
        <v>-1</v>
      </c>
      <c r="AH264">
        <v>3</v>
      </c>
      <c r="AI264">
        <v>3</v>
      </c>
      <c r="AJ264">
        <v>98.38</v>
      </c>
      <c r="AM264" t="s">
        <v>3248</v>
      </c>
      <c r="AN264">
        <v>34028</v>
      </c>
    </row>
    <row r="265" spans="1:41">
      <c r="A265" s="1">
        <f>HYPERLINK("https://lsnyc.legalserver.org/matter/dynamic-profile/view/1906143","19-1906143")</f>
        <v>0</v>
      </c>
      <c r="B265" t="s">
        <v>48</v>
      </c>
      <c r="C265" t="s">
        <v>186</v>
      </c>
      <c r="E265" t="s">
        <v>465</v>
      </c>
      <c r="F265" t="s">
        <v>895</v>
      </c>
      <c r="G265" t="s">
        <v>1337</v>
      </c>
      <c r="H265" t="s">
        <v>1662</v>
      </c>
      <c r="I265" t="s">
        <v>1747</v>
      </c>
      <c r="J265">
        <v>11420</v>
      </c>
      <c r="K265" t="s">
        <v>1779</v>
      </c>
      <c r="L265" t="s">
        <v>1781</v>
      </c>
      <c r="N265" t="s">
        <v>1916</v>
      </c>
      <c r="O265" t="s">
        <v>2029</v>
      </c>
      <c r="P265" t="s">
        <v>2050</v>
      </c>
      <c r="R265" t="s">
        <v>2063</v>
      </c>
      <c r="S265" t="s">
        <v>1780</v>
      </c>
      <c r="T265" t="s">
        <v>2065</v>
      </c>
      <c r="U265" t="s">
        <v>2073</v>
      </c>
      <c r="V265" t="s">
        <v>186</v>
      </c>
      <c r="W265">
        <v>0.01</v>
      </c>
      <c r="X265" t="s">
        <v>2087</v>
      </c>
      <c r="Y265" t="s">
        <v>2093</v>
      </c>
      <c r="AA265" t="s">
        <v>2370</v>
      </c>
      <c r="AC265" t="s">
        <v>2955</v>
      </c>
      <c r="AD265">
        <v>2</v>
      </c>
      <c r="AE265" t="s">
        <v>3222</v>
      </c>
      <c r="AF265" t="s">
        <v>1783</v>
      </c>
      <c r="AG265">
        <v>2</v>
      </c>
      <c r="AH265">
        <v>2</v>
      </c>
      <c r="AI265">
        <v>0</v>
      </c>
      <c r="AJ265">
        <v>98.40000000000001</v>
      </c>
      <c r="AK265" t="s">
        <v>3244</v>
      </c>
      <c r="AL265" t="s">
        <v>3245</v>
      </c>
      <c r="AM265" t="s">
        <v>3249</v>
      </c>
      <c r="AN265">
        <v>16640</v>
      </c>
    </row>
    <row r="266" spans="1:41">
      <c r="A266" s="1">
        <f>HYPERLINK("https://lsnyc.legalserver.org/matter/dynamic-profile/view/1906165","19-1906165")</f>
        <v>0</v>
      </c>
      <c r="B266" t="s">
        <v>56</v>
      </c>
      <c r="C266" t="s">
        <v>140</v>
      </c>
      <c r="E266" t="s">
        <v>466</v>
      </c>
      <c r="F266" t="s">
        <v>835</v>
      </c>
      <c r="G266" t="s">
        <v>1338</v>
      </c>
      <c r="H266" t="s">
        <v>1663</v>
      </c>
      <c r="I266" t="s">
        <v>1749</v>
      </c>
      <c r="J266">
        <v>11233</v>
      </c>
      <c r="K266" t="s">
        <v>1779</v>
      </c>
      <c r="L266" t="s">
        <v>1781</v>
      </c>
      <c r="M266" t="s">
        <v>1782</v>
      </c>
      <c r="N266" t="s">
        <v>1917</v>
      </c>
      <c r="O266" t="s">
        <v>2030</v>
      </c>
      <c r="P266" t="s">
        <v>2051</v>
      </c>
      <c r="R266" t="s">
        <v>2062</v>
      </c>
      <c r="S266" t="s">
        <v>1780</v>
      </c>
      <c r="T266" t="s">
        <v>2065</v>
      </c>
      <c r="V266" t="s">
        <v>160</v>
      </c>
      <c r="W266">
        <v>2100</v>
      </c>
      <c r="X266" t="s">
        <v>2088</v>
      </c>
      <c r="Y266" t="s">
        <v>2094</v>
      </c>
      <c r="AA266" t="s">
        <v>2371</v>
      </c>
      <c r="AB266">
        <v>6659617</v>
      </c>
      <c r="AC266" t="s">
        <v>2956</v>
      </c>
      <c r="AD266">
        <v>287</v>
      </c>
      <c r="AE266" t="s">
        <v>3223</v>
      </c>
      <c r="AF266" t="s">
        <v>3236</v>
      </c>
      <c r="AG266">
        <v>3</v>
      </c>
      <c r="AH266">
        <v>1</v>
      </c>
      <c r="AI266">
        <v>0</v>
      </c>
      <c r="AJ266">
        <v>98.8</v>
      </c>
      <c r="AM266" t="s">
        <v>3248</v>
      </c>
      <c r="AN266">
        <v>12340</v>
      </c>
    </row>
    <row r="267" spans="1:41">
      <c r="A267" s="1">
        <f>HYPERLINK("https://lsnyc.legalserver.org/matter/dynamic-profile/view/1907582","19-1907582")</f>
        <v>0</v>
      </c>
      <c r="B267" t="s">
        <v>66</v>
      </c>
      <c r="C267" t="s">
        <v>160</v>
      </c>
      <c r="E267" t="s">
        <v>251</v>
      </c>
      <c r="F267" t="s">
        <v>896</v>
      </c>
      <c r="G267" t="s">
        <v>1339</v>
      </c>
      <c r="H267" t="s">
        <v>1573</v>
      </c>
      <c r="I267" t="s">
        <v>1754</v>
      </c>
      <c r="J267">
        <v>10034</v>
      </c>
      <c r="K267" t="s">
        <v>1779</v>
      </c>
      <c r="L267" t="s">
        <v>1781</v>
      </c>
      <c r="M267" t="s">
        <v>1782</v>
      </c>
      <c r="O267" t="s">
        <v>2034</v>
      </c>
      <c r="P267" t="s">
        <v>2055</v>
      </c>
      <c r="R267" t="s">
        <v>2062</v>
      </c>
      <c r="S267" t="s">
        <v>1780</v>
      </c>
      <c r="T267" t="s">
        <v>2065</v>
      </c>
      <c r="V267" t="s">
        <v>160</v>
      </c>
      <c r="W267">
        <v>857.51</v>
      </c>
      <c r="X267" t="s">
        <v>2091</v>
      </c>
      <c r="Y267" t="s">
        <v>2097</v>
      </c>
      <c r="AA267" t="s">
        <v>2372</v>
      </c>
      <c r="AC267" t="s">
        <v>2957</v>
      </c>
      <c r="AD267">
        <v>22</v>
      </c>
      <c r="AE267" t="s">
        <v>3223</v>
      </c>
      <c r="AF267" t="s">
        <v>1783</v>
      </c>
      <c r="AG267">
        <v>41</v>
      </c>
      <c r="AH267">
        <v>1</v>
      </c>
      <c r="AI267">
        <v>0</v>
      </c>
      <c r="AJ267">
        <v>98.95999999999999</v>
      </c>
      <c r="AM267" t="s">
        <v>3249</v>
      </c>
      <c r="AN267">
        <v>12360</v>
      </c>
    </row>
    <row r="268" spans="1:41">
      <c r="A268" s="1">
        <f>HYPERLINK("https://lsnyc.legalserver.org/matter/dynamic-profile/view/1909283","19-1909283")</f>
        <v>0</v>
      </c>
      <c r="B268" t="s">
        <v>66</v>
      </c>
      <c r="C268" t="s">
        <v>141</v>
      </c>
      <c r="E268" t="s">
        <v>279</v>
      </c>
      <c r="F268" t="s">
        <v>714</v>
      </c>
      <c r="G268" t="s">
        <v>1146</v>
      </c>
      <c r="H268" t="s">
        <v>1556</v>
      </c>
      <c r="I268" t="s">
        <v>1754</v>
      </c>
      <c r="J268">
        <v>10040</v>
      </c>
      <c r="K268" t="s">
        <v>1779</v>
      </c>
      <c r="L268" t="s">
        <v>1781</v>
      </c>
      <c r="M268" t="s">
        <v>1782</v>
      </c>
      <c r="N268" t="s">
        <v>1918</v>
      </c>
      <c r="O268" t="s">
        <v>2030</v>
      </c>
      <c r="P268" t="s">
        <v>2051</v>
      </c>
      <c r="R268" t="s">
        <v>2062</v>
      </c>
      <c r="S268" t="s">
        <v>1780</v>
      </c>
      <c r="T268" t="s">
        <v>2065</v>
      </c>
      <c r="V268" t="s">
        <v>141</v>
      </c>
      <c r="W268">
        <v>843.6</v>
      </c>
      <c r="X268" t="s">
        <v>2091</v>
      </c>
      <c r="Y268" t="s">
        <v>2101</v>
      </c>
      <c r="AA268" t="s">
        <v>2152</v>
      </c>
      <c r="AC268" t="s">
        <v>2764</v>
      </c>
      <c r="AD268">
        <v>42</v>
      </c>
      <c r="AE268" t="s">
        <v>3223</v>
      </c>
      <c r="AF268" t="s">
        <v>3238</v>
      </c>
      <c r="AG268">
        <v>24</v>
      </c>
      <c r="AH268">
        <v>1</v>
      </c>
      <c r="AI268">
        <v>0</v>
      </c>
      <c r="AJ268">
        <v>99.25</v>
      </c>
      <c r="AM268" t="s">
        <v>3249</v>
      </c>
      <c r="AN268">
        <v>12396</v>
      </c>
    </row>
    <row r="269" spans="1:41">
      <c r="A269" s="1">
        <f>HYPERLINK("https://lsnyc.legalserver.org/matter/dynamic-profile/view/1903749","19-1903749")</f>
        <v>0</v>
      </c>
      <c r="B269" t="s">
        <v>60</v>
      </c>
      <c r="C269" t="s">
        <v>213</v>
      </c>
      <c r="E269" t="s">
        <v>467</v>
      </c>
      <c r="F269" t="s">
        <v>897</v>
      </c>
      <c r="G269" t="s">
        <v>1312</v>
      </c>
      <c r="H269" t="s">
        <v>1664</v>
      </c>
      <c r="I269" t="s">
        <v>1749</v>
      </c>
      <c r="J269">
        <v>11220</v>
      </c>
      <c r="K269" t="s">
        <v>1779</v>
      </c>
      <c r="L269" t="s">
        <v>1781</v>
      </c>
      <c r="M269" t="s">
        <v>1782</v>
      </c>
      <c r="O269" t="s">
        <v>2031</v>
      </c>
      <c r="P269" t="s">
        <v>2051</v>
      </c>
      <c r="R269" t="s">
        <v>2062</v>
      </c>
      <c r="S269" t="s">
        <v>1779</v>
      </c>
      <c r="T269" t="s">
        <v>2065</v>
      </c>
      <c r="V269" t="s">
        <v>213</v>
      </c>
      <c r="W269">
        <v>1375</v>
      </c>
      <c r="X269" t="s">
        <v>2088</v>
      </c>
      <c r="AA269" t="s">
        <v>2373</v>
      </c>
      <c r="AC269" t="s">
        <v>2958</v>
      </c>
      <c r="AD269">
        <v>54</v>
      </c>
      <c r="AG269">
        <v>16</v>
      </c>
      <c r="AH269">
        <v>2</v>
      </c>
      <c r="AI269">
        <v>0</v>
      </c>
      <c r="AJ269">
        <v>99.34999999999999</v>
      </c>
      <c r="AM269" t="s">
        <v>3248</v>
      </c>
      <c r="AN269">
        <v>16800</v>
      </c>
    </row>
    <row r="270" spans="1:41">
      <c r="A270" s="1">
        <f>HYPERLINK("https://lsnyc.legalserver.org/matter/dynamic-profile/view/1905201","19-1905201")</f>
        <v>0</v>
      </c>
      <c r="B270" t="s">
        <v>86</v>
      </c>
      <c r="C270" t="s">
        <v>167</v>
      </c>
      <c r="E270" t="s">
        <v>253</v>
      </c>
      <c r="F270" t="s">
        <v>430</v>
      </c>
      <c r="G270" t="s">
        <v>1200</v>
      </c>
      <c r="H270" t="s">
        <v>1644</v>
      </c>
      <c r="I270" t="s">
        <v>1752</v>
      </c>
      <c r="J270">
        <v>10453</v>
      </c>
      <c r="K270" t="s">
        <v>1779</v>
      </c>
      <c r="L270" t="s">
        <v>1781</v>
      </c>
      <c r="M270" t="s">
        <v>1782</v>
      </c>
      <c r="N270" t="s">
        <v>1836</v>
      </c>
      <c r="O270" t="s">
        <v>2032</v>
      </c>
      <c r="P270" t="s">
        <v>2053</v>
      </c>
      <c r="R270" t="s">
        <v>2062</v>
      </c>
      <c r="S270" t="s">
        <v>1779</v>
      </c>
      <c r="T270" t="s">
        <v>2065</v>
      </c>
      <c r="V270" t="s">
        <v>2082</v>
      </c>
      <c r="W270">
        <v>880.27</v>
      </c>
      <c r="X270" t="s">
        <v>2089</v>
      </c>
      <c r="Y270" t="s">
        <v>2100</v>
      </c>
      <c r="AA270" t="s">
        <v>2374</v>
      </c>
      <c r="AC270" t="s">
        <v>2959</v>
      </c>
      <c r="AD270">
        <v>170</v>
      </c>
      <c r="AE270" t="s">
        <v>3223</v>
      </c>
      <c r="AF270" t="s">
        <v>1783</v>
      </c>
      <c r="AG270">
        <v>20</v>
      </c>
      <c r="AH270">
        <v>2</v>
      </c>
      <c r="AI270">
        <v>4</v>
      </c>
      <c r="AJ270">
        <v>99.43000000000001</v>
      </c>
      <c r="AM270" t="s">
        <v>3248</v>
      </c>
      <c r="AN270">
        <v>34392</v>
      </c>
    </row>
    <row r="271" spans="1:41">
      <c r="A271" s="1">
        <f>HYPERLINK("https://lsnyc.legalserver.org/matter/dynamic-profile/view/1905991","19-1905991")</f>
        <v>0</v>
      </c>
      <c r="B271" t="s">
        <v>117</v>
      </c>
      <c r="C271" t="s">
        <v>186</v>
      </c>
      <c r="E271" t="s">
        <v>468</v>
      </c>
      <c r="F271" t="s">
        <v>358</v>
      </c>
      <c r="G271" t="s">
        <v>1124</v>
      </c>
      <c r="H271" t="s">
        <v>1665</v>
      </c>
      <c r="I271" t="s">
        <v>1749</v>
      </c>
      <c r="J271">
        <v>11233</v>
      </c>
      <c r="K271" t="s">
        <v>1779</v>
      </c>
      <c r="L271" t="s">
        <v>1781</v>
      </c>
      <c r="M271" t="s">
        <v>1782</v>
      </c>
      <c r="N271" t="s">
        <v>1799</v>
      </c>
      <c r="O271" t="s">
        <v>2033</v>
      </c>
      <c r="P271" t="s">
        <v>2055</v>
      </c>
      <c r="R271" t="s">
        <v>2062</v>
      </c>
      <c r="S271" t="s">
        <v>1780</v>
      </c>
      <c r="T271" t="s">
        <v>2065</v>
      </c>
      <c r="U271" t="s">
        <v>2073</v>
      </c>
      <c r="V271" t="s">
        <v>213</v>
      </c>
      <c r="W271">
        <v>1200</v>
      </c>
      <c r="X271" t="s">
        <v>2088</v>
      </c>
      <c r="AA271" t="s">
        <v>2375</v>
      </c>
      <c r="AB271" t="s">
        <v>1799</v>
      </c>
      <c r="AD271">
        <v>1107</v>
      </c>
      <c r="AE271" t="s">
        <v>3223</v>
      </c>
      <c r="AF271" t="s">
        <v>1783</v>
      </c>
      <c r="AG271">
        <v>26</v>
      </c>
      <c r="AH271">
        <v>4</v>
      </c>
      <c r="AI271">
        <v>1</v>
      </c>
      <c r="AJ271">
        <v>99.44</v>
      </c>
      <c r="AM271" t="s">
        <v>3248</v>
      </c>
      <c r="AN271">
        <v>30000</v>
      </c>
      <c r="AO271" t="s">
        <v>3265</v>
      </c>
    </row>
    <row r="272" spans="1:41">
      <c r="A272" s="1">
        <f>HYPERLINK("https://lsnyc.legalserver.org/matter/dynamic-profile/view/1901147","19-1901147")</f>
        <v>0</v>
      </c>
      <c r="B272" t="s">
        <v>50</v>
      </c>
      <c r="C272" t="s">
        <v>214</v>
      </c>
      <c r="E272" t="s">
        <v>469</v>
      </c>
      <c r="F272" t="s">
        <v>893</v>
      </c>
      <c r="G272" t="s">
        <v>1340</v>
      </c>
      <c r="H272" t="s">
        <v>1548</v>
      </c>
      <c r="I272" t="s">
        <v>1749</v>
      </c>
      <c r="J272">
        <v>11215</v>
      </c>
      <c r="K272" t="s">
        <v>1779</v>
      </c>
      <c r="L272" t="s">
        <v>1781</v>
      </c>
      <c r="M272" t="s">
        <v>1782</v>
      </c>
      <c r="O272" t="s">
        <v>2033</v>
      </c>
      <c r="P272" t="s">
        <v>2054</v>
      </c>
      <c r="R272" t="s">
        <v>2062</v>
      </c>
      <c r="S272" t="s">
        <v>1780</v>
      </c>
      <c r="T272" t="s">
        <v>2065</v>
      </c>
      <c r="V272" t="s">
        <v>161</v>
      </c>
      <c r="W272">
        <v>985</v>
      </c>
      <c r="X272" t="s">
        <v>2088</v>
      </c>
      <c r="Y272" t="s">
        <v>2104</v>
      </c>
      <c r="AA272" t="s">
        <v>2376</v>
      </c>
      <c r="AC272" t="s">
        <v>2960</v>
      </c>
      <c r="AD272">
        <v>8</v>
      </c>
      <c r="AE272" t="s">
        <v>3223</v>
      </c>
      <c r="AF272" t="s">
        <v>3238</v>
      </c>
      <c r="AG272">
        <v>39</v>
      </c>
      <c r="AH272">
        <v>1</v>
      </c>
      <c r="AI272">
        <v>0</v>
      </c>
      <c r="AJ272">
        <v>100.4</v>
      </c>
      <c r="AM272" t="s">
        <v>3248</v>
      </c>
      <c r="AN272">
        <v>12540</v>
      </c>
    </row>
    <row r="273" spans="1:42">
      <c r="A273" s="1">
        <f>HYPERLINK("https://lsnyc.legalserver.org/matter/dynamic-profile/view/1910459","19-1910459")</f>
        <v>0</v>
      </c>
      <c r="B273" t="s">
        <v>70</v>
      </c>
      <c r="C273" t="s">
        <v>150</v>
      </c>
      <c r="E273" t="s">
        <v>377</v>
      </c>
      <c r="F273" t="s">
        <v>898</v>
      </c>
      <c r="G273" t="s">
        <v>1341</v>
      </c>
      <c r="H273" t="s">
        <v>1666</v>
      </c>
      <c r="I273" t="s">
        <v>1754</v>
      </c>
      <c r="J273">
        <v>10035</v>
      </c>
      <c r="K273" t="s">
        <v>1779</v>
      </c>
      <c r="L273" t="s">
        <v>1781</v>
      </c>
      <c r="M273" t="s">
        <v>1782</v>
      </c>
      <c r="N273" t="s">
        <v>1919</v>
      </c>
      <c r="O273" t="s">
        <v>2029</v>
      </c>
      <c r="P273" t="s">
        <v>2051</v>
      </c>
      <c r="R273" t="s">
        <v>2062</v>
      </c>
      <c r="S273" t="s">
        <v>1780</v>
      </c>
      <c r="T273" t="s">
        <v>2065</v>
      </c>
      <c r="U273" t="s">
        <v>2073</v>
      </c>
      <c r="V273" t="s">
        <v>216</v>
      </c>
      <c r="W273">
        <v>650</v>
      </c>
      <c r="X273" t="s">
        <v>2091</v>
      </c>
      <c r="Y273" t="s">
        <v>2101</v>
      </c>
      <c r="AA273" t="s">
        <v>2377</v>
      </c>
      <c r="AC273" t="s">
        <v>2961</v>
      </c>
      <c r="AD273">
        <v>0</v>
      </c>
      <c r="AE273" t="s">
        <v>2704</v>
      </c>
      <c r="AF273" t="s">
        <v>1783</v>
      </c>
      <c r="AG273">
        <v>22</v>
      </c>
      <c r="AH273">
        <v>3</v>
      </c>
      <c r="AI273">
        <v>1</v>
      </c>
      <c r="AJ273">
        <v>100.58</v>
      </c>
      <c r="AM273" t="s">
        <v>3248</v>
      </c>
      <c r="AN273">
        <v>25900</v>
      </c>
    </row>
    <row r="274" spans="1:42">
      <c r="A274" s="1">
        <f>HYPERLINK("https://lsnyc.legalserver.org/matter/dynamic-profile/view/1908666","19-1908666")</f>
        <v>0</v>
      </c>
      <c r="B274" t="s">
        <v>72</v>
      </c>
      <c r="C274" t="s">
        <v>174</v>
      </c>
      <c r="E274" t="s">
        <v>470</v>
      </c>
      <c r="F274" t="s">
        <v>899</v>
      </c>
      <c r="G274" t="s">
        <v>1296</v>
      </c>
      <c r="H274" t="s">
        <v>1616</v>
      </c>
      <c r="I274" t="s">
        <v>1761</v>
      </c>
      <c r="J274">
        <v>11377</v>
      </c>
      <c r="K274" t="s">
        <v>1779</v>
      </c>
      <c r="L274" t="s">
        <v>1781</v>
      </c>
      <c r="M274" t="s">
        <v>1782</v>
      </c>
      <c r="N274" t="s">
        <v>1888</v>
      </c>
      <c r="O274" t="s">
        <v>2032</v>
      </c>
      <c r="P274" t="s">
        <v>2053</v>
      </c>
      <c r="R274" t="s">
        <v>2062</v>
      </c>
      <c r="S274" t="s">
        <v>1779</v>
      </c>
      <c r="T274" t="s">
        <v>2065</v>
      </c>
      <c r="V274" t="s">
        <v>174</v>
      </c>
      <c r="W274">
        <v>1541.52</v>
      </c>
      <c r="X274" t="s">
        <v>2087</v>
      </c>
      <c r="Y274" t="s">
        <v>2100</v>
      </c>
      <c r="AA274" t="s">
        <v>2378</v>
      </c>
      <c r="AC274" t="s">
        <v>2712</v>
      </c>
      <c r="AD274">
        <v>66</v>
      </c>
      <c r="AE274" t="s">
        <v>3223</v>
      </c>
      <c r="AF274" t="s">
        <v>1783</v>
      </c>
      <c r="AG274">
        <v>14</v>
      </c>
      <c r="AH274">
        <v>3</v>
      </c>
      <c r="AI274">
        <v>1</v>
      </c>
      <c r="AJ274">
        <v>100.97</v>
      </c>
      <c r="AM274" t="s">
        <v>3249</v>
      </c>
      <c r="AN274">
        <v>26000</v>
      </c>
    </row>
    <row r="275" spans="1:42">
      <c r="A275" s="1">
        <f>HYPERLINK("https://lsnyc.legalserver.org/matter/dynamic-profile/view/1905681","19-1905681")</f>
        <v>0</v>
      </c>
      <c r="B275" t="s">
        <v>58</v>
      </c>
      <c r="C275" t="s">
        <v>145</v>
      </c>
      <c r="E275" t="s">
        <v>471</v>
      </c>
      <c r="F275" t="s">
        <v>900</v>
      </c>
      <c r="G275" t="s">
        <v>1208</v>
      </c>
      <c r="H275" t="s">
        <v>1667</v>
      </c>
      <c r="I275" t="s">
        <v>1749</v>
      </c>
      <c r="J275">
        <v>11226</v>
      </c>
      <c r="K275" t="s">
        <v>1779</v>
      </c>
      <c r="L275" t="s">
        <v>1781</v>
      </c>
      <c r="O275" t="s">
        <v>2032</v>
      </c>
      <c r="P275" t="s">
        <v>2053</v>
      </c>
      <c r="R275" t="s">
        <v>2062</v>
      </c>
      <c r="S275" t="s">
        <v>1779</v>
      </c>
      <c r="T275" t="s">
        <v>2065</v>
      </c>
      <c r="V275" t="s">
        <v>145</v>
      </c>
      <c r="W275">
        <v>0</v>
      </c>
      <c r="X275" t="s">
        <v>2088</v>
      </c>
      <c r="AA275" t="s">
        <v>2379</v>
      </c>
      <c r="AC275" t="s">
        <v>2962</v>
      </c>
      <c r="AD275">
        <v>36</v>
      </c>
      <c r="AE275" t="s">
        <v>3223</v>
      </c>
      <c r="AG275">
        <v>0</v>
      </c>
      <c r="AH275">
        <v>4</v>
      </c>
      <c r="AI275">
        <v>0</v>
      </c>
      <c r="AJ275">
        <v>100.97</v>
      </c>
      <c r="AM275" t="s">
        <v>3249</v>
      </c>
      <c r="AN275">
        <v>26000</v>
      </c>
    </row>
    <row r="276" spans="1:42">
      <c r="A276" s="1">
        <f>HYPERLINK("https://lsnyc.legalserver.org/matter/dynamic-profile/view/1908088","19-1908088")</f>
        <v>0</v>
      </c>
      <c r="B276" t="s">
        <v>118</v>
      </c>
      <c r="C276" t="s">
        <v>171</v>
      </c>
      <c r="D276" t="s">
        <v>196</v>
      </c>
      <c r="E276" t="s">
        <v>472</v>
      </c>
      <c r="F276" t="s">
        <v>901</v>
      </c>
      <c r="G276" t="s">
        <v>1342</v>
      </c>
      <c r="H276" t="s">
        <v>1668</v>
      </c>
      <c r="I276" t="s">
        <v>1749</v>
      </c>
      <c r="J276">
        <v>11208</v>
      </c>
      <c r="K276" t="s">
        <v>1779</v>
      </c>
      <c r="L276" t="s">
        <v>1781</v>
      </c>
      <c r="M276" t="s">
        <v>1782</v>
      </c>
      <c r="O276" t="s">
        <v>2030</v>
      </c>
      <c r="P276" t="s">
        <v>2050</v>
      </c>
      <c r="Q276" t="s">
        <v>2057</v>
      </c>
      <c r="R276" t="s">
        <v>2062</v>
      </c>
      <c r="T276" t="s">
        <v>2065</v>
      </c>
      <c r="V276" t="s">
        <v>155</v>
      </c>
      <c r="W276">
        <v>0</v>
      </c>
      <c r="X276" t="s">
        <v>2088</v>
      </c>
      <c r="Y276" t="s">
        <v>2092</v>
      </c>
      <c r="Z276" t="s">
        <v>2110</v>
      </c>
      <c r="AA276" t="s">
        <v>2380</v>
      </c>
      <c r="AC276" t="s">
        <v>2963</v>
      </c>
      <c r="AD276">
        <v>0</v>
      </c>
      <c r="AG276">
        <v>0</v>
      </c>
      <c r="AH276">
        <v>2</v>
      </c>
      <c r="AI276">
        <v>2</v>
      </c>
      <c r="AJ276">
        <v>100.97</v>
      </c>
      <c r="AM276" t="s">
        <v>3251</v>
      </c>
      <c r="AN276">
        <v>26000</v>
      </c>
    </row>
    <row r="277" spans="1:42">
      <c r="A277" s="1">
        <f>HYPERLINK("https://lsnyc.legalserver.org/matter/dynamic-profile/view/1908569","19-1908569")</f>
        <v>0</v>
      </c>
      <c r="B277" t="s">
        <v>83</v>
      </c>
      <c r="C277" t="s">
        <v>201</v>
      </c>
      <c r="E277" t="s">
        <v>458</v>
      </c>
      <c r="F277" t="s">
        <v>902</v>
      </c>
      <c r="G277" t="s">
        <v>1343</v>
      </c>
      <c r="H277" t="s">
        <v>1577</v>
      </c>
      <c r="I277" t="s">
        <v>1754</v>
      </c>
      <c r="J277">
        <v>10032</v>
      </c>
      <c r="K277" t="s">
        <v>1779</v>
      </c>
      <c r="L277" t="s">
        <v>1781</v>
      </c>
      <c r="M277" t="s">
        <v>1782</v>
      </c>
      <c r="O277" t="s">
        <v>1793</v>
      </c>
      <c r="P277" t="s">
        <v>2050</v>
      </c>
      <c r="R277" t="s">
        <v>2062</v>
      </c>
      <c r="S277" t="s">
        <v>1780</v>
      </c>
      <c r="T277" t="s">
        <v>2065</v>
      </c>
      <c r="V277" t="s">
        <v>201</v>
      </c>
      <c r="W277">
        <v>606.5599999999999</v>
      </c>
      <c r="X277" t="s">
        <v>2091</v>
      </c>
      <c r="Y277" t="s">
        <v>2096</v>
      </c>
      <c r="AA277" t="s">
        <v>2381</v>
      </c>
      <c r="AC277" t="s">
        <v>2964</v>
      </c>
      <c r="AD277">
        <v>202</v>
      </c>
      <c r="AE277" t="s">
        <v>3223</v>
      </c>
      <c r="AF277" t="s">
        <v>3238</v>
      </c>
      <c r="AG277">
        <v>7</v>
      </c>
      <c r="AH277">
        <v>1</v>
      </c>
      <c r="AI277">
        <v>0</v>
      </c>
      <c r="AJ277">
        <v>101.07</v>
      </c>
      <c r="AM277" t="s">
        <v>3248</v>
      </c>
      <c r="AN277">
        <v>12624</v>
      </c>
    </row>
    <row r="278" spans="1:42">
      <c r="A278" s="1">
        <f>HYPERLINK("https://lsnyc.legalserver.org/matter/dynamic-profile/view/1906128","19-1906128")</f>
        <v>0</v>
      </c>
      <c r="B278" t="s">
        <v>74</v>
      </c>
      <c r="C278" t="s">
        <v>146</v>
      </c>
      <c r="D278" t="s">
        <v>158</v>
      </c>
      <c r="E278" t="s">
        <v>473</v>
      </c>
      <c r="F278" t="s">
        <v>903</v>
      </c>
      <c r="G278" t="s">
        <v>1344</v>
      </c>
      <c r="H278" t="s">
        <v>1581</v>
      </c>
      <c r="I278" t="s">
        <v>1756</v>
      </c>
      <c r="J278">
        <v>11354</v>
      </c>
      <c r="K278" t="s">
        <v>1779</v>
      </c>
      <c r="L278" t="s">
        <v>1781</v>
      </c>
      <c r="M278" t="s">
        <v>1782</v>
      </c>
      <c r="N278" t="s">
        <v>1786</v>
      </c>
      <c r="O278" t="s">
        <v>2034</v>
      </c>
      <c r="P278" t="s">
        <v>2050</v>
      </c>
      <c r="Q278" t="s">
        <v>2057</v>
      </c>
      <c r="R278" t="s">
        <v>2062</v>
      </c>
      <c r="S278" t="s">
        <v>1780</v>
      </c>
      <c r="T278" t="s">
        <v>2065</v>
      </c>
      <c r="U278" t="s">
        <v>2073</v>
      </c>
      <c r="V278" t="s">
        <v>158</v>
      </c>
      <c r="W278">
        <v>1050</v>
      </c>
      <c r="X278" t="s">
        <v>2087</v>
      </c>
      <c r="Y278" t="s">
        <v>2099</v>
      </c>
      <c r="Z278" t="s">
        <v>2110</v>
      </c>
      <c r="AA278" t="s">
        <v>2382</v>
      </c>
      <c r="AB278" t="s">
        <v>2712</v>
      </c>
      <c r="AC278" t="s">
        <v>2965</v>
      </c>
      <c r="AD278">
        <v>10</v>
      </c>
      <c r="AE278" t="s">
        <v>3223</v>
      </c>
      <c r="AF278" t="s">
        <v>1783</v>
      </c>
      <c r="AG278">
        <v>1</v>
      </c>
      <c r="AH278">
        <v>2</v>
      </c>
      <c r="AI278">
        <v>0</v>
      </c>
      <c r="AJ278">
        <v>102.11</v>
      </c>
      <c r="AM278" t="s">
        <v>3248</v>
      </c>
      <c r="AN278">
        <v>17267.52</v>
      </c>
    </row>
    <row r="279" spans="1:42">
      <c r="A279" s="1">
        <f>HYPERLINK("https://lsnyc.legalserver.org/matter/dynamic-profile/view/1901630","19-1901630")</f>
        <v>0</v>
      </c>
      <c r="B279" t="s">
        <v>72</v>
      </c>
      <c r="C279" t="s">
        <v>215</v>
      </c>
      <c r="E279" t="s">
        <v>474</v>
      </c>
      <c r="F279" t="s">
        <v>904</v>
      </c>
      <c r="G279" t="s">
        <v>1345</v>
      </c>
      <c r="H279" t="s">
        <v>1669</v>
      </c>
      <c r="I279" t="s">
        <v>1748</v>
      </c>
      <c r="J279">
        <v>11368</v>
      </c>
      <c r="K279" t="s">
        <v>1779</v>
      </c>
      <c r="L279" t="s">
        <v>1781</v>
      </c>
      <c r="M279" t="s">
        <v>1782</v>
      </c>
      <c r="N279" t="s">
        <v>1920</v>
      </c>
      <c r="O279" t="s">
        <v>2029</v>
      </c>
      <c r="P279" t="s">
        <v>2050</v>
      </c>
      <c r="R279" t="s">
        <v>2062</v>
      </c>
      <c r="S279" t="s">
        <v>1780</v>
      </c>
      <c r="T279" t="s">
        <v>2065</v>
      </c>
      <c r="U279" t="s">
        <v>2073</v>
      </c>
      <c r="V279" t="s">
        <v>223</v>
      </c>
      <c r="W279">
        <v>1800</v>
      </c>
      <c r="X279" t="s">
        <v>2087</v>
      </c>
      <c r="Y279" t="s">
        <v>2092</v>
      </c>
      <c r="AA279" t="s">
        <v>2383</v>
      </c>
      <c r="AB279" t="s">
        <v>2718</v>
      </c>
      <c r="AC279" t="s">
        <v>2966</v>
      </c>
      <c r="AD279">
        <v>3</v>
      </c>
      <c r="AE279" t="s">
        <v>2704</v>
      </c>
      <c r="AF279" t="s">
        <v>1783</v>
      </c>
      <c r="AG279">
        <v>21</v>
      </c>
      <c r="AH279">
        <v>2</v>
      </c>
      <c r="AI279">
        <v>2</v>
      </c>
      <c r="AJ279">
        <v>102.52</v>
      </c>
      <c r="AM279" t="s">
        <v>3249</v>
      </c>
      <c r="AN279">
        <v>26400</v>
      </c>
    </row>
    <row r="280" spans="1:42">
      <c r="A280" s="1">
        <f>HYPERLINK("https://lsnyc.legalserver.org/matter/dynamic-profile/view/1908353","19-1908353")</f>
        <v>0</v>
      </c>
      <c r="B280" t="s">
        <v>70</v>
      </c>
      <c r="C280" t="s">
        <v>195</v>
      </c>
      <c r="E280" t="s">
        <v>475</v>
      </c>
      <c r="F280" t="s">
        <v>905</v>
      </c>
      <c r="G280" t="s">
        <v>1346</v>
      </c>
      <c r="H280" t="s">
        <v>1670</v>
      </c>
      <c r="I280" t="s">
        <v>1754</v>
      </c>
      <c r="J280">
        <v>10029</v>
      </c>
      <c r="K280" t="s">
        <v>1779</v>
      </c>
      <c r="L280" t="s">
        <v>1781</v>
      </c>
      <c r="M280" t="s">
        <v>1782</v>
      </c>
      <c r="O280" t="s">
        <v>1793</v>
      </c>
      <c r="P280" t="s">
        <v>2055</v>
      </c>
      <c r="R280" t="s">
        <v>2062</v>
      </c>
      <c r="S280" t="s">
        <v>1780</v>
      </c>
      <c r="T280" t="s">
        <v>2065</v>
      </c>
      <c r="U280" t="s">
        <v>2073</v>
      </c>
      <c r="V280" t="s">
        <v>161</v>
      </c>
      <c r="W280">
        <v>4169</v>
      </c>
      <c r="X280" t="s">
        <v>2091</v>
      </c>
      <c r="Y280" t="s">
        <v>2101</v>
      </c>
      <c r="AA280" t="s">
        <v>2384</v>
      </c>
      <c r="AB280">
        <v>43832149</v>
      </c>
      <c r="AC280" t="s">
        <v>2967</v>
      </c>
      <c r="AD280">
        <v>323</v>
      </c>
      <c r="AE280" t="s">
        <v>2704</v>
      </c>
      <c r="AF280" t="s">
        <v>3236</v>
      </c>
      <c r="AG280">
        <v>36</v>
      </c>
      <c r="AH280">
        <v>3</v>
      </c>
      <c r="AI280">
        <v>1</v>
      </c>
      <c r="AJ280">
        <v>102.9</v>
      </c>
      <c r="AM280" t="s">
        <v>3248</v>
      </c>
      <c r="AN280">
        <v>26496</v>
      </c>
    </row>
    <row r="281" spans="1:42">
      <c r="A281" s="1">
        <f>HYPERLINK("https://lsnyc.legalserver.org/matter/dynamic-profile/view/1908313","19-1908313")</f>
        <v>0</v>
      </c>
      <c r="B281" t="s">
        <v>57</v>
      </c>
      <c r="C281" t="s">
        <v>149</v>
      </c>
      <c r="E281" t="s">
        <v>265</v>
      </c>
      <c r="F281" t="s">
        <v>906</v>
      </c>
      <c r="G281" t="s">
        <v>1127</v>
      </c>
      <c r="H281" t="s">
        <v>1671</v>
      </c>
      <c r="I281" t="s">
        <v>1749</v>
      </c>
      <c r="J281">
        <v>11233</v>
      </c>
      <c r="K281" t="s">
        <v>1779</v>
      </c>
      <c r="L281" t="s">
        <v>1781</v>
      </c>
      <c r="M281" t="s">
        <v>1782</v>
      </c>
      <c r="N281" t="s">
        <v>1921</v>
      </c>
      <c r="O281" t="s">
        <v>2030</v>
      </c>
      <c r="P281" t="s">
        <v>2051</v>
      </c>
      <c r="R281" t="s">
        <v>2062</v>
      </c>
      <c r="S281" t="s">
        <v>1780</v>
      </c>
      <c r="T281" t="s">
        <v>2065</v>
      </c>
      <c r="U281" t="s">
        <v>2073</v>
      </c>
      <c r="V281" t="s">
        <v>149</v>
      </c>
      <c r="W281">
        <v>955.08</v>
      </c>
      <c r="X281" t="s">
        <v>2088</v>
      </c>
      <c r="Y281" t="s">
        <v>2101</v>
      </c>
      <c r="AA281" t="s">
        <v>2385</v>
      </c>
      <c r="AB281">
        <v>6004868123</v>
      </c>
      <c r="AC281" t="s">
        <v>2968</v>
      </c>
      <c r="AD281">
        <v>1107</v>
      </c>
      <c r="AE281" t="s">
        <v>3223</v>
      </c>
      <c r="AF281" t="s">
        <v>1783</v>
      </c>
      <c r="AG281">
        <v>16</v>
      </c>
      <c r="AH281">
        <v>1</v>
      </c>
      <c r="AI281">
        <v>0</v>
      </c>
      <c r="AJ281">
        <v>104.08</v>
      </c>
      <c r="AM281" t="s">
        <v>3248</v>
      </c>
      <c r="AN281">
        <v>13000</v>
      </c>
    </row>
    <row r="282" spans="1:42">
      <c r="A282" s="1">
        <f>HYPERLINK("https://lsnyc.legalserver.org/matter/dynamic-profile/view/1909752","19-1909752")</f>
        <v>0</v>
      </c>
      <c r="B282" t="s">
        <v>83</v>
      </c>
      <c r="C282" t="s">
        <v>216</v>
      </c>
      <c r="E282" t="s">
        <v>476</v>
      </c>
      <c r="F282" t="s">
        <v>907</v>
      </c>
      <c r="G282" t="s">
        <v>1347</v>
      </c>
      <c r="H282">
        <v>33</v>
      </c>
      <c r="I282" t="s">
        <v>1754</v>
      </c>
      <c r="J282">
        <v>10034</v>
      </c>
      <c r="K282" t="s">
        <v>1779</v>
      </c>
      <c r="L282" t="s">
        <v>1781</v>
      </c>
      <c r="M282" t="s">
        <v>1782</v>
      </c>
      <c r="P282" t="s">
        <v>2052</v>
      </c>
      <c r="R282" t="s">
        <v>2062</v>
      </c>
      <c r="S282" t="s">
        <v>1780</v>
      </c>
      <c r="T282" t="s">
        <v>2065</v>
      </c>
      <c r="V282" t="s">
        <v>180</v>
      </c>
      <c r="W282">
        <v>1600</v>
      </c>
      <c r="X282" t="s">
        <v>2091</v>
      </c>
      <c r="Y282" t="s">
        <v>2095</v>
      </c>
      <c r="AA282" t="s">
        <v>2386</v>
      </c>
      <c r="AC282" t="s">
        <v>2969</v>
      </c>
      <c r="AD282">
        <v>60</v>
      </c>
      <c r="AE282" t="s">
        <v>3223</v>
      </c>
      <c r="AF282" t="s">
        <v>1783</v>
      </c>
      <c r="AG282">
        <v>7</v>
      </c>
      <c r="AH282">
        <v>1</v>
      </c>
      <c r="AI282">
        <v>0</v>
      </c>
      <c r="AJ282">
        <v>104.08</v>
      </c>
      <c r="AM282" t="s">
        <v>3248</v>
      </c>
      <c r="AN282">
        <v>13000</v>
      </c>
    </row>
    <row r="283" spans="1:42">
      <c r="A283" s="1">
        <f>HYPERLINK("https://lsnyc.legalserver.org/matter/dynamic-profile/view/1893374","19-1893374")</f>
        <v>0</v>
      </c>
      <c r="B283" t="s">
        <v>77</v>
      </c>
      <c r="C283" t="s">
        <v>217</v>
      </c>
      <c r="D283" t="s">
        <v>244</v>
      </c>
      <c r="E283" t="s">
        <v>477</v>
      </c>
      <c r="F283" t="s">
        <v>785</v>
      </c>
      <c r="G283" t="s">
        <v>1348</v>
      </c>
      <c r="H283" t="s">
        <v>1661</v>
      </c>
      <c r="I283" t="s">
        <v>1749</v>
      </c>
      <c r="J283">
        <v>11212</v>
      </c>
      <c r="K283" t="s">
        <v>1779</v>
      </c>
      <c r="L283" t="s">
        <v>1779</v>
      </c>
      <c r="M283" t="s">
        <v>1782</v>
      </c>
      <c r="N283" t="s">
        <v>1786</v>
      </c>
      <c r="O283" t="s">
        <v>2031</v>
      </c>
      <c r="P283" t="s">
        <v>2050</v>
      </c>
      <c r="Q283" t="s">
        <v>2057</v>
      </c>
      <c r="R283" t="s">
        <v>2062</v>
      </c>
      <c r="S283" t="s">
        <v>1779</v>
      </c>
      <c r="T283" t="s">
        <v>2065</v>
      </c>
      <c r="U283" t="s">
        <v>2073</v>
      </c>
      <c r="V283" t="s">
        <v>2083</v>
      </c>
      <c r="W283">
        <v>1643.13</v>
      </c>
      <c r="X283" t="s">
        <v>2088</v>
      </c>
      <c r="Y283" t="s">
        <v>2100</v>
      </c>
      <c r="Z283" t="s">
        <v>2110</v>
      </c>
      <c r="AA283" t="s">
        <v>2387</v>
      </c>
      <c r="AB283" t="s">
        <v>1783</v>
      </c>
      <c r="AC283" t="s">
        <v>2970</v>
      </c>
      <c r="AD283">
        <v>38</v>
      </c>
      <c r="AE283" t="s">
        <v>3223</v>
      </c>
      <c r="AF283" t="s">
        <v>1783</v>
      </c>
      <c r="AG283">
        <v>9</v>
      </c>
      <c r="AH283">
        <v>4</v>
      </c>
      <c r="AI283">
        <v>0</v>
      </c>
      <c r="AJ283">
        <v>104.85</v>
      </c>
      <c r="AM283" t="s">
        <v>3248</v>
      </c>
      <c r="AN283">
        <v>27000</v>
      </c>
    </row>
    <row r="284" spans="1:42">
      <c r="A284" s="1">
        <f>HYPERLINK("https://lsnyc.legalserver.org/matter/dynamic-profile/view/1904523","19-1904523")</f>
        <v>0</v>
      </c>
      <c r="B284" t="s">
        <v>82</v>
      </c>
      <c r="C284" t="s">
        <v>169</v>
      </c>
      <c r="E284" t="s">
        <v>478</v>
      </c>
      <c r="F284" t="s">
        <v>908</v>
      </c>
      <c r="G284" t="s">
        <v>1349</v>
      </c>
      <c r="H284">
        <v>31</v>
      </c>
      <c r="I284" t="s">
        <v>1754</v>
      </c>
      <c r="J284">
        <v>10034</v>
      </c>
      <c r="K284" t="s">
        <v>1779</v>
      </c>
      <c r="L284" t="s">
        <v>1781</v>
      </c>
      <c r="M284" t="s">
        <v>1782</v>
      </c>
      <c r="O284" t="s">
        <v>2044</v>
      </c>
      <c r="P284" t="s">
        <v>2054</v>
      </c>
      <c r="R284" t="s">
        <v>2062</v>
      </c>
      <c r="S284" t="s">
        <v>1780</v>
      </c>
      <c r="T284" t="s">
        <v>2065</v>
      </c>
      <c r="V284" t="s">
        <v>169</v>
      </c>
      <c r="W284">
        <v>1013.58</v>
      </c>
      <c r="X284" t="s">
        <v>2091</v>
      </c>
      <c r="Y284" t="s">
        <v>2101</v>
      </c>
      <c r="AA284" t="s">
        <v>2388</v>
      </c>
      <c r="AC284" t="s">
        <v>2971</v>
      </c>
      <c r="AD284">
        <v>25</v>
      </c>
      <c r="AE284" t="s">
        <v>3223</v>
      </c>
      <c r="AF284" t="s">
        <v>3236</v>
      </c>
      <c r="AG284">
        <v>50</v>
      </c>
      <c r="AH284">
        <v>2</v>
      </c>
      <c r="AI284">
        <v>0</v>
      </c>
      <c r="AJ284">
        <v>105.38</v>
      </c>
      <c r="AL284" t="s">
        <v>3246</v>
      </c>
      <c r="AM284" t="s">
        <v>3249</v>
      </c>
      <c r="AN284">
        <v>17820</v>
      </c>
    </row>
    <row r="285" spans="1:42">
      <c r="A285" s="1">
        <f>HYPERLINK("https://lsnyc.legalserver.org/matter/dynamic-profile/view/1905128","19-1905128")</f>
        <v>0</v>
      </c>
      <c r="B285" t="s">
        <v>95</v>
      </c>
      <c r="C285" t="s">
        <v>151</v>
      </c>
      <c r="D285" t="s">
        <v>140</v>
      </c>
      <c r="E285" t="s">
        <v>479</v>
      </c>
      <c r="F285" t="s">
        <v>909</v>
      </c>
      <c r="G285" t="s">
        <v>1350</v>
      </c>
      <c r="I285" t="s">
        <v>1753</v>
      </c>
      <c r="J285">
        <v>10304</v>
      </c>
      <c r="K285" t="s">
        <v>1779</v>
      </c>
      <c r="L285" t="s">
        <v>1781</v>
      </c>
      <c r="M285" t="s">
        <v>1782</v>
      </c>
      <c r="O285" t="s">
        <v>1793</v>
      </c>
      <c r="P285" t="s">
        <v>2050</v>
      </c>
      <c r="Q285" t="s">
        <v>2057</v>
      </c>
      <c r="R285" t="s">
        <v>2063</v>
      </c>
      <c r="S285" t="s">
        <v>1780</v>
      </c>
      <c r="T285" t="s">
        <v>2065</v>
      </c>
      <c r="U285" t="s">
        <v>2073</v>
      </c>
      <c r="V285" t="s">
        <v>151</v>
      </c>
      <c r="W285">
        <v>1831</v>
      </c>
      <c r="X285" t="s">
        <v>2090</v>
      </c>
      <c r="Y285" t="s">
        <v>2093</v>
      </c>
      <c r="Z285" t="s">
        <v>2110</v>
      </c>
      <c r="AA285" t="s">
        <v>2389</v>
      </c>
      <c r="AC285" t="s">
        <v>2972</v>
      </c>
      <c r="AD285">
        <v>2</v>
      </c>
      <c r="AE285" t="s">
        <v>3222</v>
      </c>
      <c r="AG285">
        <v>1</v>
      </c>
      <c r="AH285">
        <v>1</v>
      </c>
      <c r="AI285">
        <v>0</v>
      </c>
      <c r="AJ285">
        <v>105.68</v>
      </c>
      <c r="AK285" t="s">
        <v>3244</v>
      </c>
      <c r="AL285" t="s">
        <v>3245</v>
      </c>
      <c r="AM285" t="s">
        <v>3248</v>
      </c>
      <c r="AN285">
        <v>13200</v>
      </c>
    </row>
    <row r="286" spans="1:42">
      <c r="A286" s="1">
        <f>HYPERLINK("https://lsnyc.legalserver.org/matter/dynamic-profile/view/1906385","19-1906385")</f>
        <v>0</v>
      </c>
      <c r="B286" t="s">
        <v>72</v>
      </c>
      <c r="C286" t="s">
        <v>161</v>
      </c>
      <c r="E286" t="s">
        <v>480</v>
      </c>
      <c r="F286" t="s">
        <v>910</v>
      </c>
      <c r="G286" t="s">
        <v>1351</v>
      </c>
      <c r="H286" t="s">
        <v>1595</v>
      </c>
      <c r="I286" t="s">
        <v>1761</v>
      </c>
      <c r="J286">
        <v>11377</v>
      </c>
      <c r="K286" t="s">
        <v>1779</v>
      </c>
      <c r="L286" t="s">
        <v>1781</v>
      </c>
      <c r="M286" t="s">
        <v>1782</v>
      </c>
      <c r="N286" t="s">
        <v>1922</v>
      </c>
      <c r="O286" t="s">
        <v>2029</v>
      </c>
      <c r="P286" t="s">
        <v>2051</v>
      </c>
      <c r="R286" t="s">
        <v>2062</v>
      </c>
      <c r="S286" t="s">
        <v>1780</v>
      </c>
      <c r="T286" t="s">
        <v>2065</v>
      </c>
      <c r="U286" t="s">
        <v>2073</v>
      </c>
      <c r="V286" t="s">
        <v>161</v>
      </c>
      <c r="W286">
        <v>1024</v>
      </c>
      <c r="X286" t="s">
        <v>2087</v>
      </c>
      <c r="Y286" t="s">
        <v>2092</v>
      </c>
      <c r="AA286" t="s">
        <v>2390</v>
      </c>
      <c r="AC286" t="s">
        <v>2973</v>
      </c>
      <c r="AD286">
        <v>60</v>
      </c>
      <c r="AE286" t="s">
        <v>3223</v>
      </c>
      <c r="AF286" t="s">
        <v>1783</v>
      </c>
      <c r="AG286">
        <v>26</v>
      </c>
      <c r="AH286">
        <v>5</v>
      </c>
      <c r="AI286">
        <v>1</v>
      </c>
      <c r="AJ286">
        <v>105.81</v>
      </c>
      <c r="AM286" t="s">
        <v>3249</v>
      </c>
      <c r="AN286">
        <v>36600</v>
      </c>
    </row>
    <row r="287" spans="1:42">
      <c r="A287" s="1">
        <f>HYPERLINK("https://lsnyc.legalserver.org/matter/dynamic-profile/view/1909640","19-1909640")</f>
        <v>0</v>
      </c>
      <c r="B287" t="s">
        <v>51</v>
      </c>
      <c r="C287" t="s">
        <v>202</v>
      </c>
      <c r="E287" t="s">
        <v>351</v>
      </c>
      <c r="F287" t="s">
        <v>505</v>
      </c>
      <c r="G287" t="s">
        <v>1352</v>
      </c>
      <c r="H287" t="s">
        <v>1672</v>
      </c>
      <c r="I287" t="s">
        <v>1749</v>
      </c>
      <c r="J287">
        <v>11210</v>
      </c>
      <c r="K287" t="s">
        <v>1779</v>
      </c>
      <c r="L287" t="s">
        <v>1781</v>
      </c>
      <c r="M287" t="s">
        <v>1782</v>
      </c>
      <c r="N287" t="s">
        <v>1923</v>
      </c>
      <c r="O287" t="s">
        <v>2029</v>
      </c>
      <c r="P287" t="s">
        <v>2055</v>
      </c>
      <c r="R287" t="s">
        <v>2062</v>
      </c>
      <c r="S287" t="s">
        <v>1780</v>
      </c>
      <c r="T287" t="s">
        <v>2065</v>
      </c>
      <c r="U287" t="s">
        <v>2073</v>
      </c>
      <c r="V287" t="s">
        <v>202</v>
      </c>
      <c r="W287">
        <v>1004.5</v>
      </c>
      <c r="X287" t="s">
        <v>2088</v>
      </c>
      <c r="Y287" t="s">
        <v>2095</v>
      </c>
      <c r="AA287" t="s">
        <v>2391</v>
      </c>
      <c r="AD287">
        <v>4</v>
      </c>
      <c r="AE287" t="s">
        <v>3222</v>
      </c>
      <c r="AF287" t="s">
        <v>1783</v>
      </c>
      <c r="AG287">
        <v>5</v>
      </c>
      <c r="AH287">
        <v>2</v>
      </c>
      <c r="AI287">
        <v>3</v>
      </c>
      <c r="AJ287">
        <v>106.07</v>
      </c>
      <c r="AM287" t="s">
        <v>3253</v>
      </c>
      <c r="AN287">
        <v>32000</v>
      </c>
      <c r="AP287" t="s">
        <v>3285</v>
      </c>
    </row>
    <row r="288" spans="1:42">
      <c r="A288" s="1">
        <f>HYPERLINK("https://lsnyc.legalserver.org/matter/dynamic-profile/view/1902565","19-1902565")</f>
        <v>0</v>
      </c>
      <c r="B288" t="s">
        <v>66</v>
      </c>
      <c r="C288" t="s">
        <v>218</v>
      </c>
      <c r="E288" t="s">
        <v>481</v>
      </c>
      <c r="F288" t="s">
        <v>911</v>
      </c>
      <c r="G288" t="s">
        <v>1353</v>
      </c>
      <c r="H288" t="s">
        <v>1651</v>
      </c>
      <c r="I288" t="s">
        <v>1754</v>
      </c>
      <c r="J288">
        <v>10034</v>
      </c>
      <c r="K288" t="s">
        <v>1779</v>
      </c>
      <c r="L288" t="s">
        <v>1781</v>
      </c>
      <c r="M288" t="s">
        <v>1782</v>
      </c>
      <c r="O288" t="s">
        <v>1793</v>
      </c>
      <c r="P288" t="s">
        <v>2052</v>
      </c>
      <c r="R288" t="s">
        <v>2062</v>
      </c>
      <c r="S288" t="s">
        <v>1780</v>
      </c>
      <c r="T288" t="s">
        <v>2065</v>
      </c>
      <c r="V288" t="s">
        <v>166</v>
      </c>
      <c r="W288">
        <v>1061</v>
      </c>
      <c r="X288" t="s">
        <v>2091</v>
      </c>
      <c r="Y288" t="s">
        <v>2099</v>
      </c>
      <c r="AA288" t="s">
        <v>2392</v>
      </c>
      <c r="AC288" t="s">
        <v>2974</v>
      </c>
      <c r="AD288">
        <v>30</v>
      </c>
      <c r="AE288" t="s">
        <v>2704</v>
      </c>
      <c r="AF288" t="s">
        <v>1783</v>
      </c>
      <c r="AG288">
        <v>4</v>
      </c>
      <c r="AH288">
        <v>2</v>
      </c>
      <c r="AI288">
        <v>0</v>
      </c>
      <c r="AJ288">
        <v>106.45</v>
      </c>
      <c r="AM288" t="s">
        <v>3249</v>
      </c>
      <c r="AN288">
        <v>18000</v>
      </c>
    </row>
    <row r="289" spans="1:45">
      <c r="A289" s="1">
        <f>HYPERLINK("https://lsnyc.legalserver.org/matter/dynamic-profile/view/1903001","19-1903001")</f>
        <v>0</v>
      </c>
      <c r="B289" t="s">
        <v>69</v>
      </c>
      <c r="C289" t="s">
        <v>219</v>
      </c>
      <c r="E289" t="s">
        <v>482</v>
      </c>
      <c r="F289" t="s">
        <v>859</v>
      </c>
      <c r="G289" t="s">
        <v>1354</v>
      </c>
      <c r="H289" t="s">
        <v>1635</v>
      </c>
      <c r="I289" t="s">
        <v>1749</v>
      </c>
      <c r="J289">
        <v>11212</v>
      </c>
      <c r="K289" t="s">
        <v>1779</v>
      </c>
      <c r="L289" t="s">
        <v>1781</v>
      </c>
      <c r="M289" t="s">
        <v>1782</v>
      </c>
      <c r="N289" t="s">
        <v>1924</v>
      </c>
      <c r="O289" t="s">
        <v>2030</v>
      </c>
      <c r="P289" t="s">
        <v>2051</v>
      </c>
      <c r="R289" t="s">
        <v>2062</v>
      </c>
      <c r="S289" t="s">
        <v>1780</v>
      </c>
      <c r="T289" t="s">
        <v>2065</v>
      </c>
      <c r="V289" t="s">
        <v>161</v>
      </c>
      <c r="W289">
        <v>1534</v>
      </c>
      <c r="X289" t="s">
        <v>2088</v>
      </c>
      <c r="Y289" t="s">
        <v>2101</v>
      </c>
      <c r="AA289" t="s">
        <v>2393</v>
      </c>
      <c r="AB289">
        <v>9407455</v>
      </c>
      <c r="AC289" t="s">
        <v>2975</v>
      </c>
      <c r="AD289">
        <v>21</v>
      </c>
      <c r="AE289" t="s">
        <v>3223</v>
      </c>
      <c r="AF289" t="s">
        <v>3239</v>
      </c>
      <c r="AG289">
        <v>9</v>
      </c>
      <c r="AH289">
        <v>1</v>
      </c>
      <c r="AI289">
        <v>2</v>
      </c>
      <c r="AJ289">
        <v>107.75</v>
      </c>
      <c r="AM289" t="s">
        <v>3248</v>
      </c>
      <c r="AN289">
        <v>22984.08</v>
      </c>
    </row>
    <row r="290" spans="1:45">
      <c r="A290" s="1">
        <f>HYPERLINK("https://lsnyc.legalserver.org/matter/dynamic-profile/view/1907920","19-1907920")</f>
        <v>0</v>
      </c>
      <c r="B290" t="s">
        <v>45</v>
      </c>
      <c r="C290" t="s">
        <v>155</v>
      </c>
      <c r="E290" t="s">
        <v>483</v>
      </c>
      <c r="F290" t="s">
        <v>850</v>
      </c>
      <c r="G290" t="s">
        <v>1355</v>
      </c>
      <c r="H290" t="s">
        <v>1668</v>
      </c>
      <c r="I290" t="s">
        <v>1770</v>
      </c>
      <c r="J290">
        <v>11694</v>
      </c>
      <c r="K290" t="s">
        <v>1779</v>
      </c>
      <c r="L290" t="s">
        <v>1781</v>
      </c>
      <c r="M290" t="s">
        <v>1782</v>
      </c>
      <c r="N290" t="s">
        <v>1925</v>
      </c>
      <c r="O290" t="s">
        <v>2030</v>
      </c>
      <c r="P290" t="s">
        <v>2051</v>
      </c>
      <c r="R290" t="s">
        <v>2062</v>
      </c>
      <c r="S290" t="s">
        <v>1780</v>
      </c>
      <c r="T290" t="s">
        <v>2065</v>
      </c>
      <c r="U290" t="s">
        <v>2073</v>
      </c>
      <c r="V290" t="s">
        <v>155</v>
      </c>
      <c r="W290">
        <v>933.92</v>
      </c>
      <c r="X290" t="s">
        <v>2087</v>
      </c>
      <c r="Y290" t="s">
        <v>2092</v>
      </c>
      <c r="AA290" t="s">
        <v>2394</v>
      </c>
      <c r="AB290" t="s">
        <v>1783</v>
      </c>
      <c r="AC290" t="s">
        <v>2976</v>
      </c>
      <c r="AD290">
        <v>240</v>
      </c>
      <c r="AE290" t="s">
        <v>3223</v>
      </c>
      <c r="AF290" t="s">
        <v>1783</v>
      </c>
      <c r="AG290">
        <v>12</v>
      </c>
      <c r="AH290">
        <v>1</v>
      </c>
      <c r="AI290">
        <v>0</v>
      </c>
      <c r="AJ290">
        <v>107.8</v>
      </c>
      <c r="AM290" t="s">
        <v>3248</v>
      </c>
      <c r="AN290">
        <v>13464</v>
      </c>
      <c r="AP290" t="s">
        <v>3284</v>
      </c>
      <c r="AQ290" t="s">
        <v>3288</v>
      </c>
      <c r="AR290" t="s">
        <v>3294</v>
      </c>
      <c r="AS290" t="s">
        <v>3312</v>
      </c>
    </row>
    <row r="291" spans="1:45">
      <c r="A291" s="1">
        <f>HYPERLINK("https://lsnyc.legalserver.org/matter/dynamic-profile/view/1907071","19-1907071")</f>
        <v>0</v>
      </c>
      <c r="B291" t="s">
        <v>73</v>
      </c>
      <c r="C291" t="s">
        <v>163</v>
      </c>
      <c r="E291" t="s">
        <v>484</v>
      </c>
      <c r="F291" t="s">
        <v>912</v>
      </c>
      <c r="G291" t="s">
        <v>1356</v>
      </c>
      <c r="H291" t="s">
        <v>1673</v>
      </c>
      <c r="I291" t="s">
        <v>1754</v>
      </c>
      <c r="J291">
        <v>10032</v>
      </c>
      <c r="K291" t="s">
        <v>1779</v>
      </c>
      <c r="L291" t="s">
        <v>1781</v>
      </c>
      <c r="M291" t="s">
        <v>1782</v>
      </c>
      <c r="O291" t="s">
        <v>2034</v>
      </c>
      <c r="P291" t="s">
        <v>2054</v>
      </c>
      <c r="R291" t="s">
        <v>2062</v>
      </c>
      <c r="S291" t="s">
        <v>1780</v>
      </c>
      <c r="T291" t="s">
        <v>2065</v>
      </c>
      <c r="V291" t="s">
        <v>163</v>
      </c>
      <c r="W291">
        <v>370</v>
      </c>
      <c r="X291" t="s">
        <v>2091</v>
      </c>
      <c r="Y291" t="s">
        <v>2101</v>
      </c>
      <c r="AA291" t="s">
        <v>2395</v>
      </c>
      <c r="AC291" t="s">
        <v>2977</v>
      </c>
      <c r="AD291">
        <v>69</v>
      </c>
      <c r="AE291" t="s">
        <v>3232</v>
      </c>
      <c r="AF291" t="s">
        <v>1783</v>
      </c>
      <c r="AG291">
        <v>9</v>
      </c>
      <c r="AH291">
        <v>3</v>
      </c>
      <c r="AI291">
        <v>0</v>
      </c>
      <c r="AJ291">
        <v>109.7</v>
      </c>
      <c r="AM291" t="s">
        <v>3249</v>
      </c>
      <c r="AN291">
        <v>23400</v>
      </c>
    </row>
    <row r="292" spans="1:45">
      <c r="A292" s="1">
        <f>HYPERLINK("https://lsnyc.legalserver.org/matter/dynamic-profile/view/1910410","19-1910410")</f>
        <v>0</v>
      </c>
      <c r="B292" t="s">
        <v>70</v>
      </c>
      <c r="C292" t="s">
        <v>150</v>
      </c>
      <c r="E292" t="s">
        <v>485</v>
      </c>
      <c r="F292" t="s">
        <v>913</v>
      </c>
      <c r="G292" t="s">
        <v>1357</v>
      </c>
      <c r="H292" t="s">
        <v>1657</v>
      </c>
      <c r="I292" t="s">
        <v>1754</v>
      </c>
      <c r="J292">
        <v>10028</v>
      </c>
      <c r="K292" t="s">
        <v>1779</v>
      </c>
      <c r="L292" t="s">
        <v>1781</v>
      </c>
      <c r="M292" t="s">
        <v>1782</v>
      </c>
      <c r="O292" t="s">
        <v>2038</v>
      </c>
      <c r="P292" t="s">
        <v>2054</v>
      </c>
      <c r="R292" t="s">
        <v>2062</v>
      </c>
      <c r="S292" t="s">
        <v>1780</v>
      </c>
      <c r="T292" t="s">
        <v>2070</v>
      </c>
      <c r="U292" t="s">
        <v>2073</v>
      </c>
      <c r="V292" t="s">
        <v>177</v>
      </c>
      <c r="W292">
        <v>1844.37</v>
      </c>
      <c r="X292" t="s">
        <v>2091</v>
      </c>
      <c r="Y292" t="s">
        <v>2101</v>
      </c>
      <c r="AA292" t="s">
        <v>2396</v>
      </c>
      <c r="AB292" t="s">
        <v>2719</v>
      </c>
      <c r="AC292" t="s">
        <v>2978</v>
      </c>
      <c r="AD292">
        <v>60</v>
      </c>
      <c r="AE292" t="s">
        <v>3232</v>
      </c>
      <c r="AF292" t="s">
        <v>3238</v>
      </c>
      <c r="AG292">
        <v>49</v>
      </c>
      <c r="AH292">
        <v>2</v>
      </c>
      <c r="AI292">
        <v>0</v>
      </c>
      <c r="AJ292">
        <v>109.78</v>
      </c>
      <c r="AM292" t="s">
        <v>3248</v>
      </c>
      <c r="AN292">
        <v>18564</v>
      </c>
    </row>
    <row r="293" spans="1:45">
      <c r="A293" s="1">
        <f>HYPERLINK("https://lsnyc.legalserver.org/matter/dynamic-profile/view/1906058","19-1906058")</f>
        <v>0</v>
      </c>
      <c r="B293" t="s">
        <v>69</v>
      </c>
      <c r="C293" t="s">
        <v>146</v>
      </c>
      <c r="E293" t="s">
        <v>486</v>
      </c>
      <c r="F293" t="s">
        <v>914</v>
      </c>
      <c r="G293" t="s">
        <v>1358</v>
      </c>
      <c r="H293" t="s">
        <v>1674</v>
      </c>
      <c r="I293" t="s">
        <v>1749</v>
      </c>
      <c r="J293">
        <v>11233</v>
      </c>
      <c r="K293" t="s">
        <v>1779</v>
      </c>
      <c r="L293" t="s">
        <v>1781</v>
      </c>
      <c r="M293" t="s">
        <v>1782</v>
      </c>
      <c r="N293" t="s">
        <v>1926</v>
      </c>
      <c r="O293" t="s">
        <v>2030</v>
      </c>
      <c r="P293" t="s">
        <v>2051</v>
      </c>
      <c r="R293" t="s">
        <v>2062</v>
      </c>
      <c r="S293" t="s">
        <v>1780</v>
      </c>
      <c r="T293" t="s">
        <v>2065</v>
      </c>
      <c r="U293" t="s">
        <v>2075</v>
      </c>
      <c r="V293" t="s">
        <v>161</v>
      </c>
      <c r="W293">
        <v>1100.06</v>
      </c>
      <c r="X293" t="s">
        <v>2088</v>
      </c>
      <c r="Y293" t="s">
        <v>2098</v>
      </c>
      <c r="AA293" t="s">
        <v>2397</v>
      </c>
      <c r="AB293" t="s">
        <v>2704</v>
      </c>
      <c r="AC293" t="s">
        <v>2979</v>
      </c>
      <c r="AD293">
        <v>43</v>
      </c>
      <c r="AE293" t="s">
        <v>3223</v>
      </c>
      <c r="AF293" t="s">
        <v>1783</v>
      </c>
      <c r="AG293">
        <v>45</v>
      </c>
      <c r="AH293">
        <v>3</v>
      </c>
      <c r="AI293">
        <v>0</v>
      </c>
      <c r="AJ293">
        <v>110.15</v>
      </c>
      <c r="AM293" t="s">
        <v>3248</v>
      </c>
      <c r="AN293">
        <v>23496</v>
      </c>
    </row>
    <row r="294" spans="1:45">
      <c r="A294" s="1">
        <f>HYPERLINK("https://lsnyc.legalserver.org/matter/dynamic-profile/view/1907974","19-1907974")</f>
        <v>0</v>
      </c>
      <c r="B294" t="s">
        <v>72</v>
      </c>
      <c r="C294" t="s">
        <v>155</v>
      </c>
      <c r="E294" t="s">
        <v>258</v>
      </c>
      <c r="F294" t="s">
        <v>775</v>
      </c>
      <c r="G294" t="s">
        <v>1296</v>
      </c>
      <c r="H294" t="s">
        <v>1635</v>
      </c>
      <c r="I294" t="s">
        <v>1761</v>
      </c>
      <c r="J294">
        <v>11377</v>
      </c>
      <c r="K294" t="s">
        <v>1779</v>
      </c>
      <c r="L294" t="s">
        <v>1781</v>
      </c>
      <c r="M294" t="s">
        <v>1782</v>
      </c>
      <c r="N294" t="s">
        <v>1888</v>
      </c>
      <c r="O294" t="s">
        <v>2032</v>
      </c>
      <c r="P294" t="s">
        <v>2053</v>
      </c>
      <c r="R294" t="s">
        <v>2062</v>
      </c>
      <c r="S294" t="s">
        <v>1779</v>
      </c>
      <c r="T294" t="s">
        <v>2065</v>
      </c>
      <c r="V294" t="s">
        <v>155</v>
      </c>
      <c r="W294">
        <v>1450</v>
      </c>
      <c r="X294" t="s">
        <v>2087</v>
      </c>
      <c r="Y294" t="s">
        <v>2100</v>
      </c>
      <c r="AA294" t="s">
        <v>2398</v>
      </c>
      <c r="AC294" t="s">
        <v>2980</v>
      </c>
      <c r="AD294">
        <v>66</v>
      </c>
      <c r="AE294" t="s">
        <v>3223</v>
      </c>
      <c r="AF294" t="s">
        <v>1783</v>
      </c>
      <c r="AG294">
        <v>10</v>
      </c>
      <c r="AH294">
        <v>2</v>
      </c>
      <c r="AI294">
        <v>1</v>
      </c>
      <c r="AJ294">
        <v>110.17</v>
      </c>
      <c r="AM294" t="s">
        <v>3249</v>
      </c>
      <c r="AN294">
        <v>23500</v>
      </c>
    </row>
    <row r="295" spans="1:45">
      <c r="A295" s="1">
        <f>HYPERLINK("https://lsnyc.legalserver.org/matter/dynamic-profile/view/1904599","19-1904599")</f>
        <v>0</v>
      </c>
      <c r="B295" t="s">
        <v>67</v>
      </c>
      <c r="C295" t="s">
        <v>169</v>
      </c>
      <c r="E295" t="s">
        <v>398</v>
      </c>
      <c r="F295" t="s">
        <v>915</v>
      </c>
      <c r="G295" t="s">
        <v>1149</v>
      </c>
      <c r="H295">
        <v>1</v>
      </c>
      <c r="I295" t="s">
        <v>1754</v>
      </c>
      <c r="J295">
        <v>10034</v>
      </c>
      <c r="K295" t="s">
        <v>1779</v>
      </c>
      <c r="L295" t="s">
        <v>1781</v>
      </c>
      <c r="M295" t="s">
        <v>1782</v>
      </c>
      <c r="P295" t="s">
        <v>2052</v>
      </c>
      <c r="R295" t="s">
        <v>2062</v>
      </c>
      <c r="S295" t="s">
        <v>1779</v>
      </c>
      <c r="T295" t="s">
        <v>2065</v>
      </c>
      <c r="V295" t="s">
        <v>169</v>
      </c>
      <c r="W295">
        <v>868.24</v>
      </c>
      <c r="X295" t="s">
        <v>2091</v>
      </c>
      <c r="Y295" t="s">
        <v>2099</v>
      </c>
      <c r="AA295" t="s">
        <v>2399</v>
      </c>
      <c r="AC295" t="s">
        <v>2981</v>
      </c>
      <c r="AD295">
        <v>25</v>
      </c>
      <c r="AE295" t="s">
        <v>3223</v>
      </c>
      <c r="AG295">
        <v>34</v>
      </c>
      <c r="AH295">
        <v>2</v>
      </c>
      <c r="AI295">
        <v>0</v>
      </c>
      <c r="AJ295">
        <v>110.85</v>
      </c>
      <c r="AM295" t="s">
        <v>3248</v>
      </c>
      <c r="AN295">
        <v>18744</v>
      </c>
    </row>
    <row r="296" spans="1:45">
      <c r="A296" s="1">
        <f>HYPERLINK("https://lsnyc.legalserver.org/matter/dynamic-profile/view/1904281","19-1904281")</f>
        <v>0</v>
      </c>
      <c r="B296" t="s">
        <v>119</v>
      </c>
      <c r="C296" t="s">
        <v>135</v>
      </c>
      <c r="E296" t="s">
        <v>253</v>
      </c>
      <c r="F296" t="s">
        <v>916</v>
      </c>
      <c r="G296" t="s">
        <v>1359</v>
      </c>
      <c r="H296" t="s">
        <v>1592</v>
      </c>
      <c r="I296" t="s">
        <v>1749</v>
      </c>
      <c r="J296">
        <v>11212</v>
      </c>
      <c r="K296" t="s">
        <v>1779</v>
      </c>
      <c r="L296" t="s">
        <v>1781</v>
      </c>
      <c r="M296" t="s">
        <v>1784</v>
      </c>
      <c r="N296" t="s">
        <v>1927</v>
      </c>
      <c r="O296" t="s">
        <v>2029</v>
      </c>
      <c r="P296" t="s">
        <v>2055</v>
      </c>
      <c r="R296" t="s">
        <v>2062</v>
      </c>
      <c r="S296" t="s">
        <v>1780</v>
      </c>
      <c r="T296" t="s">
        <v>2065</v>
      </c>
      <c r="U296" t="s">
        <v>2073</v>
      </c>
      <c r="V296" t="s">
        <v>246</v>
      </c>
      <c r="W296">
        <v>1800</v>
      </c>
      <c r="X296" t="s">
        <v>2088</v>
      </c>
      <c r="Y296" t="s">
        <v>2107</v>
      </c>
      <c r="AA296" t="s">
        <v>2400</v>
      </c>
      <c r="AB296" t="s">
        <v>2720</v>
      </c>
      <c r="AC296" t="s">
        <v>2982</v>
      </c>
      <c r="AD296">
        <v>4</v>
      </c>
      <c r="AE296" t="s">
        <v>3222</v>
      </c>
      <c r="AF296" t="s">
        <v>3241</v>
      </c>
      <c r="AG296">
        <v>4</v>
      </c>
      <c r="AH296">
        <v>4</v>
      </c>
      <c r="AI296">
        <v>0</v>
      </c>
      <c r="AJ296">
        <v>111.01</v>
      </c>
      <c r="AM296" t="s">
        <v>3248</v>
      </c>
      <c r="AN296">
        <v>28584</v>
      </c>
    </row>
    <row r="297" spans="1:45">
      <c r="A297" s="1">
        <f>HYPERLINK("https://lsnyc.legalserver.org/matter/dynamic-profile/view/1903768","19-1903768")</f>
        <v>0</v>
      </c>
      <c r="B297" t="s">
        <v>120</v>
      </c>
      <c r="C297" t="s">
        <v>213</v>
      </c>
      <c r="E297" t="s">
        <v>487</v>
      </c>
      <c r="F297" t="s">
        <v>797</v>
      </c>
      <c r="G297" t="s">
        <v>1360</v>
      </c>
      <c r="H297" t="s">
        <v>1548</v>
      </c>
      <c r="I297" t="s">
        <v>1749</v>
      </c>
      <c r="J297">
        <v>11207</v>
      </c>
      <c r="K297" t="s">
        <v>1779</v>
      </c>
      <c r="L297" t="s">
        <v>1781</v>
      </c>
      <c r="M297" t="s">
        <v>1784</v>
      </c>
      <c r="N297" t="s">
        <v>1793</v>
      </c>
      <c r="O297" t="s">
        <v>1793</v>
      </c>
      <c r="P297" t="s">
        <v>2055</v>
      </c>
      <c r="R297" t="s">
        <v>2062</v>
      </c>
      <c r="S297" t="s">
        <v>1780</v>
      </c>
      <c r="T297" t="s">
        <v>2065</v>
      </c>
      <c r="U297" t="s">
        <v>2073</v>
      </c>
      <c r="V297" t="s">
        <v>213</v>
      </c>
      <c r="W297">
        <v>1515</v>
      </c>
      <c r="X297" t="s">
        <v>2088</v>
      </c>
      <c r="Y297" t="s">
        <v>2101</v>
      </c>
      <c r="AA297" t="s">
        <v>2401</v>
      </c>
      <c r="AB297" t="s">
        <v>2721</v>
      </c>
      <c r="AC297" t="s">
        <v>2983</v>
      </c>
      <c r="AD297">
        <v>4</v>
      </c>
      <c r="AE297" t="s">
        <v>3222</v>
      </c>
      <c r="AF297" t="s">
        <v>3243</v>
      </c>
      <c r="AG297">
        <v>1</v>
      </c>
      <c r="AH297">
        <v>1</v>
      </c>
      <c r="AI297">
        <v>2</v>
      </c>
      <c r="AJ297">
        <v>112.52</v>
      </c>
      <c r="AM297" t="s">
        <v>3248</v>
      </c>
      <c r="AN297">
        <v>24000</v>
      </c>
    </row>
    <row r="298" spans="1:45">
      <c r="A298" s="1">
        <f>HYPERLINK("https://lsnyc.legalserver.org/matter/dynamic-profile/view/1908544","19-1908544")</f>
        <v>0</v>
      </c>
      <c r="B298" t="s">
        <v>83</v>
      </c>
      <c r="C298" t="s">
        <v>201</v>
      </c>
      <c r="E298" t="s">
        <v>462</v>
      </c>
      <c r="F298" t="s">
        <v>917</v>
      </c>
      <c r="G298" t="s">
        <v>1361</v>
      </c>
      <c r="H298" t="s">
        <v>1661</v>
      </c>
      <c r="I298" t="s">
        <v>1754</v>
      </c>
      <c r="J298">
        <v>10027</v>
      </c>
      <c r="K298" t="s">
        <v>1779</v>
      </c>
      <c r="L298" t="s">
        <v>1781</v>
      </c>
      <c r="M298" t="s">
        <v>1782</v>
      </c>
      <c r="O298" t="s">
        <v>1793</v>
      </c>
      <c r="P298" t="s">
        <v>2050</v>
      </c>
      <c r="R298" t="s">
        <v>2062</v>
      </c>
      <c r="S298" t="s">
        <v>1780</v>
      </c>
      <c r="T298" t="s">
        <v>2065</v>
      </c>
      <c r="V298" t="s">
        <v>201</v>
      </c>
      <c r="W298">
        <v>433.33</v>
      </c>
      <c r="X298" t="s">
        <v>2091</v>
      </c>
      <c r="Y298" t="s">
        <v>2100</v>
      </c>
      <c r="AA298" t="s">
        <v>2402</v>
      </c>
      <c r="AC298" t="s">
        <v>2984</v>
      </c>
      <c r="AD298">
        <v>23</v>
      </c>
      <c r="AE298" t="s">
        <v>3223</v>
      </c>
      <c r="AF298" t="s">
        <v>1783</v>
      </c>
      <c r="AG298">
        <v>0</v>
      </c>
      <c r="AH298">
        <v>1</v>
      </c>
      <c r="AI298">
        <v>0</v>
      </c>
      <c r="AJ298">
        <v>113.07</v>
      </c>
      <c r="AN298">
        <v>14122.8</v>
      </c>
    </row>
    <row r="299" spans="1:45">
      <c r="A299" s="1">
        <f>HYPERLINK("https://lsnyc.legalserver.org/matter/dynamic-profile/view/1890810","19-1890810")</f>
        <v>0</v>
      </c>
      <c r="B299" t="s">
        <v>60</v>
      </c>
      <c r="C299" t="s">
        <v>220</v>
      </c>
      <c r="E299" t="s">
        <v>488</v>
      </c>
      <c r="F299" t="s">
        <v>918</v>
      </c>
      <c r="G299" t="s">
        <v>1362</v>
      </c>
      <c r="H299" t="s">
        <v>1675</v>
      </c>
      <c r="I299" t="s">
        <v>1749</v>
      </c>
      <c r="J299">
        <v>11235</v>
      </c>
      <c r="K299" t="s">
        <v>1779</v>
      </c>
      <c r="L299" t="s">
        <v>1779</v>
      </c>
      <c r="M299" t="s">
        <v>1782</v>
      </c>
      <c r="O299" t="s">
        <v>2035</v>
      </c>
      <c r="P299" t="s">
        <v>2054</v>
      </c>
      <c r="R299" t="s">
        <v>2062</v>
      </c>
      <c r="S299" t="s">
        <v>1780</v>
      </c>
      <c r="T299" t="s">
        <v>2065</v>
      </c>
      <c r="V299" t="s">
        <v>162</v>
      </c>
      <c r="W299">
        <v>930</v>
      </c>
      <c r="X299" t="s">
        <v>2088</v>
      </c>
      <c r="AA299" t="s">
        <v>2403</v>
      </c>
      <c r="AC299" t="s">
        <v>2985</v>
      </c>
      <c r="AD299">
        <v>144</v>
      </c>
      <c r="AG299">
        <v>0</v>
      </c>
      <c r="AH299">
        <v>2</v>
      </c>
      <c r="AI299">
        <v>0</v>
      </c>
      <c r="AJ299">
        <v>113.54</v>
      </c>
      <c r="AM299" t="s">
        <v>3248</v>
      </c>
      <c r="AN299">
        <v>19200</v>
      </c>
      <c r="AO299" t="s">
        <v>3273</v>
      </c>
    </row>
    <row r="300" spans="1:45">
      <c r="A300" s="1">
        <f>HYPERLINK("https://lsnyc.legalserver.org/matter/dynamic-profile/view/1904720","19-1904720")</f>
        <v>0</v>
      </c>
      <c r="B300" t="s">
        <v>74</v>
      </c>
      <c r="C300" t="s">
        <v>162</v>
      </c>
      <c r="D300" t="s">
        <v>221</v>
      </c>
      <c r="E300" t="s">
        <v>269</v>
      </c>
      <c r="F300" t="s">
        <v>863</v>
      </c>
      <c r="G300" t="s">
        <v>1179</v>
      </c>
      <c r="H300" t="s">
        <v>1676</v>
      </c>
      <c r="I300" t="s">
        <v>1745</v>
      </c>
      <c r="J300">
        <v>11691</v>
      </c>
      <c r="K300" t="s">
        <v>1779</v>
      </c>
      <c r="L300" t="s">
        <v>1781</v>
      </c>
      <c r="M300" t="s">
        <v>1784</v>
      </c>
      <c r="N300" t="s">
        <v>1928</v>
      </c>
      <c r="O300" t="s">
        <v>2030</v>
      </c>
      <c r="P300" t="s">
        <v>2051</v>
      </c>
      <c r="Q300" t="s">
        <v>2058</v>
      </c>
      <c r="R300" t="s">
        <v>2062</v>
      </c>
      <c r="S300" t="s">
        <v>1780</v>
      </c>
      <c r="T300" t="s">
        <v>2065</v>
      </c>
      <c r="U300" t="s">
        <v>2076</v>
      </c>
      <c r="V300" t="s">
        <v>162</v>
      </c>
      <c r="W300">
        <v>327</v>
      </c>
      <c r="X300" t="s">
        <v>2087</v>
      </c>
      <c r="Y300" t="s">
        <v>2101</v>
      </c>
      <c r="Z300" t="s">
        <v>2111</v>
      </c>
      <c r="AA300" t="s">
        <v>2404</v>
      </c>
      <c r="AB300" t="s">
        <v>2722</v>
      </c>
      <c r="AC300" t="s">
        <v>2986</v>
      </c>
      <c r="AD300">
        <v>462</v>
      </c>
      <c r="AE300" t="s">
        <v>3227</v>
      </c>
      <c r="AF300" t="s">
        <v>1783</v>
      </c>
      <c r="AG300">
        <v>20</v>
      </c>
      <c r="AH300">
        <v>1</v>
      </c>
      <c r="AI300">
        <v>0</v>
      </c>
      <c r="AJ300">
        <v>114.24</v>
      </c>
      <c r="AM300" t="s">
        <v>3248</v>
      </c>
      <c r="AN300">
        <v>14268</v>
      </c>
      <c r="AP300" t="s">
        <v>3287</v>
      </c>
      <c r="AQ300" t="s">
        <v>3288</v>
      </c>
      <c r="AR300" t="s">
        <v>3294</v>
      </c>
      <c r="AS300" t="s">
        <v>3313</v>
      </c>
    </row>
    <row r="301" spans="1:45">
      <c r="A301" s="1">
        <f>HYPERLINK("https://lsnyc.legalserver.org/matter/dynamic-profile/view/1908397","19-1908397")</f>
        <v>0</v>
      </c>
      <c r="B301" t="s">
        <v>96</v>
      </c>
      <c r="C301" t="s">
        <v>195</v>
      </c>
      <c r="E301" t="s">
        <v>398</v>
      </c>
      <c r="F301" t="s">
        <v>919</v>
      </c>
      <c r="G301" t="s">
        <v>1363</v>
      </c>
      <c r="H301" t="s">
        <v>1556</v>
      </c>
      <c r="I301" t="s">
        <v>1749</v>
      </c>
      <c r="J301">
        <v>11217</v>
      </c>
      <c r="K301" t="s">
        <v>1779</v>
      </c>
      <c r="L301" t="s">
        <v>1781</v>
      </c>
      <c r="P301" t="s">
        <v>2054</v>
      </c>
      <c r="R301" t="s">
        <v>2062</v>
      </c>
      <c r="T301" t="s">
        <v>2065</v>
      </c>
      <c r="V301" t="s">
        <v>195</v>
      </c>
      <c r="W301">
        <v>0</v>
      </c>
      <c r="X301" t="s">
        <v>2088</v>
      </c>
      <c r="AA301" t="s">
        <v>2405</v>
      </c>
      <c r="AC301" t="s">
        <v>2987</v>
      </c>
      <c r="AD301">
        <v>8</v>
      </c>
      <c r="AG301">
        <v>0</v>
      </c>
      <c r="AH301">
        <v>1</v>
      </c>
      <c r="AI301">
        <v>0</v>
      </c>
      <c r="AJ301">
        <v>114.49</v>
      </c>
      <c r="AM301" t="s">
        <v>3248</v>
      </c>
      <c r="AN301">
        <v>14300</v>
      </c>
    </row>
    <row r="302" spans="1:45">
      <c r="A302" s="1">
        <f>HYPERLINK("https://lsnyc.legalserver.org/matter/dynamic-profile/view/1906222","19-1906222")</f>
        <v>0</v>
      </c>
      <c r="B302" t="s">
        <v>67</v>
      </c>
      <c r="C302" t="s">
        <v>140</v>
      </c>
      <c r="E302" t="s">
        <v>489</v>
      </c>
      <c r="F302" t="s">
        <v>920</v>
      </c>
      <c r="G302" t="s">
        <v>1364</v>
      </c>
      <c r="H302" t="s">
        <v>1677</v>
      </c>
      <c r="I302" t="s">
        <v>1754</v>
      </c>
      <c r="J302">
        <v>10040</v>
      </c>
      <c r="K302" t="s">
        <v>1779</v>
      </c>
      <c r="L302" t="s">
        <v>1781</v>
      </c>
      <c r="M302" t="s">
        <v>1782</v>
      </c>
      <c r="P302" t="s">
        <v>2052</v>
      </c>
      <c r="R302" t="s">
        <v>2062</v>
      </c>
      <c r="S302" t="s">
        <v>1780</v>
      </c>
      <c r="T302" t="s">
        <v>2065</v>
      </c>
      <c r="V302" t="s">
        <v>140</v>
      </c>
      <c r="W302">
        <v>1197</v>
      </c>
      <c r="X302" t="s">
        <v>2091</v>
      </c>
      <c r="Y302" t="s">
        <v>2099</v>
      </c>
      <c r="AA302" t="s">
        <v>2406</v>
      </c>
      <c r="AC302" t="s">
        <v>2988</v>
      </c>
      <c r="AD302">
        <v>73</v>
      </c>
      <c r="AE302" t="s">
        <v>3223</v>
      </c>
      <c r="AF302" t="s">
        <v>1783</v>
      </c>
      <c r="AG302">
        <v>40</v>
      </c>
      <c r="AH302">
        <v>1</v>
      </c>
      <c r="AI302">
        <v>0</v>
      </c>
      <c r="AJ302">
        <v>115.29</v>
      </c>
      <c r="AM302" t="s">
        <v>3248</v>
      </c>
      <c r="AN302">
        <v>14400</v>
      </c>
    </row>
    <row r="303" spans="1:45">
      <c r="A303" s="1">
        <f>HYPERLINK("https://lsnyc.legalserver.org/matter/dynamic-profile/view/1904621","19-1904621")</f>
        <v>0</v>
      </c>
      <c r="B303" t="s">
        <v>97</v>
      </c>
      <c r="C303" t="s">
        <v>162</v>
      </c>
      <c r="E303" t="s">
        <v>490</v>
      </c>
      <c r="F303" t="s">
        <v>921</v>
      </c>
      <c r="G303" t="s">
        <v>1365</v>
      </c>
      <c r="H303" t="s">
        <v>1678</v>
      </c>
      <c r="I303" t="s">
        <v>1754</v>
      </c>
      <c r="J303">
        <v>10033</v>
      </c>
      <c r="K303" t="s">
        <v>1779</v>
      </c>
      <c r="L303" t="s">
        <v>1781</v>
      </c>
      <c r="M303" t="s">
        <v>1782</v>
      </c>
      <c r="N303" t="s">
        <v>1929</v>
      </c>
      <c r="O303" t="s">
        <v>2030</v>
      </c>
      <c r="P303" t="s">
        <v>2052</v>
      </c>
      <c r="R303" t="s">
        <v>2062</v>
      </c>
      <c r="S303" t="s">
        <v>1780</v>
      </c>
      <c r="T303" t="s">
        <v>2065</v>
      </c>
      <c r="V303" t="s">
        <v>162</v>
      </c>
      <c r="W303">
        <v>868.62</v>
      </c>
      <c r="X303" t="s">
        <v>2091</v>
      </c>
      <c r="Y303" t="s">
        <v>2092</v>
      </c>
      <c r="AA303" t="s">
        <v>2407</v>
      </c>
      <c r="AC303" t="s">
        <v>2989</v>
      </c>
      <c r="AD303">
        <v>39</v>
      </c>
      <c r="AE303" t="s">
        <v>3223</v>
      </c>
      <c r="AF303" t="s">
        <v>1783</v>
      </c>
      <c r="AG303">
        <v>46</v>
      </c>
      <c r="AH303">
        <v>2</v>
      </c>
      <c r="AI303">
        <v>3</v>
      </c>
      <c r="AJ303">
        <v>116.01</v>
      </c>
      <c r="AM303" t="s">
        <v>3248</v>
      </c>
      <c r="AN303">
        <v>35000</v>
      </c>
    </row>
    <row r="304" spans="1:45">
      <c r="A304" s="1">
        <f>HYPERLINK("https://lsnyc.legalserver.org/matter/dynamic-profile/view/1906962","19-1906962")</f>
        <v>0</v>
      </c>
      <c r="B304" t="s">
        <v>50</v>
      </c>
      <c r="C304" t="s">
        <v>152</v>
      </c>
      <c r="E304" t="s">
        <v>451</v>
      </c>
      <c r="F304" t="s">
        <v>803</v>
      </c>
      <c r="G304" t="s">
        <v>1366</v>
      </c>
      <c r="I304" t="s">
        <v>1749</v>
      </c>
      <c r="J304">
        <v>11208</v>
      </c>
      <c r="K304" t="s">
        <v>1779</v>
      </c>
      <c r="L304" t="s">
        <v>1781</v>
      </c>
      <c r="M304" t="s">
        <v>1782</v>
      </c>
      <c r="O304" t="s">
        <v>2046</v>
      </c>
      <c r="P304" t="s">
        <v>2053</v>
      </c>
      <c r="R304" t="s">
        <v>2062</v>
      </c>
      <c r="S304" t="s">
        <v>1780</v>
      </c>
      <c r="T304" t="s">
        <v>2065</v>
      </c>
      <c r="V304" t="s">
        <v>152</v>
      </c>
      <c r="W304">
        <v>0</v>
      </c>
      <c r="X304" t="s">
        <v>2088</v>
      </c>
      <c r="AA304" t="s">
        <v>2408</v>
      </c>
      <c r="AC304" t="s">
        <v>2990</v>
      </c>
      <c r="AD304">
        <v>4</v>
      </c>
      <c r="AG304">
        <v>0</v>
      </c>
      <c r="AH304">
        <v>1</v>
      </c>
      <c r="AI304">
        <v>0</v>
      </c>
      <c r="AJ304">
        <v>116.54</v>
      </c>
      <c r="AM304" t="s">
        <v>3249</v>
      </c>
      <c r="AN304">
        <v>14556</v>
      </c>
    </row>
    <row r="305" spans="1:45">
      <c r="A305" s="1">
        <f>HYPERLINK("https://lsnyc.legalserver.org/matter/dynamic-profile/view/1904900","19-1904900")</f>
        <v>0</v>
      </c>
      <c r="B305" t="s">
        <v>95</v>
      </c>
      <c r="C305" t="s">
        <v>184</v>
      </c>
      <c r="E305" t="s">
        <v>253</v>
      </c>
      <c r="F305" t="s">
        <v>922</v>
      </c>
      <c r="G305" t="s">
        <v>1367</v>
      </c>
      <c r="H305">
        <v>1</v>
      </c>
      <c r="I305" t="s">
        <v>1753</v>
      </c>
      <c r="J305">
        <v>10301</v>
      </c>
      <c r="K305" t="s">
        <v>1779</v>
      </c>
      <c r="L305" t="s">
        <v>1781</v>
      </c>
      <c r="M305" t="s">
        <v>1782</v>
      </c>
      <c r="N305" t="s">
        <v>1930</v>
      </c>
      <c r="O305" t="s">
        <v>2030</v>
      </c>
      <c r="P305" t="s">
        <v>2051</v>
      </c>
      <c r="R305" t="s">
        <v>2062</v>
      </c>
      <c r="S305" t="s">
        <v>1780</v>
      </c>
      <c r="T305" t="s">
        <v>2065</v>
      </c>
      <c r="U305" t="s">
        <v>2073</v>
      </c>
      <c r="V305" t="s">
        <v>184</v>
      </c>
      <c r="W305">
        <v>355</v>
      </c>
      <c r="X305" t="s">
        <v>2090</v>
      </c>
      <c r="Y305" t="s">
        <v>2102</v>
      </c>
      <c r="AA305" t="s">
        <v>2409</v>
      </c>
      <c r="AC305" t="s">
        <v>2991</v>
      </c>
      <c r="AD305">
        <v>10</v>
      </c>
      <c r="AE305" t="s">
        <v>3222</v>
      </c>
      <c r="AF305" t="s">
        <v>3240</v>
      </c>
      <c r="AG305">
        <v>2</v>
      </c>
      <c r="AH305">
        <v>1</v>
      </c>
      <c r="AI305">
        <v>0</v>
      </c>
      <c r="AJ305">
        <v>116.83</v>
      </c>
      <c r="AM305" t="s">
        <v>3248</v>
      </c>
      <c r="AN305">
        <v>14592</v>
      </c>
    </row>
    <row r="306" spans="1:45">
      <c r="A306" s="1">
        <f>HYPERLINK("https://lsnyc.legalserver.org/matter/dynamic-profile/view/1907939","19-1907939")</f>
        <v>0</v>
      </c>
      <c r="B306" t="s">
        <v>48</v>
      </c>
      <c r="C306" t="s">
        <v>155</v>
      </c>
      <c r="E306" t="s">
        <v>491</v>
      </c>
      <c r="F306" t="s">
        <v>923</v>
      </c>
      <c r="G306" t="s">
        <v>1368</v>
      </c>
      <c r="H306" t="s">
        <v>1644</v>
      </c>
      <c r="I306" t="s">
        <v>1746</v>
      </c>
      <c r="J306">
        <v>11432</v>
      </c>
      <c r="K306" t="s">
        <v>1779</v>
      </c>
      <c r="L306" t="s">
        <v>1781</v>
      </c>
      <c r="M306" t="s">
        <v>1782</v>
      </c>
      <c r="N306" t="s">
        <v>1931</v>
      </c>
      <c r="O306" t="s">
        <v>2030</v>
      </c>
      <c r="P306" t="s">
        <v>2050</v>
      </c>
      <c r="R306" t="s">
        <v>2062</v>
      </c>
      <c r="S306" t="s">
        <v>1780</v>
      </c>
      <c r="T306" t="s">
        <v>2065</v>
      </c>
      <c r="U306" t="s">
        <v>2073</v>
      </c>
      <c r="V306" t="s">
        <v>155</v>
      </c>
      <c r="W306">
        <v>1425</v>
      </c>
      <c r="X306" t="s">
        <v>2087</v>
      </c>
      <c r="Y306" t="s">
        <v>2092</v>
      </c>
      <c r="AA306" t="s">
        <v>2410</v>
      </c>
      <c r="AC306" t="s">
        <v>2992</v>
      </c>
      <c r="AD306">
        <v>102</v>
      </c>
      <c r="AE306" t="s">
        <v>3223</v>
      </c>
      <c r="AF306" t="s">
        <v>1783</v>
      </c>
      <c r="AG306">
        <v>3</v>
      </c>
      <c r="AH306">
        <v>2</v>
      </c>
      <c r="AI306">
        <v>1</v>
      </c>
      <c r="AJ306">
        <v>117.21</v>
      </c>
      <c r="AM306" t="s">
        <v>3251</v>
      </c>
      <c r="AN306">
        <v>25000</v>
      </c>
    </row>
    <row r="307" spans="1:45">
      <c r="A307" s="1">
        <f>HYPERLINK("https://lsnyc.legalserver.org/matter/dynamic-profile/view/1907122","19-1907122")</f>
        <v>0</v>
      </c>
      <c r="B307" t="s">
        <v>74</v>
      </c>
      <c r="C307" t="s">
        <v>221</v>
      </c>
      <c r="E307" t="s">
        <v>492</v>
      </c>
      <c r="F307" t="s">
        <v>924</v>
      </c>
      <c r="G307" t="s">
        <v>1369</v>
      </c>
      <c r="H307" t="s">
        <v>1551</v>
      </c>
      <c r="I307" t="s">
        <v>1751</v>
      </c>
      <c r="J307">
        <v>11103</v>
      </c>
      <c r="K307" t="s">
        <v>1779</v>
      </c>
      <c r="L307" t="s">
        <v>1781</v>
      </c>
      <c r="M307" t="s">
        <v>1782</v>
      </c>
      <c r="N307" t="s">
        <v>1932</v>
      </c>
      <c r="O307" t="s">
        <v>2032</v>
      </c>
      <c r="P307" t="s">
        <v>2053</v>
      </c>
      <c r="R307" t="s">
        <v>2062</v>
      </c>
      <c r="S307" t="s">
        <v>1780</v>
      </c>
      <c r="T307" t="s">
        <v>2065</v>
      </c>
      <c r="U307" t="s">
        <v>2073</v>
      </c>
      <c r="V307" t="s">
        <v>221</v>
      </c>
      <c r="W307">
        <v>1400</v>
      </c>
      <c r="X307" t="s">
        <v>2087</v>
      </c>
      <c r="Y307" t="s">
        <v>2108</v>
      </c>
      <c r="AA307" t="s">
        <v>2411</v>
      </c>
      <c r="AC307" t="s">
        <v>2993</v>
      </c>
      <c r="AD307">
        <v>4</v>
      </c>
      <c r="AE307" t="s">
        <v>3223</v>
      </c>
      <c r="AF307" t="s">
        <v>1783</v>
      </c>
      <c r="AG307">
        <v>9</v>
      </c>
      <c r="AH307">
        <v>2</v>
      </c>
      <c r="AI307">
        <v>1</v>
      </c>
      <c r="AJ307">
        <v>117.21</v>
      </c>
      <c r="AM307" t="s">
        <v>3248</v>
      </c>
      <c r="AN307">
        <v>25000</v>
      </c>
    </row>
    <row r="308" spans="1:45">
      <c r="A308" s="1">
        <f>HYPERLINK("https://lsnyc.legalserver.org/matter/dynamic-profile/view/1908890","19-1908890")</f>
        <v>0</v>
      </c>
      <c r="B308" t="s">
        <v>71</v>
      </c>
      <c r="C308" t="s">
        <v>196</v>
      </c>
      <c r="E308" t="s">
        <v>258</v>
      </c>
      <c r="F308" t="s">
        <v>770</v>
      </c>
      <c r="G308" t="s">
        <v>1370</v>
      </c>
      <c r="H308" t="s">
        <v>1554</v>
      </c>
      <c r="I308" t="s">
        <v>1754</v>
      </c>
      <c r="J308">
        <v>10035</v>
      </c>
      <c r="K308" t="s">
        <v>1779</v>
      </c>
      <c r="L308" t="s">
        <v>1781</v>
      </c>
      <c r="M308" t="s">
        <v>1782</v>
      </c>
      <c r="O308" t="s">
        <v>1793</v>
      </c>
      <c r="P308" t="s">
        <v>2055</v>
      </c>
      <c r="R308" t="s">
        <v>2062</v>
      </c>
      <c r="S308" t="s">
        <v>1779</v>
      </c>
      <c r="T308" t="s">
        <v>2065</v>
      </c>
      <c r="U308" t="s">
        <v>2073</v>
      </c>
      <c r="V308" t="s">
        <v>196</v>
      </c>
      <c r="W308">
        <v>1025.77</v>
      </c>
      <c r="X308" t="s">
        <v>2091</v>
      </c>
      <c r="Y308" t="s">
        <v>2096</v>
      </c>
      <c r="AA308" t="s">
        <v>2412</v>
      </c>
      <c r="AC308" t="s">
        <v>2994</v>
      </c>
      <c r="AD308">
        <v>60</v>
      </c>
      <c r="AE308" t="s">
        <v>3223</v>
      </c>
      <c r="AF308" t="s">
        <v>3236</v>
      </c>
      <c r="AG308">
        <v>10</v>
      </c>
      <c r="AH308">
        <v>2</v>
      </c>
      <c r="AI308">
        <v>0</v>
      </c>
      <c r="AJ308">
        <v>118.23</v>
      </c>
      <c r="AM308" t="s">
        <v>3248</v>
      </c>
      <c r="AN308">
        <v>19992</v>
      </c>
    </row>
    <row r="309" spans="1:45">
      <c r="A309" s="1">
        <f>HYPERLINK("https://lsnyc.legalserver.org/matter/dynamic-profile/view/1907356","19-1907356")</f>
        <v>0</v>
      </c>
      <c r="B309" t="s">
        <v>85</v>
      </c>
      <c r="C309" t="s">
        <v>154</v>
      </c>
      <c r="D309" t="s">
        <v>195</v>
      </c>
      <c r="E309" t="s">
        <v>467</v>
      </c>
      <c r="F309" t="s">
        <v>925</v>
      </c>
      <c r="G309" t="s">
        <v>1371</v>
      </c>
      <c r="I309" t="s">
        <v>1753</v>
      </c>
      <c r="J309">
        <v>10301</v>
      </c>
      <c r="K309" t="s">
        <v>1779</v>
      </c>
      <c r="L309" t="s">
        <v>1781</v>
      </c>
      <c r="M309" t="s">
        <v>1782</v>
      </c>
      <c r="N309" t="s">
        <v>1933</v>
      </c>
      <c r="O309" t="s">
        <v>2030</v>
      </c>
      <c r="P309" t="s">
        <v>2055</v>
      </c>
      <c r="Q309" t="s">
        <v>2059</v>
      </c>
      <c r="R309" t="s">
        <v>2062</v>
      </c>
      <c r="S309" t="s">
        <v>1780</v>
      </c>
      <c r="T309" t="s">
        <v>2065</v>
      </c>
      <c r="U309" t="s">
        <v>2076</v>
      </c>
      <c r="V309" t="s">
        <v>154</v>
      </c>
      <c r="W309">
        <v>1975</v>
      </c>
      <c r="X309" t="s">
        <v>2090</v>
      </c>
      <c r="Y309" t="s">
        <v>2109</v>
      </c>
      <c r="Z309" t="s">
        <v>2110</v>
      </c>
      <c r="AA309" t="s">
        <v>2413</v>
      </c>
      <c r="AC309" t="s">
        <v>2995</v>
      </c>
      <c r="AD309">
        <v>1</v>
      </c>
      <c r="AE309" t="s">
        <v>3222</v>
      </c>
      <c r="AF309" t="s">
        <v>1783</v>
      </c>
      <c r="AG309">
        <v>-1</v>
      </c>
      <c r="AH309">
        <v>1</v>
      </c>
      <c r="AI309">
        <v>1</v>
      </c>
      <c r="AJ309">
        <v>118.27</v>
      </c>
      <c r="AM309" t="s">
        <v>3248</v>
      </c>
      <c r="AN309">
        <v>20000</v>
      </c>
    </row>
    <row r="310" spans="1:45">
      <c r="A310" s="1">
        <f>HYPERLINK("https://lsnyc.legalserver.org/matter/dynamic-profile/view/1905334","19-1905334")</f>
        <v>0</v>
      </c>
      <c r="B310" t="s">
        <v>121</v>
      </c>
      <c r="C310" t="s">
        <v>170</v>
      </c>
      <c r="E310" t="s">
        <v>493</v>
      </c>
      <c r="F310" t="s">
        <v>761</v>
      </c>
      <c r="G310" t="s">
        <v>1372</v>
      </c>
      <c r="H310" t="s">
        <v>1573</v>
      </c>
      <c r="I310" t="s">
        <v>1754</v>
      </c>
      <c r="J310">
        <v>10029</v>
      </c>
      <c r="K310" t="s">
        <v>1779</v>
      </c>
      <c r="L310" t="s">
        <v>1781</v>
      </c>
      <c r="M310" t="s">
        <v>1782</v>
      </c>
      <c r="P310" t="s">
        <v>2052</v>
      </c>
      <c r="R310" t="s">
        <v>2062</v>
      </c>
      <c r="S310" t="s">
        <v>1780</v>
      </c>
      <c r="T310" t="s">
        <v>2071</v>
      </c>
      <c r="V310" t="s">
        <v>149</v>
      </c>
      <c r="W310">
        <v>0</v>
      </c>
      <c r="X310" t="s">
        <v>2091</v>
      </c>
      <c r="AA310" t="s">
        <v>2414</v>
      </c>
      <c r="AC310" t="s">
        <v>2996</v>
      </c>
      <c r="AD310">
        <v>0</v>
      </c>
      <c r="AG310">
        <v>0</v>
      </c>
      <c r="AH310">
        <v>2</v>
      </c>
      <c r="AI310">
        <v>0</v>
      </c>
      <c r="AJ310">
        <v>118.27</v>
      </c>
      <c r="AM310" t="s">
        <v>3249</v>
      </c>
      <c r="AN310">
        <v>20000</v>
      </c>
    </row>
    <row r="311" spans="1:45">
      <c r="A311" s="1">
        <f>HYPERLINK("https://lsnyc.legalserver.org/matter/dynamic-profile/view/1909353","19-1909353")</f>
        <v>0</v>
      </c>
      <c r="B311" t="s">
        <v>82</v>
      </c>
      <c r="C311" t="s">
        <v>141</v>
      </c>
      <c r="E311" t="s">
        <v>494</v>
      </c>
      <c r="F311" t="s">
        <v>926</v>
      </c>
      <c r="G311" t="s">
        <v>1339</v>
      </c>
      <c r="H311" t="s">
        <v>1676</v>
      </c>
      <c r="I311" t="s">
        <v>1754</v>
      </c>
      <c r="J311">
        <v>10034</v>
      </c>
      <c r="K311" t="s">
        <v>1779</v>
      </c>
      <c r="L311" t="s">
        <v>1781</v>
      </c>
      <c r="M311" t="s">
        <v>1782</v>
      </c>
      <c r="P311" t="s">
        <v>2052</v>
      </c>
      <c r="R311" t="s">
        <v>2062</v>
      </c>
      <c r="S311" t="s">
        <v>1780</v>
      </c>
      <c r="T311" t="s">
        <v>2065</v>
      </c>
      <c r="V311" t="s">
        <v>141</v>
      </c>
      <c r="W311">
        <v>0</v>
      </c>
      <c r="X311" t="s">
        <v>2091</v>
      </c>
      <c r="Y311" t="s">
        <v>2099</v>
      </c>
      <c r="AA311" t="s">
        <v>2415</v>
      </c>
      <c r="AC311" t="s">
        <v>2997</v>
      </c>
      <c r="AD311">
        <v>22</v>
      </c>
      <c r="AE311" t="s">
        <v>3223</v>
      </c>
      <c r="AF311" t="s">
        <v>1783</v>
      </c>
      <c r="AG311">
        <v>15</v>
      </c>
      <c r="AH311">
        <v>1</v>
      </c>
      <c r="AI311">
        <v>0</v>
      </c>
      <c r="AJ311">
        <v>119.23</v>
      </c>
      <c r="AM311" t="s">
        <v>3249</v>
      </c>
      <c r="AN311">
        <v>14892</v>
      </c>
    </row>
    <row r="312" spans="1:45">
      <c r="A312" s="1">
        <f>HYPERLINK("https://lsnyc.legalserver.org/matter/dynamic-profile/view/1908351","19-1908351")</f>
        <v>0</v>
      </c>
      <c r="B312" t="s">
        <v>72</v>
      </c>
      <c r="C312" t="s">
        <v>195</v>
      </c>
      <c r="E312" t="s">
        <v>495</v>
      </c>
      <c r="F312" t="s">
        <v>927</v>
      </c>
      <c r="G312" t="s">
        <v>1296</v>
      </c>
      <c r="H312" t="s">
        <v>1556</v>
      </c>
      <c r="I312" t="s">
        <v>1761</v>
      </c>
      <c r="J312">
        <v>11377</v>
      </c>
      <c r="K312" t="s">
        <v>1779</v>
      </c>
      <c r="L312" t="s">
        <v>1781</v>
      </c>
      <c r="M312" t="s">
        <v>1782</v>
      </c>
      <c r="N312" t="s">
        <v>1888</v>
      </c>
      <c r="O312" t="s">
        <v>2032</v>
      </c>
      <c r="P312" t="s">
        <v>2053</v>
      </c>
      <c r="R312" t="s">
        <v>2062</v>
      </c>
      <c r="S312" t="s">
        <v>1779</v>
      </c>
      <c r="T312" t="s">
        <v>2065</v>
      </c>
      <c r="V312" t="s">
        <v>195</v>
      </c>
      <c r="W312">
        <v>1624.22</v>
      </c>
      <c r="X312" t="s">
        <v>2087</v>
      </c>
      <c r="Y312" t="s">
        <v>2100</v>
      </c>
      <c r="AA312" t="s">
        <v>2416</v>
      </c>
      <c r="AC312" t="s">
        <v>2998</v>
      </c>
      <c r="AD312">
        <v>66</v>
      </c>
      <c r="AE312" t="s">
        <v>3223</v>
      </c>
      <c r="AF312" t="s">
        <v>1783</v>
      </c>
      <c r="AG312">
        <v>0</v>
      </c>
      <c r="AH312">
        <v>4</v>
      </c>
      <c r="AI312">
        <v>1</v>
      </c>
      <c r="AJ312">
        <v>119.32</v>
      </c>
      <c r="AM312" t="s">
        <v>3248</v>
      </c>
      <c r="AN312">
        <v>36000</v>
      </c>
    </row>
    <row r="313" spans="1:45">
      <c r="A313" s="1">
        <f>HYPERLINK("https://lsnyc.legalserver.org/matter/dynamic-profile/view/1904363","19-1904363")</f>
        <v>0</v>
      </c>
      <c r="B313" t="s">
        <v>64</v>
      </c>
      <c r="C313" t="s">
        <v>151</v>
      </c>
      <c r="E313" t="s">
        <v>496</v>
      </c>
      <c r="F313" t="s">
        <v>694</v>
      </c>
      <c r="G313" t="s">
        <v>1308</v>
      </c>
      <c r="H313" t="s">
        <v>1614</v>
      </c>
      <c r="I313" t="s">
        <v>1753</v>
      </c>
      <c r="J313">
        <v>10301</v>
      </c>
      <c r="K313" t="s">
        <v>1779</v>
      </c>
      <c r="L313" t="s">
        <v>1781</v>
      </c>
      <c r="M313" t="s">
        <v>1782</v>
      </c>
      <c r="N313" t="s">
        <v>1934</v>
      </c>
      <c r="O313" t="s">
        <v>2030</v>
      </c>
      <c r="P313" t="s">
        <v>2051</v>
      </c>
      <c r="R313" t="s">
        <v>2062</v>
      </c>
      <c r="S313" t="s">
        <v>1780</v>
      </c>
      <c r="T313" t="s">
        <v>2065</v>
      </c>
      <c r="U313" t="s">
        <v>2076</v>
      </c>
      <c r="V313" t="s">
        <v>176</v>
      </c>
      <c r="W313">
        <v>1717</v>
      </c>
      <c r="X313" t="s">
        <v>2090</v>
      </c>
      <c r="Y313" t="s">
        <v>2102</v>
      </c>
      <c r="AA313" t="s">
        <v>2417</v>
      </c>
      <c r="AC313" t="s">
        <v>2999</v>
      </c>
      <c r="AD313">
        <v>0</v>
      </c>
      <c r="AF313" t="s">
        <v>1783</v>
      </c>
      <c r="AG313">
        <v>1</v>
      </c>
      <c r="AH313">
        <v>1</v>
      </c>
      <c r="AI313">
        <v>2</v>
      </c>
      <c r="AJ313">
        <v>119.46</v>
      </c>
      <c r="AM313" t="s">
        <v>3248</v>
      </c>
      <c r="AN313">
        <v>25479.96</v>
      </c>
      <c r="AP313" t="s">
        <v>3287</v>
      </c>
      <c r="AQ313" t="s">
        <v>3293</v>
      </c>
      <c r="AR313" t="s">
        <v>3294</v>
      </c>
      <c r="AS313" t="s">
        <v>3309</v>
      </c>
    </row>
    <row r="314" spans="1:45">
      <c r="A314" s="1">
        <f>HYPERLINK("https://lsnyc.legalserver.org/matter/dynamic-profile/view/1906690","19-1906690")</f>
        <v>0</v>
      </c>
      <c r="B314" t="s">
        <v>122</v>
      </c>
      <c r="C314" t="s">
        <v>165</v>
      </c>
      <c r="E314" t="s">
        <v>497</v>
      </c>
      <c r="F314" t="s">
        <v>422</v>
      </c>
      <c r="G314" t="s">
        <v>1373</v>
      </c>
      <c r="I314" t="s">
        <v>1756</v>
      </c>
      <c r="J314">
        <v>11354</v>
      </c>
      <c r="K314" t="s">
        <v>1779</v>
      </c>
      <c r="L314" t="s">
        <v>1781</v>
      </c>
      <c r="M314" t="s">
        <v>1782</v>
      </c>
      <c r="N314" t="s">
        <v>1935</v>
      </c>
      <c r="O314" t="s">
        <v>2047</v>
      </c>
      <c r="P314" t="s">
        <v>2053</v>
      </c>
      <c r="R314" t="s">
        <v>2062</v>
      </c>
      <c r="S314" t="s">
        <v>1780</v>
      </c>
      <c r="T314" t="s">
        <v>2065</v>
      </c>
      <c r="U314" t="s">
        <v>2073</v>
      </c>
      <c r="V314" t="s">
        <v>165</v>
      </c>
      <c r="W314">
        <v>1100</v>
      </c>
      <c r="X314" t="s">
        <v>2087</v>
      </c>
      <c r="Y314" t="s">
        <v>2101</v>
      </c>
      <c r="AA314" t="s">
        <v>2418</v>
      </c>
      <c r="AB314" t="s">
        <v>2712</v>
      </c>
      <c r="AC314" t="s">
        <v>3000</v>
      </c>
      <c r="AD314">
        <v>2</v>
      </c>
      <c r="AE314" t="s">
        <v>3222</v>
      </c>
      <c r="AF314" t="s">
        <v>1783</v>
      </c>
      <c r="AG314">
        <v>1</v>
      </c>
      <c r="AH314">
        <v>1</v>
      </c>
      <c r="AI314">
        <v>0</v>
      </c>
      <c r="AJ314">
        <v>120.1</v>
      </c>
      <c r="AM314" t="s">
        <v>3260</v>
      </c>
      <c r="AN314">
        <v>15000</v>
      </c>
    </row>
    <row r="315" spans="1:45">
      <c r="A315" s="1">
        <f>HYPERLINK("https://lsnyc.legalserver.org/matter/dynamic-profile/view/1908290","19-1908290")</f>
        <v>0</v>
      </c>
      <c r="B315" t="s">
        <v>74</v>
      </c>
      <c r="C315" t="s">
        <v>149</v>
      </c>
      <c r="D315" t="s">
        <v>233</v>
      </c>
      <c r="E315" t="s">
        <v>498</v>
      </c>
      <c r="F315" t="s">
        <v>928</v>
      </c>
      <c r="G315" t="s">
        <v>1374</v>
      </c>
      <c r="H315" t="s">
        <v>1619</v>
      </c>
      <c r="I315" t="s">
        <v>1763</v>
      </c>
      <c r="J315">
        <v>11365</v>
      </c>
      <c r="K315" t="s">
        <v>1779</v>
      </c>
      <c r="L315" t="s">
        <v>1781</v>
      </c>
      <c r="M315" t="s">
        <v>1782</v>
      </c>
      <c r="N315" t="s">
        <v>1936</v>
      </c>
      <c r="O315" t="s">
        <v>2030</v>
      </c>
      <c r="P315" t="s">
        <v>2055</v>
      </c>
      <c r="Q315" t="s">
        <v>2059</v>
      </c>
      <c r="R315" t="s">
        <v>2062</v>
      </c>
      <c r="S315" t="s">
        <v>1780</v>
      </c>
      <c r="T315" t="s">
        <v>2065</v>
      </c>
      <c r="U315" t="s">
        <v>2076</v>
      </c>
      <c r="V315" t="s">
        <v>233</v>
      </c>
      <c r="W315">
        <v>1609</v>
      </c>
      <c r="X315" t="s">
        <v>2087</v>
      </c>
      <c r="Y315" t="s">
        <v>2092</v>
      </c>
      <c r="Z315" t="s">
        <v>2112</v>
      </c>
      <c r="AA315" t="s">
        <v>2419</v>
      </c>
      <c r="AB315" t="s">
        <v>2723</v>
      </c>
      <c r="AC315" t="s">
        <v>3001</v>
      </c>
      <c r="AD315">
        <v>9</v>
      </c>
      <c r="AE315" t="s">
        <v>2704</v>
      </c>
      <c r="AF315" t="s">
        <v>3238</v>
      </c>
      <c r="AG315">
        <v>28</v>
      </c>
      <c r="AH315">
        <v>1</v>
      </c>
      <c r="AI315">
        <v>0</v>
      </c>
      <c r="AJ315">
        <v>120.19</v>
      </c>
      <c r="AM315" t="s">
        <v>3248</v>
      </c>
      <c r="AN315">
        <v>15012</v>
      </c>
    </row>
    <row r="316" spans="1:45">
      <c r="A316" s="1">
        <f>HYPERLINK("https://lsnyc.legalserver.org/matter/dynamic-profile/view/1909092","19-1909092")</f>
        <v>0</v>
      </c>
      <c r="B316" t="s">
        <v>52</v>
      </c>
      <c r="C316" t="s">
        <v>178</v>
      </c>
      <c r="E316" t="s">
        <v>499</v>
      </c>
      <c r="F316" t="s">
        <v>929</v>
      </c>
      <c r="G316" t="s">
        <v>1375</v>
      </c>
      <c r="H316" t="s">
        <v>1679</v>
      </c>
      <c r="I316" t="s">
        <v>1749</v>
      </c>
      <c r="J316">
        <v>11233</v>
      </c>
      <c r="K316" t="s">
        <v>1779</v>
      </c>
      <c r="L316" t="s">
        <v>1781</v>
      </c>
      <c r="M316" t="s">
        <v>1783</v>
      </c>
      <c r="N316" t="s">
        <v>1791</v>
      </c>
      <c r="O316" t="s">
        <v>2032</v>
      </c>
      <c r="P316" t="s">
        <v>2053</v>
      </c>
      <c r="R316" t="s">
        <v>2062</v>
      </c>
      <c r="S316" t="s">
        <v>1779</v>
      </c>
      <c r="T316" t="s">
        <v>2065</v>
      </c>
      <c r="U316" t="s">
        <v>2073</v>
      </c>
      <c r="V316" t="s">
        <v>2079</v>
      </c>
      <c r="W316">
        <v>1059</v>
      </c>
      <c r="X316" t="s">
        <v>2088</v>
      </c>
      <c r="Y316" t="s">
        <v>2094</v>
      </c>
      <c r="AA316" t="s">
        <v>2420</v>
      </c>
      <c r="AD316">
        <v>1107</v>
      </c>
      <c r="AE316" t="s">
        <v>3223</v>
      </c>
      <c r="AF316" t="s">
        <v>1783</v>
      </c>
      <c r="AG316">
        <v>18</v>
      </c>
      <c r="AH316">
        <v>2</v>
      </c>
      <c r="AI316">
        <v>2</v>
      </c>
      <c r="AJ316">
        <v>120.39</v>
      </c>
      <c r="AM316" t="s">
        <v>3248</v>
      </c>
      <c r="AN316">
        <v>31000</v>
      </c>
      <c r="AO316" t="s">
        <v>3274</v>
      </c>
    </row>
    <row r="317" spans="1:45">
      <c r="A317" s="1">
        <f>HYPERLINK("https://lsnyc.legalserver.org/matter/dynamic-profile/view/1904920","19-1904920")</f>
        <v>0</v>
      </c>
      <c r="B317" t="s">
        <v>69</v>
      </c>
      <c r="C317" t="s">
        <v>176</v>
      </c>
      <c r="E317" t="s">
        <v>500</v>
      </c>
      <c r="F317" t="s">
        <v>711</v>
      </c>
      <c r="G317" t="s">
        <v>1376</v>
      </c>
      <c r="H317" t="s">
        <v>1680</v>
      </c>
      <c r="I317" t="s">
        <v>1749</v>
      </c>
      <c r="J317">
        <v>11233</v>
      </c>
      <c r="K317" t="s">
        <v>1779</v>
      </c>
      <c r="L317" t="s">
        <v>1781</v>
      </c>
      <c r="M317" t="s">
        <v>1782</v>
      </c>
      <c r="N317" t="s">
        <v>1937</v>
      </c>
      <c r="O317" t="s">
        <v>2030</v>
      </c>
      <c r="P317" t="s">
        <v>2050</v>
      </c>
      <c r="R317" t="s">
        <v>2062</v>
      </c>
      <c r="S317" t="s">
        <v>1780</v>
      </c>
      <c r="T317" t="s">
        <v>2065</v>
      </c>
      <c r="U317" t="s">
        <v>2073</v>
      </c>
      <c r="V317" t="s">
        <v>161</v>
      </c>
      <c r="W317">
        <v>2100</v>
      </c>
      <c r="X317" t="s">
        <v>2088</v>
      </c>
      <c r="Y317" t="s">
        <v>2104</v>
      </c>
      <c r="AA317" t="s">
        <v>2421</v>
      </c>
      <c r="AB317" t="s">
        <v>2674</v>
      </c>
      <c r="AC317" t="s">
        <v>3002</v>
      </c>
      <c r="AD317">
        <v>3</v>
      </c>
      <c r="AE317" t="s">
        <v>3222</v>
      </c>
      <c r="AF317" t="s">
        <v>2094</v>
      </c>
      <c r="AG317">
        <v>1</v>
      </c>
      <c r="AH317">
        <v>1</v>
      </c>
      <c r="AI317">
        <v>1</v>
      </c>
      <c r="AJ317">
        <v>120.64</v>
      </c>
      <c r="AM317" t="s">
        <v>3248</v>
      </c>
      <c r="AN317">
        <v>20400</v>
      </c>
    </row>
    <row r="318" spans="1:45">
      <c r="A318" s="1">
        <f>HYPERLINK("https://lsnyc.legalserver.org/matter/dynamic-profile/view/1904974","19-1904974")</f>
        <v>0</v>
      </c>
      <c r="B318" t="s">
        <v>83</v>
      </c>
      <c r="C318" t="s">
        <v>176</v>
      </c>
      <c r="E318" t="s">
        <v>501</v>
      </c>
      <c r="F318" t="s">
        <v>930</v>
      </c>
      <c r="G318" t="s">
        <v>1377</v>
      </c>
      <c r="H318" t="s">
        <v>1681</v>
      </c>
      <c r="I318" t="s">
        <v>1754</v>
      </c>
      <c r="J318">
        <v>10034</v>
      </c>
      <c r="K318" t="s">
        <v>1779</v>
      </c>
      <c r="L318" t="s">
        <v>1781</v>
      </c>
      <c r="M318" t="s">
        <v>1782</v>
      </c>
      <c r="P318" t="s">
        <v>2052</v>
      </c>
      <c r="R318" t="s">
        <v>2062</v>
      </c>
      <c r="S318" t="s">
        <v>1780</v>
      </c>
      <c r="T318" t="s">
        <v>2065</v>
      </c>
      <c r="V318" t="s">
        <v>176</v>
      </c>
      <c r="W318">
        <v>640</v>
      </c>
      <c r="X318" t="s">
        <v>2091</v>
      </c>
      <c r="Y318" t="s">
        <v>2099</v>
      </c>
      <c r="AA318" t="s">
        <v>2422</v>
      </c>
      <c r="AC318" t="s">
        <v>3003</v>
      </c>
      <c r="AD318">
        <v>126</v>
      </c>
      <c r="AE318" t="s">
        <v>3223</v>
      </c>
      <c r="AF318" t="s">
        <v>3236</v>
      </c>
      <c r="AG318">
        <v>15</v>
      </c>
      <c r="AH318">
        <v>3</v>
      </c>
      <c r="AI318">
        <v>0</v>
      </c>
      <c r="AJ318">
        <v>120.68</v>
      </c>
      <c r="AM318" t="s">
        <v>3249</v>
      </c>
      <c r="AN318">
        <v>25740</v>
      </c>
    </row>
    <row r="319" spans="1:45">
      <c r="A319" s="1">
        <f>HYPERLINK("https://lsnyc.legalserver.org/matter/dynamic-profile/view/1903642","19-1903642")</f>
        <v>0</v>
      </c>
      <c r="B319" t="s">
        <v>60</v>
      </c>
      <c r="C319" t="s">
        <v>213</v>
      </c>
      <c r="E319" t="s">
        <v>502</v>
      </c>
      <c r="F319" t="s">
        <v>734</v>
      </c>
      <c r="G319" t="s">
        <v>1312</v>
      </c>
      <c r="H319" t="s">
        <v>1568</v>
      </c>
      <c r="I319" t="s">
        <v>1749</v>
      </c>
      <c r="J319">
        <v>11220</v>
      </c>
      <c r="K319" t="s">
        <v>1779</v>
      </c>
      <c r="L319" t="s">
        <v>1781</v>
      </c>
      <c r="M319" t="s">
        <v>1782</v>
      </c>
      <c r="O319" t="s">
        <v>2031</v>
      </c>
      <c r="P319" t="s">
        <v>2051</v>
      </c>
      <c r="R319" t="s">
        <v>2062</v>
      </c>
      <c r="S319" t="s">
        <v>1779</v>
      </c>
      <c r="T319" t="s">
        <v>2065</v>
      </c>
      <c r="V319" t="s">
        <v>213</v>
      </c>
      <c r="W319">
        <v>745</v>
      </c>
      <c r="X319" t="s">
        <v>2088</v>
      </c>
      <c r="AA319" t="s">
        <v>2423</v>
      </c>
      <c r="AC319" t="s">
        <v>3004</v>
      </c>
      <c r="AD319">
        <v>54</v>
      </c>
      <c r="AG319">
        <v>40</v>
      </c>
      <c r="AH319">
        <v>3</v>
      </c>
      <c r="AI319">
        <v>3</v>
      </c>
      <c r="AJ319">
        <v>120.73</v>
      </c>
      <c r="AM319" t="s">
        <v>3248</v>
      </c>
      <c r="AN319">
        <v>41760</v>
      </c>
    </row>
    <row r="320" spans="1:45">
      <c r="A320" s="1">
        <f>HYPERLINK("https://lsnyc.legalserver.org/matter/dynamic-profile/view/1863072","18-1863072")</f>
        <v>0</v>
      </c>
      <c r="B320" t="s">
        <v>121</v>
      </c>
      <c r="C320" t="s">
        <v>222</v>
      </c>
      <c r="E320" t="s">
        <v>493</v>
      </c>
      <c r="F320" t="s">
        <v>761</v>
      </c>
      <c r="G320" t="s">
        <v>1372</v>
      </c>
      <c r="H320" t="s">
        <v>1573</v>
      </c>
      <c r="I320" t="s">
        <v>1754</v>
      </c>
      <c r="J320">
        <v>10029</v>
      </c>
      <c r="K320" t="s">
        <v>1779</v>
      </c>
      <c r="L320" t="s">
        <v>1781</v>
      </c>
      <c r="M320" t="s">
        <v>1782</v>
      </c>
      <c r="O320" t="s">
        <v>1793</v>
      </c>
      <c r="P320" t="s">
        <v>2054</v>
      </c>
      <c r="R320" t="s">
        <v>2062</v>
      </c>
      <c r="T320" t="s">
        <v>2071</v>
      </c>
      <c r="V320" t="s">
        <v>223</v>
      </c>
      <c r="W320">
        <v>487</v>
      </c>
      <c r="X320" t="s">
        <v>2091</v>
      </c>
      <c r="Y320" t="s">
        <v>2104</v>
      </c>
      <c r="Z320" t="s">
        <v>2110</v>
      </c>
      <c r="AA320" t="s">
        <v>2414</v>
      </c>
      <c r="AC320" t="s">
        <v>2996</v>
      </c>
      <c r="AD320">
        <v>0</v>
      </c>
      <c r="AE320" t="s">
        <v>3223</v>
      </c>
      <c r="AG320">
        <v>4</v>
      </c>
      <c r="AH320">
        <v>2</v>
      </c>
      <c r="AI320">
        <v>0</v>
      </c>
      <c r="AJ320">
        <v>121.51</v>
      </c>
      <c r="AM320" t="s">
        <v>3249</v>
      </c>
      <c r="AN320">
        <v>20000</v>
      </c>
    </row>
    <row r="321" spans="1:40">
      <c r="A321" s="1">
        <f>HYPERLINK("https://lsnyc.legalserver.org/matter/dynamic-profile/view/1903966","19-1903966")</f>
        <v>0</v>
      </c>
      <c r="B321" t="s">
        <v>87</v>
      </c>
      <c r="C321" t="s">
        <v>223</v>
      </c>
      <c r="D321" t="s">
        <v>138</v>
      </c>
      <c r="E321" t="s">
        <v>503</v>
      </c>
      <c r="F321" t="s">
        <v>931</v>
      </c>
      <c r="G321" t="s">
        <v>1378</v>
      </c>
      <c r="H321" t="s">
        <v>1682</v>
      </c>
      <c r="I321" t="s">
        <v>1749</v>
      </c>
      <c r="J321">
        <v>11236</v>
      </c>
      <c r="K321" t="s">
        <v>1779</v>
      </c>
      <c r="L321" t="s">
        <v>1781</v>
      </c>
      <c r="M321" t="s">
        <v>1782</v>
      </c>
      <c r="N321" t="s">
        <v>1938</v>
      </c>
      <c r="O321" t="s">
        <v>2045</v>
      </c>
      <c r="P321" t="s">
        <v>2050</v>
      </c>
      <c r="Q321" t="s">
        <v>2057</v>
      </c>
      <c r="R321" t="s">
        <v>2062</v>
      </c>
      <c r="T321" t="s">
        <v>2065</v>
      </c>
      <c r="V321" t="s">
        <v>223</v>
      </c>
      <c r="W321">
        <v>720</v>
      </c>
      <c r="X321" t="s">
        <v>2088</v>
      </c>
      <c r="Y321" t="s">
        <v>2094</v>
      </c>
      <c r="Z321" t="s">
        <v>2110</v>
      </c>
      <c r="AA321" t="s">
        <v>2424</v>
      </c>
      <c r="AC321" t="s">
        <v>3005</v>
      </c>
      <c r="AD321">
        <v>6</v>
      </c>
      <c r="AE321" t="s">
        <v>3222</v>
      </c>
      <c r="AF321" t="s">
        <v>1783</v>
      </c>
      <c r="AG321">
        <v>9</v>
      </c>
      <c r="AH321">
        <v>2</v>
      </c>
      <c r="AI321">
        <v>1</v>
      </c>
      <c r="AJ321">
        <v>121.89</v>
      </c>
      <c r="AM321" t="s">
        <v>3248</v>
      </c>
      <c r="AN321">
        <v>26000</v>
      </c>
    </row>
    <row r="322" spans="1:40">
      <c r="A322" s="1">
        <f>HYPERLINK("https://lsnyc.legalserver.org/matter/dynamic-profile/view/1908678","19-1908678")</f>
        <v>0</v>
      </c>
      <c r="B322" t="s">
        <v>66</v>
      </c>
      <c r="C322" t="s">
        <v>174</v>
      </c>
      <c r="E322" t="s">
        <v>450</v>
      </c>
      <c r="F322" t="s">
        <v>932</v>
      </c>
      <c r="G322" t="s">
        <v>1379</v>
      </c>
      <c r="H322" t="s">
        <v>1604</v>
      </c>
      <c r="I322" t="s">
        <v>1754</v>
      </c>
      <c r="J322">
        <v>10040</v>
      </c>
      <c r="K322" t="s">
        <v>1779</v>
      </c>
      <c r="L322" t="s">
        <v>1781</v>
      </c>
      <c r="M322" t="s">
        <v>1782</v>
      </c>
      <c r="O322" t="s">
        <v>2029</v>
      </c>
      <c r="P322" t="s">
        <v>2052</v>
      </c>
      <c r="R322" t="s">
        <v>2062</v>
      </c>
      <c r="S322" t="s">
        <v>1780</v>
      </c>
      <c r="T322" t="s">
        <v>2065</v>
      </c>
      <c r="V322" t="s">
        <v>174</v>
      </c>
      <c r="W322">
        <v>294.4</v>
      </c>
      <c r="X322" t="s">
        <v>2091</v>
      </c>
      <c r="Y322" t="s">
        <v>2099</v>
      </c>
      <c r="AA322" t="s">
        <v>2425</v>
      </c>
      <c r="AC322" t="s">
        <v>3006</v>
      </c>
      <c r="AD322">
        <v>22</v>
      </c>
      <c r="AE322" t="s">
        <v>3223</v>
      </c>
      <c r="AF322" t="s">
        <v>2094</v>
      </c>
      <c r="AG322">
        <v>20</v>
      </c>
      <c r="AH322">
        <v>1</v>
      </c>
      <c r="AI322">
        <v>0</v>
      </c>
      <c r="AJ322">
        <v>122.86</v>
      </c>
      <c r="AM322" t="s">
        <v>3248</v>
      </c>
      <c r="AN322">
        <v>15345.6</v>
      </c>
    </row>
    <row r="323" spans="1:40">
      <c r="A323" s="1">
        <f>HYPERLINK("https://lsnyc.legalserver.org/matter/dynamic-profile/view/1901547","19-1901547")</f>
        <v>0</v>
      </c>
      <c r="B323" t="s">
        <v>54</v>
      </c>
      <c r="C323" t="s">
        <v>224</v>
      </c>
      <c r="D323" t="s">
        <v>147</v>
      </c>
      <c r="E323" t="s">
        <v>504</v>
      </c>
      <c r="F323" t="s">
        <v>933</v>
      </c>
      <c r="G323" t="s">
        <v>1380</v>
      </c>
      <c r="H323" t="s">
        <v>1554</v>
      </c>
      <c r="I323" t="s">
        <v>1749</v>
      </c>
      <c r="J323">
        <v>11233</v>
      </c>
      <c r="K323" t="s">
        <v>1779</v>
      </c>
      <c r="L323" t="s">
        <v>1781</v>
      </c>
      <c r="M323" t="s">
        <v>1782</v>
      </c>
      <c r="O323" t="s">
        <v>1793</v>
      </c>
      <c r="P323" t="s">
        <v>2050</v>
      </c>
      <c r="Q323" t="s">
        <v>2057</v>
      </c>
      <c r="R323" t="s">
        <v>2062</v>
      </c>
      <c r="S323" t="s">
        <v>1780</v>
      </c>
      <c r="T323" t="s">
        <v>2065</v>
      </c>
      <c r="U323" t="s">
        <v>2073</v>
      </c>
      <c r="V323" t="s">
        <v>147</v>
      </c>
      <c r="W323">
        <v>1879.2</v>
      </c>
      <c r="X323" t="s">
        <v>2088</v>
      </c>
      <c r="Y323" t="s">
        <v>2099</v>
      </c>
      <c r="Z323" t="s">
        <v>2110</v>
      </c>
      <c r="AA323" t="s">
        <v>2426</v>
      </c>
      <c r="AB323" t="s">
        <v>2724</v>
      </c>
      <c r="AC323" t="s">
        <v>3007</v>
      </c>
      <c r="AD323">
        <v>13</v>
      </c>
      <c r="AE323" t="s">
        <v>3223</v>
      </c>
      <c r="AF323" t="s">
        <v>3240</v>
      </c>
      <c r="AG323">
        <v>0</v>
      </c>
      <c r="AH323">
        <v>3</v>
      </c>
      <c r="AI323">
        <v>2</v>
      </c>
      <c r="AJ323">
        <v>122.98</v>
      </c>
      <c r="AM323" t="s">
        <v>3248</v>
      </c>
      <c r="AN323">
        <v>37104</v>
      </c>
    </row>
    <row r="324" spans="1:40">
      <c r="A324" s="1">
        <f>HYPERLINK("https://lsnyc.legalserver.org/matter/dynamic-profile/view/1905685","19-1905685")</f>
        <v>0</v>
      </c>
      <c r="B324" t="s">
        <v>58</v>
      </c>
      <c r="C324" t="s">
        <v>145</v>
      </c>
      <c r="E324" t="s">
        <v>505</v>
      </c>
      <c r="F324" t="s">
        <v>785</v>
      </c>
      <c r="G324" t="s">
        <v>1208</v>
      </c>
      <c r="H324" t="s">
        <v>1659</v>
      </c>
      <c r="I324" t="s">
        <v>1749</v>
      </c>
      <c r="J324">
        <v>11226</v>
      </c>
      <c r="K324" t="s">
        <v>1779</v>
      </c>
      <c r="L324" t="s">
        <v>1781</v>
      </c>
      <c r="O324" t="s">
        <v>2032</v>
      </c>
      <c r="P324" t="s">
        <v>2053</v>
      </c>
      <c r="R324" t="s">
        <v>2062</v>
      </c>
      <c r="S324" t="s">
        <v>1779</v>
      </c>
      <c r="T324" t="s">
        <v>2065</v>
      </c>
      <c r="V324" t="s">
        <v>145</v>
      </c>
      <c r="W324">
        <v>0</v>
      </c>
      <c r="X324" t="s">
        <v>2088</v>
      </c>
      <c r="AA324" t="s">
        <v>2427</v>
      </c>
      <c r="AC324" t="s">
        <v>3008</v>
      </c>
      <c r="AD324">
        <v>36</v>
      </c>
      <c r="AE324" t="s">
        <v>3223</v>
      </c>
      <c r="AG324">
        <v>0</v>
      </c>
      <c r="AH324">
        <v>2</v>
      </c>
      <c r="AI324">
        <v>0</v>
      </c>
      <c r="AJ324">
        <v>123</v>
      </c>
      <c r="AM324" t="s">
        <v>3253</v>
      </c>
      <c r="AN324">
        <v>20800</v>
      </c>
    </row>
    <row r="325" spans="1:40">
      <c r="A325" s="1">
        <f>HYPERLINK("https://lsnyc.legalserver.org/matter/dynamic-profile/view/1907269","19-1907269")</f>
        <v>0</v>
      </c>
      <c r="B325" t="s">
        <v>45</v>
      </c>
      <c r="C325" t="s">
        <v>156</v>
      </c>
      <c r="E325" t="s">
        <v>506</v>
      </c>
      <c r="F325" t="s">
        <v>934</v>
      </c>
      <c r="G325" t="s">
        <v>1381</v>
      </c>
      <c r="H325" t="s">
        <v>1548</v>
      </c>
      <c r="I325" t="s">
        <v>1771</v>
      </c>
      <c r="J325">
        <v>11418</v>
      </c>
      <c r="K325" t="s">
        <v>1779</v>
      </c>
      <c r="L325" t="s">
        <v>1781</v>
      </c>
      <c r="M325" t="s">
        <v>1782</v>
      </c>
      <c r="N325" t="s">
        <v>1939</v>
      </c>
      <c r="O325" t="s">
        <v>2029</v>
      </c>
      <c r="P325" t="s">
        <v>2051</v>
      </c>
      <c r="R325" t="s">
        <v>2062</v>
      </c>
      <c r="S325" t="s">
        <v>1780</v>
      </c>
      <c r="T325" t="s">
        <v>2065</v>
      </c>
      <c r="U325" t="s">
        <v>2073</v>
      </c>
      <c r="V325" t="s">
        <v>156</v>
      </c>
      <c r="W325">
        <v>1400</v>
      </c>
      <c r="X325" t="s">
        <v>2087</v>
      </c>
      <c r="Y325" t="s">
        <v>2092</v>
      </c>
      <c r="AA325" t="s">
        <v>2428</v>
      </c>
      <c r="AB325" t="s">
        <v>2725</v>
      </c>
      <c r="AC325" t="s">
        <v>3009</v>
      </c>
      <c r="AD325">
        <v>4</v>
      </c>
      <c r="AE325" t="s">
        <v>3222</v>
      </c>
      <c r="AF325" t="s">
        <v>1783</v>
      </c>
      <c r="AG325">
        <v>5</v>
      </c>
      <c r="AH325">
        <v>1</v>
      </c>
      <c r="AI325">
        <v>2</v>
      </c>
      <c r="AJ325">
        <v>123.3</v>
      </c>
      <c r="AM325" t="s">
        <v>3249</v>
      </c>
      <c r="AN325">
        <v>26300</v>
      </c>
    </row>
    <row r="326" spans="1:40">
      <c r="A326" s="1">
        <f>HYPERLINK("https://lsnyc.legalserver.org/matter/dynamic-profile/view/1904681","19-1904681")</f>
        <v>0</v>
      </c>
      <c r="B326" t="s">
        <v>47</v>
      </c>
      <c r="C326" t="s">
        <v>162</v>
      </c>
      <c r="E326" t="s">
        <v>355</v>
      </c>
      <c r="F326" t="s">
        <v>935</v>
      </c>
      <c r="G326" t="s">
        <v>1382</v>
      </c>
      <c r="H326" t="s">
        <v>1683</v>
      </c>
      <c r="I326" t="s">
        <v>1764</v>
      </c>
      <c r="J326">
        <v>11416</v>
      </c>
      <c r="K326" t="s">
        <v>1779</v>
      </c>
      <c r="L326" t="s">
        <v>1781</v>
      </c>
      <c r="M326" t="s">
        <v>1782</v>
      </c>
      <c r="N326" t="s">
        <v>1940</v>
      </c>
      <c r="O326" t="s">
        <v>2029</v>
      </c>
      <c r="P326" t="s">
        <v>2050</v>
      </c>
      <c r="R326" t="s">
        <v>2062</v>
      </c>
      <c r="S326" t="s">
        <v>1780</v>
      </c>
      <c r="T326" t="s">
        <v>2065</v>
      </c>
      <c r="U326" t="s">
        <v>2073</v>
      </c>
      <c r="V326" t="s">
        <v>162</v>
      </c>
      <c r="W326">
        <v>850</v>
      </c>
      <c r="X326" t="s">
        <v>2087</v>
      </c>
      <c r="Y326" t="s">
        <v>2092</v>
      </c>
      <c r="AA326" t="s">
        <v>2429</v>
      </c>
      <c r="AB326" t="s">
        <v>2726</v>
      </c>
      <c r="AC326" t="s">
        <v>3010</v>
      </c>
      <c r="AD326">
        <v>2</v>
      </c>
      <c r="AE326" t="s">
        <v>2704</v>
      </c>
      <c r="AF326" t="s">
        <v>1783</v>
      </c>
      <c r="AG326">
        <v>1</v>
      </c>
      <c r="AH326">
        <v>1</v>
      </c>
      <c r="AI326">
        <v>0</v>
      </c>
      <c r="AJ326">
        <v>124.04</v>
      </c>
      <c r="AM326" t="s">
        <v>3248</v>
      </c>
      <c r="AN326">
        <v>15492</v>
      </c>
    </row>
    <row r="327" spans="1:40">
      <c r="A327" s="1">
        <f>HYPERLINK("https://lsnyc.legalserver.org/matter/dynamic-profile/view/1907460","19-1907460")</f>
        <v>0</v>
      </c>
      <c r="B327" t="s">
        <v>60</v>
      </c>
      <c r="C327" t="s">
        <v>139</v>
      </c>
      <c r="E327" t="s">
        <v>507</v>
      </c>
      <c r="F327" t="s">
        <v>936</v>
      </c>
      <c r="G327" t="s">
        <v>1132</v>
      </c>
      <c r="H327" t="s">
        <v>1573</v>
      </c>
      <c r="I327" t="s">
        <v>1749</v>
      </c>
      <c r="J327">
        <v>11225</v>
      </c>
      <c r="K327" t="s">
        <v>1779</v>
      </c>
      <c r="L327" t="s">
        <v>1781</v>
      </c>
      <c r="M327" t="s">
        <v>1782</v>
      </c>
      <c r="O327" t="s">
        <v>2033</v>
      </c>
      <c r="P327" t="s">
        <v>2054</v>
      </c>
      <c r="R327" t="s">
        <v>2062</v>
      </c>
      <c r="S327" t="s">
        <v>1779</v>
      </c>
      <c r="T327" t="s">
        <v>2065</v>
      </c>
      <c r="V327" t="s">
        <v>139</v>
      </c>
      <c r="W327">
        <v>0</v>
      </c>
      <c r="X327" t="s">
        <v>2088</v>
      </c>
      <c r="AA327" t="s">
        <v>2430</v>
      </c>
      <c r="AC327" t="s">
        <v>3011</v>
      </c>
      <c r="AD327">
        <v>46</v>
      </c>
      <c r="AG327">
        <v>0</v>
      </c>
      <c r="AH327">
        <v>2</v>
      </c>
      <c r="AI327">
        <v>0</v>
      </c>
      <c r="AJ327">
        <v>124.19</v>
      </c>
      <c r="AM327" t="s">
        <v>3248</v>
      </c>
      <c r="AN327">
        <v>21000</v>
      </c>
    </row>
    <row r="328" spans="1:40">
      <c r="A328" s="1">
        <f>HYPERLINK("https://lsnyc.legalserver.org/matter/dynamic-profile/view/1904943","19-1904943")</f>
        <v>0</v>
      </c>
      <c r="B328" t="s">
        <v>48</v>
      </c>
      <c r="C328" t="s">
        <v>176</v>
      </c>
      <c r="E328" t="s">
        <v>508</v>
      </c>
      <c r="F328" t="s">
        <v>937</v>
      </c>
      <c r="G328" t="s">
        <v>1383</v>
      </c>
      <c r="H328" t="s">
        <v>1666</v>
      </c>
      <c r="I328" t="s">
        <v>1761</v>
      </c>
      <c r="J328">
        <v>11377</v>
      </c>
      <c r="K328" t="s">
        <v>1779</v>
      </c>
      <c r="L328" t="s">
        <v>1781</v>
      </c>
      <c r="M328" t="s">
        <v>1782</v>
      </c>
      <c r="O328" t="s">
        <v>1793</v>
      </c>
      <c r="P328" t="s">
        <v>2055</v>
      </c>
      <c r="R328" t="s">
        <v>2063</v>
      </c>
      <c r="S328" t="s">
        <v>1780</v>
      </c>
      <c r="T328" t="s">
        <v>2068</v>
      </c>
      <c r="U328" t="s">
        <v>2073</v>
      </c>
      <c r="V328" t="s">
        <v>176</v>
      </c>
      <c r="W328">
        <v>400</v>
      </c>
      <c r="X328" t="s">
        <v>2087</v>
      </c>
      <c r="Y328" t="s">
        <v>2093</v>
      </c>
      <c r="AA328" t="s">
        <v>2431</v>
      </c>
      <c r="AC328" t="s">
        <v>3012</v>
      </c>
      <c r="AD328">
        <v>72</v>
      </c>
      <c r="AE328" t="s">
        <v>3228</v>
      </c>
      <c r="AF328" t="s">
        <v>1783</v>
      </c>
      <c r="AG328">
        <v>-1</v>
      </c>
      <c r="AH328">
        <v>1</v>
      </c>
      <c r="AI328">
        <v>2</v>
      </c>
      <c r="AJ328">
        <v>124.67</v>
      </c>
      <c r="AK328" t="s">
        <v>3244</v>
      </c>
      <c r="AL328" t="s">
        <v>3245</v>
      </c>
      <c r="AM328" t="s">
        <v>3248</v>
      </c>
      <c r="AN328">
        <v>26592</v>
      </c>
    </row>
    <row r="329" spans="1:40">
      <c r="A329" s="1">
        <f>HYPERLINK("https://lsnyc.legalserver.org/matter/dynamic-profile/view/1903617","19-1903617")</f>
        <v>0</v>
      </c>
      <c r="B329" t="s">
        <v>123</v>
      </c>
      <c r="C329" t="s">
        <v>211</v>
      </c>
      <c r="E329" t="s">
        <v>509</v>
      </c>
      <c r="F329" t="s">
        <v>938</v>
      </c>
      <c r="G329" t="s">
        <v>1384</v>
      </c>
      <c r="H329" t="s">
        <v>1651</v>
      </c>
      <c r="I329" t="s">
        <v>1754</v>
      </c>
      <c r="J329">
        <v>10033</v>
      </c>
      <c r="K329" t="s">
        <v>1779</v>
      </c>
      <c r="L329" t="s">
        <v>1781</v>
      </c>
      <c r="M329" t="s">
        <v>1782</v>
      </c>
      <c r="N329" t="s">
        <v>1941</v>
      </c>
      <c r="O329" t="s">
        <v>2029</v>
      </c>
      <c r="P329" t="s">
        <v>2051</v>
      </c>
      <c r="R329" t="s">
        <v>2062</v>
      </c>
      <c r="S329" t="s">
        <v>1780</v>
      </c>
      <c r="T329" t="s">
        <v>2065</v>
      </c>
      <c r="V329" t="s">
        <v>161</v>
      </c>
      <c r="W329">
        <v>1123.72</v>
      </c>
      <c r="X329" t="s">
        <v>2091</v>
      </c>
      <c r="AA329" t="s">
        <v>2432</v>
      </c>
      <c r="AC329" t="s">
        <v>3013</v>
      </c>
      <c r="AD329">
        <v>53</v>
      </c>
      <c r="AG329">
        <v>29</v>
      </c>
      <c r="AH329">
        <v>1</v>
      </c>
      <c r="AI329">
        <v>0</v>
      </c>
      <c r="AJ329">
        <v>124.89</v>
      </c>
      <c r="AM329" t="s">
        <v>3249</v>
      </c>
      <c r="AN329">
        <v>15598.8</v>
      </c>
    </row>
    <row r="330" spans="1:40">
      <c r="A330" s="1">
        <f>HYPERLINK("https://lsnyc.legalserver.org/matter/dynamic-profile/view/1907667","19-1907667")</f>
        <v>0</v>
      </c>
      <c r="B330" t="s">
        <v>58</v>
      </c>
      <c r="C330" t="s">
        <v>185</v>
      </c>
      <c r="E330" t="s">
        <v>351</v>
      </c>
      <c r="F330" t="s">
        <v>939</v>
      </c>
      <c r="G330" t="s">
        <v>1208</v>
      </c>
      <c r="H330" t="s">
        <v>1666</v>
      </c>
      <c r="I330" t="s">
        <v>1749</v>
      </c>
      <c r="J330">
        <v>11226</v>
      </c>
      <c r="K330" t="s">
        <v>1779</v>
      </c>
      <c r="L330" t="s">
        <v>1781</v>
      </c>
      <c r="O330" t="s">
        <v>2032</v>
      </c>
      <c r="P330" t="s">
        <v>2053</v>
      </c>
      <c r="R330" t="s">
        <v>2062</v>
      </c>
      <c r="S330" t="s">
        <v>1779</v>
      </c>
      <c r="T330" t="s">
        <v>2065</v>
      </c>
      <c r="V330" t="s">
        <v>185</v>
      </c>
      <c r="W330">
        <v>0</v>
      </c>
      <c r="X330" t="s">
        <v>2088</v>
      </c>
      <c r="AA330" t="s">
        <v>2433</v>
      </c>
      <c r="AC330" t="s">
        <v>3014</v>
      </c>
      <c r="AD330">
        <v>36</v>
      </c>
      <c r="AE330" t="s">
        <v>3223</v>
      </c>
      <c r="AG330">
        <v>0</v>
      </c>
      <c r="AH330">
        <v>1</v>
      </c>
      <c r="AI330">
        <v>0</v>
      </c>
      <c r="AJ330">
        <v>124.9</v>
      </c>
      <c r="AM330" t="s">
        <v>3255</v>
      </c>
      <c r="AN330">
        <v>15600</v>
      </c>
    </row>
    <row r="331" spans="1:40">
      <c r="A331" s="1">
        <f>HYPERLINK("https://lsnyc.legalserver.org/matter/dynamic-profile/view/1909416","19-1909416")</f>
        <v>0</v>
      </c>
      <c r="B331" t="s">
        <v>81</v>
      </c>
      <c r="C331" t="s">
        <v>164</v>
      </c>
      <c r="E331" t="s">
        <v>510</v>
      </c>
      <c r="F331" t="s">
        <v>940</v>
      </c>
      <c r="G331" t="s">
        <v>1385</v>
      </c>
      <c r="H331" t="s">
        <v>1683</v>
      </c>
      <c r="I331" t="s">
        <v>1749</v>
      </c>
      <c r="J331">
        <v>11207</v>
      </c>
      <c r="K331" t="s">
        <v>1779</v>
      </c>
      <c r="L331" t="s">
        <v>1781</v>
      </c>
      <c r="M331" t="s">
        <v>1782</v>
      </c>
      <c r="N331" t="s">
        <v>1942</v>
      </c>
      <c r="O331" t="s">
        <v>2029</v>
      </c>
      <c r="R331" t="s">
        <v>2062</v>
      </c>
      <c r="S331" t="s">
        <v>2064</v>
      </c>
      <c r="T331" t="s">
        <v>2065</v>
      </c>
      <c r="U331" t="s">
        <v>2073</v>
      </c>
      <c r="V331" t="s">
        <v>134</v>
      </c>
      <c r="W331">
        <v>1100</v>
      </c>
      <c r="X331" t="s">
        <v>2088</v>
      </c>
      <c r="Y331" t="s">
        <v>2101</v>
      </c>
      <c r="AA331" t="s">
        <v>2434</v>
      </c>
      <c r="AB331" t="s">
        <v>1799</v>
      </c>
      <c r="AC331" t="s">
        <v>3015</v>
      </c>
      <c r="AD331">
        <v>3</v>
      </c>
      <c r="AE331" t="s">
        <v>2704</v>
      </c>
      <c r="AF331" t="s">
        <v>1783</v>
      </c>
      <c r="AG331">
        <v>14</v>
      </c>
      <c r="AH331">
        <v>1</v>
      </c>
      <c r="AI331">
        <v>0</v>
      </c>
      <c r="AJ331">
        <v>124.9</v>
      </c>
      <c r="AM331" t="s">
        <v>3248</v>
      </c>
      <c r="AN331">
        <v>15600</v>
      </c>
    </row>
    <row r="332" spans="1:40">
      <c r="A332" s="1">
        <f>HYPERLINK("https://lsnyc.legalserver.org/matter/dynamic-profile/view/1904914","19-1904914")</f>
        <v>0</v>
      </c>
      <c r="B332" t="s">
        <v>83</v>
      </c>
      <c r="C332" t="s">
        <v>176</v>
      </c>
      <c r="E332" t="s">
        <v>511</v>
      </c>
      <c r="F332" t="s">
        <v>819</v>
      </c>
      <c r="G332" t="s">
        <v>1217</v>
      </c>
      <c r="H332">
        <v>4</v>
      </c>
      <c r="I332" t="s">
        <v>1754</v>
      </c>
      <c r="J332">
        <v>10033</v>
      </c>
      <c r="K332" t="s">
        <v>1779</v>
      </c>
      <c r="L332" t="s">
        <v>1781</v>
      </c>
      <c r="M332" t="s">
        <v>1782</v>
      </c>
      <c r="O332" t="s">
        <v>2034</v>
      </c>
      <c r="P332" t="s">
        <v>2052</v>
      </c>
      <c r="R332" t="s">
        <v>2062</v>
      </c>
      <c r="S332" t="s">
        <v>1780</v>
      </c>
      <c r="T332" t="s">
        <v>2065</v>
      </c>
      <c r="V332" t="s">
        <v>176</v>
      </c>
      <c r="W332">
        <v>529</v>
      </c>
      <c r="X332" t="s">
        <v>2091</v>
      </c>
      <c r="Y332" t="s">
        <v>2099</v>
      </c>
      <c r="AA332" t="s">
        <v>2435</v>
      </c>
      <c r="AC332" t="s">
        <v>3016</v>
      </c>
      <c r="AD332">
        <v>20</v>
      </c>
      <c r="AE332" t="s">
        <v>3223</v>
      </c>
      <c r="AF332" t="s">
        <v>1783</v>
      </c>
      <c r="AG332">
        <v>2</v>
      </c>
      <c r="AH332">
        <v>1</v>
      </c>
      <c r="AI332">
        <v>0</v>
      </c>
      <c r="AJ332">
        <v>124.9</v>
      </c>
      <c r="AM332" t="s">
        <v>3248</v>
      </c>
      <c r="AN332">
        <v>15600</v>
      </c>
    </row>
    <row r="333" spans="1:40">
      <c r="A333" s="1">
        <f>HYPERLINK("https://lsnyc.legalserver.org/matter/dynamic-profile/view/1907558","19-1907558")</f>
        <v>0</v>
      </c>
      <c r="B333" t="s">
        <v>85</v>
      </c>
      <c r="C333" t="s">
        <v>149</v>
      </c>
      <c r="E333" t="s">
        <v>512</v>
      </c>
      <c r="F333" t="s">
        <v>941</v>
      </c>
      <c r="G333" t="s">
        <v>1386</v>
      </c>
      <c r="H333" t="s">
        <v>1684</v>
      </c>
      <c r="I333" t="s">
        <v>1772</v>
      </c>
      <c r="J333">
        <v>10301</v>
      </c>
      <c r="K333" t="s">
        <v>1779</v>
      </c>
      <c r="L333" t="s">
        <v>1781</v>
      </c>
      <c r="M333" t="s">
        <v>1782</v>
      </c>
      <c r="N333" t="s">
        <v>1943</v>
      </c>
      <c r="O333" t="s">
        <v>2030</v>
      </c>
      <c r="P333" t="s">
        <v>2051</v>
      </c>
      <c r="R333" t="s">
        <v>2062</v>
      </c>
      <c r="S333" t="s">
        <v>1780</v>
      </c>
      <c r="T333" t="s">
        <v>2065</v>
      </c>
      <c r="U333" t="s">
        <v>2073</v>
      </c>
      <c r="V333" t="s">
        <v>149</v>
      </c>
      <c r="W333">
        <v>1599</v>
      </c>
      <c r="X333" t="s">
        <v>2090</v>
      </c>
      <c r="Y333" t="s">
        <v>2109</v>
      </c>
      <c r="AA333" t="s">
        <v>2436</v>
      </c>
      <c r="AC333" t="s">
        <v>3017</v>
      </c>
      <c r="AD333">
        <v>224</v>
      </c>
      <c r="AE333" t="s">
        <v>3223</v>
      </c>
      <c r="AF333" t="s">
        <v>1783</v>
      </c>
      <c r="AG333">
        <v>1</v>
      </c>
      <c r="AH333">
        <v>2</v>
      </c>
      <c r="AI333">
        <v>0</v>
      </c>
      <c r="AJ333">
        <v>125.25</v>
      </c>
      <c r="AM333" t="s">
        <v>3248</v>
      </c>
      <c r="AN333">
        <v>21180</v>
      </c>
    </row>
    <row r="334" spans="1:40">
      <c r="A334" s="1">
        <f>HYPERLINK("https://lsnyc.legalserver.org/matter/dynamic-profile/view/1906581","19-1906581")</f>
        <v>0</v>
      </c>
      <c r="B334" t="s">
        <v>46</v>
      </c>
      <c r="C334" t="s">
        <v>165</v>
      </c>
      <c r="E334" t="s">
        <v>398</v>
      </c>
      <c r="F334" t="s">
        <v>942</v>
      </c>
      <c r="G334" t="s">
        <v>1387</v>
      </c>
      <c r="H334" t="s">
        <v>1570</v>
      </c>
      <c r="I334" t="s">
        <v>1773</v>
      </c>
      <c r="J334">
        <v>11372</v>
      </c>
      <c r="K334" t="s">
        <v>1779</v>
      </c>
      <c r="L334" t="s">
        <v>1781</v>
      </c>
      <c r="M334" t="s">
        <v>1782</v>
      </c>
      <c r="N334" t="s">
        <v>1944</v>
      </c>
      <c r="O334" t="s">
        <v>2029</v>
      </c>
      <c r="P334" t="s">
        <v>2051</v>
      </c>
      <c r="R334" t="s">
        <v>2062</v>
      </c>
      <c r="S334" t="s">
        <v>1780</v>
      </c>
      <c r="T334" t="s">
        <v>2065</v>
      </c>
      <c r="U334" t="s">
        <v>2073</v>
      </c>
      <c r="V334" t="s">
        <v>165</v>
      </c>
      <c r="W334">
        <v>1150</v>
      </c>
      <c r="X334" t="s">
        <v>2087</v>
      </c>
      <c r="Y334" t="s">
        <v>2092</v>
      </c>
      <c r="AA334" t="s">
        <v>2437</v>
      </c>
      <c r="AB334" t="s">
        <v>2727</v>
      </c>
      <c r="AC334" t="s">
        <v>3018</v>
      </c>
      <c r="AD334">
        <v>101</v>
      </c>
      <c r="AE334" t="s">
        <v>3223</v>
      </c>
      <c r="AF334" t="s">
        <v>1783</v>
      </c>
      <c r="AG334">
        <v>22</v>
      </c>
      <c r="AH334">
        <v>3</v>
      </c>
      <c r="AI334">
        <v>0</v>
      </c>
      <c r="AJ334">
        <v>127.52</v>
      </c>
      <c r="AM334" t="s">
        <v>3249</v>
      </c>
      <c r="AN334">
        <v>27200</v>
      </c>
    </row>
    <row r="335" spans="1:40">
      <c r="A335" s="1">
        <f>HYPERLINK("https://lsnyc.legalserver.org/matter/dynamic-profile/view/1910351","19-1910351")</f>
        <v>0</v>
      </c>
      <c r="B335" t="s">
        <v>91</v>
      </c>
      <c r="C335" t="s">
        <v>192</v>
      </c>
      <c r="E335" t="s">
        <v>513</v>
      </c>
      <c r="F335" t="s">
        <v>943</v>
      </c>
      <c r="G335" t="s">
        <v>1210</v>
      </c>
      <c r="H335" t="s">
        <v>1548</v>
      </c>
      <c r="I335" t="s">
        <v>1749</v>
      </c>
      <c r="J335">
        <v>11212</v>
      </c>
      <c r="K335" t="s">
        <v>1779</v>
      </c>
      <c r="L335" t="s">
        <v>1781</v>
      </c>
      <c r="M335" t="s">
        <v>1782</v>
      </c>
      <c r="N335" t="s">
        <v>1786</v>
      </c>
      <c r="O335" t="s">
        <v>2033</v>
      </c>
      <c r="P335" t="s">
        <v>2055</v>
      </c>
      <c r="R335" t="s">
        <v>2062</v>
      </c>
      <c r="S335" t="s">
        <v>1779</v>
      </c>
      <c r="T335" t="s">
        <v>2065</v>
      </c>
      <c r="U335" t="s">
        <v>2073</v>
      </c>
      <c r="V335" t="s">
        <v>148</v>
      </c>
      <c r="W335">
        <v>1326</v>
      </c>
      <c r="X335" t="s">
        <v>2088</v>
      </c>
      <c r="Y335" t="s">
        <v>2101</v>
      </c>
      <c r="AA335" t="s">
        <v>2438</v>
      </c>
      <c r="AB335" t="s">
        <v>1799</v>
      </c>
      <c r="AC335" t="s">
        <v>3019</v>
      </c>
      <c r="AD335">
        <v>4</v>
      </c>
      <c r="AE335" t="s">
        <v>2704</v>
      </c>
      <c r="AF335" t="s">
        <v>1783</v>
      </c>
      <c r="AG335">
        <v>9</v>
      </c>
      <c r="AH335">
        <v>2</v>
      </c>
      <c r="AI335">
        <v>0</v>
      </c>
      <c r="AJ335">
        <v>127.74</v>
      </c>
      <c r="AM335" t="s">
        <v>3248</v>
      </c>
      <c r="AN335">
        <v>21600</v>
      </c>
    </row>
    <row r="336" spans="1:40">
      <c r="A336" s="1">
        <f>HYPERLINK("https://lsnyc.legalserver.org/matter/dynamic-profile/view/1907929","19-1907929")</f>
        <v>0</v>
      </c>
      <c r="B336" t="s">
        <v>124</v>
      </c>
      <c r="C336" t="s">
        <v>155</v>
      </c>
      <c r="E336" t="s">
        <v>452</v>
      </c>
      <c r="F336" t="s">
        <v>944</v>
      </c>
      <c r="G336" t="s">
        <v>1388</v>
      </c>
      <c r="I336" t="s">
        <v>1756</v>
      </c>
      <c r="J336">
        <v>11358</v>
      </c>
      <c r="K336" t="s">
        <v>1779</v>
      </c>
      <c r="L336" t="s">
        <v>1781</v>
      </c>
      <c r="M336" t="s">
        <v>1782</v>
      </c>
      <c r="N336" t="s">
        <v>1945</v>
      </c>
      <c r="O336" t="s">
        <v>2029</v>
      </c>
      <c r="P336" t="s">
        <v>2051</v>
      </c>
      <c r="R336" t="s">
        <v>2062</v>
      </c>
      <c r="S336" t="s">
        <v>1780</v>
      </c>
      <c r="T336" t="s">
        <v>2065</v>
      </c>
      <c r="U336" t="s">
        <v>2073</v>
      </c>
      <c r="V336" t="s">
        <v>155</v>
      </c>
      <c r="W336">
        <v>1</v>
      </c>
      <c r="X336" t="s">
        <v>2087</v>
      </c>
      <c r="Y336" t="s">
        <v>2092</v>
      </c>
      <c r="AA336" t="s">
        <v>2439</v>
      </c>
      <c r="AC336" t="s">
        <v>3020</v>
      </c>
      <c r="AD336">
        <v>1</v>
      </c>
      <c r="AE336" t="s">
        <v>2704</v>
      </c>
      <c r="AF336" t="s">
        <v>1783</v>
      </c>
      <c r="AG336">
        <v>8</v>
      </c>
      <c r="AH336">
        <v>3</v>
      </c>
      <c r="AI336">
        <v>1</v>
      </c>
      <c r="AJ336">
        <v>127.77</v>
      </c>
      <c r="AM336" t="s">
        <v>3259</v>
      </c>
      <c r="AN336">
        <v>32900</v>
      </c>
    </row>
    <row r="337" spans="1:40">
      <c r="A337" s="1">
        <f>HYPERLINK("https://lsnyc.legalserver.org/matter/dynamic-profile/view/1900774","19-1900774")</f>
        <v>0</v>
      </c>
      <c r="B337" t="s">
        <v>89</v>
      </c>
      <c r="C337" t="s">
        <v>225</v>
      </c>
      <c r="E337" t="s">
        <v>514</v>
      </c>
      <c r="F337" t="s">
        <v>397</v>
      </c>
      <c r="G337" t="s">
        <v>1389</v>
      </c>
      <c r="H337" t="s">
        <v>1685</v>
      </c>
      <c r="I337" t="s">
        <v>1748</v>
      </c>
      <c r="J337">
        <v>11368</v>
      </c>
      <c r="K337" t="s">
        <v>1779</v>
      </c>
      <c r="L337" t="s">
        <v>1781</v>
      </c>
      <c r="M337" t="s">
        <v>1782</v>
      </c>
      <c r="N337" t="s">
        <v>1946</v>
      </c>
      <c r="O337" t="s">
        <v>2032</v>
      </c>
      <c r="P337" t="s">
        <v>2053</v>
      </c>
      <c r="R337" t="s">
        <v>2062</v>
      </c>
      <c r="S337" t="s">
        <v>1779</v>
      </c>
      <c r="T337" t="s">
        <v>2065</v>
      </c>
      <c r="U337" t="s">
        <v>2073</v>
      </c>
      <c r="V337" t="s">
        <v>246</v>
      </c>
      <c r="W337">
        <v>940</v>
      </c>
      <c r="X337" t="s">
        <v>2087</v>
      </c>
      <c r="Y337" t="s">
        <v>2094</v>
      </c>
      <c r="AA337" t="s">
        <v>2440</v>
      </c>
      <c r="AB337" t="s">
        <v>2712</v>
      </c>
      <c r="AC337" t="s">
        <v>3021</v>
      </c>
      <c r="AD337">
        <v>50</v>
      </c>
      <c r="AE337" t="s">
        <v>3223</v>
      </c>
      <c r="AF337" t="s">
        <v>1783</v>
      </c>
      <c r="AG337">
        <v>19</v>
      </c>
      <c r="AH337">
        <v>1</v>
      </c>
      <c r="AI337">
        <v>0</v>
      </c>
      <c r="AJ337">
        <v>129.7</v>
      </c>
      <c r="AM337" t="s">
        <v>3248</v>
      </c>
      <c r="AN337">
        <v>16200</v>
      </c>
    </row>
    <row r="338" spans="1:40">
      <c r="A338" s="1">
        <f>HYPERLINK("https://lsnyc.legalserver.org/matter/dynamic-profile/view/1905941","19-1905941")</f>
        <v>0</v>
      </c>
      <c r="B338" t="s">
        <v>120</v>
      </c>
      <c r="C338" t="s">
        <v>186</v>
      </c>
      <c r="E338" t="s">
        <v>248</v>
      </c>
      <c r="F338" t="s">
        <v>945</v>
      </c>
      <c r="G338" t="s">
        <v>1309</v>
      </c>
      <c r="H338" t="s">
        <v>1686</v>
      </c>
      <c r="I338" t="s">
        <v>1749</v>
      </c>
      <c r="J338">
        <v>11213</v>
      </c>
      <c r="K338" t="s">
        <v>1779</v>
      </c>
      <c r="L338" t="s">
        <v>1781</v>
      </c>
      <c r="M338" t="s">
        <v>1782</v>
      </c>
      <c r="N338" t="s">
        <v>1792</v>
      </c>
      <c r="O338" t="s">
        <v>1793</v>
      </c>
      <c r="P338" t="s">
        <v>2052</v>
      </c>
      <c r="R338" t="s">
        <v>2062</v>
      </c>
      <c r="S338" t="s">
        <v>1780</v>
      </c>
      <c r="T338" t="s">
        <v>2065</v>
      </c>
      <c r="U338" t="s">
        <v>2073</v>
      </c>
      <c r="V338" t="s">
        <v>145</v>
      </c>
      <c r="W338">
        <v>1139.5</v>
      </c>
      <c r="X338" t="s">
        <v>2088</v>
      </c>
      <c r="Y338" t="s">
        <v>2100</v>
      </c>
      <c r="AA338" t="s">
        <v>2441</v>
      </c>
      <c r="AB338" t="s">
        <v>1799</v>
      </c>
      <c r="AC338" t="s">
        <v>3022</v>
      </c>
      <c r="AD338">
        <v>34</v>
      </c>
      <c r="AE338" t="s">
        <v>3223</v>
      </c>
      <c r="AF338" t="s">
        <v>1783</v>
      </c>
      <c r="AG338">
        <v>1</v>
      </c>
      <c r="AH338">
        <v>1</v>
      </c>
      <c r="AI338">
        <v>1</v>
      </c>
      <c r="AJ338">
        <v>130.1</v>
      </c>
      <c r="AM338" t="s">
        <v>3248</v>
      </c>
      <c r="AN338">
        <v>22000</v>
      </c>
    </row>
    <row r="339" spans="1:40">
      <c r="A339" s="1">
        <f>HYPERLINK("https://lsnyc.legalserver.org/matter/dynamic-profile/view/1907870","19-1907870")</f>
        <v>0</v>
      </c>
      <c r="B339" t="s">
        <v>70</v>
      </c>
      <c r="C339" t="s">
        <v>208</v>
      </c>
      <c r="E339" t="s">
        <v>251</v>
      </c>
      <c r="F339" t="s">
        <v>800</v>
      </c>
      <c r="G339" t="s">
        <v>1390</v>
      </c>
      <c r="H339" t="s">
        <v>1576</v>
      </c>
      <c r="I339" t="s">
        <v>1754</v>
      </c>
      <c r="J339">
        <v>10035</v>
      </c>
      <c r="K339" t="s">
        <v>1779</v>
      </c>
      <c r="L339" t="s">
        <v>1781</v>
      </c>
      <c r="M339" t="s">
        <v>1782</v>
      </c>
      <c r="O339" t="s">
        <v>1793</v>
      </c>
      <c r="P339" t="s">
        <v>2055</v>
      </c>
      <c r="R339" t="s">
        <v>2062</v>
      </c>
      <c r="S339" t="s">
        <v>1780</v>
      </c>
      <c r="T339" t="s">
        <v>2065</v>
      </c>
      <c r="U339" t="s">
        <v>2073</v>
      </c>
      <c r="V339" t="s">
        <v>208</v>
      </c>
      <c r="W339">
        <v>1530</v>
      </c>
      <c r="X339" t="s">
        <v>2091</v>
      </c>
      <c r="Y339" t="s">
        <v>2094</v>
      </c>
      <c r="AA339" t="s">
        <v>2442</v>
      </c>
      <c r="AC339" t="s">
        <v>3023</v>
      </c>
      <c r="AD339">
        <v>16</v>
      </c>
      <c r="AE339" t="s">
        <v>3223</v>
      </c>
      <c r="AF339" t="s">
        <v>1783</v>
      </c>
      <c r="AG339">
        <v>4</v>
      </c>
      <c r="AH339">
        <v>1</v>
      </c>
      <c r="AI339">
        <v>1</v>
      </c>
      <c r="AJ339">
        <v>130.1</v>
      </c>
      <c r="AM339" t="s">
        <v>3248</v>
      </c>
      <c r="AN339">
        <v>22000</v>
      </c>
    </row>
    <row r="340" spans="1:40">
      <c r="A340" s="1">
        <f>HYPERLINK("https://lsnyc.legalserver.org/matter/dynamic-profile/view/1905438","19-1905438")</f>
        <v>0</v>
      </c>
      <c r="B340" t="s">
        <v>63</v>
      </c>
      <c r="C340" t="s">
        <v>172</v>
      </c>
      <c r="D340" t="s">
        <v>184</v>
      </c>
      <c r="E340" t="s">
        <v>515</v>
      </c>
      <c r="F340" t="s">
        <v>946</v>
      </c>
      <c r="G340" t="s">
        <v>1391</v>
      </c>
      <c r="H340" t="s">
        <v>1554</v>
      </c>
      <c r="I340" t="s">
        <v>1752</v>
      </c>
      <c r="J340">
        <v>10452</v>
      </c>
      <c r="K340" t="s">
        <v>1779</v>
      </c>
      <c r="L340" t="s">
        <v>1781</v>
      </c>
      <c r="M340" t="s">
        <v>1782</v>
      </c>
      <c r="N340" t="s">
        <v>1799</v>
      </c>
      <c r="O340" t="s">
        <v>1793</v>
      </c>
      <c r="P340" t="s">
        <v>2055</v>
      </c>
      <c r="Q340" t="s">
        <v>2059</v>
      </c>
      <c r="R340" t="s">
        <v>2062</v>
      </c>
      <c r="S340" t="s">
        <v>1780</v>
      </c>
      <c r="T340" t="s">
        <v>2065</v>
      </c>
      <c r="V340" t="s">
        <v>161</v>
      </c>
      <c r="W340">
        <v>718.41</v>
      </c>
      <c r="X340" t="s">
        <v>2089</v>
      </c>
      <c r="Y340" t="s">
        <v>2100</v>
      </c>
      <c r="Z340" t="s">
        <v>2117</v>
      </c>
      <c r="AA340" t="s">
        <v>2443</v>
      </c>
      <c r="AC340" t="s">
        <v>3024</v>
      </c>
      <c r="AD340">
        <v>61</v>
      </c>
      <c r="AE340" t="s">
        <v>3223</v>
      </c>
      <c r="AF340" t="s">
        <v>3238</v>
      </c>
      <c r="AG340">
        <v>30</v>
      </c>
      <c r="AH340">
        <v>1</v>
      </c>
      <c r="AI340">
        <v>0</v>
      </c>
      <c r="AJ340">
        <v>131.43</v>
      </c>
      <c r="AM340" t="s">
        <v>3248</v>
      </c>
      <c r="AN340">
        <v>16416</v>
      </c>
    </row>
    <row r="341" spans="1:40">
      <c r="A341" s="1">
        <f>HYPERLINK("https://lsnyc.legalserver.org/matter/dynamic-profile/view/1905933","19-1905933")</f>
        <v>0</v>
      </c>
      <c r="B341" t="s">
        <v>94</v>
      </c>
      <c r="C341" t="s">
        <v>186</v>
      </c>
      <c r="D341" t="s">
        <v>143</v>
      </c>
      <c r="E341" t="s">
        <v>516</v>
      </c>
      <c r="F341" t="s">
        <v>947</v>
      </c>
      <c r="G341" t="s">
        <v>1392</v>
      </c>
      <c r="H341" t="s">
        <v>1576</v>
      </c>
      <c r="I341" t="s">
        <v>1754</v>
      </c>
      <c r="J341">
        <v>10035</v>
      </c>
      <c r="K341" t="s">
        <v>1779</v>
      </c>
      <c r="L341" t="s">
        <v>1781</v>
      </c>
      <c r="M341" t="s">
        <v>1782</v>
      </c>
      <c r="N341" t="s">
        <v>1947</v>
      </c>
      <c r="O341" t="s">
        <v>2029</v>
      </c>
      <c r="P341" t="s">
        <v>2050</v>
      </c>
      <c r="Q341" t="s">
        <v>2057</v>
      </c>
      <c r="R341" t="s">
        <v>2062</v>
      </c>
      <c r="S341" t="s">
        <v>1780</v>
      </c>
      <c r="T341" t="s">
        <v>2065</v>
      </c>
      <c r="V341" t="s">
        <v>186</v>
      </c>
      <c r="W341">
        <v>1139.4</v>
      </c>
      <c r="X341" t="s">
        <v>2091</v>
      </c>
      <c r="Y341" t="s">
        <v>2100</v>
      </c>
      <c r="Z341" t="s">
        <v>2110</v>
      </c>
      <c r="AA341" t="s">
        <v>2444</v>
      </c>
      <c r="AC341" t="s">
        <v>3025</v>
      </c>
      <c r="AD341">
        <v>13</v>
      </c>
      <c r="AE341" t="s">
        <v>3223</v>
      </c>
      <c r="AF341" t="s">
        <v>1783</v>
      </c>
      <c r="AG341">
        <v>10</v>
      </c>
      <c r="AH341">
        <v>2</v>
      </c>
      <c r="AI341">
        <v>1</v>
      </c>
      <c r="AJ341">
        <v>131.65</v>
      </c>
      <c r="AM341" t="s">
        <v>3249</v>
      </c>
      <c r="AN341">
        <v>28080</v>
      </c>
    </row>
    <row r="342" spans="1:40">
      <c r="A342" s="1">
        <f>HYPERLINK("https://lsnyc.legalserver.org/matter/dynamic-profile/view/1910830","19-1910830")</f>
        <v>0</v>
      </c>
      <c r="B342" t="s">
        <v>59</v>
      </c>
      <c r="C342" t="s">
        <v>180</v>
      </c>
      <c r="E342" t="s">
        <v>517</v>
      </c>
      <c r="F342" t="s">
        <v>948</v>
      </c>
      <c r="G342" t="s">
        <v>1186</v>
      </c>
      <c r="H342" t="s">
        <v>1687</v>
      </c>
      <c r="I342" t="s">
        <v>1749</v>
      </c>
      <c r="J342">
        <v>11225</v>
      </c>
      <c r="K342" t="s">
        <v>1779</v>
      </c>
      <c r="L342" t="s">
        <v>1781</v>
      </c>
      <c r="M342" t="s">
        <v>1782</v>
      </c>
      <c r="P342" t="s">
        <v>2053</v>
      </c>
      <c r="R342" t="s">
        <v>2062</v>
      </c>
      <c r="S342" t="s">
        <v>1779</v>
      </c>
      <c r="T342" t="s">
        <v>2065</v>
      </c>
      <c r="V342" t="s">
        <v>177</v>
      </c>
      <c r="W342">
        <v>0</v>
      </c>
      <c r="X342" t="s">
        <v>2088</v>
      </c>
      <c r="AA342" t="s">
        <v>2445</v>
      </c>
      <c r="AC342" t="s">
        <v>3026</v>
      </c>
      <c r="AD342">
        <v>0</v>
      </c>
      <c r="AG342">
        <v>0</v>
      </c>
      <c r="AH342">
        <v>1</v>
      </c>
      <c r="AI342">
        <v>1</v>
      </c>
      <c r="AJ342">
        <v>131.99</v>
      </c>
      <c r="AM342" t="s">
        <v>3248</v>
      </c>
      <c r="AN342">
        <v>22320</v>
      </c>
    </row>
    <row r="343" spans="1:40">
      <c r="A343" s="1">
        <f>HYPERLINK("https://lsnyc.legalserver.org/matter/dynamic-profile/view/1910172","19-1910172")</f>
        <v>0</v>
      </c>
      <c r="B343" t="s">
        <v>69</v>
      </c>
      <c r="C343" t="s">
        <v>203</v>
      </c>
      <c r="E343" t="s">
        <v>477</v>
      </c>
      <c r="F343" t="s">
        <v>785</v>
      </c>
      <c r="G343" t="s">
        <v>1348</v>
      </c>
      <c r="H343" t="s">
        <v>1661</v>
      </c>
      <c r="I343" t="s">
        <v>1749</v>
      </c>
      <c r="J343">
        <v>11212</v>
      </c>
      <c r="K343" t="s">
        <v>1779</v>
      </c>
      <c r="L343" t="s">
        <v>1781</v>
      </c>
      <c r="M343" t="s">
        <v>1782</v>
      </c>
      <c r="N343" t="s">
        <v>1948</v>
      </c>
      <c r="O343" t="s">
        <v>2030</v>
      </c>
      <c r="P343" t="s">
        <v>2050</v>
      </c>
      <c r="R343" t="s">
        <v>2062</v>
      </c>
      <c r="S343" t="s">
        <v>1780</v>
      </c>
      <c r="T343" t="s">
        <v>2065</v>
      </c>
      <c r="U343" t="s">
        <v>2073</v>
      </c>
      <c r="V343" t="s">
        <v>203</v>
      </c>
      <c r="W343">
        <v>1643.13</v>
      </c>
      <c r="X343" t="s">
        <v>2088</v>
      </c>
      <c r="Y343" t="s">
        <v>2101</v>
      </c>
      <c r="AA343" t="s">
        <v>2387</v>
      </c>
      <c r="AB343" t="s">
        <v>1783</v>
      </c>
      <c r="AC343" t="s">
        <v>2970</v>
      </c>
      <c r="AD343">
        <v>38</v>
      </c>
      <c r="AE343" t="s">
        <v>3223</v>
      </c>
      <c r="AF343" t="s">
        <v>1783</v>
      </c>
      <c r="AG343">
        <v>9</v>
      </c>
      <c r="AH343">
        <v>4</v>
      </c>
      <c r="AI343">
        <v>0</v>
      </c>
      <c r="AJ343">
        <v>132.04</v>
      </c>
      <c r="AM343" t="s">
        <v>3248</v>
      </c>
      <c r="AN343">
        <v>34000</v>
      </c>
    </row>
    <row r="344" spans="1:40">
      <c r="A344" s="1">
        <f>HYPERLINK("https://lsnyc.legalserver.org/matter/dynamic-profile/view/1908419","19-1908419")</f>
        <v>0</v>
      </c>
      <c r="B344" t="s">
        <v>57</v>
      </c>
      <c r="C344" t="s">
        <v>195</v>
      </c>
      <c r="E344" t="s">
        <v>518</v>
      </c>
      <c r="F344" t="s">
        <v>949</v>
      </c>
      <c r="G344" t="s">
        <v>1393</v>
      </c>
      <c r="H344" t="s">
        <v>1688</v>
      </c>
      <c r="I344" t="s">
        <v>1749</v>
      </c>
      <c r="J344">
        <v>11219</v>
      </c>
      <c r="K344" t="s">
        <v>1779</v>
      </c>
      <c r="L344" t="s">
        <v>1781</v>
      </c>
      <c r="M344" t="s">
        <v>1782</v>
      </c>
      <c r="N344" t="s">
        <v>1949</v>
      </c>
      <c r="O344" t="s">
        <v>2029</v>
      </c>
      <c r="P344" t="s">
        <v>2051</v>
      </c>
      <c r="R344" t="s">
        <v>2062</v>
      </c>
      <c r="S344" t="s">
        <v>1780</v>
      </c>
      <c r="T344" t="s">
        <v>2065</v>
      </c>
      <c r="U344" t="s">
        <v>2073</v>
      </c>
      <c r="V344" t="s">
        <v>155</v>
      </c>
      <c r="W344">
        <v>1000</v>
      </c>
      <c r="X344" t="s">
        <v>2088</v>
      </c>
      <c r="Y344" t="s">
        <v>2102</v>
      </c>
      <c r="AA344" t="s">
        <v>2446</v>
      </c>
      <c r="AB344" t="s">
        <v>1783</v>
      </c>
      <c r="AC344" t="s">
        <v>3027</v>
      </c>
      <c r="AD344">
        <v>35</v>
      </c>
      <c r="AE344" t="s">
        <v>3223</v>
      </c>
      <c r="AF344" t="s">
        <v>1783</v>
      </c>
      <c r="AG344">
        <v>12</v>
      </c>
      <c r="AH344">
        <v>4</v>
      </c>
      <c r="AI344">
        <v>0</v>
      </c>
      <c r="AJ344">
        <v>132.82</v>
      </c>
      <c r="AM344" t="s">
        <v>3249</v>
      </c>
      <c r="AN344">
        <v>34200</v>
      </c>
    </row>
    <row r="345" spans="1:40">
      <c r="A345" s="1">
        <f>HYPERLINK("https://lsnyc.legalserver.org/matter/dynamic-profile/view/1907818","19-1907818")</f>
        <v>0</v>
      </c>
      <c r="B345" t="s">
        <v>72</v>
      </c>
      <c r="C345" t="s">
        <v>208</v>
      </c>
      <c r="E345" t="s">
        <v>519</v>
      </c>
      <c r="F345" t="s">
        <v>950</v>
      </c>
      <c r="G345" t="s">
        <v>1296</v>
      </c>
      <c r="H345" t="s">
        <v>1636</v>
      </c>
      <c r="I345" t="s">
        <v>1761</v>
      </c>
      <c r="J345">
        <v>11377</v>
      </c>
      <c r="K345" t="s">
        <v>1779</v>
      </c>
      <c r="L345" t="s">
        <v>1781</v>
      </c>
      <c r="M345" t="s">
        <v>1782</v>
      </c>
      <c r="N345" t="s">
        <v>1888</v>
      </c>
      <c r="O345" t="s">
        <v>2032</v>
      </c>
      <c r="P345" t="s">
        <v>2053</v>
      </c>
      <c r="R345" t="s">
        <v>2062</v>
      </c>
      <c r="S345" t="s">
        <v>1779</v>
      </c>
      <c r="T345" t="s">
        <v>2065</v>
      </c>
      <c r="V345" t="s">
        <v>208</v>
      </c>
      <c r="W345">
        <v>0</v>
      </c>
      <c r="X345" t="s">
        <v>2087</v>
      </c>
      <c r="Y345" t="s">
        <v>2100</v>
      </c>
      <c r="AA345" t="s">
        <v>2447</v>
      </c>
      <c r="AC345" t="s">
        <v>3028</v>
      </c>
      <c r="AD345">
        <v>66</v>
      </c>
      <c r="AE345" t="s">
        <v>3223</v>
      </c>
      <c r="AF345" t="s">
        <v>1783</v>
      </c>
      <c r="AG345">
        <v>8</v>
      </c>
      <c r="AH345">
        <v>1</v>
      </c>
      <c r="AI345">
        <v>0</v>
      </c>
      <c r="AJ345">
        <v>133.23</v>
      </c>
      <c r="AM345" t="s">
        <v>3249</v>
      </c>
      <c r="AN345">
        <v>16640</v>
      </c>
    </row>
    <row r="346" spans="1:40">
      <c r="A346" s="1">
        <f>HYPERLINK("https://lsnyc.legalserver.org/matter/dynamic-profile/view/1903996","19-1903996")</f>
        <v>0</v>
      </c>
      <c r="B346" t="s">
        <v>82</v>
      </c>
      <c r="C346" t="s">
        <v>223</v>
      </c>
      <c r="E346" t="s">
        <v>520</v>
      </c>
      <c r="F346" t="s">
        <v>951</v>
      </c>
      <c r="G346" t="s">
        <v>1394</v>
      </c>
      <c r="H346" t="s">
        <v>1664</v>
      </c>
      <c r="I346" t="s">
        <v>1754</v>
      </c>
      <c r="J346">
        <v>10033</v>
      </c>
      <c r="K346" t="s">
        <v>1779</v>
      </c>
      <c r="L346" t="s">
        <v>1781</v>
      </c>
      <c r="M346" t="s">
        <v>1782</v>
      </c>
      <c r="O346" t="s">
        <v>2045</v>
      </c>
      <c r="P346" t="s">
        <v>2055</v>
      </c>
      <c r="R346" t="s">
        <v>2062</v>
      </c>
      <c r="S346" t="s">
        <v>1780</v>
      </c>
      <c r="T346" t="s">
        <v>2065</v>
      </c>
      <c r="U346" t="s">
        <v>2073</v>
      </c>
      <c r="V346" t="s">
        <v>213</v>
      </c>
      <c r="W346">
        <v>2500</v>
      </c>
      <c r="X346" t="s">
        <v>2091</v>
      </c>
      <c r="Y346" t="s">
        <v>2099</v>
      </c>
      <c r="AA346" t="s">
        <v>2448</v>
      </c>
      <c r="AC346" t="s">
        <v>3029</v>
      </c>
      <c r="AD346">
        <v>95</v>
      </c>
      <c r="AE346" t="s">
        <v>3222</v>
      </c>
      <c r="AF346" t="s">
        <v>1783</v>
      </c>
      <c r="AG346">
        <v>7</v>
      </c>
      <c r="AH346">
        <v>2</v>
      </c>
      <c r="AI346">
        <v>1</v>
      </c>
      <c r="AJ346">
        <v>133.9</v>
      </c>
      <c r="AM346" t="s">
        <v>3248</v>
      </c>
      <c r="AN346">
        <v>28560</v>
      </c>
    </row>
    <row r="347" spans="1:40">
      <c r="A347" s="1">
        <f>HYPERLINK("https://lsnyc.legalserver.org/matter/dynamic-profile/view/1904455","19-1904455")</f>
        <v>0</v>
      </c>
      <c r="B347" t="s">
        <v>46</v>
      </c>
      <c r="C347" t="s">
        <v>191</v>
      </c>
      <c r="E347" t="s">
        <v>521</v>
      </c>
      <c r="F347" t="s">
        <v>952</v>
      </c>
      <c r="G347" t="s">
        <v>1395</v>
      </c>
      <c r="H347" t="s">
        <v>1604</v>
      </c>
      <c r="I347" t="s">
        <v>1774</v>
      </c>
      <c r="J347">
        <v>11415</v>
      </c>
      <c r="K347" t="s">
        <v>1779</v>
      </c>
      <c r="L347" t="s">
        <v>1781</v>
      </c>
      <c r="M347" t="s">
        <v>1782</v>
      </c>
      <c r="N347" t="s">
        <v>1950</v>
      </c>
      <c r="O347" t="s">
        <v>2030</v>
      </c>
      <c r="P347" t="s">
        <v>2051</v>
      </c>
      <c r="R347" t="s">
        <v>2062</v>
      </c>
      <c r="S347" t="s">
        <v>1780</v>
      </c>
      <c r="T347" t="s">
        <v>2065</v>
      </c>
      <c r="U347" t="s">
        <v>2076</v>
      </c>
      <c r="V347" t="s">
        <v>191</v>
      </c>
      <c r="W347">
        <v>1650</v>
      </c>
      <c r="X347" t="s">
        <v>2087</v>
      </c>
      <c r="Y347" t="s">
        <v>2102</v>
      </c>
      <c r="AA347" t="s">
        <v>2449</v>
      </c>
      <c r="AC347" t="s">
        <v>3030</v>
      </c>
      <c r="AD347">
        <v>70</v>
      </c>
      <c r="AE347" t="s">
        <v>3223</v>
      </c>
      <c r="AF347" t="s">
        <v>1783</v>
      </c>
      <c r="AG347">
        <v>1</v>
      </c>
      <c r="AH347">
        <v>1</v>
      </c>
      <c r="AI347">
        <v>0</v>
      </c>
      <c r="AJ347">
        <v>134.03</v>
      </c>
      <c r="AM347" t="s">
        <v>3248</v>
      </c>
      <c r="AN347">
        <v>16740</v>
      </c>
    </row>
    <row r="348" spans="1:40">
      <c r="A348" s="1">
        <f>HYPERLINK("https://lsnyc.legalserver.org/matter/dynamic-profile/view/1909521","19-1909521")</f>
        <v>0</v>
      </c>
      <c r="B348" t="s">
        <v>110</v>
      </c>
      <c r="C348" t="s">
        <v>138</v>
      </c>
      <c r="D348" t="s">
        <v>216</v>
      </c>
      <c r="E348" t="s">
        <v>522</v>
      </c>
      <c r="F348" t="s">
        <v>953</v>
      </c>
      <c r="G348" t="s">
        <v>1396</v>
      </c>
      <c r="H348">
        <v>41</v>
      </c>
      <c r="I348" t="s">
        <v>1754</v>
      </c>
      <c r="J348">
        <v>10033</v>
      </c>
      <c r="K348" t="s">
        <v>1779</v>
      </c>
      <c r="L348" t="s">
        <v>1781</v>
      </c>
      <c r="M348" t="s">
        <v>1782</v>
      </c>
      <c r="O348" t="s">
        <v>2034</v>
      </c>
      <c r="P348" t="s">
        <v>2050</v>
      </c>
      <c r="Q348" t="s">
        <v>2057</v>
      </c>
      <c r="R348" t="s">
        <v>2062</v>
      </c>
      <c r="S348" t="s">
        <v>1780</v>
      </c>
      <c r="T348" t="s">
        <v>2065</v>
      </c>
      <c r="V348" t="s">
        <v>138</v>
      </c>
      <c r="W348">
        <v>796.84</v>
      </c>
      <c r="X348" t="s">
        <v>2091</v>
      </c>
      <c r="Y348" t="s">
        <v>2101</v>
      </c>
      <c r="Z348" t="s">
        <v>2110</v>
      </c>
      <c r="AA348" t="s">
        <v>2450</v>
      </c>
      <c r="AC348" t="s">
        <v>3031</v>
      </c>
      <c r="AD348">
        <v>25</v>
      </c>
      <c r="AE348" t="s">
        <v>3223</v>
      </c>
      <c r="AF348" t="s">
        <v>1783</v>
      </c>
      <c r="AG348">
        <v>38</v>
      </c>
      <c r="AH348">
        <v>1</v>
      </c>
      <c r="AI348">
        <v>0</v>
      </c>
      <c r="AJ348">
        <v>134.32</v>
      </c>
      <c r="AM348" t="s">
        <v>3248</v>
      </c>
      <c r="AN348">
        <v>16776</v>
      </c>
    </row>
    <row r="349" spans="1:40">
      <c r="A349" s="1">
        <f>HYPERLINK("https://lsnyc.legalserver.org/matter/dynamic-profile/view/1901745","19-1901745")</f>
        <v>0</v>
      </c>
      <c r="B349" t="s">
        <v>69</v>
      </c>
      <c r="C349" t="s">
        <v>197</v>
      </c>
      <c r="E349" t="s">
        <v>523</v>
      </c>
      <c r="F349" t="s">
        <v>954</v>
      </c>
      <c r="G349" t="s">
        <v>1397</v>
      </c>
      <c r="H349" t="s">
        <v>1547</v>
      </c>
      <c r="I349" t="s">
        <v>1749</v>
      </c>
      <c r="J349">
        <v>11233</v>
      </c>
      <c r="K349" t="s">
        <v>1779</v>
      </c>
      <c r="L349" t="s">
        <v>1781</v>
      </c>
      <c r="M349" t="s">
        <v>1782</v>
      </c>
      <c r="N349" t="s">
        <v>1951</v>
      </c>
      <c r="O349" t="s">
        <v>2030</v>
      </c>
      <c r="P349" t="s">
        <v>2051</v>
      </c>
      <c r="R349" t="s">
        <v>2062</v>
      </c>
      <c r="S349" t="s">
        <v>1780</v>
      </c>
      <c r="T349" t="s">
        <v>2065</v>
      </c>
      <c r="U349" t="s">
        <v>2073</v>
      </c>
      <c r="V349" t="s">
        <v>161</v>
      </c>
      <c r="W349">
        <v>1032</v>
      </c>
      <c r="X349" t="s">
        <v>2088</v>
      </c>
      <c r="AA349" t="s">
        <v>2451</v>
      </c>
      <c r="AB349" t="s">
        <v>1799</v>
      </c>
      <c r="AC349" t="s">
        <v>3032</v>
      </c>
      <c r="AD349">
        <v>6</v>
      </c>
      <c r="AE349" t="s">
        <v>3223</v>
      </c>
      <c r="AF349" t="s">
        <v>1783</v>
      </c>
      <c r="AG349">
        <v>3</v>
      </c>
      <c r="AH349">
        <v>1</v>
      </c>
      <c r="AI349">
        <v>0</v>
      </c>
      <c r="AJ349">
        <v>134.51</v>
      </c>
      <c r="AM349" t="s">
        <v>3248</v>
      </c>
      <c r="AN349">
        <v>16800</v>
      </c>
    </row>
    <row r="350" spans="1:40">
      <c r="A350" s="1">
        <f>HYPERLINK("https://lsnyc.legalserver.org/matter/dynamic-profile/view/1905528","19-1905528")</f>
        <v>0</v>
      </c>
      <c r="B350" t="s">
        <v>73</v>
      </c>
      <c r="C350" t="s">
        <v>226</v>
      </c>
      <c r="D350" t="s">
        <v>159</v>
      </c>
      <c r="E350" t="s">
        <v>298</v>
      </c>
      <c r="F350" t="s">
        <v>737</v>
      </c>
      <c r="G350" t="s">
        <v>1398</v>
      </c>
      <c r="H350" t="s">
        <v>1619</v>
      </c>
      <c r="I350" t="s">
        <v>1752</v>
      </c>
      <c r="J350">
        <v>10463</v>
      </c>
      <c r="K350" t="s">
        <v>1779</v>
      </c>
      <c r="L350" t="s">
        <v>1781</v>
      </c>
      <c r="M350" t="s">
        <v>1784</v>
      </c>
      <c r="O350" t="s">
        <v>2034</v>
      </c>
      <c r="P350" t="s">
        <v>2050</v>
      </c>
      <c r="Q350" t="s">
        <v>2057</v>
      </c>
      <c r="R350" t="s">
        <v>2062</v>
      </c>
      <c r="S350" t="s">
        <v>1780</v>
      </c>
      <c r="T350" t="s">
        <v>2065</v>
      </c>
      <c r="V350" t="s">
        <v>226</v>
      </c>
      <c r="W350">
        <v>1300</v>
      </c>
      <c r="X350" t="s">
        <v>2091</v>
      </c>
      <c r="Y350" t="s">
        <v>2099</v>
      </c>
      <c r="Z350" t="s">
        <v>2110</v>
      </c>
      <c r="AA350" t="s">
        <v>2452</v>
      </c>
      <c r="AB350" t="s">
        <v>2728</v>
      </c>
      <c r="AC350" t="s">
        <v>3033</v>
      </c>
      <c r="AD350">
        <v>100</v>
      </c>
      <c r="AE350" t="s">
        <v>3223</v>
      </c>
      <c r="AF350" t="s">
        <v>1783</v>
      </c>
      <c r="AG350">
        <v>8</v>
      </c>
      <c r="AH350">
        <v>1</v>
      </c>
      <c r="AI350">
        <v>0</v>
      </c>
      <c r="AJ350">
        <v>134.51</v>
      </c>
      <c r="AM350" t="s">
        <v>3249</v>
      </c>
      <c r="AN350">
        <v>16800</v>
      </c>
    </row>
    <row r="351" spans="1:40">
      <c r="A351" s="1">
        <f>HYPERLINK("https://lsnyc.legalserver.org/matter/dynamic-profile/view/1910113","19-1910113")</f>
        <v>0</v>
      </c>
      <c r="B351" t="s">
        <v>82</v>
      </c>
      <c r="C351" t="s">
        <v>177</v>
      </c>
      <c r="E351" t="s">
        <v>524</v>
      </c>
      <c r="F351" t="s">
        <v>955</v>
      </c>
      <c r="G351" t="s">
        <v>1181</v>
      </c>
      <c r="I351" t="s">
        <v>1754</v>
      </c>
      <c r="J351">
        <v>10033</v>
      </c>
      <c r="K351" t="s">
        <v>1779</v>
      </c>
      <c r="L351" t="s">
        <v>1781</v>
      </c>
      <c r="M351" t="s">
        <v>1782</v>
      </c>
      <c r="O351" t="s">
        <v>2031</v>
      </c>
      <c r="P351" t="s">
        <v>2055</v>
      </c>
      <c r="R351" t="s">
        <v>2062</v>
      </c>
      <c r="S351" t="s">
        <v>1779</v>
      </c>
      <c r="T351" t="s">
        <v>2065</v>
      </c>
      <c r="V351" t="s">
        <v>177</v>
      </c>
      <c r="W351">
        <v>650</v>
      </c>
      <c r="X351" t="s">
        <v>2091</v>
      </c>
      <c r="Y351" t="s">
        <v>2099</v>
      </c>
      <c r="AA351" t="s">
        <v>2453</v>
      </c>
      <c r="AC351" t="s">
        <v>3034</v>
      </c>
      <c r="AD351">
        <v>12</v>
      </c>
      <c r="AE351" t="s">
        <v>3223</v>
      </c>
      <c r="AF351" t="s">
        <v>1783</v>
      </c>
      <c r="AG351">
        <v>1</v>
      </c>
      <c r="AH351">
        <v>1</v>
      </c>
      <c r="AI351">
        <v>0</v>
      </c>
      <c r="AJ351">
        <v>135.31</v>
      </c>
      <c r="AM351" t="s">
        <v>3248</v>
      </c>
      <c r="AN351">
        <v>16900</v>
      </c>
    </row>
    <row r="352" spans="1:40">
      <c r="A352" s="1">
        <f>HYPERLINK("https://lsnyc.legalserver.org/matter/dynamic-profile/view/1909523","19-1909523")</f>
        <v>0</v>
      </c>
      <c r="B352" t="s">
        <v>110</v>
      </c>
      <c r="C352" t="s">
        <v>138</v>
      </c>
      <c r="D352" t="s">
        <v>216</v>
      </c>
      <c r="E352" t="s">
        <v>298</v>
      </c>
      <c r="F352" t="s">
        <v>737</v>
      </c>
      <c r="G352" t="s">
        <v>1399</v>
      </c>
      <c r="H352" t="s">
        <v>1689</v>
      </c>
      <c r="I352" t="s">
        <v>1754</v>
      </c>
      <c r="J352">
        <v>10033</v>
      </c>
      <c r="K352" t="s">
        <v>1779</v>
      </c>
      <c r="L352" t="s">
        <v>1781</v>
      </c>
      <c r="M352" t="s">
        <v>1782</v>
      </c>
      <c r="O352" t="s">
        <v>2034</v>
      </c>
      <c r="P352" t="s">
        <v>2050</v>
      </c>
      <c r="Q352" t="s">
        <v>2057</v>
      </c>
      <c r="R352" t="s">
        <v>2062</v>
      </c>
      <c r="S352" t="s">
        <v>1780</v>
      </c>
      <c r="T352" t="s">
        <v>2065</v>
      </c>
      <c r="V352" t="s">
        <v>138</v>
      </c>
      <c r="W352">
        <v>110.53</v>
      </c>
      <c r="X352" t="s">
        <v>2091</v>
      </c>
      <c r="Y352" t="s">
        <v>2099</v>
      </c>
      <c r="Z352" t="s">
        <v>2110</v>
      </c>
      <c r="AA352" t="s">
        <v>2454</v>
      </c>
      <c r="AC352" t="s">
        <v>3035</v>
      </c>
      <c r="AD352">
        <v>22</v>
      </c>
      <c r="AE352" t="s">
        <v>2704</v>
      </c>
      <c r="AF352" t="s">
        <v>1783</v>
      </c>
      <c r="AG352">
        <v>23</v>
      </c>
      <c r="AH352">
        <v>2</v>
      </c>
      <c r="AI352">
        <v>2</v>
      </c>
      <c r="AJ352">
        <v>135.92</v>
      </c>
      <c r="AM352" t="s">
        <v>3249</v>
      </c>
      <c r="AN352">
        <v>35000</v>
      </c>
    </row>
    <row r="353" spans="1:40">
      <c r="A353" s="1">
        <f>HYPERLINK("https://lsnyc.legalserver.org/matter/dynamic-profile/view/1909517","19-1909517")</f>
        <v>0</v>
      </c>
      <c r="B353" t="s">
        <v>110</v>
      </c>
      <c r="C353" t="s">
        <v>138</v>
      </c>
      <c r="D353" t="s">
        <v>216</v>
      </c>
      <c r="E353" t="s">
        <v>525</v>
      </c>
      <c r="F353" t="s">
        <v>804</v>
      </c>
      <c r="G353" t="s">
        <v>1400</v>
      </c>
      <c r="H353">
        <v>23</v>
      </c>
      <c r="I353" t="s">
        <v>1754</v>
      </c>
      <c r="J353">
        <v>10033</v>
      </c>
      <c r="K353" t="s">
        <v>1779</v>
      </c>
      <c r="L353" t="s">
        <v>1781</v>
      </c>
      <c r="M353" t="s">
        <v>1782</v>
      </c>
      <c r="O353" t="s">
        <v>2034</v>
      </c>
      <c r="P353" t="s">
        <v>2050</v>
      </c>
      <c r="Q353" t="s">
        <v>2057</v>
      </c>
      <c r="R353" t="s">
        <v>2062</v>
      </c>
      <c r="S353" t="s">
        <v>1780</v>
      </c>
      <c r="T353" t="s">
        <v>2065</v>
      </c>
      <c r="V353" t="s">
        <v>138</v>
      </c>
      <c r="W353">
        <v>1322.53</v>
      </c>
      <c r="X353" t="s">
        <v>2091</v>
      </c>
      <c r="Y353" t="s">
        <v>2099</v>
      </c>
      <c r="Z353" t="s">
        <v>2110</v>
      </c>
      <c r="AA353" t="s">
        <v>2455</v>
      </c>
      <c r="AC353" t="s">
        <v>3036</v>
      </c>
      <c r="AD353">
        <v>48</v>
      </c>
      <c r="AE353" t="s">
        <v>3223</v>
      </c>
      <c r="AF353" t="s">
        <v>3236</v>
      </c>
      <c r="AG353">
        <v>9</v>
      </c>
      <c r="AH353">
        <v>2</v>
      </c>
      <c r="AI353">
        <v>0</v>
      </c>
      <c r="AJ353">
        <v>136.68</v>
      </c>
      <c r="AM353" t="s">
        <v>3249</v>
      </c>
      <c r="AN353">
        <v>23112</v>
      </c>
    </row>
    <row r="354" spans="1:40">
      <c r="A354" s="1">
        <f>HYPERLINK("https://lsnyc.legalserver.org/matter/dynamic-profile/view/1904832","19-1904832")</f>
        <v>0</v>
      </c>
      <c r="B354" t="s">
        <v>100</v>
      </c>
      <c r="C354" t="s">
        <v>227</v>
      </c>
      <c r="E354" t="s">
        <v>422</v>
      </c>
      <c r="F354" t="s">
        <v>694</v>
      </c>
      <c r="G354" t="s">
        <v>1401</v>
      </c>
      <c r="H354" t="s">
        <v>1690</v>
      </c>
      <c r="I354" t="s">
        <v>1752</v>
      </c>
      <c r="J354">
        <v>10452</v>
      </c>
      <c r="K354" t="s">
        <v>1779</v>
      </c>
      <c r="L354" t="s">
        <v>1781</v>
      </c>
      <c r="M354" t="s">
        <v>1784</v>
      </c>
      <c r="N354" t="s">
        <v>1952</v>
      </c>
      <c r="O354" t="s">
        <v>2030</v>
      </c>
      <c r="P354" t="s">
        <v>2051</v>
      </c>
      <c r="R354" t="s">
        <v>2062</v>
      </c>
      <c r="S354" t="s">
        <v>1780</v>
      </c>
      <c r="T354" t="s">
        <v>2065</v>
      </c>
      <c r="U354" t="s">
        <v>2076</v>
      </c>
      <c r="V354" t="s">
        <v>2079</v>
      </c>
      <c r="W354">
        <v>952</v>
      </c>
      <c r="X354" t="s">
        <v>2089</v>
      </c>
      <c r="Y354" t="s">
        <v>2101</v>
      </c>
      <c r="AA354" t="s">
        <v>2456</v>
      </c>
      <c r="AB354" t="s">
        <v>2729</v>
      </c>
      <c r="AC354" t="s">
        <v>3037</v>
      </c>
      <c r="AD354">
        <v>15000</v>
      </c>
      <c r="AE354" t="s">
        <v>3223</v>
      </c>
      <c r="AF354" t="s">
        <v>3241</v>
      </c>
      <c r="AG354">
        <v>31</v>
      </c>
      <c r="AH354">
        <v>1</v>
      </c>
      <c r="AI354">
        <v>0</v>
      </c>
      <c r="AJ354">
        <v>137.29</v>
      </c>
      <c r="AM354" t="s">
        <v>3248</v>
      </c>
      <c r="AN354">
        <v>17148</v>
      </c>
    </row>
    <row r="355" spans="1:40">
      <c r="A355" s="1">
        <f>HYPERLINK("https://lsnyc.legalserver.org/matter/dynamic-profile/view/1910692","19-1910692")</f>
        <v>0</v>
      </c>
      <c r="B355" t="s">
        <v>48</v>
      </c>
      <c r="C355" t="s">
        <v>143</v>
      </c>
      <c r="E355" t="s">
        <v>526</v>
      </c>
      <c r="F355" t="s">
        <v>956</v>
      </c>
      <c r="G355" t="s">
        <v>1402</v>
      </c>
      <c r="H355" t="s">
        <v>1556</v>
      </c>
      <c r="I355" t="s">
        <v>1756</v>
      </c>
      <c r="J355">
        <v>11354</v>
      </c>
      <c r="K355" t="s">
        <v>1779</v>
      </c>
      <c r="L355" t="s">
        <v>1781</v>
      </c>
      <c r="M355" t="s">
        <v>1782</v>
      </c>
      <c r="N355" t="s">
        <v>1953</v>
      </c>
      <c r="O355" t="s">
        <v>2029</v>
      </c>
      <c r="P355" t="s">
        <v>2052</v>
      </c>
      <c r="R355" t="s">
        <v>2062</v>
      </c>
      <c r="S355" t="s">
        <v>1780</v>
      </c>
      <c r="T355" t="s">
        <v>2065</v>
      </c>
      <c r="U355" t="s">
        <v>2073</v>
      </c>
      <c r="V355" t="s">
        <v>143</v>
      </c>
      <c r="W355">
        <v>923</v>
      </c>
      <c r="X355" t="s">
        <v>2087</v>
      </c>
      <c r="Y355" t="s">
        <v>2092</v>
      </c>
      <c r="AA355" t="s">
        <v>2457</v>
      </c>
      <c r="AC355" t="s">
        <v>3038</v>
      </c>
      <c r="AD355">
        <v>72</v>
      </c>
      <c r="AE355" t="s">
        <v>2704</v>
      </c>
      <c r="AF355" t="s">
        <v>1783</v>
      </c>
      <c r="AG355">
        <v>42</v>
      </c>
      <c r="AH355">
        <v>1</v>
      </c>
      <c r="AI355">
        <v>0</v>
      </c>
      <c r="AJ355">
        <v>137.39</v>
      </c>
      <c r="AM355" t="s">
        <v>3248</v>
      </c>
      <c r="AN355">
        <v>17160</v>
      </c>
    </row>
    <row r="356" spans="1:40">
      <c r="A356" s="1">
        <f>HYPERLINK("https://lsnyc.legalserver.org/matter/dynamic-profile/view/1907796","19-1907796")</f>
        <v>0</v>
      </c>
      <c r="B356" t="s">
        <v>68</v>
      </c>
      <c r="C356" t="s">
        <v>154</v>
      </c>
      <c r="E356" t="s">
        <v>250</v>
      </c>
      <c r="F356" t="s">
        <v>687</v>
      </c>
      <c r="G356" t="s">
        <v>1153</v>
      </c>
      <c r="H356" t="s">
        <v>1577</v>
      </c>
      <c r="I356" t="s">
        <v>1749</v>
      </c>
      <c r="J356">
        <v>11212</v>
      </c>
      <c r="K356" t="s">
        <v>1779</v>
      </c>
      <c r="L356" t="s">
        <v>1781</v>
      </c>
      <c r="M356" t="s">
        <v>1782</v>
      </c>
      <c r="N356" t="s">
        <v>1783</v>
      </c>
      <c r="O356" t="s">
        <v>2033</v>
      </c>
      <c r="P356" t="s">
        <v>2055</v>
      </c>
      <c r="R356" t="s">
        <v>2062</v>
      </c>
      <c r="S356" t="s">
        <v>1779</v>
      </c>
      <c r="T356" t="s">
        <v>2065</v>
      </c>
      <c r="U356" t="s">
        <v>2073</v>
      </c>
      <c r="V356" t="s">
        <v>161</v>
      </c>
      <c r="W356">
        <v>430.8</v>
      </c>
      <c r="X356" t="s">
        <v>2088</v>
      </c>
      <c r="Y356" t="s">
        <v>2100</v>
      </c>
      <c r="AA356" t="s">
        <v>2458</v>
      </c>
      <c r="AB356" t="s">
        <v>2730</v>
      </c>
      <c r="AC356" t="s">
        <v>3039</v>
      </c>
      <c r="AD356">
        <v>96</v>
      </c>
      <c r="AE356" t="s">
        <v>3223</v>
      </c>
      <c r="AF356" t="s">
        <v>2094</v>
      </c>
      <c r="AG356">
        <v>4</v>
      </c>
      <c r="AH356">
        <v>1</v>
      </c>
      <c r="AI356">
        <v>0</v>
      </c>
      <c r="AJ356">
        <v>137.97</v>
      </c>
      <c r="AM356" t="s">
        <v>3248</v>
      </c>
      <c r="AN356">
        <v>17232</v>
      </c>
    </row>
    <row r="357" spans="1:40">
      <c r="A357" s="1">
        <f>HYPERLINK("https://lsnyc.legalserver.org/matter/dynamic-profile/view/1904623","19-1904623")</f>
        <v>0</v>
      </c>
      <c r="B357" t="s">
        <v>112</v>
      </c>
      <c r="C357" t="s">
        <v>162</v>
      </c>
      <c r="D357" t="s">
        <v>178</v>
      </c>
      <c r="E357" t="s">
        <v>527</v>
      </c>
      <c r="F357" t="s">
        <v>957</v>
      </c>
      <c r="G357" t="s">
        <v>1403</v>
      </c>
      <c r="H357">
        <v>5</v>
      </c>
      <c r="I357" t="s">
        <v>1754</v>
      </c>
      <c r="J357">
        <v>10009</v>
      </c>
      <c r="K357" t="s">
        <v>1779</v>
      </c>
      <c r="L357" t="s">
        <v>1781</v>
      </c>
      <c r="M357" t="s">
        <v>1784</v>
      </c>
      <c r="N357" t="s">
        <v>1954</v>
      </c>
      <c r="O357" t="s">
        <v>2030</v>
      </c>
      <c r="P357" t="s">
        <v>2050</v>
      </c>
      <c r="Q357" t="s">
        <v>2057</v>
      </c>
      <c r="R357" t="s">
        <v>2062</v>
      </c>
      <c r="S357" t="s">
        <v>1780</v>
      </c>
      <c r="T357" t="s">
        <v>2065</v>
      </c>
      <c r="U357" t="s">
        <v>2073</v>
      </c>
      <c r="V357" t="s">
        <v>162</v>
      </c>
      <c r="W357">
        <v>3125</v>
      </c>
      <c r="X357" t="s">
        <v>2091</v>
      </c>
      <c r="Y357" t="s">
        <v>2092</v>
      </c>
      <c r="Z357" t="s">
        <v>2110</v>
      </c>
      <c r="AA357" t="s">
        <v>2459</v>
      </c>
      <c r="AB357" t="s">
        <v>2731</v>
      </c>
      <c r="AC357" t="s">
        <v>3040</v>
      </c>
      <c r="AD357">
        <v>4</v>
      </c>
      <c r="AE357" t="s">
        <v>3222</v>
      </c>
      <c r="AF357" t="s">
        <v>1783</v>
      </c>
      <c r="AG357">
        <v>27</v>
      </c>
      <c r="AH357">
        <v>1</v>
      </c>
      <c r="AI357">
        <v>0</v>
      </c>
      <c r="AJ357">
        <v>138.11</v>
      </c>
      <c r="AM357" t="s">
        <v>3248</v>
      </c>
      <c r="AN357">
        <v>17250</v>
      </c>
    </row>
    <row r="358" spans="1:40">
      <c r="A358" s="1">
        <f>HYPERLINK("https://lsnyc.legalserver.org/matter/dynamic-profile/view/1904522","19-1904522")</f>
        <v>0</v>
      </c>
      <c r="B358" t="s">
        <v>72</v>
      </c>
      <c r="C358" t="s">
        <v>169</v>
      </c>
      <c r="E358" t="s">
        <v>528</v>
      </c>
      <c r="F358" t="s">
        <v>958</v>
      </c>
      <c r="G358" t="s">
        <v>1404</v>
      </c>
      <c r="H358" t="s">
        <v>1691</v>
      </c>
      <c r="I358" t="s">
        <v>1775</v>
      </c>
      <c r="J358">
        <v>11104</v>
      </c>
      <c r="K358" t="s">
        <v>1779</v>
      </c>
      <c r="L358" t="s">
        <v>1781</v>
      </c>
      <c r="M358" t="s">
        <v>1782</v>
      </c>
      <c r="N358" t="s">
        <v>1955</v>
      </c>
      <c r="O358" t="s">
        <v>2029</v>
      </c>
      <c r="P358" t="s">
        <v>2051</v>
      </c>
      <c r="R358" t="s">
        <v>2062</v>
      </c>
      <c r="S358" t="s">
        <v>1780</v>
      </c>
      <c r="T358" t="s">
        <v>2065</v>
      </c>
      <c r="U358" t="s">
        <v>2073</v>
      </c>
      <c r="V358" t="s">
        <v>169</v>
      </c>
      <c r="W358">
        <v>1241</v>
      </c>
      <c r="X358" t="s">
        <v>2087</v>
      </c>
      <c r="Y358" t="s">
        <v>2092</v>
      </c>
      <c r="AA358" t="s">
        <v>2460</v>
      </c>
      <c r="AC358" t="s">
        <v>3041</v>
      </c>
      <c r="AD358">
        <v>60</v>
      </c>
      <c r="AE358" t="s">
        <v>2704</v>
      </c>
      <c r="AF358" t="s">
        <v>1783</v>
      </c>
      <c r="AG358">
        <v>20</v>
      </c>
      <c r="AH358">
        <v>2</v>
      </c>
      <c r="AI358">
        <v>0</v>
      </c>
      <c r="AJ358">
        <v>138.65</v>
      </c>
      <c r="AM358" t="s">
        <v>3251</v>
      </c>
      <c r="AN358">
        <v>23446.28</v>
      </c>
    </row>
    <row r="359" spans="1:40">
      <c r="A359" s="1">
        <f>HYPERLINK("https://lsnyc.legalserver.org/matter/dynamic-profile/view/1904923","19-1904923")</f>
        <v>0</v>
      </c>
      <c r="B359" t="s">
        <v>89</v>
      </c>
      <c r="C359" t="s">
        <v>176</v>
      </c>
      <c r="E359" t="s">
        <v>529</v>
      </c>
      <c r="F359" t="s">
        <v>959</v>
      </c>
      <c r="G359" t="s">
        <v>1405</v>
      </c>
      <c r="H359" t="s">
        <v>1540</v>
      </c>
      <c r="I359" t="s">
        <v>1776</v>
      </c>
      <c r="J359">
        <v>11422</v>
      </c>
      <c r="K359" t="s">
        <v>1779</v>
      </c>
      <c r="L359" t="s">
        <v>1781</v>
      </c>
      <c r="M359" t="s">
        <v>1782</v>
      </c>
      <c r="N359" t="s">
        <v>1956</v>
      </c>
      <c r="O359" t="s">
        <v>2029</v>
      </c>
      <c r="P359" t="s">
        <v>2050</v>
      </c>
      <c r="R359" t="s">
        <v>2062</v>
      </c>
      <c r="S359" t="s">
        <v>1780</v>
      </c>
      <c r="T359" t="s">
        <v>2065</v>
      </c>
      <c r="U359" t="s">
        <v>2073</v>
      </c>
      <c r="V359" t="s">
        <v>176</v>
      </c>
      <c r="W359">
        <v>1800</v>
      </c>
      <c r="X359" t="s">
        <v>2087</v>
      </c>
      <c r="Y359" t="s">
        <v>2092</v>
      </c>
      <c r="AA359" t="s">
        <v>2461</v>
      </c>
      <c r="AC359" t="s">
        <v>3042</v>
      </c>
      <c r="AD359">
        <v>2</v>
      </c>
      <c r="AE359" t="s">
        <v>2704</v>
      </c>
      <c r="AF359" t="s">
        <v>1783</v>
      </c>
      <c r="AG359">
        <v>7</v>
      </c>
      <c r="AH359">
        <v>2</v>
      </c>
      <c r="AI359">
        <v>3</v>
      </c>
      <c r="AJ359">
        <v>139.21</v>
      </c>
      <c r="AM359" t="s">
        <v>3248</v>
      </c>
      <c r="AN359">
        <v>42000</v>
      </c>
    </row>
    <row r="360" spans="1:40">
      <c r="A360" s="1">
        <f>HYPERLINK("https://lsnyc.legalserver.org/matter/dynamic-profile/view/1904289","19-1904289")</f>
        <v>0</v>
      </c>
      <c r="B360" t="s">
        <v>110</v>
      </c>
      <c r="C360" t="s">
        <v>135</v>
      </c>
      <c r="D360" t="s">
        <v>162</v>
      </c>
      <c r="E360" t="s">
        <v>530</v>
      </c>
      <c r="F360" t="s">
        <v>960</v>
      </c>
      <c r="G360" t="s">
        <v>1406</v>
      </c>
      <c r="H360" t="s">
        <v>1692</v>
      </c>
      <c r="I360" t="s">
        <v>1754</v>
      </c>
      <c r="J360">
        <v>10040</v>
      </c>
      <c r="K360" t="s">
        <v>1779</v>
      </c>
      <c r="L360" t="s">
        <v>1781</v>
      </c>
      <c r="M360" t="s">
        <v>1782</v>
      </c>
      <c r="O360" t="s">
        <v>2034</v>
      </c>
      <c r="P360" t="s">
        <v>2055</v>
      </c>
      <c r="Q360" t="s">
        <v>2059</v>
      </c>
      <c r="R360" t="s">
        <v>2062</v>
      </c>
      <c r="S360" t="s">
        <v>1780</v>
      </c>
      <c r="T360" t="s">
        <v>2065</v>
      </c>
      <c r="V360" t="s">
        <v>135</v>
      </c>
      <c r="W360">
        <v>1400</v>
      </c>
      <c r="X360" t="s">
        <v>2091</v>
      </c>
      <c r="Y360" t="s">
        <v>2099</v>
      </c>
      <c r="Z360" t="s">
        <v>2116</v>
      </c>
      <c r="AA360" t="s">
        <v>2462</v>
      </c>
      <c r="AC360" t="s">
        <v>3043</v>
      </c>
      <c r="AD360">
        <v>47</v>
      </c>
      <c r="AE360" t="s">
        <v>3223</v>
      </c>
      <c r="AF360" t="s">
        <v>1783</v>
      </c>
      <c r="AG360">
        <v>5</v>
      </c>
      <c r="AH360">
        <v>2</v>
      </c>
      <c r="AI360">
        <v>0</v>
      </c>
      <c r="AJ360">
        <v>139.8</v>
      </c>
      <c r="AM360" t="s">
        <v>3248</v>
      </c>
      <c r="AN360">
        <v>23640</v>
      </c>
    </row>
    <row r="361" spans="1:40">
      <c r="A361" s="1">
        <f>HYPERLINK("https://lsnyc.legalserver.org/matter/dynamic-profile/view/1907946","19-1907946")</f>
        <v>0</v>
      </c>
      <c r="B361" t="s">
        <v>45</v>
      </c>
      <c r="C361" t="s">
        <v>155</v>
      </c>
      <c r="E361" t="s">
        <v>531</v>
      </c>
      <c r="F361" t="s">
        <v>961</v>
      </c>
      <c r="G361" t="s">
        <v>1407</v>
      </c>
      <c r="H361" t="s">
        <v>1693</v>
      </c>
      <c r="I361" t="s">
        <v>1776</v>
      </c>
      <c r="J361">
        <v>11422</v>
      </c>
      <c r="K361" t="s">
        <v>1779</v>
      </c>
      <c r="L361" t="s">
        <v>1781</v>
      </c>
      <c r="M361" t="s">
        <v>1782</v>
      </c>
      <c r="N361" t="s">
        <v>1957</v>
      </c>
      <c r="O361" t="s">
        <v>2029</v>
      </c>
      <c r="P361" t="s">
        <v>2051</v>
      </c>
      <c r="R361" t="s">
        <v>2062</v>
      </c>
      <c r="S361" t="s">
        <v>1780</v>
      </c>
      <c r="T361" t="s">
        <v>2065</v>
      </c>
      <c r="U361" t="s">
        <v>2073</v>
      </c>
      <c r="V361" t="s">
        <v>155</v>
      </c>
      <c r="W361">
        <v>800</v>
      </c>
      <c r="X361" t="s">
        <v>2087</v>
      </c>
      <c r="Y361" t="s">
        <v>2092</v>
      </c>
      <c r="AA361" t="s">
        <v>2463</v>
      </c>
      <c r="AC361" t="s">
        <v>3044</v>
      </c>
      <c r="AD361">
        <v>2</v>
      </c>
      <c r="AE361" t="s">
        <v>3222</v>
      </c>
      <c r="AF361" t="s">
        <v>1783</v>
      </c>
      <c r="AG361">
        <v>-1</v>
      </c>
      <c r="AH361">
        <v>1</v>
      </c>
      <c r="AI361">
        <v>2</v>
      </c>
      <c r="AJ361">
        <v>140.65</v>
      </c>
      <c r="AM361" t="s">
        <v>3248</v>
      </c>
      <c r="AN361">
        <v>30000</v>
      </c>
    </row>
    <row r="362" spans="1:40">
      <c r="A362" s="1">
        <f>HYPERLINK("https://lsnyc.legalserver.org/matter/dynamic-profile/view/1907576","19-1907576")</f>
        <v>0</v>
      </c>
      <c r="B362" t="s">
        <v>82</v>
      </c>
      <c r="C362" t="s">
        <v>160</v>
      </c>
      <c r="E362" t="s">
        <v>532</v>
      </c>
      <c r="F362" t="s">
        <v>962</v>
      </c>
      <c r="G362" t="s">
        <v>1408</v>
      </c>
      <c r="H362" t="s">
        <v>1694</v>
      </c>
      <c r="I362" t="s">
        <v>1754</v>
      </c>
      <c r="J362">
        <v>10034</v>
      </c>
      <c r="K362" t="s">
        <v>1779</v>
      </c>
      <c r="L362" t="s">
        <v>1781</v>
      </c>
      <c r="M362" t="s">
        <v>1782</v>
      </c>
      <c r="P362" t="s">
        <v>2055</v>
      </c>
      <c r="R362" t="s">
        <v>2062</v>
      </c>
      <c r="S362" t="s">
        <v>1780</v>
      </c>
      <c r="T362" t="s">
        <v>2065</v>
      </c>
      <c r="V362" t="s">
        <v>160</v>
      </c>
      <c r="W362">
        <v>0</v>
      </c>
      <c r="X362" t="s">
        <v>2091</v>
      </c>
      <c r="Y362" t="s">
        <v>2099</v>
      </c>
      <c r="AA362" t="s">
        <v>2464</v>
      </c>
      <c r="AC362" t="s">
        <v>3045</v>
      </c>
      <c r="AD362">
        <v>25</v>
      </c>
      <c r="AE362" t="s">
        <v>3223</v>
      </c>
      <c r="AF362" t="s">
        <v>1783</v>
      </c>
      <c r="AG362">
        <v>14</v>
      </c>
      <c r="AH362">
        <v>3</v>
      </c>
      <c r="AI362">
        <v>0</v>
      </c>
      <c r="AJ362">
        <v>141.77</v>
      </c>
      <c r="AM362" t="s">
        <v>3249</v>
      </c>
      <c r="AN362">
        <v>30240</v>
      </c>
    </row>
    <row r="363" spans="1:40">
      <c r="A363" s="1">
        <f>HYPERLINK("https://lsnyc.legalserver.org/matter/dynamic-profile/view/1908662","19-1908662")</f>
        <v>0</v>
      </c>
      <c r="B363" t="s">
        <v>70</v>
      </c>
      <c r="C363" t="s">
        <v>174</v>
      </c>
      <c r="E363" t="s">
        <v>533</v>
      </c>
      <c r="F363" t="s">
        <v>963</v>
      </c>
      <c r="G363" t="s">
        <v>1263</v>
      </c>
      <c r="H363" t="s">
        <v>1695</v>
      </c>
      <c r="I363" t="s">
        <v>1754</v>
      </c>
      <c r="J363">
        <v>10035</v>
      </c>
      <c r="K363" t="s">
        <v>1779</v>
      </c>
      <c r="L363" t="s">
        <v>1781</v>
      </c>
      <c r="M363" t="s">
        <v>1782</v>
      </c>
      <c r="N363" t="s">
        <v>1958</v>
      </c>
      <c r="O363" t="s">
        <v>2031</v>
      </c>
      <c r="P363" t="s">
        <v>2051</v>
      </c>
      <c r="R363" t="s">
        <v>2062</v>
      </c>
      <c r="S363" t="s">
        <v>1779</v>
      </c>
      <c r="T363" t="s">
        <v>2065</v>
      </c>
      <c r="U363" t="s">
        <v>2073</v>
      </c>
      <c r="V363" t="s">
        <v>174</v>
      </c>
      <c r="W363">
        <v>1133.6</v>
      </c>
      <c r="X363" t="s">
        <v>2091</v>
      </c>
      <c r="Y363" t="s">
        <v>2096</v>
      </c>
      <c r="AA363" t="s">
        <v>2465</v>
      </c>
      <c r="AC363" t="s">
        <v>3046</v>
      </c>
      <c r="AD363">
        <v>72</v>
      </c>
      <c r="AE363" t="s">
        <v>3223</v>
      </c>
      <c r="AF363" t="s">
        <v>1783</v>
      </c>
      <c r="AG363">
        <v>9</v>
      </c>
      <c r="AH363">
        <v>2</v>
      </c>
      <c r="AI363">
        <v>0</v>
      </c>
      <c r="AJ363">
        <v>141.93</v>
      </c>
      <c r="AM363" t="s">
        <v>3248</v>
      </c>
      <c r="AN363">
        <v>24000</v>
      </c>
    </row>
    <row r="364" spans="1:40">
      <c r="A364" s="1">
        <f>HYPERLINK("https://lsnyc.legalserver.org/matter/dynamic-profile/view/1909025","19-1909025")</f>
        <v>0</v>
      </c>
      <c r="B364" t="s">
        <v>74</v>
      </c>
      <c r="C364" t="s">
        <v>178</v>
      </c>
      <c r="D364" t="s">
        <v>192</v>
      </c>
      <c r="E364" t="s">
        <v>248</v>
      </c>
      <c r="F364" t="s">
        <v>964</v>
      </c>
      <c r="G364" t="s">
        <v>1409</v>
      </c>
      <c r="H364">
        <v>1611</v>
      </c>
      <c r="I364" t="s">
        <v>1744</v>
      </c>
      <c r="J364">
        <v>11692</v>
      </c>
      <c r="K364" t="s">
        <v>1779</v>
      </c>
      <c r="L364" t="s">
        <v>1781</v>
      </c>
      <c r="M364" t="s">
        <v>1782</v>
      </c>
      <c r="O364" t="s">
        <v>2039</v>
      </c>
      <c r="P364" t="s">
        <v>2050</v>
      </c>
      <c r="Q364" t="s">
        <v>2057</v>
      </c>
      <c r="R364" t="s">
        <v>2062</v>
      </c>
      <c r="S364" t="s">
        <v>1780</v>
      </c>
      <c r="T364" t="s">
        <v>2065</v>
      </c>
      <c r="V364" t="s">
        <v>216</v>
      </c>
      <c r="W364">
        <v>1981</v>
      </c>
      <c r="X364" t="s">
        <v>2087</v>
      </c>
      <c r="Y364" t="s">
        <v>2101</v>
      </c>
      <c r="Z364" t="s">
        <v>2110</v>
      </c>
      <c r="AA364" t="s">
        <v>2466</v>
      </c>
      <c r="AC364" t="s">
        <v>3047</v>
      </c>
      <c r="AD364">
        <v>209</v>
      </c>
      <c r="AF364" t="s">
        <v>3236</v>
      </c>
      <c r="AG364">
        <v>4</v>
      </c>
      <c r="AH364">
        <v>2</v>
      </c>
      <c r="AI364">
        <v>0</v>
      </c>
      <c r="AJ364">
        <v>142.42</v>
      </c>
      <c r="AM364" t="s">
        <v>3248</v>
      </c>
      <c r="AN364">
        <v>24084</v>
      </c>
    </row>
    <row r="365" spans="1:40">
      <c r="A365" s="1">
        <f>HYPERLINK("https://lsnyc.legalserver.org/matter/dynamic-profile/view/1905014","19-1905014")</f>
        <v>0</v>
      </c>
      <c r="B365" t="s">
        <v>46</v>
      </c>
      <c r="C365" t="s">
        <v>176</v>
      </c>
      <c r="E365" t="s">
        <v>534</v>
      </c>
      <c r="F365" t="s">
        <v>965</v>
      </c>
      <c r="G365" t="s">
        <v>1410</v>
      </c>
      <c r="H365" t="s">
        <v>1696</v>
      </c>
      <c r="I365" t="s">
        <v>1771</v>
      </c>
      <c r="J365">
        <v>11418</v>
      </c>
      <c r="K365" t="s">
        <v>1779</v>
      </c>
      <c r="L365" t="s">
        <v>1781</v>
      </c>
      <c r="M365" t="s">
        <v>1782</v>
      </c>
      <c r="N365" t="s">
        <v>1959</v>
      </c>
      <c r="O365" t="s">
        <v>2029</v>
      </c>
      <c r="P365" t="s">
        <v>2051</v>
      </c>
      <c r="R365" t="s">
        <v>2062</v>
      </c>
      <c r="S365" t="s">
        <v>1779</v>
      </c>
      <c r="T365" t="s">
        <v>2065</v>
      </c>
      <c r="U365" t="s">
        <v>2073</v>
      </c>
      <c r="V365" t="s">
        <v>176</v>
      </c>
      <c r="W365">
        <v>850</v>
      </c>
      <c r="X365" t="s">
        <v>2087</v>
      </c>
      <c r="Y365" t="s">
        <v>2092</v>
      </c>
      <c r="AA365" t="s">
        <v>2467</v>
      </c>
      <c r="AB365" t="s">
        <v>2732</v>
      </c>
      <c r="AC365" t="s">
        <v>3048</v>
      </c>
      <c r="AD365">
        <v>3</v>
      </c>
      <c r="AE365" t="s">
        <v>3232</v>
      </c>
      <c r="AF365" t="s">
        <v>2094</v>
      </c>
      <c r="AG365">
        <v>25</v>
      </c>
      <c r="AH365">
        <v>2</v>
      </c>
      <c r="AI365">
        <v>0</v>
      </c>
      <c r="AJ365">
        <v>143.06</v>
      </c>
      <c r="AM365" t="s">
        <v>3248</v>
      </c>
      <c r="AN365">
        <v>24192</v>
      </c>
    </row>
    <row r="366" spans="1:40">
      <c r="A366" s="1">
        <f>HYPERLINK("https://lsnyc.legalserver.org/matter/dynamic-profile/view/1902184","19-1902184")</f>
        <v>0</v>
      </c>
      <c r="B366" t="s">
        <v>57</v>
      </c>
      <c r="C366" t="s">
        <v>228</v>
      </c>
      <c r="D366" t="s">
        <v>157</v>
      </c>
      <c r="E366" t="s">
        <v>535</v>
      </c>
      <c r="F366" t="s">
        <v>902</v>
      </c>
      <c r="G366" t="s">
        <v>1411</v>
      </c>
      <c r="H366">
        <v>2</v>
      </c>
      <c r="I366" t="s">
        <v>1749</v>
      </c>
      <c r="J366">
        <v>11207</v>
      </c>
      <c r="K366" t="s">
        <v>1779</v>
      </c>
      <c r="L366" t="s">
        <v>1781</v>
      </c>
      <c r="M366" t="s">
        <v>1782</v>
      </c>
      <c r="N366" t="s">
        <v>1960</v>
      </c>
      <c r="O366" t="s">
        <v>2031</v>
      </c>
      <c r="P366" t="s">
        <v>2055</v>
      </c>
      <c r="Q366" t="s">
        <v>2059</v>
      </c>
      <c r="R366" t="s">
        <v>2062</v>
      </c>
      <c r="S366" t="s">
        <v>1780</v>
      </c>
      <c r="T366" t="s">
        <v>2065</v>
      </c>
      <c r="U366" t="s">
        <v>2073</v>
      </c>
      <c r="V366" t="s">
        <v>213</v>
      </c>
      <c r="W366">
        <v>2379</v>
      </c>
      <c r="X366" t="s">
        <v>2088</v>
      </c>
      <c r="Y366" t="s">
        <v>2099</v>
      </c>
      <c r="Z366" t="s">
        <v>2112</v>
      </c>
      <c r="AA366" t="s">
        <v>2468</v>
      </c>
      <c r="AB366" t="s">
        <v>2674</v>
      </c>
      <c r="AC366" t="s">
        <v>3049</v>
      </c>
      <c r="AD366">
        <v>4</v>
      </c>
      <c r="AE366" t="s">
        <v>3222</v>
      </c>
      <c r="AF366" t="s">
        <v>3236</v>
      </c>
      <c r="AG366">
        <v>0</v>
      </c>
      <c r="AH366">
        <v>2</v>
      </c>
      <c r="AI366">
        <v>2</v>
      </c>
      <c r="AJ366">
        <v>143.69</v>
      </c>
      <c r="AM366" t="s">
        <v>3248</v>
      </c>
      <c r="AN366">
        <v>37000</v>
      </c>
    </row>
    <row r="367" spans="1:40">
      <c r="A367" s="1">
        <f>HYPERLINK("https://lsnyc.legalserver.org/matter/dynamic-profile/view/1908462","19-1908462")</f>
        <v>0</v>
      </c>
      <c r="B367" t="s">
        <v>70</v>
      </c>
      <c r="C367" t="s">
        <v>201</v>
      </c>
      <c r="E367" t="s">
        <v>536</v>
      </c>
      <c r="F367" t="s">
        <v>966</v>
      </c>
      <c r="G367" t="s">
        <v>1263</v>
      </c>
      <c r="H367" t="s">
        <v>1697</v>
      </c>
      <c r="I367" t="s">
        <v>1754</v>
      </c>
      <c r="J367">
        <v>10035</v>
      </c>
      <c r="K367" t="s">
        <v>1779</v>
      </c>
      <c r="L367" t="s">
        <v>1781</v>
      </c>
      <c r="M367" t="s">
        <v>1782</v>
      </c>
      <c r="O367" t="s">
        <v>1793</v>
      </c>
      <c r="P367" t="s">
        <v>2055</v>
      </c>
      <c r="R367" t="s">
        <v>2062</v>
      </c>
      <c r="S367" t="s">
        <v>1779</v>
      </c>
      <c r="T367" t="s">
        <v>2065</v>
      </c>
      <c r="U367" t="s">
        <v>2073</v>
      </c>
      <c r="V367" t="s">
        <v>155</v>
      </c>
      <c r="W367">
        <v>1937.63</v>
      </c>
      <c r="X367" t="s">
        <v>2091</v>
      </c>
      <c r="Y367" t="s">
        <v>2096</v>
      </c>
      <c r="AA367" t="s">
        <v>2469</v>
      </c>
      <c r="AC367" t="s">
        <v>3050</v>
      </c>
      <c r="AD367">
        <v>72</v>
      </c>
      <c r="AE367" t="s">
        <v>3223</v>
      </c>
      <c r="AF367" t="s">
        <v>3236</v>
      </c>
      <c r="AG367">
        <v>39</v>
      </c>
      <c r="AH367">
        <v>1</v>
      </c>
      <c r="AI367">
        <v>0</v>
      </c>
      <c r="AJ367">
        <v>144.12</v>
      </c>
      <c r="AM367" t="s">
        <v>3248</v>
      </c>
      <c r="AN367">
        <v>18000</v>
      </c>
    </row>
    <row r="368" spans="1:40">
      <c r="A368" s="1">
        <f>HYPERLINK("https://lsnyc.legalserver.org/matter/dynamic-profile/view/1910161","19-1910161")</f>
        <v>0</v>
      </c>
      <c r="B368" t="s">
        <v>83</v>
      </c>
      <c r="C368" t="s">
        <v>203</v>
      </c>
      <c r="E368" t="s">
        <v>537</v>
      </c>
      <c r="F368" t="s">
        <v>967</v>
      </c>
      <c r="G368" t="s">
        <v>1193</v>
      </c>
      <c r="H368" t="s">
        <v>424</v>
      </c>
      <c r="I368" t="s">
        <v>1754</v>
      </c>
      <c r="J368">
        <v>10033</v>
      </c>
      <c r="K368" t="s">
        <v>1779</v>
      </c>
      <c r="L368" t="s">
        <v>1781</v>
      </c>
      <c r="M368" t="s">
        <v>1782</v>
      </c>
      <c r="P368" t="s">
        <v>2052</v>
      </c>
      <c r="R368" t="s">
        <v>2062</v>
      </c>
      <c r="S368" t="s">
        <v>1779</v>
      </c>
      <c r="T368" t="s">
        <v>2065</v>
      </c>
      <c r="V368" t="s">
        <v>203</v>
      </c>
      <c r="W368">
        <v>3250</v>
      </c>
      <c r="X368" t="s">
        <v>2091</v>
      </c>
      <c r="Y368" t="s">
        <v>2099</v>
      </c>
      <c r="AA368" t="s">
        <v>2470</v>
      </c>
      <c r="AC368" t="s">
        <v>3051</v>
      </c>
      <c r="AD368">
        <v>14</v>
      </c>
      <c r="AE368" t="s">
        <v>3223</v>
      </c>
      <c r="AF368" t="s">
        <v>1783</v>
      </c>
      <c r="AG368">
        <v>1</v>
      </c>
      <c r="AH368">
        <v>1</v>
      </c>
      <c r="AI368">
        <v>0</v>
      </c>
      <c r="AJ368">
        <v>144.12</v>
      </c>
      <c r="AM368" t="s">
        <v>3248</v>
      </c>
      <c r="AN368">
        <v>18000</v>
      </c>
    </row>
    <row r="369" spans="1:40">
      <c r="A369" s="1">
        <f>HYPERLINK("https://lsnyc.legalserver.org/matter/dynamic-profile/view/1905248","19-1905248")</f>
        <v>0</v>
      </c>
      <c r="B369" t="s">
        <v>71</v>
      </c>
      <c r="C369" t="s">
        <v>167</v>
      </c>
      <c r="E369" t="s">
        <v>538</v>
      </c>
      <c r="F369" t="s">
        <v>968</v>
      </c>
      <c r="G369" t="s">
        <v>1160</v>
      </c>
      <c r="H369" t="s">
        <v>1583</v>
      </c>
      <c r="I369" t="s">
        <v>1754</v>
      </c>
      <c r="J369">
        <v>10024</v>
      </c>
      <c r="K369" t="s">
        <v>1779</v>
      </c>
      <c r="L369" t="s">
        <v>1781</v>
      </c>
      <c r="M369" t="s">
        <v>1782</v>
      </c>
      <c r="O369" t="s">
        <v>2032</v>
      </c>
      <c r="P369" t="s">
        <v>2053</v>
      </c>
      <c r="R369" t="s">
        <v>2062</v>
      </c>
      <c r="S369" t="s">
        <v>1779</v>
      </c>
      <c r="T369" t="s">
        <v>2065</v>
      </c>
      <c r="U369" t="s">
        <v>2073</v>
      </c>
      <c r="V369" t="s">
        <v>167</v>
      </c>
      <c r="W369">
        <v>792.7</v>
      </c>
      <c r="X369" t="s">
        <v>2091</v>
      </c>
      <c r="Y369" t="s">
        <v>2097</v>
      </c>
      <c r="AA369" t="s">
        <v>2471</v>
      </c>
      <c r="AC369" t="s">
        <v>3052</v>
      </c>
      <c r="AD369">
        <v>10</v>
      </c>
      <c r="AE369" t="s">
        <v>3223</v>
      </c>
      <c r="AF369" t="s">
        <v>3238</v>
      </c>
      <c r="AG369">
        <v>39</v>
      </c>
      <c r="AH369">
        <v>1</v>
      </c>
      <c r="AI369">
        <v>0</v>
      </c>
      <c r="AJ369">
        <v>144.12</v>
      </c>
      <c r="AM369" t="s">
        <v>3248</v>
      </c>
      <c r="AN369">
        <v>18000</v>
      </c>
    </row>
    <row r="370" spans="1:40">
      <c r="A370" s="1">
        <f>HYPERLINK("https://lsnyc.legalserver.org/matter/dynamic-profile/view/1905719","19-1905719")</f>
        <v>0</v>
      </c>
      <c r="B370" t="s">
        <v>104</v>
      </c>
      <c r="C370" t="s">
        <v>186</v>
      </c>
      <c r="E370" t="s">
        <v>539</v>
      </c>
      <c r="F370" t="s">
        <v>969</v>
      </c>
      <c r="G370" t="s">
        <v>1412</v>
      </c>
      <c r="H370" t="s">
        <v>1695</v>
      </c>
      <c r="I370" t="s">
        <v>1753</v>
      </c>
      <c r="J370">
        <v>10306</v>
      </c>
      <c r="K370" t="s">
        <v>1779</v>
      </c>
      <c r="L370" t="s">
        <v>1781</v>
      </c>
      <c r="M370" t="s">
        <v>1782</v>
      </c>
      <c r="N370" t="s">
        <v>1961</v>
      </c>
      <c r="O370" t="s">
        <v>2030</v>
      </c>
      <c r="P370" t="s">
        <v>2051</v>
      </c>
      <c r="R370" t="s">
        <v>2063</v>
      </c>
      <c r="S370" t="s">
        <v>1780</v>
      </c>
      <c r="T370" t="s">
        <v>2068</v>
      </c>
      <c r="U370" t="s">
        <v>2073</v>
      </c>
      <c r="V370" t="s">
        <v>145</v>
      </c>
      <c r="W370">
        <v>400</v>
      </c>
      <c r="X370" t="s">
        <v>2090</v>
      </c>
      <c r="Y370" t="s">
        <v>2093</v>
      </c>
      <c r="AA370" t="s">
        <v>2472</v>
      </c>
      <c r="AC370" t="s">
        <v>3053</v>
      </c>
      <c r="AD370">
        <v>2</v>
      </c>
      <c r="AE370" t="s">
        <v>3228</v>
      </c>
      <c r="AF370" t="s">
        <v>3236</v>
      </c>
      <c r="AG370">
        <v>1</v>
      </c>
      <c r="AH370">
        <v>1</v>
      </c>
      <c r="AI370">
        <v>2</v>
      </c>
      <c r="AJ370">
        <v>144.64</v>
      </c>
      <c r="AK370" t="s">
        <v>3244</v>
      </c>
      <c r="AL370" t="s">
        <v>3245</v>
      </c>
      <c r="AM370" t="s">
        <v>3248</v>
      </c>
      <c r="AN370">
        <v>30852</v>
      </c>
    </row>
    <row r="371" spans="1:40">
      <c r="A371" s="1">
        <f>HYPERLINK("https://lsnyc.legalserver.org/matter/dynamic-profile/view/1909731","19-1909731")</f>
        <v>0</v>
      </c>
      <c r="B371" t="s">
        <v>52</v>
      </c>
      <c r="C371" t="s">
        <v>216</v>
      </c>
      <c r="E371" t="s">
        <v>540</v>
      </c>
      <c r="F371" t="s">
        <v>970</v>
      </c>
      <c r="G371" t="s">
        <v>1413</v>
      </c>
      <c r="I371" t="s">
        <v>1749</v>
      </c>
      <c r="J371">
        <v>11213</v>
      </c>
      <c r="K371" t="s">
        <v>1779</v>
      </c>
      <c r="L371" t="s">
        <v>1781</v>
      </c>
      <c r="M371" t="s">
        <v>1782</v>
      </c>
      <c r="N371" t="s">
        <v>1793</v>
      </c>
      <c r="O371" t="s">
        <v>1793</v>
      </c>
      <c r="P371" t="s">
        <v>2055</v>
      </c>
      <c r="R371" t="s">
        <v>2062</v>
      </c>
      <c r="S371" t="s">
        <v>1780</v>
      </c>
      <c r="T371" t="s">
        <v>2065</v>
      </c>
      <c r="V371" t="s">
        <v>202</v>
      </c>
      <c r="W371">
        <v>798.41</v>
      </c>
      <c r="X371" t="s">
        <v>2088</v>
      </c>
      <c r="Y371" t="s">
        <v>2094</v>
      </c>
      <c r="AA371" t="s">
        <v>2473</v>
      </c>
      <c r="AB371" t="s">
        <v>1783</v>
      </c>
      <c r="AC371" t="s">
        <v>3054</v>
      </c>
      <c r="AD371">
        <v>31</v>
      </c>
      <c r="AE371" t="s">
        <v>3223</v>
      </c>
      <c r="AF371" t="s">
        <v>3238</v>
      </c>
      <c r="AG371">
        <v>41</v>
      </c>
      <c r="AH371">
        <v>2</v>
      </c>
      <c r="AI371">
        <v>0</v>
      </c>
      <c r="AJ371">
        <v>146.08</v>
      </c>
      <c r="AM371" t="s">
        <v>3248</v>
      </c>
      <c r="AN371">
        <v>24702</v>
      </c>
    </row>
    <row r="372" spans="1:40">
      <c r="A372" s="1">
        <f>HYPERLINK("https://lsnyc.legalserver.org/matter/dynamic-profile/view/1908540","19-1908540")</f>
        <v>0</v>
      </c>
      <c r="B372" t="s">
        <v>66</v>
      </c>
      <c r="C372" t="s">
        <v>201</v>
      </c>
      <c r="D372" t="s">
        <v>159</v>
      </c>
      <c r="E372" t="s">
        <v>541</v>
      </c>
      <c r="F372" t="s">
        <v>971</v>
      </c>
      <c r="G372" t="s">
        <v>1414</v>
      </c>
      <c r="H372" t="s">
        <v>1642</v>
      </c>
      <c r="I372" t="s">
        <v>1754</v>
      </c>
      <c r="J372">
        <v>10032</v>
      </c>
      <c r="K372" t="s">
        <v>1779</v>
      </c>
      <c r="L372" t="s">
        <v>1781</v>
      </c>
      <c r="M372" t="s">
        <v>1782</v>
      </c>
      <c r="O372" t="s">
        <v>1793</v>
      </c>
      <c r="P372" t="s">
        <v>2050</v>
      </c>
      <c r="Q372" t="s">
        <v>2057</v>
      </c>
      <c r="R372" t="s">
        <v>2062</v>
      </c>
      <c r="S372" t="s">
        <v>1780</v>
      </c>
      <c r="T372" t="s">
        <v>2065</v>
      </c>
      <c r="V372" t="s">
        <v>201</v>
      </c>
      <c r="W372">
        <v>1324.29</v>
      </c>
      <c r="X372" t="s">
        <v>2091</v>
      </c>
      <c r="Y372" t="s">
        <v>2100</v>
      </c>
      <c r="Z372" t="s">
        <v>2110</v>
      </c>
      <c r="AA372" t="s">
        <v>2474</v>
      </c>
      <c r="AC372" t="s">
        <v>3055</v>
      </c>
      <c r="AD372">
        <v>49</v>
      </c>
      <c r="AE372" t="s">
        <v>3223</v>
      </c>
      <c r="AF372" t="s">
        <v>1783</v>
      </c>
      <c r="AG372">
        <v>25</v>
      </c>
      <c r="AH372">
        <v>1</v>
      </c>
      <c r="AI372">
        <v>0</v>
      </c>
      <c r="AJ372">
        <v>147.57</v>
      </c>
      <c r="AM372" t="s">
        <v>3249</v>
      </c>
      <c r="AN372">
        <v>18432</v>
      </c>
    </row>
    <row r="373" spans="1:40">
      <c r="A373" s="1">
        <f>HYPERLINK("https://lsnyc.legalserver.org/matter/dynamic-profile/view/1909079","19-1909079")</f>
        <v>0</v>
      </c>
      <c r="B373" t="s">
        <v>110</v>
      </c>
      <c r="C373" t="s">
        <v>178</v>
      </c>
      <c r="E373" t="s">
        <v>542</v>
      </c>
      <c r="F373" t="s">
        <v>972</v>
      </c>
      <c r="G373" t="s">
        <v>1242</v>
      </c>
      <c r="H373" t="s">
        <v>1679</v>
      </c>
      <c r="I373" t="s">
        <v>1754</v>
      </c>
      <c r="J373">
        <v>10040</v>
      </c>
      <c r="K373" t="s">
        <v>1779</v>
      </c>
      <c r="L373" t="s">
        <v>1781</v>
      </c>
      <c r="M373" t="s">
        <v>1782</v>
      </c>
      <c r="O373" t="s">
        <v>2031</v>
      </c>
      <c r="P373" t="s">
        <v>2052</v>
      </c>
      <c r="R373" t="s">
        <v>2062</v>
      </c>
      <c r="S373" t="s">
        <v>1779</v>
      </c>
      <c r="T373" t="s">
        <v>2065</v>
      </c>
      <c r="V373" t="s">
        <v>178</v>
      </c>
      <c r="W373">
        <v>2700</v>
      </c>
      <c r="X373" t="s">
        <v>2091</v>
      </c>
      <c r="Y373" t="s">
        <v>2099</v>
      </c>
      <c r="AA373" t="s">
        <v>2475</v>
      </c>
      <c r="AC373" t="s">
        <v>3056</v>
      </c>
      <c r="AD373">
        <v>77</v>
      </c>
      <c r="AE373" t="s">
        <v>3223</v>
      </c>
      <c r="AF373" t="s">
        <v>1783</v>
      </c>
      <c r="AG373">
        <v>5</v>
      </c>
      <c r="AH373">
        <v>2</v>
      </c>
      <c r="AI373">
        <v>0</v>
      </c>
      <c r="AJ373">
        <v>147.84</v>
      </c>
      <c r="AM373" t="s">
        <v>3248</v>
      </c>
      <c r="AN373">
        <v>25000</v>
      </c>
    </row>
    <row r="374" spans="1:40">
      <c r="A374" s="1">
        <f>HYPERLINK("https://lsnyc.legalserver.org/matter/dynamic-profile/view/1910056","19-1910056")</f>
        <v>0</v>
      </c>
      <c r="B374" t="s">
        <v>83</v>
      </c>
      <c r="C374" t="s">
        <v>177</v>
      </c>
      <c r="E374" t="s">
        <v>440</v>
      </c>
      <c r="F374" t="s">
        <v>673</v>
      </c>
      <c r="G374" t="s">
        <v>1217</v>
      </c>
      <c r="I374" t="s">
        <v>1754</v>
      </c>
      <c r="J374">
        <v>10033</v>
      </c>
      <c r="K374" t="s">
        <v>1779</v>
      </c>
      <c r="L374" t="s">
        <v>1781</v>
      </c>
      <c r="M374" t="s">
        <v>1782</v>
      </c>
      <c r="O374" t="s">
        <v>2031</v>
      </c>
      <c r="P374" t="s">
        <v>2051</v>
      </c>
      <c r="R374" t="s">
        <v>2062</v>
      </c>
      <c r="S374" t="s">
        <v>1779</v>
      </c>
      <c r="T374" t="s">
        <v>2065</v>
      </c>
      <c r="V374" t="s">
        <v>177</v>
      </c>
      <c r="W374">
        <v>0</v>
      </c>
      <c r="X374" t="s">
        <v>2091</v>
      </c>
      <c r="Y374" t="s">
        <v>2099</v>
      </c>
      <c r="AA374" t="s">
        <v>2476</v>
      </c>
      <c r="AC374" t="s">
        <v>3057</v>
      </c>
      <c r="AD374">
        <v>0</v>
      </c>
      <c r="AE374" t="s">
        <v>3223</v>
      </c>
      <c r="AF374" t="s">
        <v>1783</v>
      </c>
      <c r="AG374">
        <v>0</v>
      </c>
      <c r="AH374">
        <v>2</v>
      </c>
      <c r="AI374">
        <v>0</v>
      </c>
      <c r="AJ374">
        <v>147.89</v>
      </c>
      <c r="AM374" t="s">
        <v>3248</v>
      </c>
      <c r="AN374">
        <v>25008</v>
      </c>
    </row>
    <row r="375" spans="1:40">
      <c r="A375" s="1">
        <f>HYPERLINK("https://lsnyc.legalserver.org/matter/dynamic-profile/view/1904433","19-1904433")</f>
        <v>0</v>
      </c>
      <c r="B375" t="s">
        <v>85</v>
      </c>
      <c r="C375" t="s">
        <v>191</v>
      </c>
      <c r="E375" t="s">
        <v>543</v>
      </c>
      <c r="F375" t="s">
        <v>973</v>
      </c>
      <c r="G375" t="s">
        <v>1415</v>
      </c>
      <c r="I375" t="s">
        <v>1753</v>
      </c>
      <c r="J375">
        <v>10306</v>
      </c>
      <c r="K375" t="s">
        <v>1779</v>
      </c>
      <c r="L375" t="s">
        <v>1781</v>
      </c>
      <c r="M375" t="s">
        <v>1782</v>
      </c>
      <c r="N375" t="s">
        <v>1962</v>
      </c>
      <c r="O375" t="s">
        <v>2029</v>
      </c>
      <c r="P375" t="s">
        <v>2051</v>
      </c>
      <c r="R375" t="s">
        <v>2062</v>
      </c>
      <c r="S375" t="s">
        <v>1780</v>
      </c>
      <c r="T375" t="s">
        <v>2065</v>
      </c>
      <c r="U375" t="s">
        <v>2073</v>
      </c>
      <c r="V375" t="s">
        <v>176</v>
      </c>
      <c r="W375">
        <v>0</v>
      </c>
      <c r="X375" t="s">
        <v>2090</v>
      </c>
      <c r="Y375" t="s">
        <v>2099</v>
      </c>
      <c r="AA375" t="s">
        <v>2477</v>
      </c>
      <c r="AC375" t="s">
        <v>3058</v>
      </c>
      <c r="AD375">
        <v>1</v>
      </c>
      <c r="AE375" t="s">
        <v>3222</v>
      </c>
      <c r="AG375">
        <v>15</v>
      </c>
      <c r="AH375">
        <v>3</v>
      </c>
      <c r="AI375">
        <v>0</v>
      </c>
      <c r="AJ375">
        <v>148.86</v>
      </c>
      <c r="AM375" t="s">
        <v>3248</v>
      </c>
      <c r="AN375">
        <v>31752</v>
      </c>
    </row>
    <row r="376" spans="1:40">
      <c r="A376" s="1">
        <f>HYPERLINK("https://lsnyc.legalserver.org/matter/dynamic-profile/view/1905070","19-1905070")</f>
        <v>0</v>
      </c>
      <c r="B376" t="s">
        <v>72</v>
      </c>
      <c r="C376" t="s">
        <v>151</v>
      </c>
      <c r="E376" t="s">
        <v>544</v>
      </c>
      <c r="F376" t="s">
        <v>861</v>
      </c>
      <c r="G376" t="s">
        <v>1416</v>
      </c>
      <c r="H376" t="s">
        <v>1543</v>
      </c>
      <c r="I376" t="s">
        <v>1777</v>
      </c>
      <c r="J376">
        <v>11372</v>
      </c>
      <c r="K376" t="s">
        <v>1779</v>
      </c>
      <c r="L376" t="s">
        <v>1781</v>
      </c>
      <c r="M376" t="s">
        <v>1782</v>
      </c>
      <c r="N376" t="s">
        <v>1963</v>
      </c>
      <c r="O376" t="s">
        <v>2030</v>
      </c>
      <c r="P376" t="s">
        <v>2051</v>
      </c>
      <c r="R376" t="s">
        <v>2062</v>
      </c>
      <c r="S376" t="s">
        <v>1780</v>
      </c>
      <c r="T376" t="s">
        <v>2065</v>
      </c>
      <c r="U376" t="s">
        <v>2076</v>
      </c>
      <c r="V376" t="s">
        <v>151</v>
      </c>
      <c r="W376">
        <v>1760</v>
      </c>
      <c r="X376" t="s">
        <v>2087</v>
      </c>
      <c r="Y376" t="s">
        <v>2101</v>
      </c>
      <c r="AA376" t="s">
        <v>2478</v>
      </c>
      <c r="AC376" t="s">
        <v>3059</v>
      </c>
      <c r="AD376">
        <v>16</v>
      </c>
      <c r="AE376" t="s">
        <v>2704</v>
      </c>
      <c r="AF376" t="s">
        <v>1783</v>
      </c>
      <c r="AG376">
        <v>5</v>
      </c>
      <c r="AH376">
        <v>2</v>
      </c>
      <c r="AI376">
        <v>2</v>
      </c>
      <c r="AJ376">
        <v>149.44</v>
      </c>
      <c r="AM376" t="s">
        <v>3248</v>
      </c>
      <c r="AN376">
        <v>38480</v>
      </c>
    </row>
    <row r="377" spans="1:40">
      <c r="A377" s="1">
        <f>HYPERLINK("https://lsnyc.legalserver.org/matter/dynamic-profile/view/1898702","19-1898702")</f>
        <v>0</v>
      </c>
      <c r="B377" t="s">
        <v>56</v>
      </c>
      <c r="C377" t="s">
        <v>229</v>
      </c>
      <c r="D377" t="s">
        <v>226</v>
      </c>
      <c r="E377" t="s">
        <v>545</v>
      </c>
      <c r="F377" t="s">
        <v>769</v>
      </c>
      <c r="G377" t="s">
        <v>1417</v>
      </c>
      <c r="H377">
        <v>1</v>
      </c>
      <c r="I377" t="s">
        <v>1749</v>
      </c>
      <c r="J377">
        <v>11207</v>
      </c>
      <c r="K377" t="s">
        <v>1779</v>
      </c>
      <c r="L377" t="s">
        <v>1779</v>
      </c>
      <c r="M377" t="s">
        <v>1782</v>
      </c>
      <c r="N377" t="s">
        <v>1793</v>
      </c>
      <c r="O377" t="s">
        <v>2034</v>
      </c>
      <c r="P377" t="s">
        <v>2050</v>
      </c>
      <c r="Q377" t="s">
        <v>2057</v>
      </c>
      <c r="R377" t="s">
        <v>2062</v>
      </c>
      <c r="S377" t="s">
        <v>1780</v>
      </c>
      <c r="T377" t="s">
        <v>2065</v>
      </c>
      <c r="U377" t="s">
        <v>2073</v>
      </c>
      <c r="V377" t="s">
        <v>213</v>
      </c>
      <c r="W377">
        <v>870</v>
      </c>
      <c r="X377" t="s">
        <v>2088</v>
      </c>
      <c r="Z377" t="s">
        <v>2110</v>
      </c>
      <c r="AA377" t="s">
        <v>2479</v>
      </c>
      <c r="AD377">
        <v>2</v>
      </c>
      <c r="AE377" t="s">
        <v>3222</v>
      </c>
      <c r="AG377">
        <v>2</v>
      </c>
      <c r="AH377">
        <v>3</v>
      </c>
      <c r="AI377">
        <v>1</v>
      </c>
      <c r="AJ377">
        <v>149.44</v>
      </c>
      <c r="AM377" t="s">
        <v>3249</v>
      </c>
      <c r="AN377">
        <v>38480</v>
      </c>
    </row>
    <row r="378" spans="1:40">
      <c r="A378" s="1">
        <f>HYPERLINK("https://lsnyc.legalserver.org/matter/dynamic-profile/view/1904645","19-1904645")</f>
        <v>0</v>
      </c>
      <c r="B378" t="s">
        <v>112</v>
      </c>
      <c r="C378" t="s">
        <v>162</v>
      </c>
      <c r="E378" t="s">
        <v>546</v>
      </c>
      <c r="F378" t="s">
        <v>974</v>
      </c>
      <c r="G378" t="s">
        <v>1418</v>
      </c>
      <c r="H378">
        <v>10</v>
      </c>
      <c r="I378" t="s">
        <v>1754</v>
      </c>
      <c r="J378">
        <v>10003</v>
      </c>
      <c r="K378" t="s">
        <v>1779</v>
      </c>
      <c r="L378" t="s">
        <v>1781</v>
      </c>
      <c r="M378" t="s">
        <v>1782</v>
      </c>
      <c r="N378" t="s">
        <v>1964</v>
      </c>
      <c r="O378" t="s">
        <v>2030</v>
      </c>
      <c r="P378" t="s">
        <v>2052</v>
      </c>
      <c r="R378" t="s">
        <v>2062</v>
      </c>
      <c r="S378" t="s">
        <v>1780</v>
      </c>
      <c r="T378" t="s">
        <v>2065</v>
      </c>
      <c r="V378" t="s">
        <v>162</v>
      </c>
      <c r="W378">
        <v>651.63</v>
      </c>
      <c r="X378" t="s">
        <v>2091</v>
      </c>
      <c r="Y378" t="s">
        <v>2092</v>
      </c>
      <c r="AA378" t="s">
        <v>2480</v>
      </c>
      <c r="AC378" t="s">
        <v>3060</v>
      </c>
      <c r="AD378">
        <v>15</v>
      </c>
      <c r="AE378" t="s">
        <v>3223</v>
      </c>
      <c r="AF378" t="s">
        <v>3238</v>
      </c>
      <c r="AG378">
        <v>43</v>
      </c>
      <c r="AH378">
        <v>1</v>
      </c>
      <c r="AI378">
        <v>0</v>
      </c>
      <c r="AJ378">
        <v>149.93</v>
      </c>
      <c r="AM378" t="s">
        <v>3248</v>
      </c>
      <c r="AN378">
        <v>18726</v>
      </c>
    </row>
    <row r="379" spans="1:40">
      <c r="A379" s="1">
        <f>HYPERLINK("https://lsnyc.legalserver.org/matter/dynamic-profile/view/1910267","19-1910267")</f>
        <v>0</v>
      </c>
      <c r="B379" t="s">
        <v>59</v>
      </c>
      <c r="C379" t="s">
        <v>192</v>
      </c>
      <c r="E379" t="s">
        <v>249</v>
      </c>
      <c r="F379" t="s">
        <v>975</v>
      </c>
      <c r="G379" t="s">
        <v>1419</v>
      </c>
      <c r="H379" t="s">
        <v>1568</v>
      </c>
      <c r="I379" t="s">
        <v>1749</v>
      </c>
      <c r="J379">
        <v>11225</v>
      </c>
      <c r="K379" t="s">
        <v>1779</v>
      </c>
      <c r="L379" t="s">
        <v>1781</v>
      </c>
      <c r="M379" t="s">
        <v>1782</v>
      </c>
      <c r="P379" t="s">
        <v>2053</v>
      </c>
      <c r="R379" t="s">
        <v>2062</v>
      </c>
      <c r="S379" t="s">
        <v>1779</v>
      </c>
      <c r="T379" t="s">
        <v>2065</v>
      </c>
      <c r="V379" t="s">
        <v>192</v>
      </c>
      <c r="W379">
        <v>813.54</v>
      </c>
      <c r="X379" t="s">
        <v>2088</v>
      </c>
      <c r="AA379" t="s">
        <v>2481</v>
      </c>
      <c r="AC379" t="s">
        <v>3061</v>
      </c>
      <c r="AD379">
        <v>0</v>
      </c>
      <c r="AG379">
        <v>26</v>
      </c>
      <c r="AH379">
        <v>3</v>
      </c>
      <c r="AI379">
        <v>0</v>
      </c>
      <c r="AJ379">
        <v>150.02</v>
      </c>
      <c r="AM379" t="s">
        <v>3248</v>
      </c>
      <c r="AN379">
        <v>32000</v>
      </c>
    </row>
    <row r="380" spans="1:40">
      <c r="A380" s="1">
        <f>HYPERLINK("https://lsnyc.legalserver.org/matter/dynamic-profile/view/1903131","19-1903131")</f>
        <v>0</v>
      </c>
      <c r="B380" t="s">
        <v>55</v>
      </c>
      <c r="C380" t="s">
        <v>230</v>
      </c>
      <c r="E380" t="s">
        <v>547</v>
      </c>
      <c r="F380" t="s">
        <v>976</v>
      </c>
      <c r="G380" t="s">
        <v>1420</v>
      </c>
      <c r="H380" t="s">
        <v>1555</v>
      </c>
      <c r="I380" t="s">
        <v>1749</v>
      </c>
      <c r="J380">
        <v>11212</v>
      </c>
      <c r="K380" t="s">
        <v>1779</v>
      </c>
      <c r="L380" t="s">
        <v>1781</v>
      </c>
      <c r="M380" t="s">
        <v>1784</v>
      </c>
      <c r="N380" t="s">
        <v>1965</v>
      </c>
      <c r="O380" t="s">
        <v>2030</v>
      </c>
      <c r="P380" t="s">
        <v>2052</v>
      </c>
      <c r="R380" t="s">
        <v>2062</v>
      </c>
      <c r="S380" t="s">
        <v>1780</v>
      </c>
      <c r="T380" t="s">
        <v>2065</v>
      </c>
      <c r="U380" t="s">
        <v>2073</v>
      </c>
      <c r="V380" t="s">
        <v>168</v>
      </c>
      <c r="W380">
        <v>1235</v>
      </c>
      <c r="X380" t="s">
        <v>2088</v>
      </c>
      <c r="Y380" t="s">
        <v>2099</v>
      </c>
      <c r="Z380" t="s">
        <v>2110</v>
      </c>
      <c r="AA380" t="s">
        <v>2482</v>
      </c>
      <c r="AB380" t="s">
        <v>2733</v>
      </c>
      <c r="AD380">
        <v>4</v>
      </c>
      <c r="AE380" t="s">
        <v>3222</v>
      </c>
      <c r="AF380" t="s">
        <v>3242</v>
      </c>
      <c r="AG380">
        <v>30</v>
      </c>
      <c r="AH380">
        <v>1</v>
      </c>
      <c r="AI380">
        <v>0</v>
      </c>
      <c r="AJ380">
        <v>151.8</v>
      </c>
      <c r="AM380" t="s">
        <v>3248</v>
      </c>
      <c r="AN380">
        <v>18960</v>
      </c>
    </row>
    <row r="381" spans="1:40">
      <c r="A381" s="1">
        <f>HYPERLINK("https://lsnyc.legalserver.org/matter/dynamic-profile/view/1908794","19-1908794")</f>
        <v>0</v>
      </c>
      <c r="B381" t="s">
        <v>92</v>
      </c>
      <c r="C381" t="s">
        <v>159</v>
      </c>
      <c r="E381" t="s">
        <v>440</v>
      </c>
      <c r="F381" t="s">
        <v>977</v>
      </c>
      <c r="G381" t="s">
        <v>1421</v>
      </c>
      <c r="H381" t="s">
        <v>1570</v>
      </c>
      <c r="I381" t="s">
        <v>1753</v>
      </c>
      <c r="J381">
        <v>10301</v>
      </c>
      <c r="K381" t="s">
        <v>1779</v>
      </c>
      <c r="L381" t="s">
        <v>1781</v>
      </c>
      <c r="M381" t="s">
        <v>1782</v>
      </c>
      <c r="N381" t="s">
        <v>1786</v>
      </c>
      <c r="O381" t="s">
        <v>2029</v>
      </c>
      <c r="P381" t="s">
        <v>2050</v>
      </c>
      <c r="R381" t="s">
        <v>2062</v>
      </c>
      <c r="S381" t="s">
        <v>1780</v>
      </c>
      <c r="T381" t="s">
        <v>2065</v>
      </c>
      <c r="U381" t="s">
        <v>2073</v>
      </c>
      <c r="V381" t="s">
        <v>150</v>
      </c>
      <c r="W381">
        <v>642</v>
      </c>
      <c r="X381" t="s">
        <v>2090</v>
      </c>
      <c r="Y381" t="s">
        <v>2107</v>
      </c>
      <c r="AA381" t="s">
        <v>2483</v>
      </c>
      <c r="AC381" t="s">
        <v>3062</v>
      </c>
      <c r="AD381">
        <v>16</v>
      </c>
      <c r="AE381" t="s">
        <v>3223</v>
      </c>
      <c r="AF381" t="s">
        <v>1783</v>
      </c>
      <c r="AG381">
        <v>7</v>
      </c>
      <c r="AH381">
        <v>1</v>
      </c>
      <c r="AI381">
        <v>0</v>
      </c>
      <c r="AJ381">
        <v>153.72</v>
      </c>
      <c r="AM381" t="s">
        <v>3248</v>
      </c>
      <c r="AN381">
        <v>19200</v>
      </c>
    </row>
    <row r="382" spans="1:40">
      <c r="A382" s="1">
        <f>HYPERLINK("https://lsnyc.legalserver.org/matter/dynamic-profile/view/1908937","19-1908937")</f>
        <v>0</v>
      </c>
      <c r="B382" t="s">
        <v>110</v>
      </c>
      <c r="C382" t="s">
        <v>196</v>
      </c>
      <c r="E382" t="s">
        <v>417</v>
      </c>
      <c r="F382" t="s">
        <v>978</v>
      </c>
      <c r="G382" t="s">
        <v>1242</v>
      </c>
      <c r="H382" t="s">
        <v>1698</v>
      </c>
      <c r="I382" t="s">
        <v>1754</v>
      </c>
      <c r="J382">
        <v>10040</v>
      </c>
      <c r="K382" t="s">
        <v>1779</v>
      </c>
      <c r="L382" t="s">
        <v>1781</v>
      </c>
      <c r="M382" t="s">
        <v>1782</v>
      </c>
      <c r="O382" t="s">
        <v>2031</v>
      </c>
      <c r="P382" t="s">
        <v>2051</v>
      </c>
      <c r="R382" t="s">
        <v>2062</v>
      </c>
      <c r="S382" t="s">
        <v>1779</v>
      </c>
      <c r="T382" t="s">
        <v>2065</v>
      </c>
      <c r="V382" t="s">
        <v>196</v>
      </c>
      <c r="W382">
        <v>854</v>
      </c>
      <c r="X382" t="s">
        <v>2091</v>
      </c>
      <c r="Y382" t="s">
        <v>2099</v>
      </c>
      <c r="AA382" t="s">
        <v>2484</v>
      </c>
      <c r="AC382" t="s">
        <v>3063</v>
      </c>
      <c r="AD382">
        <v>77</v>
      </c>
      <c r="AE382" t="s">
        <v>3223</v>
      </c>
      <c r="AF382" t="s">
        <v>1783</v>
      </c>
      <c r="AG382">
        <v>41</v>
      </c>
      <c r="AH382">
        <v>1</v>
      </c>
      <c r="AI382">
        <v>0</v>
      </c>
      <c r="AJ382">
        <v>153.72</v>
      </c>
      <c r="AM382" t="s">
        <v>3249</v>
      </c>
      <c r="AN382">
        <v>19200</v>
      </c>
    </row>
    <row r="383" spans="1:40">
      <c r="A383" s="1">
        <f>HYPERLINK("https://lsnyc.legalserver.org/matter/dynamic-profile/view/1901929","19-1901929")</f>
        <v>0</v>
      </c>
      <c r="B383" t="s">
        <v>55</v>
      </c>
      <c r="C383" t="s">
        <v>231</v>
      </c>
      <c r="E383" t="s">
        <v>548</v>
      </c>
      <c r="F383" t="s">
        <v>979</v>
      </c>
      <c r="G383" t="s">
        <v>1422</v>
      </c>
      <c r="H383" t="s">
        <v>1583</v>
      </c>
      <c r="I383" t="s">
        <v>1749</v>
      </c>
      <c r="J383">
        <v>11233</v>
      </c>
      <c r="K383" t="s">
        <v>1780</v>
      </c>
      <c r="L383" t="s">
        <v>1781</v>
      </c>
      <c r="M383" t="s">
        <v>1783</v>
      </c>
      <c r="N383" t="s">
        <v>1966</v>
      </c>
      <c r="O383" t="s">
        <v>2030</v>
      </c>
      <c r="P383" t="s">
        <v>2051</v>
      </c>
      <c r="R383" t="s">
        <v>2062</v>
      </c>
      <c r="S383" t="s">
        <v>1780</v>
      </c>
      <c r="T383" t="s">
        <v>2065</v>
      </c>
      <c r="U383" t="s">
        <v>2073</v>
      </c>
      <c r="V383" t="s">
        <v>213</v>
      </c>
      <c r="W383">
        <v>1052</v>
      </c>
      <c r="X383" t="s">
        <v>2088</v>
      </c>
      <c r="Y383" t="s">
        <v>2101</v>
      </c>
      <c r="AA383" t="s">
        <v>2485</v>
      </c>
      <c r="AB383" t="s">
        <v>1783</v>
      </c>
      <c r="AC383" t="s">
        <v>3064</v>
      </c>
      <c r="AD383">
        <v>12</v>
      </c>
      <c r="AE383" t="s">
        <v>3223</v>
      </c>
      <c r="AF383" t="s">
        <v>1783</v>
      </c>
      <c r="AG383">
        <v>8</v>
      </c>
      <c r="AH383">
        <v>2</v>
      </c>
      <c r="AI383">
        <v>0</v>
      </c>
      <c r="AJ383">
        <v>153.76</v>
      </c>
      <c r="AM383" t="s">
        <v>3248</v>
      </c>
      <c r="AN383">
        <v>26000</v>
      </c>
    </row>
    <row r="384" spans="1:40">
      <c r="A384" s="1">
        <f>HYPERLINK("https://lsnyc.legalserver.org/matter/dynamic-profile/view/1904333","19-1904333")</f>
        <v>0</v>
      </c>
      <c r="B384" t="s">
        <v>67</v>
      </c>
      <c r="C384" t="s">
        <v>135</v>
      </c>
      <c r="E384" t="s">
        <v>549</v>
      </c>
      <c r="F384" t="s">
        <v>980</v>
      </c>
      <c r="G384" t="s">
        <v>1423</v>
      </c>
      <c r="H384">
        <v>55</v>
      </c>
      <c r="I384" t="s">
        <v>1754</v>
      </c>
      <c r="J384">
        <v>10034</v>
      </c>
      <c r="K384" t="s">
        <v>1779</v>
      </c>
      <c r="L384" t="s">
        <v>1781</v>
      </c>
      <c r="M384" t="s">
        <v>1782</v>
      </c>
      <c r="O384" t="s">
        <v>2034</v>
      </c>
      <c r="P384" t="s">
        <v>2052</v>
      </c>
      <c r="R384" t="s">
        <v>2062</v>
      </c>
      <c r="S384" t="s">
        <v>1780</v>
      </c>
      <c r="T384" t="s">
        <v>2065</v>
      </c>
      <c r="V384" t="s">
        <v>135</v>
      </c>
      <c r="W384">
        <v>1408.53</v>
      </c>
      <c r="X384" t="s">
        <v>2091</v>
      </c>
      <c r="Y384" t="s">
        <v>2099</v>
      </c>
      <c r="AA384" t="s">
        <v>2486</v>
      </c>
      <c r="AC384" t="s">
        <v>3065</v>
      </c>
      <c r="AD384">
        <v>50</v>
      </c>
      <c r="AE384" t="s">
        <v>3223</v>
      </c>
      <c r="AF384" t="s">
        <v>1783</v>
      </c>
      <c r="AG384">
        <v>14</v>
      </c>
      <c r="AH384">
        <v>3</v>
      </c>
      <c r="AI384">
        <v>0</v>
      </c>
      <c r="AJ384">
        <v>154.71</v>
      </c>
      <c r="AM384" t="s">
        <v>3249</v>
      </c>
      <c r="AN384">
        <v>33000</v>
      </c>
    </row>
    <row r="385" spans="1:41">
      <c r="A385" s="1">
        <f>HYPERLINK("https://lsnyc.legalserver.org/matter/dynamic-profile/view/1904729","19-1904729")</f>
        <v>0</v>
      </c>
      <c r="B385" t="s">
        <v>73</v>
      </c>
      <c r="C385" t="s">
        <v>162</v>
      </c>
      <c r="E385" t="s">
        <v>432</v>
      </c>
      <c r="F385" t="s">
        <v>737</v>
      </c>
      <c r="G385" t="s">
        <v>1424</v>
      </c>
      <c r="H385" t="s">
        <v>1699</v>
      </c>
      <c r="I385" t="s">
        <v>1754</v>
      </c>
      <c r="J385">
        <v>10034</v>
      </c>
      <c r="K385" t="s">
        <v>1779</v>
      </c>
      <c r="L385" t="s">
        <v>1781</v>
      </c>
      <c r="M385" t="s">
        <v>1782</v>
      </c>
      <c r="O385" t="s">
        <v>2031</v>
      </c>
      <c r="P385" t="s">
        <v>2051</v>
      </c>
      <c r="R385" t="s">
        <v>2062</v>
      </c>
      <c r="S385" t="s">
        <v>1779</v>
      </c>
      <c r="T385" t="s">
        <v>2065</v>
      </c>
      <c r="V385" t="s">
        <v>162</v>
      </c>
      <c r="W385">
        <v>1600</v>
      </c>
      <c r="X385" t="s">
        <v>2091</v>
      </c>
      <c r="Y385" t="s">
        <v>2099</v>
      </c>
      <c r="AA385" t="s">
        <v>2487</v>
      </c>
      <c r="AC385" t="s">
        <v>3066</v>
      </c>
      <c r="AD385">
        <v>43</v>
      </c>
      <c r="AE385" t="s">
        <v>3223</v>
      </c>
      <c r="AF385" t="s">
        <v>1783</v>
      </c>
      <c r="AG385">
        <v>0</v>
      </c>
      <c r="AH385">
        <v>3</v>
      </c>
      <c r="AI385">
        <v>1</v>
      </c>
      <c r="AJ385">
        <v>154.72</v>
      </c>
      <c r="AM385" t="s">
        <v>3249</v>
      </c>
      <c r="AN385">
        <v>39840</v>
      </c>
    </row>
    <row r="386" spans="1:41">
      <c r="A386" s="1">
        <f>HYPERLINK("https://lsnyc.legalserver.org/matter/dynamic-profile/view/1905109","19-1905109")</f>
        <v>0</v>
      </c>
      <c r="B386" t="s">
        <v>60</v>
      </c>
      <c r="C386" t="s">
        <v>151</v>
      </c>
      <c r="E386" t="s">
        <v>550</v>
      </c>
      <c r="F386" t="s">
        <v>981</v>
      </c>
      <c r="G386" t="s">
        <v>1312</v>
      </c>
      <c r="H386" t="s">
        <v>1592</v>
      </c>
      <c r="I386" t="s">
        <v>1749</v>
      </c>
      <c r="J386">
        <v>11220</v>
      </c>
      <c r="K386" t="s">
        <v>1779</v>
      </c>
      <c r="L386" t="s">
        <v>1781</v>
      </c>
      <c r="M386" t="s">
        <v>1782</v>
      </c>
      <c r="O386" t="s">
        <v>2031</v>
      </c>
      <c r="P386" t="s">
        <v>2051</v>
      </c>
      <c r="R386" t="s">
        <v>2062</v>
      </c>
      <c r="S386" t="s">
        <v>1779</v>
      </c>
      <c r="T386" t="s">
        <v>2065</v>
      </c>
      <c r="V386" t="s">
        <v>176</v>
      </c>
      <c r="W386">
        <v>0</v>
      </c>
      <c r="X386" t="s">
        <v>2088</v>
      </c>
      <c r="AA386" t="s">
        <v>2488</v>
      </c>
      <c r="AC386" t="s">
        <v>3067</v>
      </c>
      <c r="AD386">
        <v>54</v>
      </c>
      <c r="AG386">
        <v>0</v>
      </c>
      <c r="AH386">
        <v>4</v>
      </c>
      <c r="AI386">
        <v>0</v>
      </c>
      <c r="AJ386">
        <v>155.34</v>
      </c>
      <c r="AM386" t="s">
        <v>3248</v>
      </c>
      <c r="AN386">
        <v>40000</v>
      </c>
    </row>
    <row r="387" spans="1:41">
      <c r="A387" s="1">
        <f>HYPERLINK("https://lsnyc.legalserver.org/matter/dynamic-profile/view/1905021","19-1905021")</f>
        <v>0</v>
      </c>
      <c r="B387" t="s">
        <v>85</v>
      </c>
      <c r="C387" t="s">
        <v>226</v>
      </c>
      <c r="E387" t="s">
        <v>551</v>
      </c>
      <c r="F387" t="s">
        <v>982</v>
      </c>
      <c r="G387" t="s">
        <v>1425</v>
      </c>
      <c r="H387" t="s">
        <v>1580</v>
      </c>
      <c r="I387" t="s">
        <v>1753</v>
      </c>
      <c r="J387">
        <v>10304</v>
      </c>
      <c r="K387" t="s">
        <v>1779</v>
      </c>
      <c r="L387" t="s">
        <v>1781</v>
      </c>
      <c r="M387" t="s">
        <v>1782</v>
      </c>
      <c r="N387" t="s">
        <v>1967</v>
      </c>
      <c r="O387" t="s">
        <v>2030</v>
      </c>
      <c r="P387" t="s">
        <v>2051</v>
      </c>
      <c r="R387" t="s">
        <v>2062</v>
      </c>
      <c r="S387" t="s">
        <v>1780</v>
      </c>
      <c r="T387" t="s">
        <v>2065</v>
      </c>
      <c r="U387" t="s">
        <v>2073</v>
      </c>
      <c r="V387" t="s">
        <v>226</v>
      </c>
      <c r="W387">
        <v>463</v>
      </c>
      <c r="X387" t="s">
        <v>2090</v>
      </c>
      <c r="Y387" t="s">
        <v>2101</v>
      </c>
      <c r="AA387" t="s">
        <v>2489</v>
      </c>
      <c r="AC387" t="s">
        <v>3068</v>
      </c>
      <c r="AD387">
        <v>131</v>
      </c>
      <c r="AE387" t="s">
        <v>3223</v>
      </c>
      <c r="AF387" t="s">
        <v>1783</v>
      </c>
      <c r="AG387">
        <v>8</v>
      </c>
      <c r="AH387">
        <v>3</v>
      </c>
      <c r="AI387">
        <v>0</v>
      </c>
      <c r="AJ387">
        <v>156.02</v>
      </c>
      <c r="AM387" t="s">
        <v>3248</v>
      </c>
      <c r="AN387">
        <v>33279.96</v>
      </c>
    </row>
    <row r="388" spans="1:41">
      <c r="A388" s="1">
        <f>HYPERLINK("https://lsnyc.legalserver.org/matter/dynamic-profile/view/1910598","19-1910598")</f>
        <v>0</v>
      </c>
      <c r="B388" t="s">
        <v>66</v>
      </c>
      <c r="C388" t="s">
        <v>134</v>
      </c>
      <c r="E388" t="s">
        <v>552</v>
      </c>
      <c r="F388" t="s">
        <v>983</v>
      </c>
      <c r="G388" t="s">
        <v>1242</v>
      </c>
      <c r="H388" t="s">
        <v>1700</v>
      </c>
      <c r="I388" t="s">
        <v>1754</v>
      </c>
      <c r="J388">
        <v>10040</v>
      </c>
      <c r="K388" t="s">
        <v>1779</v>
      </c>
      <c r="L388" t="s">
        <v>1781</v>
      </c>
      <c r="M388" t="s">
        <v>1782</v>
      </c>
      <c r="O388" t="s">
        <v>2031</v>
      </c>
      <c r="P388" t="s">
        <v>2052</v>
      </c>
      <c r="R388" t="s">
        <v>2062</v>
      </c>
      <c r="S388" t="s">
        <v>1779</v>
      </c>
      <c r="T388" t="s">
        <v>2065</v>
      </c>
      <c r="V388" t="s">
        <v>134</v>
      </c>
      <c r="W388">
        <v>671.64</v>
      </c>
      <c r="X388" t="s">
        <v>2091</v>
      </c>
      <c r="Y388" t="s">
        <v>2099</v>
      </c>
      <c r="AA388" t="s">
        <v>2490</v>
      </c>
      <c r="AD388">
        <v>78</v>
      </c>
      <c r="AE388" t="s">
        <v>3223</v>
      </c>
      <c r="AF388" t="s">
        <v>3238</v>
      </c>
      <c r="AG388">
        <v>48</v>
      </c>
      <c r="AH388">
        <v>1</v>
      </c>
      <c r="AI388">
        <v>0</v>
      </c>
      <c r="AJ388">
        <v>156.12</v>
      </c>
      <c r="AM388" t="s">
        <v>3248</v>
      </c>
      <c r="AN388">
        <v>19499.52</v>
      </c>
    </row>
    <row r="389" spans="1:41">
      <c r="A389" s="1">
        <f>HYPERLINK("https://lsnyc.legalserver.org/matter/dynamic-profile/view/1905267","19-1905267")</f>
        <v>0</v>
      </c>
      <c r="B389" t="s">
        <v>125</v>
      </c>
      <c r="C389" t="s">
        <v>167</v>
      </c>
      <c r="E389" t="s">
        <v>553</v>
      </c>
      <c r="F389" t="s">
        <v>984</v>
      </c>
      <c r="G389" t="s">
        <v>1426</v>
      </c>
      <c r="H389" t="s">
        <v>1701</v>
      </c>
      <c r="I389" t="s">
        <v>1752</v>
      </c>
      <c r="J389">
        <v>10451</v>
      </c>
      <c r="K389" t="s">
        <v>1779</v>
      </c>
      <c r="L389" t="s">
        <v>1781</v>
      </c>
      <c r="M389" t="s">
        <v>1782</v>
      </c>
      <c r="O389" t="s">
        <v>1793</v>
      </c>
      <c r="P389" t="s">
        <v>2050</v>
      </c>
      <c r="R389" t="s">
        <v>2062</v>
      </c>
      <c r="S389" t="s">
        <v>1780</v>
      </c>
      <c r="T389" t="s">
        <v>2065</v>
      </c>
      <c r="V389" t="s">
        <v>180</v>
      </c>
      <c r="W389">
        <v>1630</v>
      </c>
      <c r="X389" t="s">
        <v>2089</v>
      </c>
      <c r="Y389" t="s">
        <v>2100</v>
      </c>
      <c r="AA389" t="s">
        <v>2491</v>
      </c>
      <c r="AD389">
        <v>260</v>
      </c>
      <c r="AE389" t="s">
        <v>3235</v>
      </c>
      <c r="AF389" t="s">
        <v>1783</v>
      </c>
      <c r="AG389">
        <v>16</v>
      </c>
      <c r="AH389">
        <v>1</v>
      </c>
      <c r="AI389">
        <v>0</v>
      </c>
      <c r="AJ389">
        <v>156.61</v>
      </c>
      <c r="AM389" t="s">
        <v>3248</v>
      </c>
      <c r="AN389">
        <v>19560</v>
      </c>
    </row>
    <row r="390" spans="1:41">
      <c r="A390" s="1">
        <f>HYPERLINK("https://lsnyc.legalserver.org/matter/dynamic-profile/view/1910889","19-1910889")</f>
        <v>0</v>
      </c>
      <c r="B390" t="s">
        <v>76</v>
      </c>
      <c r="C390" t="s">
        <v>142</v>
      </c>
      <c r="E390" t="s">
        <v>554</v>
      </c>
      <c r="F390" t="s">
        <v>265</v>
      </c>
      <c r="G390" t="s">
        <v>1427</v>
      </c>
      <c r="I390" t="s">
        <v>1749</v>
      </c>
      <c r="J390">
        <v>11212</v>
      </c>
      <c r="K390" t="s">
        <v>1779</v>
      </c>
      <c r="L390" t="s">
        <v>1781</v>
      </c>
      <c r="M390" t="s">
        <v>1782</v>
      </c>
      <c r="N390" t="s">
        <v>1792</v>
      </c>
      <c r="O390" t="s">
        <v>1793</v>
      </c>
      <c r="R390" t="s">
        <v>2062</v>
      </c>
      <c r="S390" t="s">
        <v>1780</v>
      </c>
      <c r="T390" t="s">
        <v>2065</v>
      </c>
      <c r="U390" t="s">
        <v>2073</v>
      </c>
      <c r="V390" t="s">
        <v>180</v>
      </c>
      <c r="W390">
        <v>911.8</v>
      </c>
      <c r="X390" t="s">
        <v>2088</v>
      </c>
      <c r="Y390" t="s">
        <v>2094</v>
      </c>
      <c r="AA390" t="s">
        <v>2492</v>
      </c>
      <c r="AB390" t="s">
        <v>1799</v>
      </c>
      <c r="AC390" t="s">
        <v>3069</v>
      </c>
      <c r="AD390">
        <v>71</v>
      </c>
      <c r="AE390" t="s">
        <v>3223</v>
      </c>
      <c r="AF390" t="s">
        <v>1783</v>
      </c>
      <c r="AG390">
        <v>30</v>
      </c>
      <c r="AH390">
        <v>2</v>
      </c>
      <c r="AI390">
        <v>0</v>
      </c>
      <c r="AJ390">
        <v>157.89</v>
      </c>
      <c r="AM390" t="s">
        <v>3248</v>
      </c>
      <c r="AN390">
        <v>26700</v>
      </c>
    </row>
    <row r="391" spans="1:41">
      <c r="A391" s="1">
        <f>HYPERLINK("https://lsnyc.legalserver.org/matter/dynamic-profile/view/1902689","19-1902689")</f>
        <v>0</v>
      </c>
      <c r="B391" t="s">
        <v>104</v>
      </c>
      <c r="C391" t="s">
        <v>168</v>
      </c>
      <c r="E391" t="s">
        <v>555</v>
      </c>
      <c r="F391" t="s">
        <v>985</v>
      </c>
      <c r="G391" t="s">
        <v>1428</v>
      </c>
      <c r="H391" t="s">
        <v>1574</v>
      </c>
      <c r="I391" t="s">
        <v>1753</v>
      </c>
      <c r="J391">
        <v>10301</v>
      </c>
      <c r="K391" t="s">
        <v>1779</v>
      </c>
      <c r="L391" t="s">
        <v>1781</v>
      </c>
      <c r="M391" t="s">
        <v>1782</v>
      </c>
      <c r="N391" t="s">
        <v>1968</v>
      </c>
      <c r="O391" t="s">
        <v>2029</v>
      </c>
      <c r="P391" t="s">
        <v>2051</v>
      </c>
      <c r="R391" t="s">
        <v>2062</v>
      </c>
      <c r="S391" t="s">
        <v>1780</v>
      </c>
      <c r="T391" t="s">
        <v>2065</v>
      </c>
      <c r="U391" t="s">
        <v>2073</v>
      </c>
      <c r="V391" t="s">
        <v>168</v>
      </c>
      <c r="W391">
        <v>1025</v>
      </c>
      <c r="X391" t="s">
        <v>2090</v>
      </c>
      <c r="Y391" t="s">
        <v>2102</v>
      </c>
      <c r="AA391" t="s">
        <v>2493</v>
      </c>
      <c r="AC391" t="s">
        <v>3070</v>
      </c>
      <c r="AD391">
        <v>2</v>
      </c>
      <c r="AE391" t="s">
        <v>3222</v>
      </c>
      <c r="AF391" t="s">
        <v>1783</v>
      </c>
      <c r="AG391">
        <v>6</v>
      </c>
      <c r="AH391">
        <v>1</v>
      </c>
      <c r="AI391">
        <v>0</v>
      </c>
      <c r="AJ391">
        <v>158.21</v>
      </c>
      <c r="AM391" t="s">
        <v>3248</v>
      </c>
      <c r="AN391">
        <v>19760</v>
      </c>
    </row>
    <row r="392" spans="1:41">
      <c r="A392" s="1">
        <f>HYPERLINK("https://lsnyc.legalserver.org/matter/dynamic-profile/view/1903631","19-1903631")</f>
        <v>0</v>
      </c>
      <c r="B392" t="s">
        <v>94</v>
      </c>
      <c r="C392" t="s">
        <v>211</v>
      </c>
      <c r="D392" t="s">
        <v>143</v>
      </c>
      <c r="E392" t="s">
        <v>556</v>
      </c>
      <c r="F392" t="s">
        <v>986</v>
      </c>
      <c r="G392" t="s">
        <v>1429</v>
      </c>
      <c r="H392" t="s">
        <v>1687</v>
      </c>
      <c r="I392" t="s">
        <v>1754</v>
      </c>
      <c r="J392">
        <v>10021</v>
      </c>
      <c r="K392" t="s">
        <v>1779</v>
      </c>
      <c r="L392" t="s">
        <v>1781</v>
      </c>
      <c r="M392" t="s">
        <v>1782</v>
      </c>
      <c r="N392" t="s">
        <v>1969</v>
      </c>
      <c r="O392" t="s">
        <v>2030</v>
      </c>
      <c r="P392" t="s">
        <v>2050</v>
      </c>
      <c r="Q392" t="s">
        <v>2057</v>
      </c>
      <c r="R392" t="s">
        <v>2062</v>
      </c>
      <c r="S392" t="s">
        <v>1780</v>
      </c>
      <c r="T392" t="s">
        <v>2065</v>
      </c>
      <c r="V392" t="s">
        <v>143</v>
      </c>
      <c r="W392">
        <v>830.13</v>
      </c>
      <c r="X392" t="s">
        <v>2091</v>
      </c>
      <c r="Y392" t="s">
        <v>2100</v>
      </c>
      <c r="Z392" t="s">
        <v>2110</v>
      </c>
      <c r="AA392" t="s">
        <v>2494</v>
      </c>
      <c r="AC392" t="s">
        <v>3071</v>
      </c>
      <c r="AD392">
        <v>20</v>
      </c>
      <c r="AE392" t="s">
        <v>3223</v>
      </c>
      <c r="AG392">
        <v>43</v>
      </c>
      <c r="AH392">
        <v>1</v>
      </c>
      <c r="AI392">
        <v>0</v>
      </c>
      <c r="AJ392">
        <v>158.33</v>
      </c>
      <c r="AM392" t="s">
        <v>3248</v>
      </c>
      <c r="AN392">
        <v>19776</v>
      </c>
    </row>
    <row r="393" spans="1:41">
      <c r="A393" s="1">
        <f>HYPERLINK("https://lsnyc.legalserver.org/matter/dynamic-profile/view/1909569","19-1909569")</f>
        <v>0</v>
      </c>
      <c r="B393" t="s">
        <v>45</v>
      </c>
      <c r="C393" t="s">
        <v>138</v>
      </c>
      <c r="D393" t="s">
        <v>233</v>
      </c>
      <c r="E393" t="s">
        <v>557</v>
      </c>
      <c r="F393" t="s">
        <v>987</v>
      </c>
      <c r="G393" t="s">
        <v>1430</v>
      </c>
      <c r="H393" t="s">
        <v>1578</v>
      </c>
      <c r="I393" t="s">
        <v>1776</v>
      </c>
      <c r="J393">
        <v>11422</v>
      </c>
      <c r="K393" t="s">
        <v>1779</v>
      </c>
      <c r="L393" t="s">
        <v>1781</v>
      </c>
      <c r="M393" t="s">
        <v>1782</v>
      </c>
      <c r="N393" t="s">
        <v>1970</v>
      </c>
      <c r="O393" t="s">
        <v>2029</v>
      </c>
      <c r="P393" t="s">
        <v>2050</v>
      </c>
      <c r="Q393" t="s">
        <v>2057</v>
      </c>
      <c r="R393" t="s">
        <v>2062</v>
      </c>
      <c r="S393" t="s">
        <v>1780</v>
      </c>
      <c r="T393" t="s">
        <v>2065</v>
      </c>
      <c r="U393" t="s">
        <v>2073</v>
      </c>
      <c r="V393" t="s">
        <v>138</v>
      </c>
      <c r="W393">
        <v>1500</v>
      </c>
      <c r="X393" t="s">
        <v>2087</v>
      </c>
      <c r="Y393" t="s">
        <v>2092</v>
      </c>
      <c r="Z393" t="s">
        <v>2110</v>
      </c>
      <c r="AA393" t="s">
        <v>2495</v>
      </c>
      <c r="AB393" t="s">
        <v>1783</v>
      </c>
      <c r="AC393" t="s">
        <v>3072</v>
      </c>
      <c r="AD393">
        <v>2</v>
      </c>
      <c r="AE393" t="s">
        <v>3222</v>
      </c>
      <c r="AF393" t="s">
        <v>1783</v>
      </c>
      <c r="AG393">
        <v>1</v>
      </c>
      <c r="AH393">
        <v>1</v>
      </c>
      <c r="AI393">
        <v>0</v>
      </c>
      <c r="AJ393">
        <v>160.13</v>
      </c>
      <c r="AM393" t="s">
        <v>3248</v>
      </c>
      <c r="AN393">
        <v>20000</v>
      </c>
    </row>
    <row r="394" spans="1:41">
      <c r="A394" s="1">
        <f>HYPERLINK("https://lsnyc.legalserver.org/matter/dynamic-profile/view/1909089","19-1909089")</f>
        <v>0</v>
      </c>
      <c r="B394" t="s">
        <v>52</v>
      </c>
      <c r="C394" t="s">
        <v>178</v>
      </c>
      <c r="E394" t="s">
        <v>558</v>
      </c>
      <c r="F394" t="s">
        <v>988</v>
      </c>
      <c r="G394" t="s">
        <v>1124</v>
      </c>
      <c r="H394" t="s">
        <v>1702</v>
      </c>
      <c r="I394" t="s">
        <v>1749</v>
      </c>
      <c r="J394">
        <v>11233</v>
      </c>
      <c r="K394" t="s">
        <v>1779</v>
      </c>
      <c r="L394" t="s">
        <v>1781</v>
      </c>
      <c r="M394" t="s">
        <v>1783</v>
      </c>
      <c r="N394" t="s">
        <v>1791</v>
      </c>
      <c r="O394" t="s">
        <v>2032</v>
      </c>
      <c r="P394" t="s">
        <v>2053</v>
      </c>
      <c r="R394" t="s">
        <v>2062</v>
      </c>
      <c r="S394" t="s">
        <v>1779</v>
      </c>
      <c r="T394" t="s">
        <v>2065</v>
      </c>
      <c r="U394" t="s">
        <v>2073</v>
      </c>
      <c r="V394" t="s">
        <v>2079</v>
      </c>
      <c r="W394">
        <v>879</v>
      </c>
      <c r="X394" t="s">
        <v>2088</v>
      </c>
      <c r="Y394" t="s">
        <v>2094</v>
      </c>
      <c r="AA394" t="s">
        <v>2496</v>
      </c>
      <c r="AD394">
        <v>1107</v>
      </c>
      <c r="AE394" t="s">
        <v>3223</v>
      </c>
      <c r="AF394" t="s">
        <v>1783</v>
      </c>
      <c r="AG394">
        <v>28</v>
      </c>
      <c r="AH394">
        <v>1</v>
      </c>
      <c r="AI394">
        <v>0</v>
      </c>
      <c r="AJ394">
        <v>160.13</v>
      </c>
      <c r="AM394" t="s">
        <v>3248</v>
      </c>
      <c r="AN394">
        <v>20000</v>
      </c>
      <c r="AO394" t="s">
        <v>3275</v>
      </c>
    </row>
    <row r="395" spans="1:41">
      <c r="A395" s="1">
        <f>HYPERLINK("https://lsnyc.legalserver.org/matter/dynamic-profile/view/1907781","19-1907781")</f>
        <v>0</v>
      </c>
      <c r="B395" t="s">
        <v>117</v>
      </c>
      <c r="C395" t="s">
        <v>154</v>
      </c>
      <c r="E395" t="s">
        <v>559</v>
      </c>
      <c r="F395" t="s">
        <v>989</v>
      </c>
      <c r="G395" t="s">
        <v>1431</v>
      </c>
      <c r="H395" t="s">
        <v>1568</v>
      </c>
      <c r="I395" t="s">
        <v>1749</v>
      </c>
      <c r="J395">
        <v>11233</v>
      </c>
      <c r="K395" t="s">
        <v>1779</v>
      </c>
      <c r="L395" t="s">
        <v>1781</v>
      </c>
      <c r="M395" t="s">
        <v>1782</v>
      </c>
      <c r="N395" t="s">
        <v>1792</v>
      </c>
      <c r="O395" t="s">
        <v>1793</v>
      </c>
      <c r="P395" t="s">
        <v>2050</v>
      </c>
      <c r="R395" t="s">
        <v>2062</v>
      </c>
      <c r="S395" t="s">
        <v>1780</v>
      </c>
      <c r="T395" t="s">
        <v>2065</v>
      </c>
      <c r="U395" t="s">
        <v>2073</v>
      </c>
      <c r="V395" t="s">
        <v>154</v>
      </c>
      <c r="W395">
        <v>835</v>
      </c>
      <c r="X395" t="s">
        <v>2088</v>
      </c>
      <c r="Y395" t="s">
        <v>2099</v>
      </c>
      <c r="AA395" t="s">
        <v>2497</v>
      </c>
      <c r="AB395" t="s">
        <v>1799</v>
      </c>
      <c r="AC395" t="s">
        <v>3073</v>
      </c>
      <c r="AD395">
        <v>6</v>
      </c>
      <c r="AE395" t="s">
        <v>3223</v>
      </c>
      <c r="AF395" t="s">
        <v>1783</v>
      </c>
      <c r="AG395">
        <v>1</v>
      </c>
      <c r="AH395">
        <v>1</v>
      </c>
      <c r="AI395">
        <v>0</v>
      </c>
      <c r="AJ395">
        <v>160.13</v>
      </c>
      <c r="AM395" t="s">
        <v>3248</v>
      </c>
      <c r="AN395">
        <v>20000</v>
      </c>
    </row>
    <row r="396" spans="1:41">
      <c r="A396" s="1">
        <f>HYPERLINK("https://lsnyc.legalserver.org/matter/dynamic-profile/view/1903468","19-1903468")</f>
        <v>0</v>
      </c>
      <c r="B396" t="s">
        <v>95</v>
      </c>
      <c r="C396" t="s">
        <v>145</v>
      </c>
      <c r="E396" t="s">
        <v>396</v>
      </c>
      <c r="F396" t="s">
        <v>990</v>
      </c>
      <c r="G396" t="s">
        <v>1432</v>
      </c>
      <c r="H396" t="s">
        <v>1593</v>
      </c>
      <c r="I396" t="s">
        <v>1753</v>
      </c>
      <c r="J396">
        <v>10304</v>
      </c>
      <c r="K396" t="s">
        <v>1779</v>
      </c>
      <c r="L396" t="s">
        <v>1781</v>
      </c>
      <c r="M396" t="s">
        <v>1782</v>
      </c>
      <c r="N396" t="s">
        <v>1971</v>
      </c>
      <c r="O396" t="s">
        <v>2029</v>
      </c>
      <c r="P396" t="s">
        <v>2051</v>
      </c>
      <c r="R396" t="s">
        <v>2062</v>
      </c>
      <c r="S396" t="s">
        <v>1780</v>
      </c>
      <c r="T396" t="s">
        <v>2065</v>
      </c>
      <c r="U396" t="s">
        <v>2073</v>
      </c>
      <c r="V396" t="s">
        <v>145</v>
      </c>
      <c r="W396">
        <v>1200</v>
      </c>
      <c r="X396" t="s">
        <v>2090</v>
      </c>
      <c r="Y396" t="s">
        <v>2099</v>
      </c>
      <c r="AA396" t="s">
        <v>2498</v>
      </c>
      <c r="AC396" t="s">
        <v>3074</v>
      </c>
      <c r="AD396">
        <v>2</v>
      </c>
      <c r="AE396" t="s">
        <v>3222</v>
      </c>
      <c r="AF396" t="s">
        <v>1783</v>
      </c>
      <c r="AG396">
        <v>2</v>
      </c>
      <c r="AH396">
        <v>1</v>
      </c>
      <c r="AI396">
        <v>0</v>
      </c>
      <c r="AJ396">
        <v>160.13</v>
      </c>
      <c r="AM396" t="s">
        <v>3248</v>
      </c>
      <c r="AN396">
        <v>20000</v>
      </c>
    </row>
    <row r="397" spans="1:41">
      <c r="A397" s="1">
        <f>HYPERLINK("https://lsnyc.legalserver.org/matter/dynamic-profile/view/1903859","19-1903859")</f>
        <v>0</v>
      </c>
      <c r="B397" t="s">
        <v>126</v>
      </c>
      <c r="C397" t="s">
        <v>168</v>
      </c>
      <c r="E397" t="s">
        <v>298</v>
      </c>
      <c r="F397" t="s">
        <v>775</v>
      </c>
      <c r="G397" t="s">
        <v>1433</v>
      </c>
      <c r="H397">
        <v>10</v>
      </c>
      <c r="I397" t="s">
        <v>1754</v>
      </c>
      <c r="J397">
        <v>10025</v>
      </c>
      <c r="K397" t="s">
        <v>1779</v>
      </c>
      <c r="L397" t="s">
        <v>1781</v>
      </c>
      <c r="M397" t="s">
        <v>1782</v>
      </c>
      <c r="O397" t="s">
        <v>2035</v>
      </c>
      <c r="P397" t="s">
        <v>2054</v>
      </c>
      <c r="R397" t="s">
        <v>2062</v>
      </c>
      <c r="S397" t="s">
        <v>1780</v>
      </c>
      <c r="T397" t="s">
        <v>2065</v>
      </c>
      <c r="U397" t="s">
        <v>2073</v>
      </c>
      <c r="V397" t="s">
        <v>168</v>
      </c>
      <c r="W397">
        <v>679.8200000000001</v>
      </c>
      <c r="X397" t="s">
        <v>2091</v>
      </c>
      <c r="Y397" t="s">
        <v>2106</v>
      </c>
      <c r="AA397" t="s">
        <v>2499</v>
      </c>
      <c r="AC397" t="s">
        <v>3075</v>
      </c>
      <c r="AD397">
        <v>16</v>
      </c>
      <c r="AE397" t="s">
        <v>3232</v>
      </c>
      <c r="AF397" t="s">
        <v>1783</v>
      </c>
      <c r="AG397">
        <v>40</v>
      </c>
      <c r="AH397">
        <v>1</v>
      </c>
      <c r="AI397">
        <v>0</v>
      </c>
      <c r="AJ397">
        <v>160.92</v>
      </c>
      <c r="AM397" t="s">
        <v>3249</v>
      </c>
      <c r="AN397">
        <v>20098.56</v>
      </c>
    </row>
    <row r="398" spans="1:41">
      <c r="A398" s="1">
        <f>HYPERLINK("https://lsnyc.legalserver.org/matter/dynamic-profile/view/1904718","19-1904718")</f>
        <v>0</v>
      </c>
      <c r="B398" t="s">
        <v>127</v>
      </c>
      <c r="C398" t="s">
        <v>162</v>
      </c>
      <c r="E398" t="s">
        <v>560</v>
      </c>
      <c r="F398" t="s">
        <v>991</v>
      </c>
      <c r="G398" t="s">
        <v>1146</v>
      </c>
      <c r="H398" t="s">
        <v>1562</v>
      </c>
      <c r="I398" t="s">
        <v>1754</v>
      </c>
      <c r="J398">
        <v>10040</v>
      </c>
      <c r="K398" t="s">
        <v>1779</v>
      </c>
      <c r="L398" t="s">
        <v>1781</v>
      </c>
      <c r="M398" t="s">
        <v>1782</v>
      </c>
      <c r="P398" t="s">
        <v>2052</v>
      </c>
      <c r="R398" t="s">
        <v>2062</v>
      </c>
      <c r="S398" t="s">
        <v>1780</v>
      </c>
      <c r="T398" t="s">
        <v>2065</v>
      </c>
      <c r="V398" t="s">
        <v>162</v>
      </c>
      <c r="W398">
        <v>1116.26</v>
      </c>
      <c r="X398" t="s">
        <v>2091</v>
      </c>
      <c r="Y398" t="s">
        <v>2099</v>
      </c>
      <c r="AA398" t="s">
        <v>2500</v>
      </c>
      <c r="AC398" t="s">
        <v>3076</v>
      </c>
      <c r="AD398">
        <v>42</v>
      </c>
      <c r="AE398" t="s">
        <v>3223</v>
      </c>
      <c r="AF398" t="s">
        <v>1783</v>
      </c>
      <c r="AG398">
        <v>22</v>
      </c>
      <c r="AH398">
        <v>2</v>
      </c>
      <c r="AI398">
        <v>0</v>
      </c>
      <c r="AJ398">
        <v>161.44</v>
      </c>
      <c r="AM398" t="s">
        <v>3249</v>
      </c>
      <c r="AN398">
        <v>27300</v>
      </c>
    </row>
    <row r="399" spans="1:41">
      <c r="A399" s="1">
        <f>HYPERLINK("https://lsnyc.legalserver.org/matter/dynamic-profile/view/1910038","19-1910038")</f>
        <v>0</v>
      </c>
      <c r="B399" t="s">
        <v>77</v>
      </c>
      <c r="C399" t="s">
        <v>177</v>
      </c>
      <c r="E399" t="s">
        <v>561</v>
      </c>
      <c r="F399" t="s">
        <v>992</v>
      </c>
      <c r="G399" t="s">
        <v>1434</v>
      </c>
      <c r="I399" t="s">
        <v>1749</v>
      </c>
      <c r="J399">
        <v>11212</v>
      </c>
      <c r="K399" t="s">
        <v>1779</v>
      </c>
      <c r="L399" t="s">
        <v>1781</v>
      </c>
      <c r="M399" t="s">
        <v>1782</v>
      </c>
      <c r="N399" t="s">
        <v>1972</v>
      </c>
      <c r="O399" t="s">
        <v>2029</v>
      </c>
      <c r="P399" t="s">
        <v>2055</v>
      </c>
      <c r="R399" t="s">
        <v>2062</v>
      </c>
      <c r="S399" t="s">
        <v>1780</v>
      </c>
      <c r="T399" t="s">
        <v>2065</v>
      </c>
      <c r="U399" t="s">
        <v>2073</v>
      </c>
      <c r="V399" t="s">
        <v>134</v>
      </c>
      <c r="W399">
        <v>900</v>
      </c>
      <c r="X399" t="s">
        <v>2088</v>
      </c>
      <c r="AA399" t="s">
        <v>2501</v>
      </c>
      <c r="AB399" t="s">
        <v>2666</v>
      </c>
      <c r="AC399" t="s">
        <v>3077</v>
      </c>
      <c r="AD399">
        <v>2</v>
      </c>
      <c r="AE399" t="s">
        <v>3222</v>
      </c>
      <c r="AF399" t="s">
        <v>2094</v>
      </c>
      <c r="AG399">
        <v>17</v>
      </c>
      <c r="AH399">
        <v>3</v>
      </c>
      <c r="AI399">
        <v>1</v>
      </c>
      <c r="AJ399">
        <v>161.48</v>
      </c>
      <c r="AM399" t="s">
        <v>3248</v>
      </c>
      <c r="AN399">
        <v>41580</v>
      </c>
    </row>
    <row r="400" spans="1:41">
      <c r="A400" s="1">
        <f>HYPERLINK("https://lsnyc.legalserver.org/matter/dynamic-profile/view/1909921","19-1909921")</f>
        <v>0</v>
      </c>
      <c r="B400" t="s">
        <v>92</v>
      </c>
      <c r="C400" t="s">
        <v>177</v>
      </c>
      <c r="E400" t="s">
        <v>562</v>
      </c>
      <c r="F400" t="s">
        <v>993</v>
      </c>
      <c r="G400" t="s">
        <v>1435</v>
      </c>
      <c r="I400" t="s">
        <v>1753</v>
      </c>
      <c r="J400">
        <v>10301</v>
      </c>
      <c r="K400" t="s">
        <v>1779</v>
      </c>
      <c r="L400" t="s">
        <v>1781</v>
      </c>
      <c r="M400" t="s">
        <v>1782</v>
      </c>
      <c r="N400" t="s">
        <v>1973</v>
      </c>
      <c r="O400" t="s">
        <v>2030</v>
      </c>
      <c r="P400" t="s">
        <v>2051</v>
      </c>
      <c r="R400" t="s">
        <v>2062</v>
      </c>
      <c r="S400" t="s">
        <v>1780</v>
      </c>
      <c r="T400" t="s">
        <v>2065</v>
      </c>
      <c r="U400" t="s">
        <v>2073</v>
      </c>
      <c r="V400" t="s">
        <v>232</v>
      </c>
      <c r="W400">
        <v>2500</v>
      </c>
      <c r="X400" t="s">
        <v>2090</v>
      </c>
      <c r="Y400" t="s">
        <v>2099</v>
      </c>
      <c r="AA400" t="s">
        <v>2502</v>
      </c>
      <c r="AC400" t="s">
        <v>3078</v>
      </c>
      <c r="AD400">
        <v>1</v>
      </c>
      <c r="AE400" t="s">
        <v>3222</v>
      </c>
      <c r="AG400">
        <v>1</v>
      </c>
      <c r="AH400">
        <v>1</v>
      </c>
      <c r="AI400">
        <v>0</v>
      </c>
      <c r="AJ400">
        <v>162.37</v>
      </c>
      <c r="AM400" t="s">
        <v>3248</v>
      </c>
      <c r="AN400">
        <v>20280</v>
      </c>
    </row>
    <row r="401" spans="1:40">
      <c r="A401" s="1">
        <f>HYPERLINK("https://lsnyc.legalserver.org/matter/dynamic-profile/view/1907837","19-1907837")</f>
        <v>0</v>
      </c>
      <c r="B401" t="s">
        <v>72</v>
      </c>
      <c r="C401" t="s">
        <v>208</v>
      </c>
      <c r="E401" t="s">
        <v>563</v>
      </c>
      <c r="F401" t="s">
        <v>994</v>
      </c>
      <c r="G401" t="s">
        <v>1296</v>
      </c>
      <c r="H401" t="s">
        <v>1543</v>
      </c>
      <c r="I401" t="s">
        <v>1761</v>
      </c>
      <c r="J401">
        <v>11377</v>
      </c>
      <c r="K401" t="s">
        <v>1779</v>
      </c>
      <c r="L401" t="s">
        <v>1781</v>
      </c>
      <c r="M401" t="s">
        <v>1782</v>
      </c>
      <c r="N401" t="s">
        <v>1888</v>
      </c>
      <c r="O401" t="s">
        <v>2032</v>
      </c>
      <c r="P401" t="s">
        <v>2053</v>
      </c>
      <c r="R401" t="s">
        <v>2062</v>
      </c>
      <c r="S401" t="s">
        <v>1779</v>
      </c>
      <c r="T401" t="s">
        <v>2065</v>
      </c>
      <c r="V401" t="s">
        <v>208</v>
      </c>
      <c r="W401">
        <v>892.88</v>
      </c>
      <c r="X401" t="s">
        <v>2087</v>
      </c>
      <c r="Y401" t="s">
        <v>2100</v>
      </c>
      <c r="AA401" t="s">
        <v>2503</v>
      </c>
      <c r="AB401" t="s">
        <v>2734</v>
      </c>
      <c r="AC401" t="s">
        <v>3079</v>
      </c>
      <c r="AD401">
        <v>66</v>
      </c>
      <c r="AE401" t="s">
        <v>3223</v>
      </c>
      <c r="AF401" t="s">
        <v>3238</v>
      </c>
      <c r="AG401">
        <v>61</v>
      </c>
      <c r="AH401">
        <v>1</v>
      </c>
      <c r="AI401">
        <v>0</v>
      </c>
      <c r="AJ401">
        <v>162.66</v>
      </c>
      <c r="AM401" t="s">
        <v>3248</v>
      </c>
      <c r="AN401">
        <v>20316</v>
      </c>
    </row>
    <row r="402" spans="1:40">
      <c r="A402" s="1">
        <f>HYPERLINK("https://lsnyc.legalserver.org/matter/dynamic-profile/view/1902243","19-1902243")</f>
        <v>0</v>
      </c>
      <c r="B402" t="s">
        <v>57</v>
      </c>
      <c r="C402" t="s">
        <v>228</v>
      </c>
      <c r="D402" t="s">
        <v>164</v>
      </c>
      <c r="E402" t="s">
        <v>564</v>
      </c>
      <c r="F402" t="s">
        <v>995</v>
      </c>
      <c r="G402" t="s">
        <v>1436</v>
      </c>
      <c r="H402" t="s">
        <v>1703</v>
      </c>
      <c r="I402" t="s">
        <v>1749</v>
      </c>
      <c r="J402">
        <v>11234</v>
      </c>
      <c r="K402" t="s">
        <v>1779</v>
      </c>
      <c r="L402" t="s">
        <v>1781</v>
      </c>
      <c r="M402" t="s">
        <v>1782</v>
      </c>
      <c r="N402" t="s">
        <v>1974</v>
      </c>
      <c r="O402" t="s">
        <v>2031</v>
      </c>
      <c r="P402" t="s">
        <v>2050</v>
      </c>
      <c r="Q402" t="s">
        <v>2057</v>
      </c>
      <c r="R402" t="s">
        <v>2062</v>
      </c>
      <c r="S402" t="s">
        <v>1780</v>
      </c>
      <c r="T402" t="s">
        <v>2065</v>
      </c>
      <c r="U402" t="s">
        <v>2073</v>
      </c>
      <c r="V402" t="s">
        <v>213</v>
      </c>
      <c r="W402">
        <v>0</v>
      </c>
      <c r="X402" t="s">
        <v>2088</v>
      </c>
      <c r="Y402" t="s">
        <v>2092</v>
      </c>
      <c r="Z402" t="s">
        <v>2110</v>
      </c>
      <c r="AA402" t="s">
        <v>2504</v>
      </c>
      <c r="AB402" t="s">
        <v>2735</v>
      </c>
      <c r="AC402" t="s">
        <v>3080</v>
      </c>
      <c r="AD402">
        <v>710</v>
      </c>
      <c r="AE402" t="s">
        <v>2704</v>
      </c>
      <c r="AG402">
        <v>0</v>
      </c>
      <c r="AH402">
        <v>1</v>
      </c>
      <c r="AI402">
        <v>1</v>
      </c>
      <c r="AJ402">
        <v>162.67</v>
      </c>
      <c r="AM402" t="s">
        <v>3248</v>
      </c>
      <c r="AN402">
        <v>27508</v>
      </c>
    </row>
    <row r="403" spans="1:40">
      <c r="A403" s="1">
        <f>HYPERLINK("https://lsnyc.legalserver.org/matter/dynamic-profile/view/1905584","19-1905584")</f>
        <v>0</v>
      </c>
      <c r="B403" t="s">
        <v>45</v>
      </c>
      <c r="C403" t="s">
        <v>226</v>
      </c>
      <c r="E403" t="s">
        <v>565</v>
      </c>
      <c r="F403" t="s">
        <v>769</v>
      </c>
      <c r="G403" t="s">
        <v>1437</v>
      </c>
      <c r="H403" t="s">
        <v>1548</v>
      </c>
      <c r="I403" t="s">
        <v>1763</v>
      </c>
      <c r="J403">
        <v>11365</v>
      </c>
      <c r="K403" t="s">
        <v>1779</v>
      </c>
      <c r="L403" t="s">
        <v>1781</v>
      </c>
      <c r="M403" t="s">
        <v>1782</v>
      </c>
      <c r="N403" t="s">
        <v>1975</v>
      </c>
      <c r="O403" t="s">
        <v>2029</v>
      </c>
      <c r="P403" t="s">
        <v>2051</v>
      </c>
      <c r="R403" t="s">
        <v>2063</v>
      </c>
      <c r="S403" t="s">
        <v>1780</v>
      </c>
      <c r="T403" t="s">
        <v>2065</v>
      </c>
      <c r="U403" t="s">
        <v>2072</v>
      </c>
      <c r="V403" t="s">
        <v>145</v>
      </c>
      <c r="W403">
        <v>1350</v>
      </c>
      <c r="X403" t="s">
        <v>2087</v>
      </c>
      <c r="Y403" t="s">
        <v>2093</v>
      </c>
      <c r="AA403" t="s">
        <v>2505</v>
      </c>
      <c r="AB403" t="s">
        <v>1783</v>
      </c>
      <c r="AC403" t="s">
        <v>3081</v>
      </c>
      <c r="AD403">
        <v>5</v>
      </c>
      <c r="AE403" t="s">
        <v>3222</v>
      </c>
      <c r="AF403" t="s">
        <v>1783</v>
      </c>
      <c r="AG403">
        <v>9</v>
      </c>
      <c r="AH403">
        <v>1</v>
      </c>
      <c r="AI403">
        <v>0</v>
      </c>
      <c r="AJ403">
        <v>163.33</v>
      </c>
      <c r="AK403" t="s">
        <v>3244</v>
      </c>
      <c r="AL403" t="s">
        <v>3245</v>
      </c>
      <c r="AM403" t="s">
        <v>3248</v>
      </c>
      <c r="AN403">
        <v>20400</v>
      </c>
    </row>
    <row r="404" spans="1:40">
      <c r="A404" s="1">
        <f>HYPERLINK("https://lsnyc.legalserver.org/matter/dynamic-profile/view/1907066","19-1907066")</f>
        <v>0</v>
      </c>
      <c r="B404" t="s">
        <v>73</v>
      </c>
      <c r="C404" t="s">
        <v>163</v>
      </c>
      <c r="E404" t="s">
        <v>392</v>
      </c>
      <c r="F404" t="s">
        <v>996</v>
      </c>
      <c r="G404" t="s">
        <v>1438</v>
      </c>
      <c r="H404" t="s">
        <v>1625</v>
      </c>
      <c r="I404" t="s">
        <v>1754</v>
      </c>
      <c r="J404">
        <v>10034</v>
      </c>
      <c r="K404" t="s">
        <v>1779</v>
      </c>
      <c r="L404" t="s">
        <v>1781</v>
      </c>
      <c r="M404" t="s">
        <v>1782</v>
      </c>
      <c r="O404" t="s">
        <v>1793</v>
      </c>
      <c r="P404" t="s">
        <v>2055</v>
      </c>
      <c r="R404" t="s">
        <v>2062</v>
      </c>
      <c r="S404" t="s">
        <v>1780</v>
      </c>
      <c r="T404" t="s">
        <v>2065</v>
      </c>
      <c r="V404" t="s">
        <v>163</v>
      </c>
      <c r="W404">
        <v>1220</v>
      </c>
      <c r="X404" t="s">
        <v>2091</v>
      </c>
      <c r="Y404" t="s">
        <v>2101</v>
      </c>
      <c r="AA404" t="s">
        <v>2506</v>
      </c>
      <c r="AC404" t="s">
        <v>3082</v>
      </c>
      <c r="AD404">
        <v>70</v>
      </c>
      <c r="AE404" t="s">
        <v>3223</v>
      </c>
      <c r="AF404" t="s">
        <v>1783</v>
      </c>
      <c r="AG404">
        <v>33</v>
      </c>
      <c r="AH404">
        <v>1</v>
      </c>
      <c r="AI404">
        <v>0</v>
      </c>
      <c r="AJ404">
        <v>163.33</v>
      </c>
      <c r="AM404" t="s">
        <v>3249</v>
      </c>
      <c r="AN404">
        <v>20400</v>
      </c>
    </row>
    <row r="405" spans="1:40">
      <c r="A405" s="1">
        <f>HYPERLINK("https://lsnyc.legalserver.org/matter/dynamic-profile/view/1909597","19-1909597")</f>
        <v>0</v>
      </c>
      <c r="B405" t="s">
        <v>70</v>
      </c>
      <c r="C405" t="s">
        <v>202</v>
      </c>
      <c r="E405" t="s">
        <v>436</v>
      </c>
      <c r="F405" t="s">
        <v>396</v>
      </c>
      <c r="G405" t="s">
        <v>1370</v>
      </c>
      <c r="H405" t="s">
        <v>1635</v>
      </c>
      <c r="I405" t="s">
        <v>1754</v>
      </c>
      <c r="J405">
        <v>10035</v>
      </c>
      <c r="K405" t="s">
        <v>1779</v>
      </c>
      <c r="L405" t="s">
        <v>1781</v>
      </c>
      <c r="M405" t="s">
        <v>1782</v>
      </c>
      <c r="O405" t="s">
        <v>2031</v>
      </c>
      <c r="P405" t="s">
        <v>2052</v>
      </c>
      <c r="R405" t="s">
        <v>2062</v>
      </c>
      <c r="S405" t="s">
        <v>1779</v>
      </c>
      <c r="T405" t="s">
        <v>2065</v>
      </c>
      <c r="U405" t="s">
        <v>2073</v>
      </c>
      <c r="V405" t="s">
        <v>138</v>
      </c>
      <c r="W405">
        <v>793</v>
      </c>
      <c r="X405" t="s">
        <v>2091</v>
      </c>
      <c r="Y405" t="s">
        <v>2094</v>
      </c>
      <c r="AA405" t="s">
        <v>2507</v>
      </c>
      <c r="AC405" t="s">
        <v>3083</v>
      </c>
      <c r="AD405">
        <v>60</v>
      </c>
      <c r="AE405" t="s">
        <v>3223</v>
      </c>
      <c r="AF405" t="s">
        <v>3236</v>
      </c>
      <c r="AG405">
        <v>14</v>
      </c>
      <c r="AH405">
        <v>2</v>
      </c>
      <c r="AI405">
        <v>1</v>
      </c>
      <c r="AJ405">
        <v>164.09</v>
      </c>
      <c r="AM405" t="s">
        <v>3248</v>
      </c>
      <c r="AN405">
        <v>35000</v>
      </c>
    </row>
    <row r="406" spans="1:40">
      <c r="A406" s="1">
        <f>HYPERLINK("https://lsnyc.legalserver.org/matter/dynamic-profile/view/1906762","19-1906762")</f>
        <v>0</v>
      </c>
      <c r="B406" t="s">
        <v>84</v>
      </c>
      <c r="C406" t="s">
        <v>158</v>
      </c>
      <c r="E406" t="s">
        <v>566</v>
      </c>
      <c r="F406" t="s">
        <v>997</v>
      </c>
      <c r="G406" t="s">
        <v>1439</v>
      </c>
      <c r="H406">
        <v>12</v>
      </c>
      <c r="I406" t="s">
        <v>1754</v>
      </c>
      <c r="J406">
        <v>10034</v>
      </c>
      <c r="K406" t="s">
        <v>1779</v>
      </c>
      <c r="L406" t="s">
        <v>1781</v>
      </c>
      <c r="M406" t="s">
        <v>1782</v>
      </c>
      <c r="N406" t="s">
        <v>1976</v>
      </c>
      <c r="O406" t="s">
        <v>2030</v>
      </c>
      <c r="P406" t="s">
        <v>2051</v>
      </c>
      <c r="R406" t="s">
        <v>2062</v>
      </c>
      <c r="S406" t="s">
        <v>1780</v>
      </c>
      <c r="T406" t="s">
        <v>2065</v>
      </c>
      <c r="U406" t="s">
        <v>2073</v>
      </c>
      <c r="V406" t="s">
        <v>158</v>
      </c>
      <c r="W406">
        <v>889</v>
      </c>
      <c r="X406" t="s">
        <v>2091</v>
      </c>
      <c r="Y406" t="s">
        <v>2101</v>
      </c>
      <c r="AA406" t="s">
        <v>2508</v>
      </c>
      <c r="AC406" t="s">
        <v>3084</v>
      </c>
      <c r="AD406">
        <v>22</v>
      </c>
      <c r="AE406" t="s">
        <v>3223</v>
      </c>
      <c r="AF406" t="s">
        <v>3236</v>
      </c>
      <c r="AG406">
        <v>27</v>
      </c>
      <c r="AH406">
        <v>3</v>
      </c>
      <c r="AI406">
        <v>0</v>
      </c>
      <c r="AJ406">
        <v>164.41</v>
      </c>
      <c r="AM406" t="s">
        <v>3249</v>
      </c>
      <c r="AN406">
        <v>35068.8</v>
      </c>
    </row>
    <row r="407" spans="1:40">
      <c r="A407" s="1">
        <f>HYPERLINK("https://lsnyc.legalserver.org/matter/dynamic-profile/view/1906497","19-1906497")</f>
        <v>0</v>
      </c>
      <c r="B407" t="s">
        <v>128</v>
      </c>
      <c r="C407" t="s">
        <v>205</v>
      </c>
      <c r="E407" t="s">
        <v>473</v>
      </c>
      <c r="F407" t="s">
        <v>998</v>
      </c>
      <c r="G407" t="s">
        <v>1282</v>
      </c>
      <c r="H407" t="s">
        <v>1704</v>
      </c>
      <c r="I407" t="s">
        <v>1745</v>
      </c>
      <c r="J407">
        <v>11691</v>
      </c>
      <c r="K407" t="s">
        <v>1779</v>
      </c>
      <c r="L407" t="s">
        <v>1781</v>
      </c>
      <c r="M407" t="s">
        <v>1782</v>
      </c>
      <c r="N407" t="s">
        <v>1977</v>
      </c>
      <c r="O407" t="s">
        <v>2030</v>
      </c>
      <c r="P407" t="s">
        <v>2050</v>
      </c>
      <c r="R407" t="s">
        <v>2062</v>
      </c>
      <c r="S407" t="s">
        <v>1780</v>
      </c>
      <c r="T407" t="s">
        <v>2065</v>
      </c>
      <c r="U407" t="s">
        <v>2074</v>
      </c>
      <c r="V407" t="s">
        <v>205</v>
      </c>
      <c r="W407">
        <v>1185</v>
      </c>
      <c r="X407" t="s">
        <v>2087</v>
      </c>
      <c r="Y407" t="s">
        <v>2092</v>
      </c>
      <c r="AA407" t="s">
        <v>2509</v>
      </c>
      <c r="AC407" t="s">
        <v>3085</v>
      </c>
      <c r="AD407">
        <v>200</v>
      </c>
      <c r="AE407" t="s">
        <v>3227</v>
      </c>
      <c r="AF407" t="s">
        <v>3236</v>
      </c>
      <c r="AG407">
        <v>2</v>
      </c>
      <c r="AH407">
        <v>2</v>
      </c>
      <c r="AI407">
        <v>0</v>
      </c>
      <c r="AJ407">
        <v>165.58</v>
      </c>
      <c r="AM407" t="s">
        <v>3248</v>
      </c>
      <c r="AN407">
        <v>28000</v>
      </c>
    </row>
    <row r="408" spans="1:40">
      <c r="A408" s="1">
        <f>HYPERLINK("https://lsnyc.legalserver.org/matter/dynamic-profile/view/1903783","19-1903783")</f>
        <v>0</v>
      </c>
      <c r="B408" t="s">
        <v>77</v>
      </c>
      <c r="C408" t="s">
        <v>213</v>
      </c>
      <c r="E408" t="s">
        <v>567</v>
      </c>
      <c r="F408" t="s">
        <v>999</v>
      </c>
      <c r="G408" t="s">
        <v>1440</v>
      </c>
      <c r="H408" t="s">
        <v>1644</v>
      </c>
      <c r="I408" t="s">
        <v>1749</v>
      </c>
      <c r="J408">
        <v>11208</v>
      </c>
      <c r="K408" t="s">
        <v>1779</v>
      </c>
      <c r="L408" t="s">
        <v>1781</v>
      </c>
      <c r="M408" t="s">
        <v>1784</v>
      </c>
      <c r="N408" t="s">
        <v>1792</v>
      </c>
      <c r="O408" t="s">
        <v>2033</v>
      </c>
      <c r="P408" t="s">
        <v>2055</v>
      </c>
      <c r="R408" t="s">
        <v>2062</v>
      </c>
      <c r="S408" t="s">
        <v>1780</v>
      </c>
      <c r="T408" t="s">
        <v>2065</v>
      </c>
      <c r="U408" t="s">
        <v>2073</v>
      </c>
      <c r="V408" t="s">
        <v>213</v>
      </c>
      <c r="W408">
        <v>1350</v>
      </c>
      <c r="X408" t="s">
        <v>2088</v>
      </c>
      <c r="Y408" t="s">
        <v>2101</v>
      </c>
      <c r="AA408" t="s">
        <v>2510</v>
      </c>
      <c r="AB408" t="s">
        <v>2736</v>
      </c>
      <c r="AC408" t="s">
        <v>3086</v>
      </c>
      <c r="AD408">
        <v>15</v>
      </c>
      <c r="AE408" t="s">
        <v>3223</v>
      </c>
      <c r="AF408" t="s">
        <v>1783</v>
      </c>
      <c r="AG408">
        <v>2</v>
      </c>
      <c r="AH408">
        <v>2</v>
      </c>
      <c r="AI408">
        <v>3</v>
      </c>
      <c r="AJ408">
        <v>165.81</v>
      </c>
      <c r="AM408" t="s">
        <v>3248</v>
      </c>
      <c r="AN408">
        <v>50024</v>
      </c>
    </row>
    <row r="409" spans="1:40">
      <c r="A409" s="1">
        <f>HYPERLINK("https://lsnyc.legalserver.org/matter/dynamic-profile/view/1905577","19-1905577")</f>
        <v>0</v>
      </c>
      <c r="B409" t="s">
        <v>56</v>
      </c>
      <c r="C409" t="s">
        <v>226</v>
      </c>
      <c r="E409" t="s">
        <v>568</v>
      </c>
      <c r="F409" t="s">
        <v>1000</v>
      </c>
      <c r="G409" t="s">
        <v>1441</v>
      </c>
      <c r="H409" t="s">
        <v>1705</v>
      </c>
      <c r="I409" t="s">
        <v>1749</v>
      </c>
      <c r="J409">
        <v>11239</v>
      </c>
      <c r="K409" t="s">
        <v>1779</v>
      </c>
      <c r="L409" t="s">
        <v>1781</v>
      </c>
      <c r="M409" t="s">
        <v>1782</v>
      </c>
      <c r="N409" t="s">
        <v>1978</v>
      </c>
      <c r="O409" t="s">
        <v>2030</v>
      </c>
      <c r="P409" t="s">
        <v>2050</v>
      </c>
      <c r="R409" t="s">
        <v>2062</v>
      </c>
      <c r="S409" t="s">
        <v>1780</v>
      </c>
      <c r="T409" t="s">
        <v>2065</v>
      </c>
      <c r="U409" t="s">
        <v>2073</v>
      </c>
      <c r="V409" t="s">
        <v>161</v>
      </c>
      <c r="W409">
        <v>989</v>
      </c>
      <c r="X409" t="s">
        <v>2088</v>
      </c>
      <c r="Y409" t="s">
        <v>2102</v>
      </c>
      <c r="AA409" t="s">
        <v>2511</v>
      </c>
      <c r="AB409" t="s">
        <v>1799</v>
      </c>
      <c r="AC409" t="s">
        <v>3087</v>
      </c>
      <c r="AD409">
        <v>55</v>
      </c>
      <c r="AE409" t="s">
        <v>2704</v>
      </c>
      <c r="AF409" t="s">
        <v>1783</v>
      </c>
      <c r="AG409">
        <v>6</v>
      </c>
      <c r="AH409">
        <v>1</v>
      </c>
      <c r="AI409">
        <v>0</v>
      </c>
      <c r="AJ409">
        <v>166.53</v>
      </c>
      <c r="AM409" t="s">
        <v>3248</v>
      </c>
      <c r="AN409">
        <v>20800</v>
      </c>
    </row>
    <row r="410" spans="1:40">
      <c r="A410" s="1">
        <f>HYPERLINK("https://lsnyc.legalserver.org/matter/dynamic-profile/view/1909630","19-1909630")</f>
        <v>0</v>
      </c>
      <c r="B410" t="s">
        <v>67</v>
      </c>
      <c r="C410" t="s">
        <v>202</v>
      </c>
      <c r="E410" t="s">
        <v>569</v>
      </c>
      <c r="F410" t="s">
        <v>797</v>
      </c>
      <c r="G410" t="s">
        <v>1442</v>
      </c>
      <c r="H410">
        <v>48</v>
      </c>
      <c r="I410" t="s">
        <v>1754</v>
      </c>
      <c r="J410">
        <v>10032</v>
      </c>
      <c r="K410" t="s">
        <v>1779</v>
      </c>
      <c r="L410" t="s">
        <v>1781</v>
      </c>
      <c r="M410" t="s">
        <v>1782</v>
      </c>
      <c r="P410" t="s">
        <v>2052</v>
      </c>
      <c r="R410" t="s">
        <v>2062</v>
      </c>
      <c r="S410" t="s">
        <v>1780</v>
      </c>
      <c r="T410" t="s">
        <v>2065</v>
      </c>
      <c r="V410" t="s">
        <v>202</v>
      </c>
      <c r="W410">
        <v>419.62</v>
      </c>
      <c r="X410" t="s">
        <v>2091</v>
      </c>
      <c r="Y410" t="s">
        <v>2101</v>
      </c>
      <c r="AA410" t="s">
        <v>2512</v>
      </c>
      <c r="AC410" t="s">
        <v>3088</v>
      </c>
      <c r="AD410">
        <v>70</v>
      </c>
      <c r="AE410" t="s">
        <v>3223</v>
      </c>
      <c r="AF410" t="s">
        <v>1783</v>
      </c>
      <c r="AG410">
        <v>57</v>
      </c>
      <c r="AH410">
        <v>1</v>
      </c>
      <c r="AI410">
        <v>0</v>
      </c>
      <c r="AJ410">
        <v>166.79</v>
      </c>
      <c r="AM410" t="s">
        <v>3248</v>
      </c>
      <c r="AN410">
        <v>20832</v>
      </c>
    </row>
    <row r="411" spans="1:40">
      <c r="A411" s="1">
        <f>HYPERLINK("https://lsnyc.legalserver.org/matter/dynamic-profile/view/1904303","19-1904303")</f>
        <v>0</v>
      </c>
      <c r="B411" t="s">
        <v>110</v>
      </c>
      <c r="C411" t="s">
        <v>135</v>
      </c>
      <c r="E411" t="s">
        <v>506</v>
      </c>
      <c r="F411" t="s">
        <v>861</v>
      </c>
      <c r="G411" t="s">
        <v>1443</v>
      </c>
      <c r="H411">
        <v>33</v>
      </c>
      <c r="I411" t="s">
        <v>1754</v>
      </c>
      <c r="J411">
        <v>10034</v>
      </c>
      <c r="K411" t="s">
        <v>1779</v>
      </c>
      <c r="L411" t="s">
        <v>1781</v>
      </c>
      <c r="M411" t="s">
        <v>1782</v>
      </c>
      <c r="N411" t="s">
        <v>1979</v>
      </c>
      <c r="O411" t="s">
        <v>2030</v>
      </c>
      <c r="P411" t="s">
        <v>2051</v>
      </c>
      <c r="R411" t="s">
        <v>2062</v>
      </c>
      <c r="S411" t="s">
        <v>1780</v>
      </c>
      <c r="T411" t="s">
        <v>2065</v>
      </c>
      <c r="V411" t="s">
        <v>135</v>
      </c>
      <c r="W411">
        <v>818</v>
      </c>
      <c r="X411" t="s">
        <v>2091</v>
      </c>
      <c r="Y411" t="s">
        <v>2101</v>
      </c>
      <c r="AA411" t="s">
        <v>2513</v>
      </c>
      <c r="AC411" t="s">
        <v>3089</v>
      </c>
      <c r="AD411">
        <v>25</v>
      </c>
      <c r="AE411" t="s">
        <v>3223</v>
      </c>
      <c r="AF411" t="s">
        <v>1783</v>
      </c>
      <c r="AG411">
        <v>18</v>
      </c>
      <c r="AH411">
        <v>3</v>
      </c>
      <c r="AI411">
        <v>0</v>
      </c>
      <c r="AJ411">
        <v>166.9</v>
      </c>
      <c r="AM411" t="s">
        <v>3249</v>
      </c>
      <c r="AN411">
        <v>35600</v>
      </c>
    </row>
    <row r="412" spans="1:40">
      <c r="A412" s="1">
        <f>HYPERLINK("https://lsnyc.legalserver.org/matter/dynamic-profile/view/1907897","19-1907897")</f>
        <v>0</v>
      </c>
      <c r="B412" t="s">
        <v>52</v>
      </c>
      <c r="C412" t="s">
        <v>208</v>
      </c>
      <c r="E412" t="s">
        <v>570</v>
      </c>
      <c r="F412" t="s">
        <v>931</v>
      </c>
      <c r="G412" t="s">
        <v>1444</v>
      </c>
      <c r="H412" t="s">
        <v>1683</v>
      </c>
      <c r="I412" t="s">
        <v>1749</v>
      </c>
      <c r="J412">
        <v>11233</v>
      </c>
      <c r="K412" t="s">
        <v>1779</v>
      </c>
      <c r="L412" t="s">
        <v>1781</v>
      </c>
      <c r="O412" t="s">
        <v>2033</v>
      </c>
      <c r="P412" t="s">
        <v>2055</v>
      </c>
      <c r="R412" t="s">
        <v>2062</v>
      </c>
      <c r="S412" t="s">
        <v>1780</v>
      </c>
      <c r="T412" t="s">
        <v>2065</v>
      </c>
      <c r="V412" t="s">
        <v>208</v>
      </c>
      <c r="W412">
        <v>482.02</v>
      </c>
      <c r="X412" t="s">
        <v>2088</v>
      </c>
      <c r="Y412" t="s">
        <v>2101</v>
      </c>
      <c r="AA412" t="s">
        <v>2514</v>
      </c>
      <c r="AC412" t="s">
        <v>3090</v>
      </c>
      <c r="AD412">
        <v>8</v>
      </c>
      <c r="AE412" t="s">
        <v>3230</v>
      </c>
      <c r="AG412">
        <v>13</v>
      </c>
      <c r="AH412">
        <v>2</v>
      </c>
      <c r="AI412">
        <v>2</v>
      </c>
      <c r="AJ412">
        <v>166.99</v>
      </c>
      <c r="AM412" t="s">
        <v>3248</v>
      </c>
      <c r="AN412">
        <v>43000</v>
      </c>
    </row>
    <row r="413" spans="1:40">
      <c r="A413" s="1">
        <f>HYPERLINK("https://lsnyc.legalserver.org/matter/dynamic-profile/view/1905550","19-1905550")</f>
        <v>0</v>
      </c>
      <c r="B413" t="s">
        <v>84</v>
      </c>
      <c r="C413" t="s">
        <v>226</v>
      </c>
      <c r="E413" t="s">
        <v>571</v>
      </c>
      <c r="F413" t="s">
        <v>1001</v>
      </c>
      <c r="G413" t="s">
        <v>1445</v>
      </c>
      <c r="H413" t="s">
        <v>1554</v>
      </c>
      <c r="I413" t="s">
        <v>1754</v>
      </c>
      <c r="J413">
        <v>10035</v>
      </c>
      <c r="K413" t="s">
        <v>1779</v>
      </c>
      <c r="L413" t="s">
        <v>1781</v>
      </c>
      <c r="M413" t="s">
        <v>1782</v>
      </c>
      <c r="N413" t="s">
        <v>1980</v>
      </c>
      <c r="O413" t="s">
        <v>2048</v>
      </c>
      <c r="P413" t="s">
        <v>2051</v>
      </c>
      <c r="R413" t="s">
        <v>2062</v>
      </c>
      <c r="S413" t="s">
        <v>1780</v>
      </c>
      <c r="T413" t="s">
        <v>2065</v>
      </c>
      <c r="V413" t="s">
        <v>226</v>
      </c>
      <c r="W413">
        <v>1575</v>
      </c>
      <c r="X413" t="s">
        <v>2091</v>
      </c>
      <c r="Y413" t="s">
        <v>2101</v>
      </c>
      <c r="AA413" t="s">
        <v>2515</v>
      </c>
      <c r="AC413" t="s">
        <v>3091</v>
      </c>
      <c r="AD413">
        <v>10</v>
      </c>
      <c r="AE413" t="s">
        <v>3223</v>
      </c>
      <c r="AF413" t="s">
        <v>1783</v>
      </c>
      <c r="AG413">
        <v>0</v>
      </c>
      <c r="AH413">
        <v>3</v>
      </c>
      <c r="AI413">
        <v>1</v>
      </c>
      <c r="AJ413">
        <v>166.99</v>
      </c>
      <c r="AM413" t="s">
        <v>3248</v>
      </c>
      <c r="AN413">
        <v>43000</v>
      </c>
    </row>
    <row r="414" spans="1:40">
      <c r="A414" s="1">
        <f>HYPERLINK("https://lsnyc.legalserver.org/matter/dynamic-profile/view/1905547","19-1905547")</f>
        <v>0</v>
      </c>
      <c r="B414" t="s">
        <v>84</v>
      </c>
      <c r="C414" t="s">
        <v>226</v>
      </c>
      <c r="D414" t="s">
        <v>226</v>
      </c>
      <c r="E414" t="s">
        <v>571</v>
      </c>
      <c r="F414" t="s">
        <v>1001</v>
      </c>
      <c r="G414" t="s">
        <v>1445</v>
      </c>
      <c r="H414" t="s">
        <v>1554</v>
      </c>
      <c r="I414" t="s">
        <v>1754</v>
      </c>
      <c r="J414">
        <v>10035</v>
      </c>
      <c r="K414" t="s">
        <v>1779</v>
      </c>
      <c r="L414" t="s">
        <v>1781</v>
      </c>
      <c r="M414" t="s">
        <v>1782</v>
      </c>
      <c r="N414" t="s">
        <v>1981</v>
      </c>
      <c r="O414" t="s">
        <v>2032</v>
      </c>
      <c r="P414" t="s">
        <v>2053</v>
      </c>
      <c r="Q414" t="s">
        <v>2061</v>
      </c>
      <c r="R414" t="s">
        <v>2062</v>
      </c>
      <c r="S414" t="s">
        <v>1780</v>
      </c>
      <c r="T414" t="s">
        <v>2065</v>
      </c>
      <c r="V414" t="s">
        <v>226</v>
      </c>
      <c r="W414">
        <v>1575</v>
      </c>
      <c r="X414" t="s">
        <v>2091</v>
      </c>
      <c r="Y414" t="s">
        <v>2101</v>
      </c>
      <c r="Z414" t="s">
        <v>2116</v>
      </c>
      <c r="AA414" t="s">
        <v>2515</v>
      </c>
      <c r="AC414" t="s">
        <v>3091</v>
      </c>
      <c r="AD414">
        <v>10</v>
      </c>
      <c r="AE414" t="s">
        <v>3223</v>
      </c>
      <c r="AF414" t="s">
        <v>1783</v>
      </c>
      <c r="AG414">
        <v>0</v>
      </c>
      <c r="AH414">
        <v>3</v>
      </c>
      <c r="AI414">
        <v>1</v>
      </c>
      <c r="AJ414">
        <v>166.99</v>
      </c>
      <c r="AM414" t="s">
        <v>3248</v>
      </c>
      <c r="AN414">
        <v>43000</v>
      </c>
    </row>
    <row r="415" spans="1:40">
      <c r="A415" s="1">
        <f>HYPERLINK("https://lsnyc.legalserver.org/matter/dynamic-profile/view/1904010","19-1904010")</f>
        <v>0</v>
      </c>
      <c r="B415" t="s">
        <v>129</v>
      </c>
      <c r="C415" t="s">
        <v>223</v>
      </c>
      <c r="E415" t="s">
        <v>572</v>
      </c>
      <c r="F415" t="s">
        <v>1002</v>
      </c>
      <c r="G415" t="s">
        <v>1446</v>
      </c>
      <c r="H415" t="s">
        <v>1583</v>
      </c>
      <c r="I415" t="s">
        <v>1754</v>
      </c>
      <c r="J415">
        <v>10024</v>
      </c>
      <c r="K415" t="s">
        <v>1779</v>
      </c>
      <c r="L415" t="s">
        <v>1781</v>
      </c>
      <c r="M415" t="s">
        <v>1782</v>
      </c>
      <c r="O415" t="s">
        <v>2031</v>
      </c>
      <c r="P415" t="s">
        <v>2052</v>
      </c>
      <c r="R415" t="s">
        <v>2062</v>
      </c>
      <c r="S415" t="s">
        <v>1779</v>
      </c>
      <c r="T415" t="s">
        <v>2065</v>
      </c>
      <c r="U415" t="s">
        <v>2073</v>
      </c>
      <c r="V415" t="s">
        <v>223</v>
      </c>
      <c r="W415">
        <v>495</v>
      </c>
      <c r="X415" t="s">
        <v>2091</v>
      </c>
      <c r="Y415" t="s">
        <v>2100</v>
      </c>
      <c r="AA415" t="s">
        <v>2234</v>
      </c>
      <c r="AC415" t="s">
        <v>3092</v>
      </c>
      <c r="AD415">
        <v>24</v>
      </c>
      <c r="AE415" t="s">
        <v>3232</v>
      </c>
      <c r="AF415" t="s">
        <v>1783</v>
      </c>
      <c r="AG415">
        <v>31</v>
      </c>
      <c r="AH415">
        <v>4</v>
      </c>
      <c r="AI415">
        <v>0</v>
      </c>
      <c r="AJ415">
        <v>166.99</v>
      </c>
      <c r="AM415" t="s">
        <v>3248</v>
      </c>
      <c r="AN415">
        <v>43000</v>
      </c>
    </row>
    <row r="416" spans="1:40">
      <c r="A416" s="1">
        <f>HYPERLINK("https://lsnyc.legalserver.org/matter/dynamic-profile/view/1903512","19-1903512")</f>
        <v>0</v>
      </c>
      <c r="B416" t="s">
        <v>72</v>
      </c>
      <c r="C416" t="s">
        <v>207</v>
      </c>
      <c r="E416" t="s">
        <v>573</v>
      </c>
      <c r="F416" t="s">
        <v>1003</v>
      </c>
      <c r="G416" t="s">
        <v>1447</v>
      </c>
      <c r="H416" t="s">
        <v>1683</v>
      </c>
      <c r="I416" t="s">
        <v>1759</v>
      </c>
      <c r="J416">
        <v>11101</v>
      </c>
      <c r="K416" t="s">
        <v>1779</v>
      </c>
      <c r="L416" t="s">
        <v>1781</v>
      </c>
      <c r="M416" t="s">
        <v>1782</v>
      </c>
      <c r="N416" t="s">
        <v>1982</v>
      </c>
      <c r="O416" t="s">
        <v>2030</v>
      </c>
      <c r="P416" t="s">
        <v>2051</v>
      </c>
      <c r="R416" t="s">
        <v>2062</v>
      </c>
      <c r="S416" t="s">
        <v>1780</v>
      </c>
      <c r="T416" t="s">
        <v>2065</v>
      </c>
      <c r="U416" t="s">
        <v>2073</v>
      </c>
      <c r="V416" t="s">
        <v>227</v>
      </c>
      <c r="W416">
        <v>1800</v>
      </c>
      <c r="X416" t="s">
        <v>2087</v>
      </c>
      <c r="Y416" t="s">
        <v>2094</v>
      </c>
      <c r="AA416" t="s">
        <v>2516</v>
      </c>
      <c r="AC416" t="s">
        <v>3093</v>
      </c>
      <c r="AD416">
        <v>6</v>
      </c>
      <c r="AE416" t="s">
        <v>3222</v>
      </c>
      <c r="AF416" t="s">
        <v>1783</v>
      </c>
      <c r="AG416">
        <v>2</v>
      </c>
      <c r="AH416">
        <v>2</v>
      </c>
      <c r="AI416">
        <v>2</v>
      </c>
      <c r="AJ416">
        <v>167.77</v>
      </c>
      <c r="AM416" t="s">
        <v>3249</v>
      </c>
      <c r="AN416">
        <v>43200</v>
      </c>
    </row>
    <row r="417" spans="1:40">
      <c r="A417" s="1">
        <f>HYPERLINK("https://lsnyc.legalserver.org/matter/dynamic-profile/view/1907245","19-1907245")</f>
        <v>0</v>
      </c>
      <c r="B417" t="s">
        <v>104</v>
      </c>
      <c r="C417" t="s">
        <v>160</v>
      </c>
      <c r="E417" t="s">
        <v>574</v>
      </c>
      <c r="F417" t="s">
        <v>668</v>
      </c>
      <c r="G417" t="s">
        <v>1274</v>
      </c>
      <c r="H417" t="s">
        <v>1706</v>
      </c>
      <c r="I417" t="s">
        <v>1753</v>
      </c>
      <c r="J417">
        <v>10304</v>
      </c>
      <c r="K417" t="s">
        <v>1779</v>
      </c>
      <c r="L417" t="s">
        <v>1781</v>
      </c>
      <c r="M417" t="s">
        <v>1782</v>
      </c>
      <c r="N417" t="s">
        <v>1983</v>
      </c>
      <c r="O417" t="s">
        <v>2030</v>
      </c>
      <c r="P417" t="s">
        <v>2051</v>
      </c>
      <c r="R417" t="s">
        <v>2062</v>
      </c>
      <c r="S417" t="s">
        <v>1780</v>
      </c>
      <c r="T417" t="s">
        <v>2069</v>
      </c>
      <c r="U417" t="s">
        <v>2073</v>
      </c>
      <c r="V417" t="s">
        <v>160</v>
      </c>
      <c r="W417">
        <v>213</v>
      </c>
      <c r="X417" t="s">
        <v>2090</v>
      </c>
      <c r="Y417" t="s">
        <v>2102</v>
      </c>
      <c r="AA417" t="s">
        <v>2517</v>
      </c>
      <c r="AC417" t="s">
        <v>3094</v>
      </c>
      <c r="AD417">
        <v>404</v>
      </c>
      <c r="AE417" t="s">
        <v>3226</v>
      </c>
      <c r="AF417" t="s">
        <v>1783</v>
      </c>
      <c r="AG417">
        <v>7</v>
      </c>
      <c r="AH417">
        <v>1</v>
      </c>
      <c r="AI417">
        <v>1</v>
      </c>
      <c r="AJ417">
        <v>167.9</v>
      </c>
      <c r="AM417" t="s">
        <v>3248</v>
      </c>
      <c r="AN417">
        <v>28392</v>
      </c>
    </row>
    <row r="418" spans="1:40">
      <c r="A418" s="1">
        <f>HYPERLINK("https://lsnyc.legalserver.org/matter/dynamic-profile/view/1907797","19-1907797")</f>
        <v>0</v>
      </c>
      <c r="B418" t="s">
        <v>68</v>
      </c>
      <c r="C418" t="s">
        <v>154</v>
      </c>
      <c r="E418" t="s">
        <v>565</v>
      </c>
      <c r="F418" t="s">
        <v>1004</v>
      </c>
      <c r="G418" t="s">
        <v>1153</v>
      </c>
      <c r="H418" t="s">
        <v>1595</v>
      </c>
      <c r="I418" t="s">
        <v>1749</v>
      </c>
      <c r="J418">
        <v>11212</v>
      </c>
      <c r="K418" t="s">
        <v>1779</v>
      </c>
      <c r="L418" t="s">
        <v>1781</v>
      </c>
      <c r="M418" t="s">
        <v>1782</v>
      </c>
      <c r="N418" t="s">
        <v>1783</v>
      </c>
      <c r="O418" t="s">
        <v>2033</v>
      </c>
      <c r="P418" t="s">
        <v>2055</v>
      </c>
      <c r="R418" t="s">
        <v>2062</v>
      </c>
      <c r="S418" t="s">
        <v>1779</v>
      </c>
      <c r="T418" t="s">
        <v>2065</v>
      </c>
      <c r="U418" t="s">
        <v>2073</v>
      </c>
      <c r="V418" t="s">
        <v>146</v>
      </c>
      <c r="W418">
        <v>1050</v>
      </c>
      <c r="X418" t="s">
        <v>2088</v>
      </c>
      <c r="Y418" t="s">
        <v>2100</v>
      </c>
      <c r="AA418" t="s">
        <v>2518</v>
      </c>
      <c r="AC418" t="s">
        <v>3095</v>
      </c>
      <c r="AD418">
        <v>96</v>
      </c>
      <c r="AE418" t="s">
        <v>3223</v>
      </c>
      <c r="AF418" t="s">
        <v>3238</v>
      </c>
      <c r="AG418">
        <v>30</v>
      </c>
      <c r="AH418">
        <v>1</v>
      </c>
      <c r="AI418">
        <v>0</v>
      </c>
      <c r="AJ418">
        <v>168.13</v>
      </c>
      <c r="AM418" t="s">
        <v>3248</v>
      </c>
      <c r="AN418">
        <v>21000</v>
      </c>
    </row>
    <row r="419" spans="1:40">
      <c r="A419" s="1">
        <f>HYPERLINK("https://lsnyc.legalserver.org/matter/dynamic-profile/view/1910829","19-1910829")</f>
        <v>0</v>
      </c>
      <c r="B419" t="s">
        <v>76</v>
      </c>
      <c r="C419" t="s">
        <v>180</v>
      </c>
      <c r="E419" t="s">
        <v>575</v>
      </c>
      <c r="F419" t="s">
        <v>1005</v>
      </c>
      <c r="G419" t="s">
        <v>1448</v>
      </c>
      <c r="I419" t="s">
        <v>1749</v>
      </c>
      <c r="J419">
        <v>11207</v>
      </c>
      <c r="K419" t="s">
        <v>1779</v>
      </c>
      <c r="L419" t="s">
        <v>1781</v>
      </c>
      <c r="M419" t="s">
        <v>1784</v>
      </c>
      <c r="N419" t="s">
        <v>1984</v>
      </c>
      <c r="O419" t="s">
        <v>2029</v>
      </c>
      <c r="P419" t="s">
        <v>2055</v>
      </c>
      <c r="R419" t="s">
        <v>2062</v>
      </c>
      <c r="S419" t="s">
        <v>1780</v>
      </c>
      <c r="T419" t="s">
        <v>2065</v>
      </c>
      <c r="U419" t="s">
        <v>2073</v>
      </c>
      <c r="V419" t="s">
        <v>143</v>
      </c>
      <c r="W419">
        <v>2400</v>
      </c>
      <c r="X419" t="s">
        <v>2088</v>
      </c>
      <c r="Y419" t="s">
        <v>2102</v>
      </c>
      <c r="AA419" t="s">
        <v>2519</v>
      </c>
      <c r="AB419">
        <v>377151418</v>
      </c>
      <c r="AC419" t="s">
        <v>3096</v>
      </c>
      <c r="AD419">
        <v>3</v>
      </c>
      <c r="AE419" t="s">
        <v>3222</v>
      </c>
      <c r="AF419" t="s">
        <v>1783</v>
      </c>
      <c r="AG419">
        <v>8</v>
      </c>
      <c r="AH419">
        <v>1</v>
      </c>
      <c r="AI419">
        <v>2</v>
      </c>
      <c r="AJ419">
        <v>168.78</v>
      </c>
      <c r="AM419" t="s">
        <v>3248</v>
      </c>
      <c r="AN419">
        <v>36000</v>
      </c>
    </row>
    <row r="420" spans="1:40">
      <c r="A420" s="1">
        <f>HYPERLINK("https://lsnyc.legalserver.org/matter/dynamic-profile/view/1908602","19-1908602")</f>
        <v>0</v>
      </c>
      <c r="B420" t="s">
        <v>72</v>
      </c>
      <c r="C420" t="s">
        <v>182</v>
      </c>
      <c r="E420" t="s">
        <v>576</v>
      </c>
      <c r="F420" t="s">
        <v>1006</v>
      </c>
      <c r="G420" t="s">
        <v>1449</v>
      </c>
      <c r="I420" t="s">
        <v>1776</v>
      </c>
      <c r="J420">
        <v>11422</v>
      </c>
      <c r="K420" t="s">
        <v>1779</v>
      </c>
      <c r="L420" t="s">
        <v>1781</v>
      </c>
      <c r="M420" t="s">
        <v>1782</v>
      </c>
      <c r="N420" t="s">
        <v>1985</v>
      </c>
      <c r="O420" t="s">
        <v>2029</v>
      </c>
      <c r="P420" t="s">
        <v>2052</v>
      </c>
      <c r="R420" t="s">
        <v>2062</v>
      </c>
      <c r="S420" t="s">
        <v>1780</v>
      </c>
      <c r="T420" t="s">
        <v>2065</v>
      </c>
      <c r="U420" t="s">
        <v>2072</v>
      </c>
      <c r="V420" t="s">
        <v>182</v>
      </c>
      <c r="W420">
        <v>1028</v>
      </c>
      <c r="X420" t="s">
        <v>2087</v>
      </c>
      <c r="Y420" t="s">
        <v>2092</v>
      </c>
      <c r="AA420" t="s">
        <v>2520</v>
      </c>
      <c r="AB420" t="s">
        <v>2737</v>
      </c>
      <c r="AC420" t="s">
        <v>3097</v>
      </c>
      <c r="AD420">
        <v>2</v>
      </c>
      <c r="AE420" t="s">
        <v>3235</v>
      </c>
      <c r="AF420" t="s">
        <v>1783</v>
      </c>
      <c r="AG420">
        <v>13</v>
      </c>
      <c r="AH420">
        <v>1</v>
      </c>
      <c r="AI420">
        <v>0</v>
      </c>
      <c r="AJ420">
        <v>169.48</v>
      </c>
      <c r="AM420" t="s">
        <v>3248</v>
      </c>
      <c r="AN420">
        <v>21168</v>
      </c>
    </row>
    <row r="421" spans="1:40">
      <c r="A421" s="1">
        <f>HYPERLINK("https://lsnyc.legalserver.org/matter/dynamic-profile/view/1909513","19-1909513")</f>
        <v>0</v>
      </c>
      <c r="B421" t="s">
        <v>84</v>
      </c>
      <c r="C421" t="s">
        <v>138</v>
      </c>
      <c r="E421" t="s">
        <v>577</v>
      </c>
      <c r="F421" t="s">
        <v>697</v>
      </c>
      <c r="G421" t="s">
        <v>1450</v>
      </c>
      <c r="H421" t="s">
        <v>1590</v>
      </c>
      <c r="I421" t="s">
        <v>1754</v>
      </c>
      <c r="J421">
        <v>10034</v>
      </c>
      <c r="K421" t="s">
        <v>1779</v>
      </c>
      <c r="L421" t="s">
        <v>1781</v>
      </c>
      <c r="M421" t="s">
        <v>1782</v>
      </c>
      <c r="O421" t="s">
        <v>2034</v>
      </c>
      <c r="P421" t="s">
        <v>2052</v>
      </c>
      <c r="R421" t="s">
        <v>2062</v>
      </c>
      <c r="S421" t="s">
        <v>1780</v>
      </c>
      <c r="T421" t="s">
        <v>2065</v>
      </c>
      <c r="V421" t="s">
        <v>138</v>
      </c>
      <c r="W421">
        <v>1525</v>
      </c>
      <c r="X421" t="s">
        <v>2091</v>
      </c>
      <c r="Y421" t="s">
        <v>2101</v>
      </c>
      <c r="AA421" t="s">
        <v>2521</v>
      </c>
      <c r="AC421" t="s">
        <v>3098</v>
      </c>
      <c r="AD421">
        <v>25</v>
      </c>
      <c r="AE421" t="s">
        <v>3223</v>
      </c>
      <c r="AF421" t="s">
        <v>1783</v>
      </c>
      <c r="AG421">
        <v>8</v>
      </c>
      <c r="AH421">
        <v>4</v>
      </c>
      <c r="AI421">
        <v>0</v>
      </c>
      <c r="AJ421">
        <v>171.25</v>
      </c>
      <c r="AM421" t="s">
        <v>3249</v>
      </c>
      <c r="AN421">
        <v>44096</v>
      </c>
    </row>
    <row r="422" spans="1:40">
      <c r="A422" s="1">
        <f>HYPERLINK("https://lsnyc.legalserver.org/matter/dynamic-profile/view/1908592","19-1908592")</f>
        <v>0</v>
      </c>
      <c r="B422" t="s">
        <v>102</v>
      </c>
      <c r="C422" t="s">
        <v>182</v>
      </c>
      <c r="E422" t="s">
        <v>248</v>
      </c>
      <c r="F422" t="s">
        <v>775</v>
      </c>
      <c r="G422" t="s">
        <v>1451</v>
      </c>
      <c r="H422" t="s">
        <v>1565</v>
      </c>
      <c r="I422" t="s">
        <v>1778</v>
      </c>
      <c r="J422">
        <v>11375</v>
      </c>
      <c r="K422" t="s">
        <v>1779</v>
      </c>
      <c r="L422" t="s">
        <v>1781</v>
      </c>
      <c r="M422" t="s">
        <v>1782</v>
      </c>
      <c r="N422" t="s">
        <v>1986</v>
      </c>
      <c r="O422" t="s">
        <v>2030</v>
      </c>
      <c r="P422" t="s">
        <v>2051</v>
      </c>
      <c r="R422" t="s">
        <v>2062</v>
      </c>
      <c r="S422" t="s">
        <v>1780</v>
      </c>
      <c r="T422" t="s">
        <v>2065</v>
      </c>
      <c r="U422" t="s">
        <v>2073</v>
      </c>
      <c r="V422" t="s">
        <v>182</v>
      </c>
      <c r="W422">
        <v>1413.52</v>
      </c>
      <c r="X422" t="s">
        <v>2087</v>
      </c>
      <c r="Y422" t="s">
        <v>2092</v>
      </c>
      <c r="AA422" t="s">
        <v>2522</v>
      </c>
      <c r="AB422" t="s">
        <v>2738</v>
      </c>
      <c r="AC422" t="s">
        <v>3099</v>
      </c>
      <c r="AD422">
        <v>40</v>
      </c>
      <c r="AE422" t="s">
        <v>2704</v>
      </c>
      <c r="AF422" t="s">
        <v>1783</v>
      </c>
      <c r="AG422">
        <v>15</v>
      </c>
      <c r="AH422">
        <v>3</v>
      </c>
      <c r="AI422">
        <v>0</v>
      </c>
      <c r="AJ422">
        <v>172.53</v>
      </c>
      <c r="AM422" t="s">
        <v>3248</v>
      </c>
      <c r="AN422">
        <v>36800</v>
      </c>
    </row>
    <row r="423" spans="1:40">
      <c r="A423" s="1">
        <f>HYPERLINK("https://lsnyc.legalserver.org/matter/dynamic-profile/view/1909766","19-1909766")</f>
        <v>0</v>
      </c>
      <c r="B423" t="s">
        <v>85</v>
      </c>
      <c r="C423" t="s">
        <v>232</v>
      </c>
      <c r="E423" t="s">
        <v>578</v>
      </c>
      <c r="F423" t="s">
        <v>1007</v>
      </c>
      <c r="G423" t="s">
        <v>1452</v>
      </c>
      <c r="H423" t="s">
        <v>1707</v>
      </c>
      <c r="I423" t="s">
        <v>1753</v>
      </c>
      <c r="J423">
        <v>10304</v>
      </c>
      <c r="K423" t="s">
        <v>1779</v>
      </c>
      <c r="L423" t="s">
        <v>1781</v>
      </c>
      <c r="M423" t="s">
        <v>1782</v>
      </c>
      <c r="N423" t="s">
        <v>1792</v>
      </c>
      <c r="O423" t="s">
        <v>1793</v>
      </c>
      <c r="P423" t="s">
        <v>2050</v>
      </c>
      <c r="R423" t="s">
        <v>2062</v>
      </c>
      <c r="S423" t="s">
        <v>1780</v>
      </c>
      <c r="T423" t="s">
        <v>2065</v>
      </c>
      <c r="U423" t="s">
        <v>2073</v>
      </c>
      <c r="V423" t="s">
        <v>232</v>
      </c>
      <c r="W423">
        <v>694</v>
      </c>
      <c r="X423" t="s">
        <v>2090</v>
      </c>
      <c r="Y423" t="s">
        <v>2095</v>
      </c>
      <c r="AA423" t="s">
        <v>2523</v>
      </c>
      <c r="AC423" t="s">
        <v>3100</v>
      </c>
      <c r="AD423">
        <v>150</v>
      </c>
      <c r="AE423" t="s">
        <v>3226</v>
      </c>
      <c r="AF423" t="s">
        <v>3236</v>
      </c>
      <c r="AG423">
        <v>4</v>
      </c>
      <c r="AH423">
        <v>1</v>
      </c>
      <c r="AI423">
        <v>0</v>
      </c>
      <c r="AJ423">
        <v>172.55</v>
      </c>
      <c r="AN423">
        <v>21552</v>
      </c>
    </row>
    <row r="424" spans="1:40">
      <c r="A424" s="1">
        <f>HYPERLINK("https://lsnyc.legalserver.org/matter/dynamic-profile/view/1902323","19-1902323")</f>
        <v>0</v>
      </c>
      <c r="B424" t="s">
        <v>57</v>
      </c>
      <c r="C424" t="s">
        <v>136</v>
      </c>
      <c r="D424" t="s">
        <v>164</v>
      </c>
      <c r="E424" t="s">
        <v>579</v>
      </c>
      <c r="F424" t="s">
        <v>1008</v>
      </c>
      <c r="G424" t="s">
        <v>1453</v>
      </c>
      <c r="H424" t="s">
        <v>1551</v>
      </c>
      <c r="I424" t="s">
        <v>1749</v>
      </c>
      <c r="J424">
        <v>11217</v>
      </c>
      <c r="K424" t="s">
        <v>1779</v>
      </c>
      <c r="L424" t="s">
        <v>1781</v>
      </c>
      <c r="M424" t="s">
        <v>1782</v>
      </c>
      <c r="N424" t="s">
        <v>1793</v>
      </c>
      <c r="O424" t="s">
        <v>2031</v>
      </c>
      <c r="P424" t="s">
        <v>2055</v>
      </c>
      <c r="Q424" t="s">
        <v>2059</v>
      </c>
      <c r="R424" t="s">
        <v>2062</v>
      </c>
      <c r="S424" t="s">
        <v>1780</v>
      </c>
      <c r="T424" t="s">
        <v>2065</v>
      </c>
      <c r="V424" t="s">
        <v>213</v>
      </c>
      <c r="W424">
        <v>1550</v>
      </c>
      <c r="X424" t="s">
        <v>2088</v>
      </c>
      <c r="Y424" t="s">
        <v>2094</v>
      </c>
      <c r="Z424" t="s">
        <v>2112</v>
      </c>
      <c r="AA424" t="s">
        <v>2524</v>
      </c>
      <c r="AC424" t="s">
        <v>3101</v>
      </c>
      <c r="AD424">
        <v>6</v>
      </c>
      <c r="AF424" t="s">
        <v>1783</v>
      </c>
      <c r="AG424">
        <v>9</v>
      </c>
      <c r="AH424">
        <v>1</v>
      </c>
      <c r="AI424">
        <v>0</v>
      </c>
      <c r="AJ424">
        <v>175.13</v>
      </c>
      <c r="AM424" t="s">
        <v>3248</v>
      </c>
      <c r="AN424">
        <v>21874</v>
      </c>
    </row>
    <row r="425" spans="1:40">
      <c r="A425" s="1">
        <f>HYPERLINK("https://lsnyc.legalserver.org/matter/dynamic-profile/view/1908712","19-1908712")</f>
        <v>0</v>
      </c>
      <c r="B425" t="s">
        <v>130</v>
      </c>
      <c r="C425" t="s">
        <v>164</v>
      </c>
      <c r="E425" t="s">
        <v>580</v>
      </c>
      <c r="F425" t="s">
        <v>769</v>
      </c>
      <c r="G425" t="s">
        <v>1454</v>
      </c>
      <c r="H425">
        <v>2</v>
      </c>
      <c r="I425" t="s">
        <v>1753</v>
      </c>
      <c r="J425">
        <v>10304</v>
      </c>
      <c r="K425" t="s">
        <v>1779</v>
      </c>
      <c r="L425" t="s">
        <v>1781</v>
      </c>
      <c r="M425" t="s">
        <v>1782</v>
      </c>
      <c r="N425" t="s">
        <v>1792</v>
      </c>
      <c r="O425" t="s">
        <v>1793</v>
      </c>
      <c r="P425" t="s">
        <v>2054</v>
      </c>
      <c r="R425" t="s">
        <v>2062</v>
      </c>
      <c r="T425" t="s">
        <v>2065</v>
      </c>
      <c r="V425" t="s">
        <v>164</v>
      </c>
      <c r="W425">
        <v>1200</v>
      </c>
      <c r="X425" t="s">
        <v>2090</v>
      </c>
      <c r="Y425" t="s">
        <v>2099</v>
      </c>
      <c r="AA425" t="s">
        <v>2525</v>
      </c>
      <c r="AC425" t="s">
        <v>2712</v>
      </c>
      <c r="AD425">
        <v>2</v>
      </c>
      <c r="AE425" t="s">
        <v>3222</v>
      </c>
      <c r="AF425" t="s">
        <v>1783</v>
      </c>
      <c r="AG425">
        <v>14</v>
      </c>
      <c r="AH425">
        <v>1</v>
      </c>
      <c r="AI425">
        <v>1</v>
      </c>
      <c r="AJ425">
        <v>175.28</v>
      </c>
      <c r="AM425" t="s">
        <v>3249</v>
      </c>
      <c r="AN425">
        <v>29640</v>
      </c>
    </row>
    <row r="426" spans="1:40">
      <c r="A426" s="1">
        <f>HYPERLINK("https://lsnyc.legalserver.org/matter/dynamic-profile/view/1908072","19-1908072")</f>
        <v>0</v>
      </c>
      <c r="B426" t="s">
        <v>81</v>
      </c>
      <c r="C426" t="s">
        <v>171</v>
      </c>
      <c r="E426" t="s">
        <v>581</v>
      </c>
      <c r="F426" t="s">
        <v>1009</v>
      </c>
      <c r="G426" t="s">
        <v>1455</v>
      </c>
      <c r="H426" t="s">
        <v>1683</v>
      </c>
      <c r="I426" t="s">
        <v>1749</v>
      </c>
      <c r="J426">
        <v>11233</v>
      </c>
      <c r="K426" t="s">
        <v>1779</v>
      </c>
      <c r="L426" t="s">
        <v>1781</v>
      </c>
      <c r="M426" t="s">
        <v>1782</v>
      </c>
      <c r="N426" t="s">
        <v>1987</v>
      </c>
      <c r="O426" t="s">
        <v>2030</v>
      </c>
      <c r="P426" t="s">
        <v>2051</v>
      </c>
      <c r="R426" t="s">
        <v>2062</v>
      </c>
      <c r="S426" t="s">
        <v>1780</v>
      </c>
      <c r="T426" t="s">
        <v>2065</v>
      </c>
      <c r="U426" t="s">
        <v>2076</v>
      </c>
      <c r="V426" t="s">
        <v>238</v>
      </c>
      <c r="W426">
        <v>1132</v>
      </c>
      <c r="X426" t="s">
        <v>2088</v>
      </c>
      <c r="AA426" t="s">
        <v>2526</v>
      </c>
      <c r="AC426" t="s">
        <v>3102</v>
      </c>
      <c r="AD426">
        <v>6</v>
      </c>
      <c r="AE426" t="s">
        <v>3223</v>
      </c>
      <c r="AG426">
        <v>10</v>
      </c>
      <c r="AH426">
        <v>1</v>
      </c>
      <c r="AI426">
        <v>0</v>
      </c>
      <c r="AJ426">
        <v>175.53</v>
      </c>
      <c r="AM426" t="s">
        <v>3248</v>
      </c>
      <c r="AN426">
        <v>21924</v>
      </c>
    </row>
    <row r="427" spans="1:40">
      <c r="A427" s="1">
        <f>HYPERLINK("https://lsnyc.legalserver.org/matter/dynamic-profile/view/1905330","19-1905330")</f>
        <v>0</v>
      </c>
      <c r="B427" t="s">
        <v>71</v>
      </c>
      <c r="C427" t="s">
        <v>170</v>
      </c>
      <c r="D427" t="s">
        <v>201</v>
      </c>
      <c r="E427" t="s">
        <v>313</v>
      </c>
      <c r="F427" t="s">
        <v>775</v>
      </c>
      <c r="G427" t="s">
        <v>1456</v>
      </c>
      <c r="H427">
        <v>307</v>
      </c>
      <c r="I427" t="s">
        <v>1754</v>
      </c>
      <c r="J427">
        <v>10029</v>
      </c>
      <c r="K427" t="s">
        <v>1779</v>
      </c>
      <c r="L427" t="s">
        <v>1781</v>
      </c>
      <c r="M427" t="s">
        <v>1782</v>
      </c>
      <c r="O427" t="s">
        <v>1793</v>
      </c>
      <c r="P427" t="s">
        <v>2050</v>
      </c>
      <c r="Q427" t="s">
        <v>2057</v>
      </c>
      <c r="R427" t="s">
        <v>2062</v>
      </c>
      <c r="S427" t="s">
        <v>1780</v>
      </c>
      <c r="T427" t="s">
        <v>2065</v>
      </c>
      <c r="U427" t="s">
        <v>2073</v>
      </c>
      <c r="V427" t="s">
        <v>170</v>
      </c>
      <c r="W427">
        <v>3682</v>
      </c>
      <c r="X427" t="s">
        <v>2091</v>
      </c>
      <c r="Y427" t="s">
        <v>2099</v>
      </c>
      <c r="Z427" t="s">
        <v>2110</v>
      </c>
      <c r="AA427" t="s">
        <v>2527</v>
      </c>
      <c r="AC427" t="s">
        <v>3103</v>
      </c>
      <c r="AD427">
        <v>78</v>
      </c>
      <c r="AE427" t="s">
        <v>3223</v>
      </c>
      <c r="AF427" t="s">
        <v>3236</v>
      </c>
      <c r="AG427">
        <v>24</v>
      </c>
      <c r="AH427">
        <v>3</v>
      </c>
      <c r="AI427">
        <v>0</v>
      </c>
      <c r="AJ427">
        <v>177.67</v>
      </c>
      <c r="AM427" t="s">
        <v>3248</v>
      </c>
      <c r="AN427">
        <v>37896</v>
      </c>
    </row>
    <row r="428" spans="1:40">
      <c r="A428" s="1">
        <f>HYPERLINK("https://lsnyc.legalserver.org/matter/dynamic-profile/view/1910169","19-1910169")</f>
        <v>0</v>
      </c>
      <c r="B428" t="s">
        <v>110</v>
      </c>
      <c r="C428" t="s">
        <v>203</v>
      </c>
      <c r="E428" t="s">
        <v>582</v>
      </c>
      <c r="F428" t="s">
        <v>1010</v>
      </c>
      <c r="G428" t="s">
        <v>1457</v>
      </c>
      <c r="I428" t="s">
        <v>1754</v>
      </c>
      <c r="J428">
        <v>10032</v>
      </c>
      <c r="K428" t="s">
        <v>1779</v>
      </c>
      <c r="L428" t="s">
        <v>1781</v>
      </c>
      <c r="M428" t="s">
        <v>1782</v>
      </c>
      <c r="P428" t="s">
        <v>2052</v>
      </c>
      <c r="R428" t="s">
        <v>2062</v>
      </c>
      <c r="S428" t="s">
        <v>1779</v>
      </c>
      <c r="T428" t="s">
        <v>2065</v>
      </c>
      <c r="V428" t="s">
        <v>203</v>
      </c>
      <c r="W428">
        <v>1036</v>
      </c>
      <c r="X428" t="s">
        <v>2091</v>
      </c>
      <c r="Y428" t="s">
        <v>2099</v>
      </c>
      <c r="AA428" t="s">
        <v>2528</v>
      </c>
      <c r="AD428">
        <v>41</v>
      </c>
      <c r="AE428" t="s">
        <v>3223</v>
      </c>
      <c r="AF428" t="s">
        <v>1783</v>
      </c>
      <c r="AG428">
        <v>21</v>
      </c>
      <c r="AH428">
        <v>5</v>
      </c>
      <c r="AI428">
        <v>0</v>
      </c>
      <c r="AJ428">
        <v>178.56</v>
      </c>
      <c r="AM428" t="s">
        <v>3249</v>
      </c>
      <c r="AN428">
        <v>53872</v>
      </c>
    </row>
    <row r="429" spans="1:40">
      <c r="A429" s="1">
        <f>HYPERLINK("https://lsnyc.legalserver.org/matter/dynamic-profile/view/1906036","19-1906036")</f>
        <v>0</v>
      </c>
      <c r="B429" t="s">
        <v>74</v>
      </c>
      <c r="C429" t="s">
        <v>146</v>
      </c>
      <c r="E429" t="s">
        <v>583</v>
      </c>
      <c r="F429" t="s">
        <v>1011</v>
      </c>
      <c r="G429" t="s">
        <v>1458</v>
      </c>
      <c r="I429" t="s">
        <v>1746</v>
      </c>
      <c r="J429">
        <v>11435</v>
      </c>
      <c r="K429" t="s">
        <v>1779</v>
      </c>
      <c r="L429" t="s">
        <v>1781</v>
      </c>
      <c r="M429" t="s">
        <v>1782</v>
      </c>
      <c r="N429" t="s">
        <v>1988</v>
      </c>
      <c r="O429" t="s">
        <v>2031</v>
      </c>
      <c r="P429" t="s">
        <v>2051</v>
      </c>
      <c r="R429" t="s">
        <v>2062</v>
      </c>
      <c r="S429" t="s">
        <v>1780</v>
      </c>
      <c r="T429" t="s">
        <v>2065</v>
      </c>
      <c r="U429" t="s">
        <v>2073</v>
      </c>
      <c r="V429" t="s">
        <v>146</v>
      </c>
      <c r="W429">
        <v>2010</v>
      </c>
      <c r="X429" t="s">
        <v>2087</v>
      </c>
      <c r="Y429" t="s">
        <v>2099</v>
      </c>
      <c r="AA429" t="s">
        <v>2529</v>
      </c>
      <c r="AC429" t="s">
        <v>3104</v>
      </c>
      <c r="AD429">
        <v>3</v>
      </c>
      <c r="AE429" t="s">
        <v>3222</v>
      </c>
      <c r="AF429" t="s">
        <v>1783</v>
      </c>
      <c r="AG429">
        <v>-1</v>
      </c>
      <c r="AH429">
        <v>2</v>
      </c>
      <c r="AI429">
        <v>3</v>
      </c>
      <c r="AJ429">
        <v>178.99</v>
      </c>
      <c r="AM429" t="s">
        <v>3248</v>
      </c>
      <c r="AN429">
        <v>54000</v>
      </c>
    </row>
    <row r="430" spans="1:40">
      <c r="A430" s="1">
        <f>HYPERLINK("https://lsnyc.legalserver.org/matter/dynamic-profile/view/1910272","19-1910272")</f>
        <v>0</v>
      </c>
      <c r="B430" t="s">
        <v>74</v>
      </c>
      <c r="C430" t="s">
        <v>233</v>
      </c>
      <c r="E430" t="s">
        <v>583</v>
      </c>
      <c r="F430" t="s">
        <v>1011</v>
      </c>
      <c r="G430" t="s">
        <v>1458</v>
      </c>
      <c r="I430" t="s">
        <v>1746</v>
      </c>
      <c r="J430">
        <v>11435</v>
      </c>
      <c r="K430" t="s">
        <v>1779</v>
      </c>
      <c r="L430" t="s">
        <v>1781</v>
      </c>
      <c r="M430" t="s">
        <v>1782</v>
      </c>
      <c r="N430" t="s">
        <v>1989</v>
      </c>
      <c r="O430" t="s">
        <v>2030</v>
      </c>
      <c r="P430" t="s">
        <v>2051</v>
      </c>
      <c r="R430" t="s">
        <v>2062</v>
      </c>
      <c r="S430" t="s">
        <v>1780</v>
      </c>
      <c r="T430" t="s">
        <v>2065</v>
      </c>
      <c r="U430" t="s">
        <v>2073</v>
      </c>
      <c r="V430" t="s">
        <v>233</v>
      </c>
      <c r="W430">
        <v>2010</v>
      </c>
      <c r="X430" t="s">
        <v>2087</v>
      </c>
      <c r="Y430" t="s">
        <v>2103</v>
      </c>
      <c r="AA430" t="s">
        <v>2529</v>
      </c>
      <c r="AC430" t="s">
        <v>3104</v>
      </c>
      <c r="AD430">
        <v>2</v>
      </c>
      <c r="AE430" t="s">
        <v>3222</v>
      </c>
      <c r="AF430" t="s">
        <v>1783</v>
      </c>
      <c r="AG430">
        <v>-1</v>
      </c>
      <c r="AH430">
        <v>2</v>
      </c>
      <c r="AI430">
        <v>3</v>
      </c>
      <c r="AJ430">
        <v>178.99</v>
      </c>
      <c r="AM430" t="s">
        <v>3248</v>
      </c>
      <c r="AN430">
        <v>54000</v>
      </c>
    </row>
    <row r="431" spans="1:40">
      <c r="A431" s="1">
        <f>HYPERLINK("https://lsnyc.legalserver.org/matter/dynamic-profile/view/1910406","19-1910406")</f>
        <v>0</v>
      </c>
      <c r="B431" t="s">
        <v>65</v>
      </c>
      <c r="C431" t="s">
        <v>150</v>
      </c>
      <c r="E431" t="s">
        <v>314</v>
      </c>
      <c r="F431" t="s">
        <v>748</v>
      </c>
      <c r="G431" t="s">
        <v>1181</v>
      </c>
      <c r="I431" t="s">
        <v>1754</v>
      </c>
      <c r="J431">
        <v>10033</v>
      </c>
      <c r="K431" t="s">
        <v>1779</v>
      </c>
      <c r="L431" t="s">
        <v>1781</v>
      </c>
      <c r="M431" t="s">
        <v>1782</v>
      </c>
      <c r="O431" t="s">
        <v>2035</v>
      </c>
      <c r="P431" t="s">
        <v>2055</v>
      </c>
      <c r="R431" t="s">
        <v>2062</v>
      </c>
      <c r="S431" t="s">
        <v>1780</v>
      </c>
      <c r="T431" t="s">
        <v>2065</v>
      </c>
      <c r="V431" t="s">
        <v>150</v>
      </c>
      <c r="W431">
        <v>811.77</v>
      </c>
      <c r="X431" t="s">
        <v>2091</v>
      </c>
      <c r="Y431" t="s">
        <v>2101</v>
      </c>
      <c r="AA431" t="s">
        <v>2189</v>
      </c>
      <c r="AC431" t="s">
        <v>2795</v>
      </c>
      <c r="AD431">
        <v>0</v>
      </c>
      <c r="AE431" t="s">
        <v>3223</v>
      </c>
      <c r="AF431" t="s">
        <v>3238</v>
      </c>
      <c r="AG431">
        <v>45</v>
      </c>
      <c r="AH431">
        <v>2</v>
      </c>
      <c r="AI431">
        <v>0</v>
      </c>
      <c r="AJ431">
        <v>179.82</v>
      </c>
      <c r="AM431" t="s">
        <v>3249</v>
      </c>
      <c r="AN431">
        <v>30408</v>
      </c>
    </row>
    <row r="432" spans="1:40">
      <c r="A432" s="1">
        <f>HYPERLINK("https://lsnyc.legalserver.org/matter/dynamic-profile/view/1910350","19-1910350")</f>
        <v>0</v>
      </c>
      <c r="B432" t="s">
        <v>91</v>
      </c>
      <c r="C432" t="s">
        <v>192</v>
      </c>
      <c r="E432" t="s">
        <v>584</v>
      </c>
      <c r="F432" t="s">
        <v>1012</v>
      </c>
      <c r="G432" t="s">
        <v>1210</v>
      </c>
      <c r="H432" t="s">
        <v>1592</v>
      </c>
      <c r="I432" t="s">
        <v>1749</v>
      </c>
      <c r="J432">
        <v>11212</v>
      </c>
      <c r="K432" t="s">
        <v>1779</v>
      </c>
      <c r="L432" t="s">
        <v>1781</v>
      </c>
      <c r="M432" t="s">
        <v>1782</v>
      </c>
      <c r="N432" t="s">
        <v>1786</v>
      </c>
      <c r="O432" t="s">
        <v>2033</v>
      </c>
      <c r="P432" t="s">
        <v>2055</v>
      </c>
      <c r="R432" t="s">
        <v>2062</v>
      </c>
      <c r="S432" t="s">
        <v>1779</v>
      </c>
      <c r="T432" t="s">
        <v>2065</v>
      </c>
      <c r="U432" t="s">
        <v>2073</v>
      </c>
      <c r="V432" t="s">
        <v>148</v>
      </c>
      <c r="W432">
        <v>1400</v>
      </c>
      <c r="X432" t="s">
        <v>2088</v>
      </c>
      <c r="Y432" t="s">
        <v>2101</v>
      </c>
      <c r="AA432" t="s">
        <v>2530</v>
      </c>
      <c r="AB432" t="s">
        <v>1783</v>
      </c>
      <c r="AC432" t="s">
        <v>3105</v>
      </c>
      <c r="AD432">
        <v>4</v>
      </c>
      <c r="AE432" t="s">
        <v>3223</v>
      </c>
      <c r="AF432" t="s">
        <v>1783</v>
      </c>
      <c r="AG432">
        <v>4</v>
      </c>
      <c r="AH432">
        <v>1</v>
      </c>
      <c r="AI432">
        <v>0</v>
      </c>
      <c r="AJ432">
        <v>181.49</v>
      </c>
      <c r="AM432" t="s">
        <v>3248</v>
      </c>
      <c r="AN432">
        <v>22668</v>
      </c>
    </row>
    <row r="433" spans="1:45">
      <c r="A433" s="1">
        <f>HYPERLINK("https://lsnyc.legalserver.org/matter/dynamic-profile/view/1888046","19-1888046")</f>
        <v>0</v>
      </c>
      <c r="B433" t="s">
        <v>57</v>
      </c>
      <c r="C433" t="s">
        <v>234</v>
      </c>
      <c r="D433" t="s">
        <v>164</v>
      </c>
      <c r="E433" t="s">
        <v>585</v>
      </c>
      <c r="F433" t="s">
        <v>1013</v>
      </c>
      <c r="G433" t="s">
        <v>1459</v>
      </c>
      <c r="H433">
        <v>401</v>
      </c>
      <c r="I433" t="s">
        <v>1749</v>
      </c>
      <c r="J433">
        <v>11201</v>
      </c>
      <c r="K433" t="s">
        <v>1779</v>
      </c>
      <c r="L433" t="s">
        <v>1781</v>
      </c>
      <c r="M433" t="s">
        <v>1782</v>
      </c>
      <c r="N433" t="s">
        <v>1793</v>
      </c>
      <c r="O433" t="s">
        <v>1793</v>
      </c>
      <c r="P433" t="s">
        <v>2055</v>
      </c>
      <c r="Q433" t="s">
        <v>2059</v>
      </c>
      <c r="R433" t="s">
        <v>2062</v>
      </c>
      <c r="S433" t="s">
        <v>1780</v>
      </c>
      <c r="T433" t="s">
        <v>2065</v>
      </c>
      <c r="V433" t="s">
        <v>213</v>
      </c>
      <c r="W433">
        <v>1096</v>
      </c>
      <c r="X433" t="s">
        <v>2088</v>
      </c>
      <c r="Y433" t="s">
        <v>2103</v>
      </c>
      <c r="Z433" t="s">
        <v>2112</v>
      </c>
      <c r="AA433" t="s">
        <v>2531</v>
      </c>
      <c r="AC433" t="s">
        <v>3106</v>
      </c>
      <c r="AD433">
        <v>156</v>
      </c>
      <c r="AE433" t="s">
        <v>2704</v>
      </c>
      <c r="AF433" t="s">
        <v>1783</v>
      </c>
      <c r="AG433">
        <v>11</v>
      </c>
      <c r="AH433">
        <v>2</v>
      </c>
      <c r="AI433">
        <v>0</v>
      </c>
      <c r="AJ433">
        <v>182.26</v>
      </c>
      <c r="AM433" t="s">
        <v>3248</v>
      </c>
      <c r="AN433">
        <v>30000</v>
      </c>
    </row>
    <row r="434" spans="1:45">
      <c r="A434" s="1">
        <f>HYPERLINK("https://lsnyc.legalserver.org/matter/dynamic-profile/view/1904033","19-1904033")</f>
        <v>0</v>
      </c>
      <c r="B434" t="s">
        <v>57</v>
      </c>
      <c r="C434" t="s">
        <v>137</v>
      </c>
      <c r="E434" t="s">
        <v>586</v>
      </c>
      <c r="F434" t="s">
        <v>1014</v>
      </c>
      <c r="G434" t="s">
        <v>1460</v>
      </c>
      <c r="H434" t="s">
        <v>1583</v>
      </c>
      <c r="I434" t="s">
        <v>1749</v>
      </c>
      <c r="J434">
        <v>11233</v>
      </c>
      <c r="K434" t="s">
        <v>1779</v>
      </c>
      <c r="L434" t="s">
        <v>1781</v>
      </c>
      <c r="M434" t="s">
        <v>1782</v>
      </c>
      <c r="N434" t="s">
        <v>1990</v>
      </c>
      <c r="O434" t="s">
        <v>2030</v>
      </c>
      <c r="P434" t="s">
        <v>2051</v>
      </c>
      <c r="R434" t="s">
        <v>2062</v>
      </c>
      <c r="S434" t="s">
        <v>1780</v>
      </c>
      <c r="T434" t="s">
        <v>2065</v>
      </c>
      <c r="U434" t="s">
        <v>2073</v>
      </c>
      <c r="V434" t="s">
        <v>226</v>
      </c>
      <c r="W434">
        <v>900</v>
      </c>
      <c r="X434" t="s">
        <v>2088</v>
      </c>
      <c r="Y434" t="s">
        <v>2102</v>
      </c>
      <c r="AA434" t="s">
        <v>2532</v>
      </c>
      <c r="AB434" t="s">
        <v>1799</v>
      </c>
      <c r="AC434" t="s">
        <v>3107</v>
      </c>
      <c r="AD434">
        <v>97</v>
      </c>
      <c r="AE434" t="s">
        <v>3226</v>
      </c>
      <c r="AF434" t="s">
        <v>3237</v>
      </c>
      <c r="AG434">
        <v>7</v>
      </c>
      <c r="AH434">
        <v>3</v>
      </c>
      <c r="AI434">
        <v>0</v>
      </c>
      <c r="AJ434">
        <v>182.33</v>
      </c>
      <c r="AM434" t="s">
        <v>3248</v>
      </c>
      <c r="AN434">
        <v>38892</v>
      </c>
    </row>
    <row r="435" spans="1:45">
      <c r="A435" s="1">
        <f>HYPERLINK("https://lsnyc.legalserver.org/matter/dynamic-profile/view/1906517","19-1906517")</f>
        <v>0</v>
      </c>
      <c r="B435" t="s">
        <v>48</v>
      </c>
      <c r="C435" t="s">
        <v>205</v>
      </c>
      <c r="E435" t="s">
        <v>587</v>
      </c>
      <c r="F435" t="s">
        <v>1015</v>
      </c>
      <c r="G435" t="s">
        <v>1461</v>
      </c>
      <c r="H435" t="s">
        <v>1708</v>
      </c>
      <c r="I435" t="s">
        <v>1759</v>
      </c>
      <c r="J435">
        <v>11101</v>
      </c>
      <c r="K435" t="s">
        <v>1779</v>
      </c>
      <c r="L435" t="s">
        <v>1781</v>
      </c>
      <c r="M435" t="s">
        <v>1782</v>
      </c>
      <c r="N435" t="s">
        <v>1991</v>
      </c>
      <c r="O435" t="s">
        <v>2030</v>
      </c>
      <c r="P435" t="s">
        <v>2051</v>
      </c>
      <c r="R435" t="s">
        <v>2062</v>
      </c>
      <c r="S435" t="s">
        <v>1779</v>
      </c>
      <c r="T435" t="s">
        <v>2065</v>
      </c>
      <c r="U435" t="s">
        <v>2076</v>
      </c>
      <c r="V435" t="s">
        <v>205</v>
      </c>
      <c r="W435">
        <v>1558</v>
      </c>
      <c r="X435" t="s">
        <v>2087</v>
      </c>
      <c r="Y435" t="s">
        <v>2092</v>
      </c>
      <c r="AA435" t="s">
        <v>2533</v>
      </c>
      <c r="AB435" t="s">
        <v>2739</v>
      </c>
      <c r="AC435" t="s">
        <v>3108</v>
      </c>
      <c r="AD435">
        <v>900</v>
      </c>
      <c r="AE435" t="s">
        <v>3223</v>
      </c>
      <c r="AF435" t="s">
        <v>3241</v>
      </c>
      <c r="AG435">
        <v>1</v>
      </c>
      <c r="AH435">
        <v>1</v>
      </c>
      <c r="AI435">
        <v>0</v>
      </c>
      <c r="AJ435">
        <v>182.55</v>
      </c>
      <c r="AM435" t="s">
        <v>3248</v>
      </c>
      <c r="AN435">
        <v>22800</v>
      </c>
      <c r="AQ435" t="s">
        <v>2094</v>
      </c>
      <c r="AR435" t="s">
        <v>3294</v>
      </c>
      <c r="AS435" t="s">
        <v>3297</v>
      </c>
    </row>
    <row r="436" spans="1:45">
      <c r="A436" s="1">
        <f>HYPERLINK("https://lsnyc.legalserver.org/matter/dynamic-profile/view/1910509","19-1910509")</f>
        <v>0</v>
      </c>
      <c r="B436" t="s">
        <v>58</v>
      </c>
      <c r="C436" t="s">
        <v>150</v>
      </c>
      <c r="E436" t="s">
        <v>588</v>
      </c>
      <c r="F436" t="s">
        <v>1016</v>
      </c>
      <c r="G436" t="s">
        <v>1462</v>
      </c>
      <c r="H436">
        <v>26</v>
      </c>
      <c r="I436" t="s">
        <v>1749</v>
      </c>
      <c r="J436">
        <v>11215</v>
      </c>
      <c r="K436" t="s">
        <v>1779</v>
      </c>
      <c r="L436" t="s">
        <v>1781</v>
      </c>
      <c r="P436" t="s">
        <v>2055</v>
      </c>
      <c r="R436" t="s">
        <v>2062</v>
      </c>
      <c r="S436" t="s">
        <v>1780</v>
      </c>
      <c r="T436" t="s">
        <v>2065</v>
      </c>
      <c r="U436" t="s">
        <v>2073</v>
      </c>
      <c r="V436" t="s">
        <v>150</v>
      </c>
      <c r="W436">
        <v>1380.54</v>
      </c>
      <c r="X436" t="s">
        <v>2088</v>
      </c>
      <c r="Y436" t="s">
        <v>2092</v>
      </c>
      <c r="AA436" t="s">
        <v>2534</v>
      </c>
      <c r="AC436" t="s">
        <v>3109</v>
      </c>
      <c r="AD436">
        <v>26</v>
      </c>
      <c r="AE436" t="s">
        <v>3223</v>
      </c>
      <c r="AF436" t="s">
        <v>1783</v>
      </c>
      <c r="AG436">
        <v>7</v>
      </c>
      <c r="AH436">
        <v>1</v>
      </c>
      <c r="AI436">
        <v>2</v>
      </c>
      <c r="AJ436">
        <v>182.84</v>
      </c>
      <c r="AM436" t="s">
        <v>3248</v>
      </c>
      <c r="AN436">
        <v>39000</v>
      </c>
    </row>
    <row r="437" spans="1:45">
      <c r="A437" s="1">
        <f>HYPERLINK("https://lsnyc.legalserver.org/matter/dynamic-profile/view/1910219","19-1910219")</f>
        <v>0</v>
      </c>
      <c r="B437" t="s">
        <v>64</v>
      </c>
      <c r="C437" t="s">
        <v>150</v>
      </c>
      <c r="E437" t="s">
        <v>403</v>
      </c>
      <c r="F437" t="s">
        <v>872</v>
      </c>
      <c r="G437" t="s">
        <v>1463</v>
      </c>
      <c r="I437" t="s">
        <v>1753</v>
      </c>
      <c r="J437">
        <v>10304</v>
      </c>
      <c r="K437" t="s">
        <v>1779</v>
      </c>
      <c r="L437" t="s">
        <v>1781</v>
      </c>
      <c r="M437" t="s">
        <v>1782</v>
      </c>
      <c r="N437" t="s">
        <v>1992</v>
      </c>
      <c r="O437" t="s">
        <v>2030</v>
      </c>
      <c r="P437" t="s">
        <v>2051</v>
      </c>
      <c r="R437" t="s">
        <v>2062</v>
      </c>
      <c r="S437" t="s">
        <v>1780</v>
      </c>
      <c r="T437" t="s">
        <v>2065</v>
      </c>
      <c r="V437" t="s">
        <v>150</v>
      </c>
      <c r="W437">
        <v>1700</v>
      </c>
      <c r="X437" t="s">
        <v>2090</v>
      </c>
      <c r="Y437" t="s">
        <v>2109</v>
      </c>
      <c r="AA437" t="s">
        <v>2535</v>
      </c>
      <c r="AC437" t="s">
        <v>3110</v>
      </c>
      <c r="AD437">
        <v>2</v>
      </c>
      <c r="AE437" t="s">
        <v>3222</v>
      </c>
      <c r="AF437" t="s">
        <v>1783</v>
      </c>
      <c r="AG437">
        <v>3</v>
      </c>
      <c r="AH437">
        <v>2</v>
      </c>
      <c r="AI437">
        <v>0</v>
      </c>
      <c r="AJ437">
        <v>183.44</v>
      </c>
      <c r="AM437" t="s">
        <v>3248</v>
      </c>
      <c r="AN437">
        <v>31020</v>
      </c>
    </row>
    <row r="438" spans="1:45">
      <c r="A438" s="1">
        <f>HYPERLINK("https://lsnyc.legalserver.org/matter/dynamic-profile/view/1910195","19-1910195")</f>
        <v>0</v>
      </c>
      <c r="B438" t="s">
        <v>108</v>
      </c>
      <c r="C438" t="s">
        <v>203</v>
      </c>
      <c r="E438" t="s">
        <v>589</v>
      </c>
      <c r="F438" t="s">
        <v>1017</v>
      </c>
      <c r="G438" t="s">
        <v>1464</v>
      </c>
      <c r="H438" t="s">
        <v>1709</v>
      </c>
      <c r="I438" t="s">
        <v>1749</v>
      </c>
      <c r="J438">
        <v>11223</v>
      </c>
      <c r="K438" t="s">
        <v>1779</v>
      </c>
      <c r="L438" t="s">
        <v>1781</v>
      </c>
      <c r="O438" t="s">
        <v>2033</v>
      </c>
      <c r="P438" t="s">
        <v>2054</v>
      </c>
      <c r="R438" t="s">
        <v>2062</v>
      </c>
      <c r="T438" t="s">
        <v>2065</v>
      </c>
      <c r="V438" t="s">
        <v>177</v>
      </c>
      <c r="W438">
        <v>0</v>
      </c>
      <c r="X438" t="s">
        <v>2088</v>
      </c>
      <c r="AA438" t="s">
        <v>2536</v>
      </c>
      <c r="AD438">
        <v>0</v>
      </c>
      <c r="AG438">
        <v>0</v>
      </c>
      <c r="AH438">
        <v>1</v>
      </c>
      <c r="AI438">
        <v>0</v>
      </c>
      <c r="AJ438">
        <v>184.15</v>
      </c>
      <c r="AM438" t="s">
        <v>3253</v>
      </c>
      <c r="AN438">
        <v>23000</v>
      </c>
    </row>
    <row r="439" spans="1:45">
      <c r="A439" s="1">
        <f>HYPERLINK("https://lsnyc.legalserver.org/matter/dynamic-profile/view/1907496","19-1907496")</f>
        <v>0</v>
      </c>
      <c r="B439" t="s">
        <v>56</v>
      </c>
      <c r="C439" t="s">
        <v>139</v>
      </c>
      <c r="E439" t="s">
        <v>590</v>
      </c>
      <c r="F439" t="s">
        <v>1018</v>
      </c>
      <c r="G439" t="s">
        <v>1465</v>
      </c>
      <c r="H439" t="s">
        <v>1620</v>
      </c>
      <c r="I439" t="s">
        <v>1749</v>
      </c>
      <c r="J439">
        <v>11212</v>
      </c>
      <c r="K439" t="s">
        <v>1779</v>
      </c>
      <c r="L439" t="s">
        <v>1781</v>
      </c>
      <c r="M439" t="s">
        <v>1782</v>
      </c>
      <c r="N439" t="s">
        <v>1993</v>
      </c>
      <c r="O439" t="s">
        <v>2030</v>
      </c>
      <c r="P439" t="s">
        <v>2051</v>
      </c>
      <c r="R439" t="s">
        <v>2062</v>
      </c>
      <c r="S439" t="s">
        <v>1780</v>
      </c>
      <c r="T439" t="s">
        <v>2065</v>
      </c>
      <c r="V439" t="s">
        <v>196</v>
      </c>
      <c r="W439">
        <v>800.29</v>
      </c>
      <c r="X439" t="s">
        <v>2088</v>
      </c>
      <c r="Y439" t="s">
        <v>2101</v>
      </c>
      <c r="AA439" t="s">
        <v>2537</v>
      </c>
      <c r="AC439" t="s">
        <v>3111</v>
      </c>
      <c r="AD439">
        <v>48</v>
      </c>
      <c r="AE439" t="s">
        <v>3223</v>
      </c>
      <c r="AF439" t="s">
        <v>1783</v>
      </c>
      <c r="AG439">
        <v>47</v>
      </c>
      <c r="AH439">
        <v>1</v>
      </c>
      <c r="AI439">
        <v>0</v>
      </c>
      <c r="AJ439">
        <v>184.15</v>
      </c>
      <c r="AM439" t="s">
        <v>3248</v>
      </c>
      <c r="AN439">
        <v>23000</v>
      </c>
    </row>
    <row r="440" spans="1:45">
      <c r="A440" s="1">
        <f>HYPERLINK("https://lsnyc.legalserver.org/matter/dynamic-profile/view/1906984","19-1906984")</f>
        <v>0</v>
      </c>
      <c r="B440" t="s">
        <v>62</v>
      </c>
      <c r="C440" t="s">
        <v>152</v>
      </c>
      <c r="D440" t="s">
        <v>208</v>
      </c>
      <c r="E440" t="s">
        <v>249</v>
      </c>
      <c r="F440" t="s">
        <v>453</v>
      </c>
      <c r="G440" t="s">
        <v>1466</v>
      </c>
      <c r="H440" t="s">
        <v>1710</v>
      </c>
      <c r="I440" t="s">
        <v>1752</v>
      </c>
      <c r="J440">
        <v>10475</v>
      </c>
      <c r="K440" t="s">
        <v>1779</v>
      </c>
      <c r="L440" t="s">
        <v>1781</v>
      </c>
      <c r="M440" t="s">
        <v>1782</v>
      </c>
      <c r="O440" t="s">
        <v>2035</v>
      </c>
      <c r="P440" t="s">
        <v>2055</v>
      </c>
      <c r="Q440" t="s">
        <v>2059</v>
      </c>
      <c r="R440" t="s">
        <v>2062</v>
      </c>
      <c r="S440" t="s">
        <v>1780</v>
      </c>
      <c r="T440" t="s">
        <v>2065</v>
      </c>
      <c r="V440" t="s">
        <v>154</v>
      </c>
      <c r="W440">
        <v>801.79</v>
      </c>
      <c r="X440" t="s">
        <v>2089</v>
      </c>
      <c r="Y440" t="s">
        <v>2100</v>
      </c>
      <c r="Z440" t="s">
        <v>2116</v>
      </c>
      <c r="AA440" t="s">
        <v>2538</v>
      </c>
      <c r="AC440" t="s">
        <v>3112</v>
      </c>
      <c r="AD440">
        <v>10914</v>
      </c>
      <c r="AE440" t="s">
        <v>3227</v>
      </c>
      <c r="AF440" t="s">
        <v>1783</v>
      </c>
      <c r="AG440">
        <v>5</v>
      </c>
      <c r="AH440">
        <v>1</v>
      </c>
      <c r="AI440">
        <v>0</v>
      </c>
      <c r="AJ440">
        <v>186.87</v>
      </c>
      <c r="AM440" t="s">
        <v>3248</v>
      </c>
      <c r="AN440">
        <v>23340</v>
      </c>
    </row>
    <row r="441" spans="1:45">
      <c r="A441" s="1">
        <f>HYPERLINK("https://lsnyc.legalserver.org/matter/dynamic-profile/view/1906449","19-1906449")</f>
        <v>0</v>
      </c>
      <c r="B441" t="s">
        <v>56</v>
      </c>
      <c r="C441" t="s">
        <v>161</v>
      </c>
      <c r="E441" t="s">
        <v>591</v>
      </c>
      <c r="F441" t="s">
        <v>1019</v>
      </c>
      <c r="G441" t="s">
        <v>1467</v>
      </c>
      <c r="H441" t="s">
        <v>1595</v>
      </c>
      <c r="I441" t="s">
        <v>1749</v>
      </c>
      <c r="J441">
        <v>11239</v>
      </c>
      <c r="K441" t="s">
        <v>1779</v>
      </c>
      <c r="L441" t="s">
        <v>1781</v>
      </c>
      <c r="M441" t="s">
        <v>1782</v>
      </c>
      <c r="N441" t="s">
        <v>1994</v>
      </c>
      <c r="O441" t="s">
        <v>2030</v>
      </c>
      <c r="P441" t="s">
        <v>2051</v>
      </c>
      <c r="R441" t="s">
        <v>2062</v>
      </c>
      <c r="S441" t="s">
        <v>1780</v>
      </c>
      <c r="T441" t="s">
        <v>2065</v>
      </c>
      <c r="U441" t="s">
        <v>2073</v>
      </c>
      <c r="V441" t="s">
        <v>152</v>
      </c>
      <c r="W441">
        <v>1205</v>
      </c>
      <c r="X441" t="s">
        <v>2088</v>
      </c>
      <c r="Y441" t="s">
        <v>2107</v>
      </c>
      <c r="AA441" t="s">
        <v>2539</v>
      </c>
      <c r="AB441" t="s">
        <v>1799</v>
      </c>
      <c r="AC441" t="s">
        <v>3113</v>
      </c>
      <c r="AD441">
        <v>80</v>
      </c>
      <c r="AE441" t="s">
        <v>3223</v>
      </c>
      <c r="AF441" t="s">
        <v>3237</v>
      </c>
      <c r="AG441">
        <v>9</v>
      </c>
      <c r="AH441">
        <v>1</v>
      </c>
      <c r="AI441">
        <v>0</v>
      </c>
      <c r="AJ441">
        <v>187.35</v>
      </c>
      <c r="AM441" t="s">
        <v>3248</v>
      </c>
      <c r="AN441">
        <v>23400</v>
      </c>
    </row>
    <row r="442" spans="1:45">
      <c r="A442" s="1">
        <f>HYPERLINK("https://lsnyc.legalserver.org/matter/dynamic-profile/view/1910082","19-1910082")</f>
        <v>0</v>
      </c>
      <c r="B442" t="s">
        <v>62</v>
      </c>
      <c r="C442" t="s">
        <v>177</v>
      </c>
      <c r="E442" t="s">
        <v>566</v>
      </c>
      <c r="F442" t="s">
        <v>1020</v>
      </c>
      <c r="G442" t="s">
        <v>1468</v>
      </c>
      <c r="H442" t="s">
        <v>1698</v>
      </c>
      <c r="I442" t="s">
        <v>1752</v>
      </c>
      <c r="J442">
        <v>10452</v>
      </c>
      <c r="K442" t="s">
        <v>1779</v>
      </c>
      <c r="L442" t="s">
        <v>1781</v>
      </c>
      <c r="M442" t="s">
        <v>1782</v>
      </c>
      <c r="O442" t="s">
        <v>1793</v>
      </c>
      <c r="P442" t="s">
        <v>2050</v>
      </c>
      <c r="R442" t="s">
        <v>2062</v>
      </c>
      <c r="S442" t="s">
        <v>1780</v>
      </c>
      <c r="T442" t="s">
        <v>2065</v>
      </c>
      <c r="V442" t="s">
        <v>180</v>
      </c>
      <c r="W442">
        <v>1350</v>
      </c>
      <c r="X442" t="s">
        <v>2089</v>
      </c>
      <c r="Y442" t="s">
        <v>2100</v>
      </c>
      <c r="AA442" t="s">
        <v>2540</v>
      </c>
      <c r="AC442" t="s">
        <v>3114</v>
      </c>
      <c r="AD442">
        <v>67</v>
      </c>
      <c r="AE442" t="s">
        <v>3223</v>
      </c>
      <c r="AF442" t="s">
        <v>1783</v>
      </c>
      <c r="AG442">
        <v>3</v>
      </c>
      <c r="AH442">
        <v>1</v>
      </c>
      <c r="AI442">
        <v>0</v>
      </c>
      <c r="AJ442">
        <v>187.35</v>
      </c>
      <c r="AM442" t="s">
        <v>3248</v>
      </c>
      <c r="AN442">
        <v>23400</v>
      </c>
    </row>
    <row r="443" spans="1:45">
      <c r="A443" s="1">
        <f>HYPERLINK("https://lsnyc.legalserver.org/matter/dynamic-profile/view/1908507","19-1908507")</f>
        <v>0</v>
      </c>
      <c r="B443" t="s">
        <v>74</v>
      </c>
      <c r="C443" t="s">
        <v>201</v>
      </c>
      <c r="E443" t="s">
        <v>592</v>
      </c>
      <c r="F443" t="s">
        <v>1021</v>
      </c>
      <c r="G443" t="s">
        <v>1469</v>
      </c>
      <c r="H443" t="s">
        <v>1625</v>
      </c>
      <c r="I443" t="s">
        <v>1756</v>
      </c>
      <c r="J443">
        <v>11354</v>
      </c>
      <c r="K443" t="s">
        <v>1779</v>
      </c>
      <c r="L443" t="s">
        <v>1781</v>
      </c>
      <c r="M443" t="s">
        <v>1782</v>
      </c>
      <c r="N443" t="s">
        <v>1995</v>
      </c>
      <c r="O443" t="s">
        <v>2030</v>
      </c>
      <c r="P443" t="s">
        <v>2050</v>
      </c>
      <c r="R443" t="s">
        <v>2062</v>
      </c>
      <c r="S443" t="s">
        <v>1780</v>
      </c>
      <c r="T443" t="s">
        <v>2065</v>
      </c>
      <c r="U443" t="s">
        <v>2073</v>
      </c>
      <c r="V443" t="s">
        <v>201</v>
      </c>
      <c r="W443">
        <v>1550</v>
      </c>
      <c r="X443" t="s">
        <v>2087</v>
      </c>
      <c r="Y443" t="s">
        <v>2092</v>
      </c>
      <c r="AA443" t="s">
        <v>2541</v>
      </c>
      <c r="AC443" t="s">
        <v>3115</v>
      </c>
      <c r="AD443">
        <v>24</v>
      </c>
      <c r="AE443" t="s">
        <v>2704</v>
      </c>
      <c r="AF443" t="s">
        <v>1783</v>
      </c>
      <c r="AG443">
        <v>4</v>
      </c>
      <c r="AH443">
        <v>1</v>
      </c>
      <c r="AI443">
        <v>2</v>
      </c>
      <c r="AJ443">
        <v>187.53</v>
      </c>
      <c r="AM443" t="s">
        <v>3248</v>
      </c>
      <c r="AN443">
        <v>40000</v>
      </c>
    </row>
    <row r="444" spans="1:45">
      <c r="A444" s="1">
        <f>HYPERLINK("https://lsnyc.legalserver.org/matter/dynamic-profile/view/1910645","19-1910645")</f>
        <v>0</v>
      </c>
      <c r="B444" t="s">
        <v>71</v>
      </c>
      <c r="C444" t="s">
        <v>134</v>
      </c>
      <c r="E444" t="s">
        <v>593</v>
      </c>
      <c r="F444" t="s">
        <v>725</v>
      </c>
      <c r="G444" t="s">
        <v>1370</v>
      </c>
      <c r="H444" t="s">
        <v>1632</v>
      </c>
      <c r="I444" t="s">
        <v>1754</v>
      </c>
      <c r="J444">
        <v>10035</v>
      </c>
      <c r="K444" t="s">
        <v>1779</v>
      </c>
      <c r="L444" t="s">
        <v>1781</v>
      </c>
      <c r="M444" t="s">
        <v>1782</v>
      </c>
      <c r="O444" t="s">
        <v>2032</v>
      </c>
      <c r="P444" t="s">
        <v>2054</v>
      </c>
      <c r="R444" t="s">
        <v>2062</v>
      </c>
      <c r="S444" t="s">
        <v>1779</v>
      </c>
      <c r="T444" t="s">
        <v>2065</v>
      </c>
      <c r="U444" t="s">
        <v>2075</v>
      </c>
      <c r="V444" t="s">
        <v>232</v>
      </c>
      <c r="W444">
        <v>1461</v>
      </c>
      <c r="X444" t="s">
        <v>2091</v>
      </c>
      <c r="Y444" t="s">
        <v>2096</v>
      </c>
      <c r="AA444" t="s">
        <v>2542</v>
      </c>
      <c r="AC444" t="s">
        <v>3116</v>
      </c>
      <c r="AD444">
        <v>0</v>
      </c>
      <c r="AE444" t="s">
        <v>3223</v>
      </c>
      <c r="AF444" t="s">
        <v>3236</v>
      </c>
      <c r="AG444">
        <v>15</v>
      </c>
      <c r="AH444">
        <v>1</v>
      </c>
      <c r="AI444">
        <v>2</v>
      </c>
      <c r="AJ444">
        <v>187.53</v>
      </c>
      <c r="AM444" t="s">
        <v>3248</v>
      </c>
      <c r="AN444">
        <v>40000</v>
      </c>
    </row>
    <row r="445" spans="1:45">
      <c r="A445" s="1">
        <f>HYPERLINK("https://lsnyc.legalserver.org/matter/dynamic-profile/view/1910642","19-1910642")</f>
        <v>0</v>
      </c>
      <c r="B445" t="s">
        <v>71</v>
      </c>
      <c r="C445" t="s">
        <v>134</v>
      </c>
      <c r="E445" t="s">
        <v>593</v>
      </c>
      <c r="F445" t="s">
        <v>725</v>
      </c>
      <c r="G445" t="s">
        <v>1370</v>
      </c>
      <c r="H445" t="s">
        <v>1632</v>
      </c>
      <c r="I445" t="s">
        <v>1754</v>
      </c>
      <c r="J445">
        <v>10035</v>
      </c>
      <c r="K445" t="s">
        <v>1779</v>
      </c>
      <c r="L445" t="s">
        <v>1781</v>
      </c>
      <c r="M445" t="s">
        <v>1782</v>
      </c>
      <c r="O445" t="s">
        <v>1793</v>
      </c>
      <c r="P445" t="s">
        <v>2054</v>
      </c>
      <c r="R445" t="s">
        <v>2062</v>
      </c>
      <c r="S445" t="s">
        <v>1779</v>
      </c>
      <c r="T445" t="s">
        <v>2065</v>
      </c>
      <c r="U445" t="s">
        <v>2073</v>
      </c>
      <c r="V445" t="s">
        <v>232</v>
      </c>
      <c r="W445">
        <v>1461</v>
      </c>
      <c r="X445" t="s">
        <v>2091</v>
      </c>
      <c r="Y445" t="s">
        <v>2096</v>
      </c>
      <c r="AA445" t="s">
        <v>2542</v>
      </c>
      <c r="AC445" t="s">
        <v>3116</v>
      </c>
      <c r="AD445">
        <v>0</v>
      </c>
      <c r="AE445" t="s">
        <v>3223</v>
      </c>
      <c r="AF445" t="s">
        <v>3236</v>
      </c>
      <c r="AG445">
        <v>15</v>
      </c>
      <c r="AH445">
        <v>1</v>
      </c>
      <c r="AI445">
        <v>2</v>
      </c>
      <c r="AJ445">
        <v>187.53</v>
      </c>
      <c r="AM445" t="s">
        <v>3248</v>
      </c>
      <c r="AN445">
        <v>40000</v>
      </c>
    </row>
    <row r="446" spans="1:45">
      <c r="A446" s="1">
        <f>HYPERLINK("https://lsnyc.legalserver.org/matter/dynamic-profile/view/1904977","19-1904977")</f>
        <v>0</v>
      </c>
      <c r="B446" t="s">
        <v>86</v>
      </c>
      <c r="C446" t="s">
        <v>176</v>
      </c>
      <c r="E446" t="s">
        <v>594</v>
      </c>
      <c r="F446" t="s">
        <v>1022</v>
      </c>
      <c r="G446" t="s">
        <v>1200</v>
      </c>
      <c r="H446" t="s">
        <v>1616</v>
      </c>
      <c r="I446" t="s">
        <v>1752</v>
      </c>
      <c r="J446">
        <v>10453</v>
      </c>
      <c r="K446" t="s">
        <v>1779</v>
      </c>
      <c r="L446" t="s">
        <v>1781</v>
      </c>
      <c r="M446" t="s">
        <v>1782</v>
      </c>
      <c r="N446" t="s">
        <v>1836</v>
      </c>
      <c r="O446" t="s">
        <v>2032</v>
      </c>
      <c r="P446" t="s">
        <v>2053</v>
      </c>
      <c r="R446" t="s">
        <v>2062</v>
      </c>
      <c r="S446" t="s">
        <v>1779</v>
      </c>
      <c r="T446" t="s">
        <v>2065</v>
      </c>
      <c r="V446" t="s">
        <v>2082</v>
      </c>
      <c r="W446">
        <v>1140</v>
      </c>
      <c r="X446" t="s">
        <v>2089</v>
      </c>
      <c r="Y446" t="s">
        <v>2100</v>
      </c>
      <c r="AA446" t="s">
        <v>2543</v>
      </c>
      <c r="AC446" t="s">
        <v>3117</v>
      </c>
      <c r="AD446">
        <v>170</v>
      </c>
      <c r="AE446" t="s">
        <v>3223</v>
      </c>
      <c r="AF446" t="s">
        <v>1783</v>
      </c>
      <c r="AG446">
        <v>6</v>
      </c>
      <c r="AH446">
        <v>1</v>
      </c>
      <c r="AI446">
        <v>1</v>
      </c>
      <c r="AJ446">
        <v>187.89</v>
      </c>
      <c r="AM446" t="s">
        <v>3249</v>
      </c>
      <c r="AN446">
        <v>31772</v>
      </c>
    </row>
    <row r="447" spans="1:45">
      <c r="A447" s="1">
        <f>HYPERLINK("https://lsnyc.legalserver.org/matter/dynamic-profile/view/1908595","19-1908595")</f>
        <v>0</v>
      </c>
      <c r="B447" t="s">
        <v>57</v>
      </c>
      <c r="C447" t="s">
        <v>182</v>
      </c>
      <c r="D447" t="s">
        <v>245</v>
      </c>
      <c r="E447" t="s">
        <v>586</v>
      </c>
      <c r="F447" t="s">
        <v>770</v>
      </c>
      <c r="G447" t="s">
        <v>1470</v>
      </c>
      <c r="I447" t="s">
        <v>1749</v>
      </c>
      <c r="J447">
        <v>11209</v>
      </c>
      <c r="K447" t="s">
        <v>1779</v>
      </c>
      <c r="L447" t="s">
        <v>1781</v>
      </c>
      <c r="M447" t="s">
        <v>1782</v>
      </c>
      <c r="N447" t="s">
        <v>1799</v>
      </c>
      <c r="O447" t="s">
        <v>2031</v>
      </c>
      <c r="P447" t="s">
        <v>2050</v>
      </c>
      <c r="Q447" t="s">
        <v>2057</v>
      </c>
      <c r="R447" t="s">
        <v>2062</v>
      </c>
      <c r="S447" t="s">
        <v>1780</v>
      </c>
      <c r="T447" t="s">
        <v>2065</v>
      </c>
      <c r="U447" t="s">
        <v>2073</v>
      </c>
      <c r="V447" t="s">
        <v>157</v>
      </c>
      <c r="W447">
        <v>3000</v>
      </c>
      <c r="X447" t="s">
        <v>2088</v>
      </c>
      <c r="Y447" t="s">
        <v>2107</v>
      </c>
      <c r="Z447" t="s">
        <v>2110</v>
      </c>
      <c r="AA447" t="s">
        <v>2544</v>
      </c>
      <c r="AB447" t="s">
        <v>1799</v>
      </c>
      <c r="AC447" t="s">
        <v>3118</v>
      </c>
      <c r="AD447">
        <v>1</v>
      </c>
      <c r="AE447" t="s">
        <v>2704</v>
      </c>
      <c r="AF447" t="s">
        <v>1783</v>
      </c>
      <c r="AG447">
        <v>2</v>
      </c>
      <c r="AH447">
        <v>2</v>
      </c>
      <c r="AI447">
        <v>1</v>
      </c>
      <c r="AJ447">
        <v>188.99</v>
      </c>
      <c r="AM447" t="s">
        <v>3248</v>
      </c>
      <c r="AN447">
        <v>40312</v>
      </c>
    </row>
    <row r="448" spans="1:45">
      <c r="A448" s="1">
        <f>HYPERLINK("https://lsnyc.legalserver.org/matter/dynamic-profile/view/1909245","19-1909245")</f>
        <v>0</v>
      </c>
      <c r="B448" t="s">
        <v>96</v>
      </c>
      <c r="C448" t="s">
        <v>157</v>
      </c>
      <c r="E448" t="s">
        <v>595</v>
      </c>
      <c r="F448" t="s">
        <v>1023</v>
      </c>
      <c r="G448" t="s">
        <v>1471</v>
      </c>
      <c r="H448" t="s">
        <v>1711</v>
      </c>
      <c r="I448" t="s">
        <v>1749</v>
      </c>
      <c r="J448">
        <v>11219</v>
      </c>
      <c r="K448" t="s">
        <v>1779</v>
      </c>
      <c r="L448" t="s">
        <v>1781</v>
      </c>
      <c r="M448" t="s">
        <v>1782</v>
      </c>
      <c r="P448" t="s">
        <v>2051</v>
      </c>
      <c r="R448" t="s">
        <v>2062</v>
      </c>
      <c r="S448" t="s">
        <v>1780</v>
      </c>
      <c r="T448" t="s">
        <v>2065</v>
      </c>
      <c r="V448" t="s">
        <v>157</v>
      </c>
      <c r="W448">
        <v>1737.44</v>
      </c>
      <c r="X448" t="s">
        <v>2088</v>
      </c>
      <c r="AA448" t="s">
        <v>2545</v>
      </c>
      <c r="AC448" t="s">
        <v>3119</v>
      </c>
      <c r="AD448">
        <v>20</v>
      </c>
      <c r="AG448">
        <v>8</v>
      </c>
      <c r="AH448">
        <v>2</v>
      </c>
      <c r="AI448">
        <v>1</v>
      </c>
      <c r="AJ448">
        <v>191.84</v>
      </c>
      <c r="AM448" t="s">
        <v>3248</v>
      </c>
      <c r="AN448">
        <v>40920</v>
      </c>
    </row>
    <row r="449" spans="1:41">
      <c r="A449" s="1">
        <f>HYPERLINK("https://lsnyc.legalserver.org/matter/dynamic-profile/view/1908549","19-1908549")</f>
        <v>0</v>
      </c>
      <c r="B449" t="s">
        <v>74</v>
      </c>
      <c r="C449" t="s">
        <v>201</v>
      </c>
      <c r="E449" t="s">
        <v>596</v>
      </c>
      <c r="F449" t="s">
        <v>1024</v>
      </c>
      <c r="G449" t="s">
        <v>1472</v>
      </c>
      <c r="H449">
        <v>4</v>
      </c>
      <c r="I449" t="s">
        <v>1751</v>
      </c>
      <c r="J449">
        <v>11103</v>
      </c>
      <c r="K449" t="s">
        <v>1779</v>
      </c>
      <c r="L449" t="s">
        <v>1781</v>
      </c>
      <c r="M449" t="s">
        <v>1782</v>
      </c>
      <c r="O449" t="s">
        <v>2034</v>
      </c>
      <c r="P449" t="s">
        <v>2055</v>
      </c>
      <c r="R449" t="s">
        <v>2062</v>
      </c>
      <c r="S449" t="s">
        <v>1780</v>
      </c>
      <c r="T449" t="s">
        <v>2065</v>
      </c>
      <c r="U449" t="s">
        <v>2073</v>
      </c>
      <c r="V449" t="s">
        <v>233</v>
      </c>
      <c r="W449">
        <v>630</v>
      </c>
      <c r="X449" t="s">
        <v>2087</v>
      </c>
      <c r="Y449" t="s">
        <v>2108</v>
      </c>
      <c r="AA449" t="s">
        <v>2546</v>
      </c>
      <c r="AC449" t="s">
        <v>3120</v>
      </c>
      <c r="AD449">
        <v>25</v>
      </c>
      <c r="AE449" t="s">
        <v>3223</v>
      </c>
      <c r="AF449" t="s">
        <v>2094</v>
      </c>
      <c r="AG449">
        <v>50</v>
      </c>
      <c r="AH449">
        <v>1</v>
      </c>
      <c r="AI449">
        <v>0</v>
      </c>
      <c r="AJ449">
        <v>192.15</v>
      </c>
      <c r="AM449" t="s">
        <v>3248</v>
      </c>
      <c r="AN449">
        <v>24000</v>
      </c>
    </row>
    <row r="450" spans="1:41">
      <c r="A450" s="1">
        <f>HYPERLINK("https://lsnyc.legalserver.org/matter/dynamic-profile/view/1909504","19-1909504")</f>
        <v>0</v>
      </c>
      <c r="B450" t="s">
        <v>110</v>
      </c>
      <c r="C450" t="s">
        <v>138</v>
      </c>
      <c r="E450" t="s">
        <v>597</v>
      </c>
      <c r="F450" t="s">
        <v>1025</v>
      </c>
      <c r="G450" t="s">
        <v>1242</v>
      </c>
      <c r="H450" t="s">
        <v>1642</v>
      </c>
      <c r="I450" t="s">
        <v>1754</v>
      </c>
      <c r="J450">
        <v>10040</v>
      </c>
      <c r="K450" t="s">
        <v>1779</v>
      </c>
      <c r="L450" t="s">
        <v>1781</v>
      </c>
      <c r="M450" t="s">
        <v>1782</v>
      </c>
      <c r="O450" t="s">
        <v>2031</v>
      </c>
      <c r="P450" t="s">
        <v>2052</v>
      </c>
      <c r="R450" t="s">
        <v>2062</v>
      </c>
      <c r="S450" t="s">
        <v>1779</v>
      </c>
      <c r="T450" t="s">
        <v>2065</v>
      </c>
      <c r="V450" t="s">
        <v>138</v>
      </c>
      <c r="W450">
        <v>0</v>
      </c>
      <c r="X450" t="s">
        <v>2091</v>
      </c>
      <c r="Y450" t="s">
        <v>2099</v>
      </c>
      <c r="AA450" t="s">
        <v>2547</v>
      </c>
      <c r="AC450" t="s">
        <v>3121</v>
      </c>
      <c r="AD450">
        <v>77</v>
      </c>
      <c r="AE450" t="s">
        <v>3223</v>
      </c>
      <c r="AF450" t="s">
        <v>3241</v>
      </c>
      <c r="AG450">
        <v>4</v>
      </c>
      <c r="AH450">
        <v>1</v>
      </c>
      <c r="AI450">
        <v>0</v>
      </c>
      <c r="AJ450">
        <v>192.15</v>
      </c>
      <c r="AM450" t="s">
        <v>3248</v>
      </c>
      <c r="AN450">
        <v>24000</v>
      </c>
    </row>
    <row r="451" spans="1:41">
      <c r="A451" s="1">
        <f>HYPERLINK("https://lsnyc.legalserver.org/matter/dynamic-profile/view/1904895","19-1904895")</f>
        <v>0</v>
      </c>
      <c r="B451" t="s">
        <v>82</v>
      </c>
      <c r="C451" t="s">
        <v>176</v>
      </c>
      <c r="E451" t="s">
        <v>598</v>
      </c>
      <c r="F451" t="s">
        <v>1026</v>
      </c>
      <c r="G451" t="s">
        <v>1473</v>
      </c>
      <c r="H451" t="s">
        <v>1600</v>
      </c>
      <c r="I451" t="s">
        <v>1754</v>
      </c>
      <c r="J451">
        <v>10034</v>
      </c>
      <c r="K451" t="s">
        <v>1779</v>
      </c>
      <c r="L451" t="s">
        <v>1781</v>
      </c>
      <c r="M451" t="s">
        <v>1782</v>
      </c>
      <c r="P451" t="s">
        <v>2055</v>
      </c>
      <c r="R451" t="s">
        <v>2062</v>
      </c>
      <c r="S451" t="s">
        <v>1780</v>
      </c>
      <c r="T451" t="s">
        <v>2065</v>
      </c>
      <c r="V451" t="s">
        <v>176</v>
      </c>
      <c r="W451">
        <v>2350</v>
      </c>
      <c r="X451" t="s">
        <v>2091</v>
      </c>
      <c r="Y451" t="s">
        <v>2099</v>
      </c>
      <c r="AA451" t="s">
        <v>2548</v>
      </c>
      <c r="AC451" t="s">
        <v>3122</v>
      </c>
      <c r="AD451">
        <v>41</v>
      </c>
      <c r="AE451" t="s">
        <v>3222</v>
      </c>
      <c r="AF451" t="s">
        <v>1783</v>
      </c>
      <c r="AG451">
        <v>3</v>
      </c>
      <c r="AH451">
        <v>1</v>
      </c>
      <c r="AI451">
        <v>0</v>
      </c>
      <c r="AJ451">
        <v>192.15</v>
      </c>
      <c r="AM451" t="s">
        <v>3248</v>
      </c>
      <c r="AN451">
        <v>24000</v>
      </c>
    </row>
    <row r="452" spans="1:41">
      <c r="A452" s="1">
        <f>HYPERLINK("https://lsnyc.legalserver.org/matter/dynamic-profile/view/1905964","19-1905964")</f>
        <v>0</v>
      </c>
      <c r="B452" t="s">
        <v>94</v>
      </c>
      <c r="C452" t="s">
        <v>186</v>
      </c>
      <c r="D452" t="s">
        <v>143</v>
      </c>
      <c r="E452" t="s">
        <v>599</v>
      </c>
      <c r="F452" t="s">
        <v>1027</v>
      </c>
      <c r="G452" t="s">
        <v>1474</v>
      </c>
      <c r="H452" t="s">
        <v>1576</v>
      </c>
      <c r="I452" t="s">
        <v>1754</v>
      </c>
      <c r="J452">
        <v>10030</v>
      </c>
      <c r="K452" t="s">
        <v>1779</v>
      </c>
      <c r="L452" t="s">
        <v>1781</v>
      </c>
      <c r="M452" t="s">
        <v>1782</v>
      </c>
      <c r="N452" t="s">
        <v>1996</v>
      </c>
      <c r="O452" t="s">
        <v>2029</v>
      </c>
      <c r="P452" t="s">
        <v>2050</v>
      </c>
      <c r="Q452" t="s">
        <v>2057</v>
      </c>
      <c r="R452" t="s">
        <v>2062</v>
      </c>
      <c r="S452" t="s">
        <v>1780</v>
      </c>
      <c r="T452" t="s">
        <v>2065</v>
      </c>
      <c r="V452" t="s">
        <v>186</v>
      </c>
      <c r="W452">
        <v>1130</v>
      </c>
      <c r="X452" t="s">
        <v>2091</v>
      </c>
      <c r="Y452" t="s">
        <v>2100</v>
      </c>
      <c r="Z452" t="s">
        <v>2110</v>
      </c>
      <c r="AA452" t="s">
        <v>2549</v>
      </c>
      <c r="AC452" t="s">
        <v>3123</v>
      </c>
      <c r="AD452">
        <v>17</v>
      </c>
      <c r="AE452" t="s">
        <v>3223</v>
      </c>
      <c r="AF452" t="s">
        <v>1783</v>
      </c>
      <c r="AG452">
        <v>10</v>
      </c>
      <c r="AH452">
        <v>1</v>
      </c>
      <c r="AI452">
        <v>0</v>
      </c>
      <c r="AJ452">
        <v>192.15</v>
      </c>
      <c r="AM452" t="s">
        <v>3248</v>
      </c>
      <c r="AN452">
        <v>24000</v>
      </c>
    </row>
    <row r="453" spans="1:41">
      <c r="A453" s="1">
        <f>HYPERLINK("https://lsnyc.legalserver.org/matter/dynamic-profile/view/1905259","19-1905259")</f>
        <v>0</v>
      </c>
      <c r="B453" t="s">
        <v>63</v>
      </c>
      <c r="C453" t="s">
        <v>167</v>
      </c>
      <c r="D453" t="s">
        <v>146</v>
      </c>
      <c r="E453" t="s">
        <v>600</v>
      </c>
      <c r="F453" t="s">
        <v>1028</v>
      </c>
      <c r="G453" t="s">
        <v>1475</v>
      </c>
      <c r="H453" t="s">
        <v>1676</v>
      </c>
      <c r="I453" t="s">
        <v>1752</v>
      </c>
      <c r="J453">
        <v>10452</v>
      </c>
      <c r="K453" t="s">
        <v>1779</v>
      </c>
      <c r="L453" t="s">
        <v>1781</v>
      </c>
      <c r="M453" t="s">
        <v>1782</v>
      </c>
      <c r="O453" t="s">
        <v>2035</v>
      </c>
      <c r="P453" t="s">
        <v>2055</v>
      </c>
      <c r="Q453" t="s">
        <v>2059</v>
      </c>
      <c r="R453" t="s">
        <v>2062</v>
      </c>
      <c r="S453" t="s">
        <v>1780</v>
      </c>
      <c r="T453" t="s">
        <v>2065</v>
      </c>
      <c r="U453" t="s">
        <v>2073</v>
      </c>
      <c r="V453" t="s">
        <v>161</v>
      </c>
      <c r="W453">
        <v>1085</v>
      </c>
      <c r="X453" t="s">
        <v>2089</v>
      </c>
      <c r="Y453" t="s">
        <v>2101</v>
      </c>
      <c r="Z453" t="s">
        <v>2116</v>
      </c>
      <c r="AA453" t="s">
        <v>2132</v>
      </c>
      <c r="AC453" t="s">
        <v>3124</v>
      </c>
      <c r="AD453">
        <v>39</v>
      </c>
      <c r="AE453" t="s">
        <v>3223</v>
      </c>
      <c r="AF453" t="s">
        <v>1783</v>
      </c>
      <c r="AG453">
        <v>20</v>
      </c>
      <c r="AH453">
        <v>1</v>
      </c>
      <c r="AI453">
        <v>0</v>
      </c>
      <c r="AJ453">
        <v>195.11</v>
      </c>
      <c r="AM453" t="s">
        <v>3248</v>
      </c>
      <c r="AN453">
        <v>24369</v>
      </c>
    </row>
    <row r="454" spans="1:41">
      <c r="A454" s="1">
        <f>HYPERLINK("https://lsnyc.legalserver.org/matter/dynamic-profile/view/1903879","19-1903879")</f>
        <v>0</v>
      </c>
      <c r="B454" t="s">
        <v>108</v>
      </c>
      <c r="C454" t="s">
        <v>168</v>
      </c>
      <c r="D454" t="s">
        <v>134</v>
      </c>
      <c r="E454" t="s">
        <v>351</v>
      </c>
      <c r="F454" t="s">
        <v>1029</v>
      </c>
      <c r="G454" t="s">
        <v>1476</v>
      </c>
      <c r="H454" t="s">
        <v>1712</v>
      </c>
      <c r="I454" t="s">
        <v>1749</v>
      </c>
      <c r="J454">
        <v>11210</v>
      </c>
      <c r="K454" t="s">
        <v>1779</v>
      </c>
      <c r="L454" t="s">
        <v>1781</v>
      </c>
      <c r="M454" t="s">
        <v>1782</v>
      </c>
      <c r="O454" t="s">
        <v>2033</v>
      </c>
      <c r="P454" t="s">
        <v>2055</v>
      </c>
      <c r="Q454" t="s">
        <v>2059</v>
      </c>
      <c r="R454" t="s">
        <v>2062</v>
      </c>
      <c r="T454" t="s">
        <v>2065</v>
      </c>
      <c r="V454" t="s">
        <v>168</v>
      </c>
      <c r="W454">
        <v>0</v>
      </c>
      <c r="X454" t="s">
        <v>2088</v>
      </c>
      <c r="Z454" t="s">
        <v>2112</v>
      </c>
      <c r="AA454" t="s">
        <v>2550</v>
      </c>
      <c r="AD454">
        <v>38</v>
      </c>
      <c r="AG454">
        <v>0</v>
      </c>
      <c r="AH454">
        <v>5</v>
      </c>
      <c r="AI454">
        <v>0</v>
      </c>
      <c r="AJ454">
        <v>195.56</v>
      </c>
      <c r="AM454" t="s">
        <v>3248</v>
      </c>
      <c r="AN454">
        <v>59000</v>
      </c>
    </row>
    <row r="455" spans="1:41">
      <c r="A455" s="1">
        <f>HYPERLINK("https://lsnyc.legalserver.org/matter/dynamic-profile/view/1907847","19-1907847")</f>
        <v>0</v>
      </c>
      <c r="B455" t="s">
        <v>125</v>
      </c>
      <c r="C455" t="s">
        <v>208</v>
      </c>
      <c r="E455" t="s">
        <v>505</v>
      </c>
      <c r="F455" t="s">
        <v>1030</v>
      </c>
      <c r="G455" t="s">
        <v>1477</v>
      </c>
      <c r="H455" t="s">
        <v>1713</v>
      </c>
      <c r="I455" t="s">
        <v>1752</v>
      </c>
      <c r="J455">
        <v>10472</v>
      </c>
      <c r="K455" t="s">
        <v>1779</v>
      </c>
      <c r="L455" t="s">
        <v>1781</v>
      </c>
      <c r="M455" t="s">
        <v>1782</v>
      </c>
      <c r="O455" t="s">
        <v>1793</v>
      </c>
      <c r="P455" t="s">
        <v>2050</v>
      </c>
      <c r="R455" t="s">
        <v>2062</v>
      </c>
      <c r="S455" t="s">
        <v>1780</v>
      </c>
      <c r="T455" t="s">
        <v>2065</v>
      </c>
      <c r="V455" t="s">
        <v>180</v>
      </c>
      <c r="W455">
        <v>1908</v>
      </c>
      <c r="X455" t="s">
        <v>2089</v>
      </c>
      <c r="Y455" t="s">
        <v>2100</v>
      </c>
      <c r="AA455" t="s">
        <v>2551</v>
      </c>
      <c r="AC455" t="s">
        <v>3125</v>
      </c>
      <c r="AD455">
        <v>0</v>
      </c>
      <c r="AE455" t="s">
        <v>3223</v>
      </c>
      <c r="AF455" t="s">
        <v>1783</v>
      </c>
      <c r="AG455">
        <v>7</v>
      </c>
      <c r="AH455">
        <v>2</v>
      </c>
      <c r="AI455">
        <v>3</v>
      </c>
      <c r="AJ455">
        <v>198.87</v>
      </c>
      <c r="AM455" t="s">
        <v>3248</v>
      </c>
      <c r="AN455">
        <v>60000</v>
      </c>
    </row>
    <row r="456" spans="1:41">
      <c r="A456" s="1">
        <f>HYPERLINK("https://lsnyc.legalserver.org/matter/dynamic-profile/view/1909594","19-1909594")</f>
        <v>0</v>
      </c>
      <c r="B456" t="s">
        <v>67</v>
      </c>
      <c r="C456" t="s">
        <v>202</v>
      </c>
      <c r="E456" t="s">
        <v>601</v>
      </c>
      <c r="F456" t="s">
        <v>1031</v>
      </c>
      <c r="G456" t="s">
        <v>1478</v>
      </c>
      <c r="I456" t="s">
        <v>1754</v>
      </c>
      <c r="J456">
        <v>10032</v>
      </c>
      <c r="K456" t="s">
        <v>1779</v>
      </c>
      <c r="L456" t="s">
        <v>1781</v>
      </c>
      <c r="M456" t="s">
        <v>1782</v>
      </c>
      <c r="O456" t="s">
        <v>2034</v>
      </c>
      <c r="P456" t="s">
        <v>2052</v>
      </c>
      <c r="R456" t="s">
        <v>2062</v>
      </c>
      <c r="S456" t="s">
        <v>1780</v>
      </c>
      <c r="T456" t="s">
        <v>2065</v>
      </c>
      <c r="V456" t="s">
        <v>202</v>
      </c>
      <c r="W456">
        <v>1285</v>
      </c>
      <c r="X456" t="s">
        <v>2091</v>
      </c>
      <c r="Y456" t="s">
        <v>2106</v>
      </c>
      <c r="AA456" t="s">
        <v>2552</v>
      </c>
      <c r="AC456" t="s">
        <v>3126</v>
      </c>
      <c r="AD456">
        <v>4</v>
      </c>
      <c r="AE456" t="s">
        <v>3223</v>
      </c>
      <c r="AF456" t="s">
        <v>3236</v>
      </c>
      <c r="AG456">
        <v>3</v>
      </c>
      <c r="AH456">
        <v>2</v>
      </c>
      <c r="AI456">
        <v>0</v>
      </c>
      <c r="AJ456">
        <v>199.27</v>
      </c>
      <c r="AM456" t="s">
        <v>3249</v>
      </c>
      <c r="AN456">
        <v>33696</v>
      </c>
    </row>
    <row r="457" spans="1:41">
      <c r="A457" s="1">
        <f>HYPERLINK("https://lsnyc.legalserver.org/matter/dynamic-profile/view/1891669","19-1891669")</f>
        <v>0</v>
      </c>
      <c r="B457" t="s">
        <v>72</v>
      </c>
      <c r="C457" t="s">
        <v>235</v>
      </c>
      <c r="E457" t="s">
        <v>602</v>
      </c>
      <c r="F457" t="s">
        <v>685</v>
      </c>
      <c r="G457" t="s">
        <v>1479</v>
      </c>
      <c r="H457">
        <v>1</v>
      </c>
      <c r="I457" t="s">
        <v>1745</v>
      </c>
      <c r="J457">
        <v>11691</v>
      </c>
      <c r="K457" t="s">
        <v>1779</v>
      </c>
      <c r="L457" t="s">
        <v>1781</v>
      </c>
      <c r="M457" t="s">
        <v>1782</v>
      </c>
      <c r="N457" t="s">
        <v>1997</v>
      </c>
      <c r="O457" t="s">
        <v>2029</v>
      </c>
      <c r="P457" t="s">
        <v>2051</v>
      </c>
      <c r="R457" t="s">
        <v>2062</v>
      </c>
      <c r="S457" t="s">
        <v>1780</v>
      </c>
      <c r="T457" t="s">
        <v>2065</v>
      </c>
      <c r="U457" t="s">
        <v>2073</v>
      </c>
      <c r="V457" t="s">
        <v>2084</v>
      </c>
      <c r="W457">
        <v>1475</v>
      </c>
      <c r="X457" t="s">
        <v>2087</v>
      </c>
      <c r="Y457" t="s">
        <v>2108</v>
      </c>
      <c r="AA457" t="s">
        <v>2553</v>
      </c>
      <c r="AB457" t="s">
        <v>2712</v>
      </c>
      <c r="AC457" t="s">
        <v>3127</v>
      </c>
      <c r="AD457">
        <v>3</v>
      </c>
      <c r="AE457" t="s">
        <v>3223</v>
      </c>
      <c r="AF457" t="s">
        <v>3236</v>
      </c>
      <c r="AG457">
        <v>9</v>
      </c>
      <c r="AH457">
        <v>1</v>
      </c>
      <c r="AI457">
        <v>0</v>
      </c>
      <c r="AJ457">
        <v>199.84</v>
      </c>
      <c r="AM457" t="s">
        <v>3248</v>
      </c>
      <c r="AN457">
        <v>24960</v>
      </c>
    </row>
    <row r="458" spans="1:41">
      <c r="A458" s="1">
        <f>HYPERLINK("https://lsnyc.legalserver.org/matter/dynamic-profile/view/1903502","19-1903502")</f>
        <v>0</v>
      </c>
      <c r="B458" t="s">
        <v>114</v>
      </c>
      <c r="C458" t="s">
        <v>207</v>
      </c>
      <c r="E458" t="s">
        <v>527</v>
      </c>
      <c r="F458" t="s">
        <v>770</v>
      </c>
      <c r="G458" t="s">
        <v>1480</v>
      </c>
      <c r="H458" t="s">
        <v>1659</v>
      </c>
      <c r="I458" t="s">
        <v>1752</v>
      </c>
      <c r="J458">
        <v>10453</v>
      </c>
      <c r="K458" t="s">
        <v>1779</v>
      </c>
      <c r="L458" t="s">
        <v>1781</v>
      </c>
      <c r="M458" t="s">
        <v>1782</v>
      </c>
      <c r="N458" t="s">
        <v>1998</v>
      </c>
      <c r="O458" t="s">
        <v>2029</v>
      </c>
      <c r="P458" t="s">
        <v>2051</v>
      </c>
      <c r="R458" t="s">
        <v>2062</v>
      </c>
      <c r="S458" t="s">
        <v>1780</v>
      </c>
      <c r="T458" t="s">
        <v>2065</v>
      </c>
      <c r="U458" t="s">
        <v>2073</v>
      </c>
      <c r="V458" t="s">
        <v>161</v>
      </c>
      <c r="W458">
        <v>825</v>
      </c>
      <c r="X458" t="s">
        <v>2089</v>
      </c>
      <c r="Y458" t="s">
        <v>2094</v>
      </c>
      <c r="AA458" t="s">
        <v>2554</v>
      </c>
      <c r="AC458" t="s">
        <v>3128</v>
      </c>
      <c r="AD458">
        <v>25</v>
      </c>
      <c r="AE458" t="s">
        <v>3223</v>
      </c>
      <c r="AF458" t="s">
        <v>1783</v>
      </c>
      <c r="AG458">
        <v>19</v>
      </c>
      <c r="AH458">
        <v>1</v>
      </c>
      <c r="AI458">
        <v>0</v>
      </c>
      <c r="AJ458">
        <v>199.84</v>
      </c>
      <c r="AM458" t="s">
        <v>3248</v>
      </c>
      <c r="AN458">
        <v>24960</v>
      </c>
    </row>
    <row r="459" spans="1:41">
      <c r="A459" s="1">
        <f>HYPERLINK("https://lsnyc.legalserver.org/matter/dynamic-profile/view/1908034","19-1908034")</f>
        <v>0</v>
      </c>
      <c r="B459" t="s">
        <v>123</v>
      </c>
      <c r="C459" t="s">
        <v>171</v>
      </c>
      <c r="E459" t="s">
        <v>603</v>
      </c>
      <c r="F459" t="s">
        <v>787</v>
      </c>
      <c r="G459" t="s">
        <v>1481</v>
      </c>
      <c r="H459" t="s">
        <v>1667</v>
      </c>
      <c r="I459" t="s">
        <v>1754</v>
      </c>
      <c r="J459">
        <v>10034</v>
      </c>
      <c r="K459" t="s">
        <v>1779</v>
      </c>
      <c r="L459" t="s">
        <v>1781</v>
      </c>
      <c r="M459" t="s">
        <v>1782</v>
      </c>
      <c r="N459" t="s">
        <v>1999</v>
      </c>
      <c r="O459" t="s">
        <v>2029</v>
      </c>
      <c r="P459" t="s">
        <v>2052</v>
      </c>
      <c r="R459" t="s">
        <v>2062</v>
      </c>
      <c r="S459" t="s">
        <v>1780</v>
      </c>
      <c r="T459" t="s">
        <v>2065</v>
      </c>
      <c r="V459" t="s">
        <v>171</v>
      </c>
      <c r="W459">
        <v>1000</v>
      </c>
      <c r="X459" t="s">
        <v>2091</v>
      </c>
      <c r="Y459" t="s">
        <v>2092</v>
      </c>
      <c r="AA459" t="s">
        <v>2555</v>
      </c>
      <c r="AC459" t="s">
        <v>3129</v>
      </c>
      <c r="AD459">
        <v>70</v>
      </c>
      <c r="AE459" t="s">
        <v>3223</v>
      </c>
      <c r="AF459" t="s">
        <v>1783</v>
      </c>
      <c r="AG459">
        <v>8</v>
      </c>
      <c r="AH459">
        <v>5</v>
      </c>
      <c r="AI459">
        <v>0</v>
      </c>
      <c r="AJ459">
        <v>199.93</v>
      </c>
      <c r="AM459" t="s">
        <v>3249</v>
      </c>
      <c r="AN459">
        <v>60320</v>
      </c>
    </row>
    <row r="460" spans="1:41">
      <c r="A460" s="1">
        <f>HYPERLINK("https://lsnyc.legalserver.org/matter/dynamic-profile/view/1909942","19-1909942")</f>
        <v>0</v>
      </c>
      <c r="B460" t="s">
        <v>130</v>
      </c>
      <c r="C460" t="s">
        <v>180</v>
      </c>
      <c r="E460" t="s">
        <v>604</v>
      </c>
      <c r="F460" t="s">
        <v>1032</v>
      </c>
      <c r="G460" t="s">
        <v>1482</v>
      </c>
      <c r="I460" t="s">
        <v>1753</v>
      </c>
      <c r="J460">
        <v>10310</v>
      </c>
      <c r="K460" t="s">
        <v>1779</v>
      </c>
      <c r="L460" t="s">
        <v>1781</v>
      </c>
      <c r="M460" t="s">
        <v>1782</v>
      </c>
      <c r="O460" t="s">
        <v>2030</v>
      </c>
      <c r="P460" t="s">
        <v>2050</v>
      </c>
      <c r="R460" t="s">
        <v>2063</v>
      </c>
      <c r="S460" t="s">
        <v>2064</v>
      </c>
      <c r="T460" t="s">
        <v>2065</v>
      </c>
      <c r="U460" t="s">
        <v>2073</v>
      </c>
      <c r="V460" t="s">
        <v>232</v>
      </c>
      <c r="W460">
        <v>1500</v>
      </c>
      <c r="X460" t="s">
        <v>2090</v>
      </c>
      <c r="Y460" t="s">
        <v>2093</v>
      </c>
      <c r="AA460" t="s">
        <v>2556</v>
      </c>
      <c r="AC460" t="s">
        <v>3130</v>
      </c>
      <c r="AD460">
        <v>0</v>
      </c>
      <c r="AF460" t="s">
        <v>3239</v>
      </c>
      <c r="AG460">
        <v>0</v>
      </c>
      <c r="AH460">
        <v>1</v>
      </c>
      <c r="AI460">
        <v>0</v>
      </c>
      <c r="AJ460">
        <v>200.16</v>
      </c>
      <c r="AM460" t="s">
        <v>3248</v>
      </c>
      <c r="AN460">
        <v>25000</v>
      </c>
    </row>
    <row r="461" spans="1:41">
      <c r="A461" s="1">
        <f>HYPERLINK("https://lsnyc.legalserver.org/matter/dynamic-profile/view/1905662","19-1905662")</f>
        <v>0</v>
      </c>
      <c r="B461" t="s">
        <v>95</v>
      </c>
      <c r="C461" t="s">
        <v>154</v>
      </c>
      <c r="E461" t="s">
        <v>605</v>
      </c>
      <c r="F461" t="s">
        <v>1033</v>
      </c>
      <c r="G461" t="s">
        <v>1483</v>
      </c>
      <c r="H461" t="s">
        <v>1714</v>
      </c>
      <c r="I461" t="s">
        <v>1753</v>
      </c>
      <c r="J461">
        <v>10304</v>
      </c>
      <c r="K461" t="s">
        <v>1779</v>
      </c>
      <c r="L461" t="s">
        <v>1781</v>
      </c>
      <c r="M461" t="s">
        <v>1782</v>
      </c>
      <c r="N461" t="s">
        <v>2000</v>
      </c>
      <c r="O461" t="s">
        <v>2030</v>
      </c>
      <c r="P461" t="s">
        <v>2051</v>
      </c>
      <c r="R461" t="s">
        <v>2062</v>
      </c>
      <c r="S461" t="s">
        <v>1780</v>
      </c>
      <c r="T461" t="s">
        <v>2065</v>
      </c>
      <c r="U461" t="s">
        <v>2073</v>
      </c>
      <c r="V461" t="s">
        <v>165</v>
      </c>
      <c r="W461">
        <v>583</v>
      </c>
      <c r="X461" t="s">
        <v>2090</v>
      </c>
      <c r="Y461" t="s">
        <v>2102</v>
      </c>
      <c r="AA461" t="s">
        <v>2557</v>
      </c>
      <c r="AC461" t="s">
        <v>3131</v>
      </c>
      <c r="AD461">
        <v>134</v>
      </c>
      <c r="AG461">
        <v>4</v>
      </c>
      <c r="AH461">
        <v>1</v>
      </c>
      <c r="AI461">
        <v>0</v>
      </c>
      <c r="AJ461">
        <v>200.16</v>
      </c>
      <c r="AM461" t="s">
        <v>3248</v>
      </c>
      <c r="AN461">
        <v>25000</v>
      </c>
    </row>
    <row r="462" spans="1:41">
      <c r="A462" s="1">
        <f>HYPERLINK("https://lsnyc.legalserver.org/matter/dynamic-profile/view/1909441","19-1909441")</f>
        <v>0</v>
      </c>
      <c r="B462" t="s">
        <v>85</v>
      </c>
      <c r="C462" t="s">
        <v>164</v>
      </c>
      <c r="E462" t="s">
        <v>606</v>
      </c>
      <c r="F462" t="s">
        <v>1034</v>
      </c>
      <c r="G462" t="s">
        <v>1484</v>
      </c>
      <c r="H462">
        <v>2</v>
      </c>
      <c r="I462" t="s">
        <v>1753</v>
      </c>
      <c r="J462">
        <v>10306</v>
      </c>
      <c r="K462" t="s">
        <v>1779</v>
      </c>
      <c r="L462" t="s">
        <v>1781</v>
      </c>
      <c r="M462" t="s">
        <v>1782</v>
      </c>
      <c r="N462" t="s">
        <v>1786</v>
      </c>
      <c r="O462" t="s">
        <v>1793</v>
      </c>
      <c r="P462" t="s">
        <v>2052</v>
      </c>
      <c r="R462" t="s">
        <v>2063</v>
      </c>
      <c r="S462" t="s">
        <v>1780</v>
      </c>
      <c r="T462" t="s">
        <v>2065</v>
      </c>
      <c r="U462" t="s">
        <v>2073</v>
      </c>
      <c r="V462" t="s">
        <v>164</v>
      </c>
      <c r="W462">
        <v>0</v>
      </c>
      <c r="X462" t="s">
        <v>2090</v>
      </c>
      <c r="Y462" t="s">
        <v>2093</v>
      </c>
      <c r="AA462" t="s">
        <v>2558</v>
      </c>
      <c r="AC462" t="s">
        <v>3132</v>
      </c>
      <c r="AD462">
        <v>2</v>
      </c>
      <c r="AF462" t="s">
        <v>1783</v>
      </c>
      <c r="AG462">
        <v>2</v>
      </c>
      <c r="AH462">
        <v>2</v>
      </c>
      <c r="AI462">
        <v>1</v>
      </c>
      <c r="AJ462">
        <v>200.79</v>
      </c>
      <c r="AK462" t="s">
        <v>3244</v>
      </c>
      <c r="AL462" t="s">
        <v>3245</v>
      </c>
      <c r="AM462" t="s">
        <v>3249</v>
      </c>
      <c r="AN462">
        <v>42828</v>
      </c>
    </row>
    <row r="463" spans="1:41">
      <c r="A463" s="1">
        <f>HYPERLINK("https://lsnyc.legalserver.org/matter/dynamic-profile/view/1908622","19-1908622")</f>
        <v>0</v>
      </c>
      <c r="B463" t="s">
        <v>69</v>
      </c>
      <c r="C463" t="s">
        <v>182</v>
      </c>
      <c r="E463" t="s">
        <v>607</v>
      </c>
      <c r="F463" t="s">
        <v>863</v>
      </c>
      <c r="G463" t="s">
        <v>1485</v>
      </c>
      <c r="H463" t="s">
        <v>1635</v>
      </c>
      <c r="I463" t="s">
        <v>1749</v>
      </c>
      <c r="J463">
        <v>11208</v>
      </c>
      <c r="K463" t="s">
        <v>1779</v>
      </c>
      <c r="L463" t="s">
        <v>1781</v>
      </c>
      <c r="M463" t="s">
        <v>1782</v>
      </c>
      <c r="N463" t="s">
        <v>2001</v>
      </c>
      <c r="O463" t="s">
        <v>2029</v>
      </c>
      <c r="P463" t="s">
        <v>2050</v>
      </c>
      <c r="R463" t="s">
        <v>2062</v>
      </c>
      <c r="S463" t="s">
        <v>1780</v>
      </c>
      <c r="T463" t="s">
        <v>2065</v>
      </c>
      <c r="U463" t="s">
        <v>2073</v>
      </c>
      <c r="V463" t="s">
        <v>149</v>
      </c>
      <c r="W463">
        <v>0</v>
      </c>
      <c r="X463" t="s">
        <v>2088</v>
      </c>
      <c r="Y463" t="s">
        <v>2094</v>
      </c>
      <c r="AA463" t="s">
        <v>2559</v>
      </c>
      <c r="AB463" t="s">
        <v>1783</v>
      </c>
      <c r="AC463" t="s">
        <v>3133</v>
      </c>
      <c r="AD463">
        <v>24</v>
      </c>
      <c r="AF463" t="s">
        <v>1783</v>
      </c>
      <c r="AG463">
        <v>0</v>
      </c>
      <c r="AH463">
        <v>2</v>
      </c>
      <c r="AI463">
        <v>0</v>
      </c>
      <c r="AJ463">
        <v>201.06</v>
      </c>
      <c r="AM463" t="s">
        <v>3248</v>
      </c>
      <c r="AN463">
        <v>34000</v>
      </c>
    </row>
    <row r="464" spans="1:41">
      <c r="A464" s="1">
        <f>HYPERLINK("https://lsnyc.legalserver.org/matter/dynamic-profile/view/1909087","19-1909087")</f>
        <v>0</v>
      </c>
      <c r="B464" t="s">
        <v>52</v>
      </c>
      <c r="C464" t="s">
        <v>178</v>
      </c>
      <c r="E464" t="s">
        <v>608</v>
      </c>
      <c r="F464" t="s">
        <v>1035</v>
      </c>
      <c r="G464" t="s">
        <v>1375</v>
      </c>
      <c r="H464" t="s">
        <v>1576</v>
      </c>
      <c r="I464" t="s">
        <v>1749</v>
      </c>
      <c r="J464">
        <v>11233</v>
      </c>
      <c r="K464" t="s">
        <v>1779</v>
      </c>
      <c r="L464" t="s">
        <v>1781</v>
      </c>
      <c r="M464" t="s">
        <v>1783</v>
      </c>
      <c r="N464" t="s">
        <v>1791</v>
      </c>
      <c r="O464" t="s">
        <v>2032</v>
      </c>
      <c r="P464" t="s">
        <v>2053</v>
      </c>
      <c r="R464" t="s">
        <v>2062</v>
      </c>
      <c r="S464" t="s">
        <v>1779</v>
      </c>
      <c r="T464" t="s">
        <v>2065</v>
      </c>
      <c r="U464" t="s">
        <v>2073</v>
      </c>
      <c r="V464" t="s">
        <v>2079</v>
      </c>
      <c r="W464">
        <v>840.39</v>
      </c>
      <c r="X464" t="s">
        <v>2088</v>
      </c>
      <c r="Y464" t="s">
        <v>2094</v>
      </c>
      <c r="AA464" t="s">
        <v>2560</v>
      </c>
      <c r="AD464">
        <v>1107</v>
      </c>
      <c r="AE464" t="s">
        <v>3223</v>
      </c>
      <c r="AF464" t="s">
        <v>1783</v>
      </c>
      <c r="AG464">
        <v>8</v>
      </c>
      <c r="AH464">
        <v>2</v>
      </c>
      <c r="AI464">
        <v>1</v>
      </c>
      <c r="AJ464">
        <v>201.59</v>
      </c>
      <c r="AM464" t="s">
        <v>3248</v>
      </c>
      <c r="AN464">
        <v>43000</v>
      </c>
      <c r="AO464" t="s">
        <v>3276</v>
      </c>
    </row>
    <row r="465" spans="1:45">
      <c r="A465" s="1">
        <f>HYPERLINK("https://lsnyc.legalserver.org/matter/dynamic-profile/view/1908589","19-1908589")</f>
        <v>0</v>
      </c>
      <c r="B465" t="s">
        <v>103</v>
      </c>
      <c r="C465" t="s">
        <v>182</v>
      </c>
      <c r="E465" t="s">
        <v>609</v>
      </c>
      <c r="F465" t="s">
        <v>828</v>
      </c>
      <c r="G465" t="s">
        <v>1263</v>
      </c>
      <c r="H465" t="s">
        <v>1595</v>
      </c>
      <c r="I465" t="s">
        <v>1754</v>
      </c>
      <c r="J465">
        <v>10035</v>
      </c>
      <c r="K465" t="s">
        <v>1779</v>
      </c>
      <c r="L465" t="s">
        <v>1781</v>
      </c>
      <c r="M465" t="s">
        <v>1782</v>
      </c>
      <c r="N465" t="s">
        <v>2002</v>
      </c>
      <c r="O465" t="s">
        <v>2030</v>
      </c>
      <c r="P465" t="s">
        <v>2051</v>
      </c>
      <c r="R465" t="s">
        <v>2062</v>
      </c>
      <c r="S465" t="s">
        <v>1780</v>
      </c>
      <c r="T465" t="s">
        <v>2065</v>
      </c>
      <c r="U465" t="s">
        <v>2073</v>
      </c>
      <c r="V465" t="s">
        <v>154</v>
      </c>
      <c r="W465">
        <v>1794</v>
      </c>
      <c r="X465" t="s">
        <v>2091</v>
      </c>
      <c r="Y465" t="s">
        <v>2096</v>
      </c>
      <c r="AA465" t="s">
        <v>2561</v>
      </c>
      <c r="AC465" t="s">
        <v>3134</v>
      </c>
      <c r="AD465">
        <v>72</v>
      </c>
      <c r="AE465" t="s">
        <v>3223</v>
      </c>
      <c r="AF465" t="s">
        <v>3236</v>
      </c>
      <c r="AG465">
        <v>11</v>
      </c>
      <c r="AH465">
        <v>4</v>
      </c>
      <c r="AI465">
        <v>0</v>
      </c>
      <c r="AJ465">
        <v>202.73</v>
      </c>
      <c r="AM465" t="s">
        <v>3248</v>
      </c>
      <c r="AN465">
        <v>52204</v>
      </c>
    </row>
    <row r="466" spans="1:45">
      <c r="A466" s="1">
        <f>HYPERLINK("https://lsnyc.legalserver.org/matter/dynamic-profile/view/1909432","19-1909432")</f>
        <v>0</v>
      </c>
      <c r="B466" t="s">
        <v>110</v>
      </c>
      <c r="C466" t="s">
        <v>164</v>
      </c>
      <c r="E466" t="s">
        <v>610</v>
      </c>
      <c r="F466" t="s">
        <v>1036</v>
      </c>
      <c r="G466" t="s">
        <v>1242</v>
      </c>
      <c r="H466" t="s">
        <v>1644</v>
      </c>
      <c r="I466" t="s">
        <v>1754</v>
      </c>
      <c r="J466">
        <v>10040</v>
      </c>
      <c r="K466" t="s">
        <v>1779</v>
      </c>
      <c r="L466" t="s">
        <v>1781</v>
      </c>
      <c r="M466" t="s">
        <v>1782</v>
      </c>
      <c r="O466" t="s">
        <v>2031</v>
      </c>
      <c r="P466" t="s">
        <v>2051</v>
      </c>
      <c r="R466" t="s">
        <v>2062</v>
      </c>
      <c r="S466" t="s">
        <v>1779</v>
      </c>
      <c r="T466" t="s">
        <v>2065</v>
      </c>
      <c r="V466" t="s">
        <v>2085</v>
      </c>
      <c r="W466">
        <v>1200</v>
      </c>
      <c r="X466" t="s">
        <v>2091</v>
      </c>
      <c r="Y466" t="s">
        <v>2099</v>
      </c>
      <c r="AA466" t="s">
        <v>2562</v>
      </c>
      <c r="AC466" t="s">
        <v>3135</v>
      </c>
      <c r="AD466">
        <v>77</v>
      </c>
      <c r="AE466" t="s">
        <v>3222</v>
      </c>
      <c r="AF466" t="s">
        <v>1783</v>
      </c>
      <c r="AG466">
        <v>8</v>
      </c>
      <c r="AH466">
        <v>1</v>
      </c>
      <c r="AI466">
        <v>0</v>
      </c>
      <c r="AJ466">
        <v>205.6</v>
      </c>
      <c r="AM466" t="s">
        <v>3248</v>
      </c>
      <c r="AN466">
        <v>25680</v>
      </c>
    </row>
    <row r="467" spans="1:45">
      <c r="A467" s="1">
        <f>HYPERLINK("https://lsnyc.legalserver.org/matter/dynamic-profile/view/1903861","19-1903861")</f>
        <v>0</v>
      </c>
      <c r="B467" t="s">
        <v>45</v>
      </c>
      <c r="C467" t="s">
        <v>168</v>
      </c>
      <c r="D467" t="s">
        <v>144</v>
      </c>
      <c r="E467" t="s">
        <v>284</v>
      </c>
      <c r="F467" t="s">
        <v>1037</v>
      </c>
      <c r="G467" t="s">
        <v>1486</v>
      </c>
      <c r="I467" t="s">
        <v>1745</v>
      </c>
      <c r="J467">
        <v>11691</v>
      </c>
      <c r="K467" t="s">
        <v>1779</v>
      </c>
      <c r="L467" t="s">
        <v>1781</v>
      </c>
      <c r="M467" t="s">
        <v>1782</v>
      </c>
      <c r="N467" t="s">
        <v>1786</v>
      </c>
      <c r="O467" t="s">
        <v>2029</v>
      </c>
      <c r="P467" t="s">
        <v>2050</v>
      </c>
      <c r="Q467" t="s">
        <v>2057</v>
      </c>
      <c r="R467" t="s">
        <v>2062</v>
      </c>
      <c r="S467" t="s">
        <v>1780</v>
      </c>
      <c r="T467" t="s">
        <v>2065</v>
      </c>
      <c r="U467" t="s">
        <v>2073</v>
      </c>
      <c r="V467" t="s">
        <v>165</v>
      </c>
      <c r="W467">
        <v>1300</v>
      </c>
      <c r="X467" t="s">
        <v>2087</v>
      </c>
      <c r="Y467" t="s">
        <v>2099</v>
      </c>
      <c r="Z467" t="s">
        <v>2110</v>
      </c>
      <c r="AA467" t="s">
        <v>2563</v>
      </c>
      <c r="AB467" t="s">
        <v>1783</v>
      </c>
      <c r="AC467" t="s">
        <v>2712</v>
      </c>
      <c r="AD467">
        <v>2</v>
      </c>
      <c r="AE467" t="s">
        <v>3222</v>
      </c>
      <c r="AF467" t="s">
        <v>1783</v>
      </c>
      <c r="AG467">
        <v>-1</v>
      </c>
      <c r="AH467">
        <v>1</v>
      </c>
      <c r="AI467">
        <v>1</v>
      </c>
      <c r="AJ467">
        <v>206.98</v>
      </c>
      <c r="AM467" t="s">
        <v>3248</v>
      </c>
      <c r="AN467">
        <v>35000</v>
      </c>
      <c r="AQ467" t="s">
        <v>2094</v>
      </c>
      <c r="AS467" t="s">
        <v>3311</v>
      </c>
    </row>
    <row r="468" spans="1:45">
      <c r="A468" s="1">
        <f>HYPERLINK("https://lsnyc.legalserver.org/matter/dynamic-profile/view/1908943","19-1908943")</f>
        <v>0</v>
      </c>
      <c r="B468" t="s">
        <v>55</v>
      </c>
      <c r="C468" t="s">
        <v>196</v>
      </c>
      <c r="E468" t="s">
        <v>611</v>
      </c>
      <c r="F468" t="s">
        <v>855</v>
      </c>
      <c r="G468" t="s">
        <v>1487</v>
      </c>
      <c r="H468">
        <v>2</v>
      </c>
      <c r="I468" t="s">
        <v>1749</v>
      </c>
      <c r="J468">
        <v>11207</v>
      </c>
      <c r="K468" t="s">
        <v>1779</v>
      </c>
      <c r="L468" t="s">
        <v>1781</v>
      </c>
      <c r="M468" t="s">
        <v>1782</v>
      </c>
      <c r="N468" t="s">
        <v>1803</v>
      </c>
      <c r="O468" t="s">
        <v>2029</v>
      </c>
      <c r="P468" t="s">
        <v>2051</v>
      </c>
      <c r="R468" t="s">
        <v>2062</v>
      </c>
      <c r="S468" t="s">
        <v>1780</v>
      </c>
      <c r="T468" t="s">
        <v>2065</v>
      </c>
      <c r="V468" t="s">
        <v>238</v>
      </c>
      <c r="W468">
        <v>1000</v>
      </c>
      <c r="X468" t="s">
        <v>2088</v>
      </c>
      <c r="Y468" t="s">
        <v>2099</v>
      </c>
      <c r="AA468" t="s">
        <v>2564</v>
      </c>
      <c r="AD468">
        <v>3</v>
      </c>
      <c r="AE468" t="s">
        <v>3222</v>
      </c>
      <c r="AF468" t="s">
        <v>1783</v>
      </c>
      <c r="AG468">
        <v>2</v>
      </c>
      <c r="AH468">
        <v>2</v>
      </c>
      <c r="AI468">
        <v>0</v>
      </c>
      <c r="AJ468">
        <v>206.98</v>
      </c>
      <c r="AM468" t="s">
        <v>3248</v>
      </c>
      <c r="AN468">
        <v>35000</v>
      </c>
    </row>
    <row r="469" spans="1:45">
      <c r="A469" s="1">
        <f>HYPERLINK("https://lsnyc.legalserver.org/matter/dynamic-profile/view/1908706","19-1908706")</f>
        <v>0</v>
      </c>
      <c r="B469" t="s">
        <v>66</v>
      </c>
      <c r="C469" t="s">
        <v>174</v>
      </c>
      <c r="D469" t="s">
        <v>188</v>
      </c>
      <c r="E469" t="s">
        <v>612</v>
      </c>
      <c r="F469" t="s">
        <v>872</v>
      </c>
      <c r="G469" t="s">
        <v>1488</v>
      </c>
      <c r="H469" t="s">
        <v>1552</v>
      </c>
      <c r="I469" t="s">
        <v>1754</v>
      </c>
      <c r="J469">
        <v>10034</v>
      </c>
      <c r="K469" t="s">
        <v>1779</v>
      </c>
      <c r="L469" t="s">
        <v>1781</v>
      </c>
      <c r="M469" t="s">
        <v>1782</v>
      </c>
      <c r="O469" t="s">
        <v>2029</v>
      </c>
      <c r="P469" t="s">
        <v>2050</v>
      </c>
      <c r="Q469" t="s">
        <v>2057</v>
      </c>
      <c r="R469" t="s">
        <v>2062</v>
      </c>
      <c r="S469" t="s">
        <v>1780</v>
      </c>
      <c r="T469" t="s">
        <v>2065</v>
      </c>
      <c r="V469" t="s">
        <v>174</v>
      </c>
      <c r="W469">
        <v>1000</v>
      </c>
      <c r="X469" t="s">
        <v>2091</v>
      </c>
      <c r="Y469" t="s">
        <v>2099</v>
      </c>
      <c r="Z469" t="s">
        <v>2110</v>
      </c>
      <c r="AA469" t="s">
        <v>2565</v>
      </c>
      <c r="AC469" t="s">
        <v>3136</v>
      </c>
      <c r="AD469">
        <v>32</v>
      </c>
      <c r="AE469" t="s">
        <v>3223</v>
      </c>
      <c r="AF469" t="s">
        <v>1783</v>
      </c>
      <c r="AG469">
        <v>28</v>
      </c>
      <c r="AH469">
        <v>1</v>
      </c>
      <c r="AI469">
        <v>0</v>
      </c>
      <c r="AJ469">
        <v>208.17</v>
      </c>
      <c r="AM469" t="s">
        <v>3248</v>
      </c>
      <c r="AN469">
        <v>26000</v>
      </c>
    </row>
    <row r="470" spans="1:45">
      <c r="A470" s="1">
        <f>HYPERLINK("https://lsnyc.legalserver.org/matter/dynamic-profile/view/1909493","19-1909493")</f>
        <v>0</v>
      </c>
      <c r="B470" t="s">
        <v>57</v>
      </c>
      <c r="C470" t="s">
        <v>138</v>
      </c>
      <c r="E470" t="s">
        <v>613</v>
      </c>
      <c r="F470" t="s">
        <v>1038</v>
      </c>
      <c r="G470" t="s">
        <v>1489</v>
      </c>
      <c r="H470" t="s">
        <v>1576</v>
      </c>
      <c r="I470" t="s">
        <v>1749</v>
      </c>
      <c r="J470">
        <v>11207</v>
      </c>
      <c r="K470" t="s">
        <v>1779</v>
      </c>
      <c r="L470" t="s">
        <v>1781</v>
      </c>
      <c r="M470" t="s">
        <v>1782</v>
      </c>
      <c r="N470" t="s">
        <v>1793</v>
      </c>
      <c r="O470" t="s">
        <v>1793</v>
      </c>
      <c r="R470" t="s">
        <v>2062</v>
      </c>
      <c r="S470" t="s">
        <v>1780</v>
      </c>
      <c r="T470" t="s">
        <v>2065</v>
      </c>
      <c r="V470" t="s">
        <v>141</v>
      </c>
      <c r="W470">
        <v>0</v>
      </c>
      <c r="X470" t="s">
        <v>2088</v>
      </c>
      <c r="Y470" t="s">
        <v>2096</v>
      </c>
      <c r="AA470" t="s">
        <v>2566</v>
      </c>
      <c r="AC470" t="s">
        <v>3137</v>
      </c>
      <c r="AD470">
        <v>102</v>
      </c>
      <c r="AE470" t="s">
        <v>3223</v>
      </c>
      <c r="AF470" t="s">
        <v>1783</v>
      </c>
      <c r="AG470">
        <v>0</v>
      </c>
      <c r="AH470">
        <v>2</v>
      </c>
      <c r="AI470">
        <v>0</v>
      </c>
      <c r="AJ470">
        <v>210.55</v>
      </c>
      <c r="AM470" t="s">
        <v>3248</v>
      </c>
      <c r="AN470">
        <v>35604</v>
      </c>
    </row>
    <row r="471" spans="1:45">
      <c r="A471" s="1">
        <f>HYPERLINK("https://lsnyc.legalserver.org/matter/dynamic-profile/view/1906710","19-1906710")</f>
        <v>0</v>
      </c>
      <c r="B471" t="s">
        <v>59</v>
      </c>
      <c r="C471" t="s">
        <v>158</v>
      </c>
      <c r="E471" t="s">
        <v>614</v>
      </c>
      <c r="F471" t="s">
        <v>1039</v>
      </c>
      <c r="G471" t="s">
        <v>1186</v>
      </c>
      <c r="H471" t="s">
        <v>1570</v>
      </c>
      <c r="I471" t="s">
        <v>1749</v>
      </c>
      <c r="J471">
        <v>11225</v>
      </c>
      <c r="K471" t="s">
        <v>1779</v>
      </c>
      <c r="L471" t="s">
        <v>1781</v>
      </c>
      <c r="M471" t="s">
        <v>1782</v>
      </c>
      <c r="O471" t="s">
        <v>2032</v>
      </c>
      <c r="P471" t="s">
        <v>2050</v>
      </c>
      <c r="R471" t="s">
        <v>2062</v>
      </c>
      <c r="S471" t="s">
        <v>1780</v>
      </c>
      <c r="T471" t="s">
        <v>2065</v>
      </c>
      <c r="V471" t="s">
        <v>146</v>
      </c>
      <c r="W471">
        <v>1976.11</v>
      </c>
      <c r="X471" t="s">
        <v>2088</v>
      </c>
      <c r="AA471" t="s">
        <v>2567</v>
      </c>
      <c r="AC471" t="s">
        <v>3138</v>
      </c>
      <c r="AD471">
        <v>11</v>
      </c>
      <c r="AG471">
        <v>6</v>
      </c>
      <c r="AH471">
        <v>2</v>
      </c>
      <c r="AI471">
        <v>1</v>
      </c>
      <c r="AJ471">
        <v>211.25</v>
      </c>
      <c r="AM471" t="s">
        <v>3248</v>
      </c>
      <c r="AN471">
        <v>45060</v>
      </c>
    </row>
    <row r="472" spans="1:45">
      <c r="A472" s="1">
        <f>HYPERLINK("https://lsnyc.legalserver.org/matter/dynamic-profile/view/1906759","19-1906759")</f>
        <v>0</v>
      </c>
      <c r="B472" t="s">
        <v>59</v>
      </c>
      <c r="C472" t="s">
        <v>158</v>
      </c>
      <c r="E472" t="s">
        <v>615</v>
      </c>
      <c r="F472" t="s">
        <v>1040</v>
      </c>
      <c r="G472" t="s">
        <v>1186</v>
      </c>
      <c r="I472" t="s">
        <v>1749</v>
      </c>
      <c r="J472">
        <v>11225</v>
      </c>
      <c r="K472" t="s">
        <v>1779</v>
      </c>
      <c r="L472" t="s">
        <v>1781</v>
      </c>
      <c r="M472" t="s">
        <v>1782</v>
      </c>
      <c r="O472" t="s">
        <v>2035</v>
      </c>
      <c r="P472" t="s">
        <v>2054</v>
      </c>
      <c r="R472" t="s">
        <v>2062</v>
      </c>
      <c r="T472" t="s">
        <v>2065</v>
      </c>
      <c r="V472" t="s">
        <v>146</v>
      </c>
      <c r="W472">
        <v>1976.11</v>
      </c>
      <c r="X472" t="s">
        <v>2088</v>
      </c>
      <c r="AA472" t="s">
        <v>2568</v>
      </c>
      <c r="AD472">
        <v>11</v>
      </c>
      <c r="AG472">
        <v>6</v>
      </c>
      <c r="AH472">
        <v>2</v>
      </c>
      <c r="AI472">
        <v>1</v>
      </c>
      <c r="AJ472">
        <v>211.25</v>
      </c>
      <c r="AM472" t="s">
        <v>3248</v>
      </c>
      <c r="AN472">
        <v>45060</v>
      </c>
    </row>
    <row r="473" spans="1:45">
      <c r="A473" s="1">
        <f>HYPERLINK("https://lsnyc.legalserver.org/matter/dynamic-profile/view/1907750","19-1907750")</f>
        <v>0</v>
      </c>
      <c r="B473" t="s">
        <v>131</v>
      </c>
      <c r="C473" t="s">
        <v>154</v>
      </c>
      <c r="E473" t="s">
        <v>616</v>
      </c>
      <c r="F473" t="s">
        <v>1041</v>
      </c>
      <c r="G473" t="s">
        <v>1490</v>
      </c>
      <c r="H473">
        <v>506</v>
      </c>
      <c r="I473" t="s">
        <v>1756</v>
      </c>
      <c r="J473">
        <v>11355</v>
      </c>
      <c r="K473" t="s">
        <v>1779</v>
      </c>
      <c r="L473" t="s">
        <v>1781</v>
      </c>
      <c r="M473" t="s">
        <v>1782</v>
      </c>
      <c r="N473" t="s">
        <v>2003</v>
      </c>
      <c r="O473" t="s">
        <v>2030</v>
      </c>
      <c r="P473" t="s">
        <v>2051</v>
      </c>
      <c r="R473" t="s">
        <v>2062</v>
      </c>
      <c r="S473" t="s">
        <v>1780</v>
      </c>
      <c r="T473" t="s">
        <v>2065</v>
      </c>
      <c r="U473" t="s">
        <v>2076</v>
      </c>
      <c r="V473" t="s">
        <v>154</v>
      </c>
      <c r="W473">
        <v>1325</v>
      </c>
      <c r="X473" t="s">
        <v>2087</v>
      </c>
      <c r="Y473" t="s">
        <v>2101</v>
      </c>
      <c r="AA473" t="s">
        <v>2569</v>
      </c>
      <c r="AC473" t="s">
        <v>2712</v>
      </c>
      <c r="AD473">
        <v>47</v>
      </c>
      <c r="AE473" t="s">
        <v>2704</v>
      </c>
      <c r="AF473" t="s">
        <v>1783</v>
      </c>
      <c r="AG473">
        <v>3</v>
      </c>
      <c r="AH473">
        <v>2</v>
      </c>
      <c r="AI473">
        <v>0</v>
      </c>
      <c r="AJ473">
        <v>211.71</v>
      </c>
      <c r="AK473" t="s">
        <v>157</v>
      </c>
      <c r="AL473" t="s">
        <v>3247</v>
      </c>
      <c r="AM473" t="s">
        <v>3248</v>
      </c>
      <c r="AN473">
        <v>35800</v>
      </c>
    </row>
    <row r="474" spans="1:45">
      <c r="A474" s="1">
        <f>HYPERLINK("https://lsnyc.legalserver.org/matter/dynamic-profile/view/1901828","19-1901828")</f>
        <v>0</v>
      </c>
      <c r="B474" t="s">
        <v>51</v>
      </c>
      <c r="C474" t="s">
        <v>197</v>
      </c>
      <c r="E474" t="s">
        <v>617</v>
      </c>
      <c r="F474" t="s">
        <v>1042</v>
      </c>
      <c r="G474" t="s">
        <v>1491</v>
      </c>
      <c r="H474" t="s">
        <v>1715</v>
      </c>
      <c r="I474" t="s">
        <v>1749</v>
      </c>
      <c r="J474">
        <v>11225</v>
      </c>
      <c r="K474" t="s">
        <v>1779</v>
      </c>
      <c r="L474" t="s">
        <v>1781</v>
      </c>
      <c r="M474" t="s">
        <v>1782</v>
      </c>
      <c r="O474" t="s">
        <v>2035</v>
      </c>
      <c r="P474" t="s">
        <v>2054</v>
      </c>
      <c r="R474" t="s">
        <v>2062</v>
      </c>
      <c r="S474" t="s">
        <v>1780</v>
      </c>
      <c r="T474" t="s">
        <v>2065</v>
      </c>
      <c r="V474" t="s">
        <v>213</v>
      </c>
      <c r="W474">
        <v>0</v>
      </c>
      <c r="X474" t="s">
        <v>2088</v>
      </c>
      <c r="AA474" t="s">
        <v>2570</v>
      </c>
      <c r="AC474" t="s">
        <v>3139</v>
      </c>
      <c r="AD474">
        <v>21</v>
      </c>
      <c r="AG474">
        <v>0</v>
      </c>
      <c r="AH474">
        <v>2</v>
      </c>
      <c r="AI474">
        <v>0</v>
      </c>
      <c r="AJ474">
        <v>214.67</v>
      </c>
      <c r="AK474" t="s">
        <v>167</v>
      </c>
      <c r="AL474" t="s">
        <v>3247</v>
      </c>
      <c r="AM474" t="s">
        <v>3248</v>
      </c>
      <c r="AN474">
        <v>36300</v>
      </c>
      <c r="AQ474" t="s">
        <v>2094</v>
      </c>
      <c r="AR474" t="s">
        <v>3294</v>
      </c>
      <c r="AS474" t="s">
        <v>3314</v>
      </c>
    </row>
    <row r="475" spans="1:45">
      <c r="A475" s="1">
        <f>HYPERLINK("https://lsnyc.legalserver.org/matter/dynamic-profile/view/1907259","19-1907259")</f>
        <v>0</v>
      </c>
      <c r="B475" t="s">
        <v>60</v>
      </c>
      <c r="C475" t="s">
        <v>156</v>
      </c>
      <c r="E475" t="s">
        <v>618</v>
      </c>
      <c r="F475" t="s">
        <v>1043</v>
      </c>
      <c r="G475" t="s">
        <v>1132</v>
      </c>
      <c r="H475" t="s">
        <v>1716</v>
      </c>
      <c r="I475" t="s">
        <v>1749</v>
      </c>
      <c r="J475">
        <v>11225</v>
      </c>
      <c r="K475" t="s">
        <v>1780</v>
      </c>
      <c r="L475" t="s">
        <v>1781</v>
      </c>
      <c r="O475" t="s">
        <v>2033</v>
      </c>
      <c r="P475" t="s">
        <v>2054</v>
      </c>
      <c r="R475" t="s">
        <v>2062</v>
      </c>
      <c r="S475" t="s">
        <v>1779</v>
      </c>
      <c r="T475" t="s">
        <v>2065</v>
      </c>
      <c r="V475" t="s">
        <v>156</v>
      </c>
      <c r="W475">
        <v>0</v>
      </c>
      <c r="X475" t="s">
        <v>2088</v>
      </c>
      <c r="AA475" t="s">
        <v>2571</v>
      </c>
      <c r="AD475">
        <v>46</v>
      </c>
      <c r="AG475">
        <v>0</v>
      </c>
      <c r="AH475">
        <v>2</v>
      </c>
      <c r="AI475">
        <v>0</v>
      </c>
      <c r="AJ475">
        <v>215.26</v>
      </c>
      <c r="AM475" t="s">
        <v>3248</v>
      </c>
      <c r="AN475">
        <v>36400</v>
      </c>
    </row>
    <row r="476" spans="1:45">
      <c r="A476" s="1">
        <f>HYPERLINK("https://lsnyc.legalserver.org/matter/dynamic-profile/view/1906258","19-1906258")</f>
        <v>0</v>
      </c>
      <c r="B476" t="s">
        <v>96</v>
      </c>
      <c r="C476" t="s">
        <v>184</v>
      </c>
      <c r="E476" t="s">
        <v>619</v>
      </c>
      <c r="F476" t="s">
        <v>1044</v>
      </c>
      <c r="G476" t="s">
        <v>1492</v>
      </c>
      <c r="H476">
        <v>6</v>
      </c>
      <c r="I476" t="s">
        <v>1749</v>
      </c>
      <c r="J476">
        <v>11230</v>
      </c>
      <c r="K476" t="s">
        <v>1779</v>
      </c>
      <c r="L476" t="s">
        <v>1781</v>
      </c>
      <c r="M476" t="s">
        <v>1782</v>
      </c>
      <c r="O476" t="s">
        <v>2031</v>
      </c>
      <c r="P476" t="s">
        <v>2051</v>
      </c>
      <c r="R476" t="s">
        <v>2062</v>
      </c>
      <c r="S476" t="s">
        <v>1780</v>
      </c>
      <c r="T476" t="s">
        <v>2065</v>
      </c>
      <c r="V476" t="s">
        <v>184</v>
      </c>
      <c r="W476">
        <v>0</v>
      </c>
      <c r="X476" t="s">
        <v>2088</v>
      </c>
      <c r="AA476" t="s">
        <v>2572</v>
      </c>
      <c r="AC476" t="s">
        <v>3140</v>
      </c>
      <c r="AD476">
        <v>6</v>
      </c>
      <c r="AE476" t="s">
        <v>3223</v>
      </c>
      <c r="AG476">
        <v>0</v>
      </c>
      <c r="AH476">
        <v>2</v>
      </c>
      <c r="AI476">
        <v>1</v>
      </c>
      <c r="AJ476">
        <v>216.6</v>
      </c>
      <c r="AK476" t="s">
        <v>157</v>
      </c>
      <c r="AL476" t="s">
        <v>3247</v>
      </c>
      <c r="AM476" t="s">
        <v>3249</v>
      </c>
      <c r="AN476">
        <v>46200</v>
      </c>
    </row>
    <row r="477" spans="1:45">
      <c r="A477" s="1">
        <f>HYPERLINK("https://lsnyc.legalserver.org/matter/dynamic-profile/view/1906473","19-1906473")</f>
        <v>0</v>
      </c>
      <c r="B477" t="s">
        <v>55</v>
      </c>
      <c r="C477" t="s">
        <v>205</v>
      </c>
      <c r="E477" t="s">
        <v>620</v>
      </c>
      <c r="F477" t="s">
        <v>668</v>
      </c>
      <c r="G477" t="s">
        <v>1493</v>
      </c>
      <c r="H477" t="s">
        <v>1557</v>
      </c>
      <c r="I477" t="s">
        <v>1749</v>
      </c>
      <c r="J477">
        <v>11208</v>
      </c>
      <c r="K477" t="s">
        <v>1779</v>
      </c>
      <c r="L477" t="s">
        <v>1781</v>
      </c>
      <c r="M477" t="s">
        <v>1782</v>
      </c>
      <c r="N477" t="s">
        <v>2004</v>
      </c>
      <c r="O477" t="s">
        <v>2030</v>
      </c>
      <c r="P477" t="s">
        <v>2051</v>
      </c>
      <c r="R477" t="s">
        <v>2062</v>
      </c>
      <c r="S477" t="s">
        <v>1780</v>
      </c>
      <c r="T477" t="s">
        <v>2065</v>
      </c>
      <c r="U477" t="s">
        <v>2073</v>
      </c>
      <c r="V477" t="s">
        <v>184</v>
      </c>
      <c r="W477">
        <v>913</v>
      </c>
      <c r="X477" t="s">
        <v>2088</v>
      </c>
      <c r="Y477" t="s">
        <v>2101</v>
      </c>
      <c r="AA477" t="s">
        <v>2573</v>
      </c>
      <c r="AB477" t="s">
        <v>1783</v>
      </c>
      <c r="AC477" t="s">
        <v>3141</v>
      </c>
      <c r="AD477">
        <v>64</v>
      </c>
      <c r="AE477" t="s">
        <v>3223</v>
      </c>
      <c r="AF477" t="s">
        <v>1783</v>
      </c>
      <c r="AG477">
        <v>5</v>
      </c>
      <c r="AH477">
        <v>2</v>
      </c>
      <c r="AI477">
        <v>0</v>
      </c>
      <c r="AJ477">
        <v>218.81</v>
      </c>
      <c r="AK477" t="s">
        <v>157</v>
      </c>
      <c r="AL477" t="s">
        <v>3247</v>
      </c>
      <c r="AM477" t="s">
        <v>3248</v>
      </c>
      <c r="AN477">
        <v>37000</v>
      </c>
    </row>
    <row r="478" spans="1:45">
      <c r="A478" s="1">
        <f>HYPERLINK("https://lsnyc.legalserver.org/matter/dynamic-profile/view/1906627","19-1906627")</f>
        <v>0</v>
      </c>
      <c r="B478" t="s">
        <v>132</v>
      </c>
      <c r="C478" t="s">
        <v>165</v>
      </c>
      <c r="E478" t="s">
        <v>621</v>
      </c>
      <c r="F478" t="s">
        <v>1045</v>
      </c>
      <c r="G478" t="s">
        <v>1494</v>
      </c>
      <c r="I478" t="s">
        <v>1749</v>
      </c>
      <c r="J478">
        <v>11206</v>
      </c>
      <c r="K478" t="s">
        <v>1779</v>
      </c>
      <c r="L478" t="s">
        <v>1781</v>
      </c>
      <c r="M478" t="s">
        <v>1782</v>
      </c>
      <c r="N478" t="s">
        <v>2005</v>
      </c>
      <c r="O478" t="s">
        <v>2030</v>
      </c>
      <c r="P478" t="s">
        <v>2051</v>
      </c>
      <c r="R478" t="s">
        <v>2062</v>
      </c>
      <c r="S478" t="s">
        <v>1780</v>
      </c>
      <c r="T478" t="s">
        <v>2065</v>
      </c>
      <c r="U478" t="s">
        <v>2073</v>
      </c>
      <c r="V478" t="s">
        <v>165</v>
      </c>
      <c r="W478">
        <v>588</v>
      </c>
      <c r="X478" t="s">
        <v>2088</v>
      </c>
      <c r="Y478" t="s">
        <v>2101</v>
      </c>
      <c r="AA478" t="s">
        <v>2574</v>
      </c>
      <c r="AC478" t="s">
        <v>3142</v>
      </c>
      <c r="AD478">
        <v>8</v>
      </c>
      <c r="AE478" t="s">
        <v>3223</v>
      </c>
      <c r="AG478">
        <v>4</v>
      </c>
      <c r="AH478">
        <v>1</v>
      </c>
      <c r="AI478">
        <v>1</v>
      </c>
      <c r="AJ478">
        <v>218.81</v>
      </c>
      <c r="AK478" t="s">
        <v>157</v>
      </c>
      <c r="AL478" t="s">
        <v>3247</v>
      </c>
      <c r="AM478" t="s">
        <v>3248</v>
      </c>
      <c r="AN478">
        <v>37000</v>
      </c>
    </row>
    <row r="479" spans="1:45">
      <c r="A479" s="1">
        <f>HYPERLINK("https://lsnyc.legalserver.org/matter/dynamic-profile/view/1906747","19-1906747")</f>
        <v>0</v>
      </c>
      <c r="B479" t="s">
        <v>110</v>
      </c>
      <c r="C479" t="s">
        <v>158</v>
      </c>
      <c r="D479" t="s">
        <v>158</v>
      </c>
      <c r="E479" t="s">
        <v>473</v>
      </c>
      <c r="F479" t="s">
        <v>1046</v>
      </c>
      <c r="G479" t="s">
        <v>1495</v>
      </c>
      <c r="H479" t="s">
        <v>1717</v>
      </c>
      <c r="I479" t="s">
        <v>1754</v>
      </c>
      <c r="J479">
        <v>10034</v>
      </c>
      <c r="K479" t="s">
        <v>1779</v>
      </c>
      <c r="L479" t="s">
        <v>1781</v>
      </c>
      <c r="M479" t="s">
        <v>1782</v>
      </c>
      <c r="N479" t="s">
        <v>2006</v>
      </c>
      <c r="O479" t="s">
        <v>2029</v>
      </c>
      <c r="P479" t="s">
        <v>2050</v>
      </c>
      <c r="Q479" t="s">
        <v>2057</v>
      </c>
      <c r="R479" t="s">
        <v>2062</v>
      </c>
      <c r="S479" t="s">
        <v>1780</v>
      </c>
      <c r="T479" t="s">
        <v>2065</v>
      </c>
      <c r="V479" t="s">
        <v>158</v>
      </c>
      <c r="W479">
        <v>965.02</v>
      </c>
      <c r="X479" t="s">
        <v>2091</v>
      </c>
      <c r="Y479" t="s">
        <v>2097</v>
      </c>
      <c r="Z479" t="s">
        <v>2110</v>
      </c>
      <c r="AA479" t="s">
        <v>2575</v>
      </c>
      <c r="AC479" t="s">
        <v>3143</v>
      </c>
      <c r="AD479">
        <v>61</v>
      </c>
      <c r="AE479" t="s">
        <v>3223</v>
      </c>
      <c r="AF479" t="s">
        <v>1783</v>
      </c>
      <c r="AG479">
        <v>45</v>
      </c>
      <c r="AH479">
        <v>2</v>
      </c>
      <c r="AI479">
        <v>2</v>
      </c>
      <c r="AJ479">
        <v>221.36</v>
      </c>
      <c r="AM479" t="s">
        <v>3248</v>
      </c>
      <c r="AN479">
        <v>57000</v>
      </c>
    </row>
    <row r="480" spans="1:45">
      <c r="A480" s="1">
        <f>HYPERLINK("https://lsnyc.legalserver.org/matter/dynamic-profile/view/1908982","19-1908982")</f>
        <v>0</v>
      </c>
      <c r="B480" t="s">
        <v>62</v>
      </c>
      <c r="C480" t="s">
        <v>196</v>
      </c>
      <c r="E480" t="s">
        <v>622</v>
      </c>
      <c r="F480" t="s">
        <v>1047</v>
      </c>
      <c r="G480" t="s">
        <v>1200</v>
      </c>
      <c r="H480" t="s">
        <v>1718</v>
      </c>
      <c r="I480" t="s">
        <v>1752</v>
      </c>
      <c r="J480">
        <v>10453</v>
      </c>
      <c r="K480" t="s">
        <v>1779</v>
      </c>
      <c r="L480" t="s">
        <v>1781</v>
      </c>
      <c r="M480" t="s">
        <v>1782</v>
      </c>
      <c r="O480" t="s">
        <v>1793</v>
      </c>
      <c r="P480" t="s">
        <v>2050</v>
      </c>
      <c r="R480" t="s">
        <v>2062</v>
      </c>
      <c r="S480" t="s">
        <v>1780</v>
      </c>
      <c r="T480" t="s">
        <v>2065</v>
      </c>
      <c r="V480" t="s">
        <v>180</v>
      </c>
      <c r="W480">
        <v>1336.76</v>
      </c>
      <c r="X480" t="s">
        <v>2089</v>
      </c>
      <c r="Y480" t="s">
        <v>2101</v>
      </c>
      <c r="AA480" t="s">
        <v>2576</v>
      </c>
      <c r="AD480">
        <v>170</v>
      </c>
      <c r="AE480" t="s">
        <v>3223</v>
      </c>
      <c r="AF480" t="s">
        <v>1783</v>
      </c>
      <c r="AG480">
        <v>3</v>
      </c>
      <c r="AH480">
        <v>2</v>
      </c>
      <c r="AI480">
        <v>0</v>
      </c>
      <c r="AJ480">
        <v>223.54</v>
      </c>
      <c r="AM480" t="s">
        <v>3249</v>
      </c>
      <c r="AN480">
        <v>37800</v>
      </c>
    </row>
    <row r="481" spans="1:42">
      <c r="A481" s="1">
        <f>HYPERLINK("https://lsnyc.legalserver.org/matter/dynamic-profile/view/1908556","19-1908556")</f>
        <v>0</v>
      </c>
      <c r="B481" t="s">
        <v>83</v>
      </c>
      <c r="C481" t="s">
        <v>201</v>
      </c>
      <c r="E481" t="s">
        <v>506</v>
      </c>
      <c r="F481" t="s">
        <v>685</v>
      </c>
      <c r="G481" t="s">
        <v>1228</v>
      </c>
      <c r="I481" t="s">
        <v>1754</v>
      </c>
      <c r="J481">
        <v>10033</v>
      </c>
      <c r="K481" t="s">
        <v>1779</v>
      </c>
      <c r="L481" t="s">
        <v>1781</v>
      </c>
      <c r="M481" t="s">
        <v>1782</v>
      </c>
      <c r="O481" t="s">
        <v>1793</v>
      </c>
      <c r="P481" t="s">
        <v>2050</v>
      </c>
      <c r="R481" t="s">
        <v>2062</v>
      </c>
      <c r="S481" t="s">
        <v>1780</v>
      </c>
      <c r="T481" t="s">
        <v>2065</v>
      </c>
      <c r="V481" t="s">
        <v>201</v>
      </c>
      <c r="W481">
        <v>1190</v>
      </c>
      <c r="X481" t="s">
        <v>2091</v>
      </c>
      <c r="Y481" t="s">
        <v>2096</v>
      </c>
      <c r="AA481" t="s">
        <v>2577</v>
      </c>
      <c r="AC481" t="s">
        <v>3144</v>
      </c>
      <c r="AD481">
        <v>480</v>
      </c>
      <c r="AE481" t="s">
        <v>3223</v>
      </c>
      <c r="AF481" t="s">
        <v>3236</v>
      </c>
      <c r="AG481">
        <v>9</v>
      </c>
      <c r="AH481">
        <v>2</v>
      </c>
      <c r="AI481">
        <v>0</v>
      </c>
      <c r="AJ481">
        <v>224.72</v>
      </c>
      <c r="AM481" t="s">
        <v>3249</v>
      </c>
      <c r="AN481">
        <v>38000</v>
      </c>
    </row>
    <row r="482" spans="1:42">
      <c r="A482" s="1">
        <f>HYPERLINK("https://lsnyc.legalserver.org/matter/dynamic-profile/view/1904052","19-1904052")</f>
        <v>0</v>
      </c>
      <c r="B482" t="s">
        <v>51</v>
      </c>
      <c r="C482" t="s">
        <v>137</v>
      </c>
      <c r="E482" t="s">
        <v>623</v>
      </c>
      <c r="F482" t="s">
        <v>1048</v>
      </c>
      <c r="G482" t="s">
        <v>1496</v>
      </c>
      <c r="H482" t="s">
        <v>1719</v>
      </c>
      <c r="I482" t="s">
        <v>1749</v>
      </c>
      <c r="J482">
        <v>11203</v>
      </c>
      <c r="K482" t="s">
        <v>1779</v>
      </c>
      <c r="L482" t="s">
        <v>1781</v>
      </c>
      <c r="M482" t="s">
        <v>1782</v>
      </c>
      <c r="O482" t="s">
        <v>2031</v>
      </c>
      <c r="P482" t="s">
        <v>2051</v>
      </c>
      <c r="R482" t="s">
        <v>2062</v>
      </c>
      <c r="S482" t="s">
        <v>1780</v>
      </c>
      <c r="T482" t="s">
        <v>2065</v>
      </c>
      <c r="U482" t="s">
        <v>2073</v>
      </c>
      <c r="V482" t="s">
        <v>137</v>
      </c>
      <c r="W482">
        <v>0</v>
      </c>
      <c r="X482" t="s">
        <v>2088</v>
      </c>
      <c r="Y482" t="s">
        <v>2101</v>
      </c>
      <c r="AA482" t="s">
        <v>2578</v>
      </c>
      <c r="AC482" t="s">
        <v>3145</v>
      </c>
      <c r="AD482">
        <v>42</v>
      </c>
      <c r="AE482" t="s">
        <v>3223</v>
      </c>
      <c r="AG482">
        <v>13</v>
      </c>
      <c r="AH482">
        <v>2</v>
      </c>
      <c r="AI482">
        <v>0</v>
      </c>
      <c r="AJ482">
        <v>225.03</v>
      </c>
      <c r="AK482" t="s">
        <v>135</v>
      </c>
      <c r="AL482" t="s">
        <v>3247</v>
      </c>
      <c r="AM482" t="s">
        <v>3248</v>
      </c>
      <c r="AN482">
        <v>38052</v>
      </c>
      <c r="AP482" t="s">
        <v>3287</v>
      </c>
    </row>
    <row r="483" spans="1:42">
      <c r="A483" s="1">
        <f>HYPERLINK("https://lsnyc.legalserver.org/matter/dynamic-profile/view/1910981","19-1910981")</f>
        <v>0</v>
      </c>
      <c r="B483" t="s">
        <v>59</v>
      </c>
      <c r="C483" t="s">
        <v>188</v>
      </c>
      <c r="E483" t="s">
        <v>624</v>
      </c>
      <c r="F483" t="s">
        <v>1049</v>
      </c>
      <c r="G483" t="s">
        <v>1186</v>
      </c>
      <c r="H483" t="s">
        <v>1568</v>
      </c>
      <c r="I483" t="s">
        <v>1749</v>
      </c>
      <c r="J483">
        <v>11225</v>
      </c>
      <c r="K483" t="s">
        <v>1779</v>
      </c>
      <c r="L483" t="s">
        <v>1781</v>
      </c>
      <c r="M483" t="s">
        <v>1782</v>
      </c>
      <c r="P483" t="s">
        <v>2053</v>
      </c>
      <c r="R483" t="s">
        <v>2062</v>
      </c>
      <c r="S483" t="s">
        <v>1779</v>
      </c>
      <c r="T483" t="s">
        <v>2065</v>
      </c>
      <c r="V483" t="s">
        <v>177</v>
      </c>
      <c r="W483">
        <v>0</v>
      </c>
      <c r="X483" t="s">
        <v>2088</v>
      </c>
      <c r="AA483" t="s">
        <v>2579</v>
      </c>
      <c r="AD483">
        <v>0</v>
      </c>
      <c r="AG483">
        <v>0</v>
      </c>
      <c r="AH483">
        <v>2</v>
      </c>
      <c r="AI483">
        <v>0</v>
      </c>
      <c r="AJ483">
        <v>225.59</v>
      </c>
      <c r="AM483" t="s">
        <v>3248</v>
      </c>
      <c r="AN483">
        <v>38148</v>
      </c>
    </row>
    <row r="484" spans="1:42">
      <c r="A484" s="1">
        <f>HYPERLINK("https://lsnyc.legalserver.org/matter/dynamic-profile/view/1899803","19-1899803")</f>
        <v>0</v>
      </c>
      <c r="B484" t="s">
        <v>81</v>
      </c>
      <c r="C484" t="s">
        <v>236</v>
      </c>
      <c r="E484" t="s">
        <v>625</v>
      </c>
      <c r="F484" t="s">
        <v>1050</v>
      </c>
      <c r="G484" t="s">
        <v>1497</v>
      </c>
      <c r="H484" t="s">
        <v>1592</v>
      </c>
      <c r="I484" t="s">
        <v>1749</v>
      </c>
      <c r="J484">
        <v>11212</v>
      </c>
      <c r="K484" t="s">
        <v>1779</v>
      </c>
      <c r="L484" t="s">
        <v>1781</v>
      </c>
      <c r="M484" t="s">
        <v>1782</v>
      </c>
      <c r="N484" t="s">
        <v>2007</v>
      </c>
      <c r="O484" t="s">
        <v>2029</v>
      </c>
      <c r="P484" t="s">
        <v>2051</v>
      </c>
      <c r="R484" t="s">
        <v>2062</v>
      </c>
      <c r="S484" t="s">
        <v>1780</v>
      </c>
      <c r="T484" t="s">
        <v>2065</v>
      </c>
      <c r="U484" t="s">
        <v>2073</v>
      </c>
      <c r="V484" t="s">
        <v>213</v>
      </c>
      <c r="W484">
        <v>2200</v>
      </c>
      <c r="X484" t="s">
        <v>2088</v>
      </c>
      <c r="AA484" t="s">
        <v>2580</v>
      </c>
      <c r="AC484" t="s">
        <v>3146</v>
      </c>
      <c r="AD484">
        <v>5</v>
      </c>
      <c r="AE484" t="s">
        <v>3222</v>
      </c>
      <c r="AF484" t="s">
        <v>1783</v>
      </c>
      <c r="AG484">
        <v>1</v>
      </c>
      <c r="AH484">
        <v>3</v>
      </c>
      <c r="AI484">
        <v>1</v>
      </c>
      <c r="AJ484">
        <v>227.55</v>
      </c>
      <c r="AK484" t="s">
        <v>157</v>
      </c>
      <c r="AL484" t="s">
        <v>3247</v>
      </c>
      <c r="AM484" t="s">
        <v>3248</v>
      </c>
      <c r="AN484">
        <v>58595</v>
      </c>
    </row>
    <row r="485" spans="1:42">
      <c r="A485" s="1">
        <f>HYPERLINK("https://lsnyc.legalserver.org/matter/dynamic-profile/view/1907240","19-1907240")</f>
        <v>0</v>
      </c>
      <c r="B485" t="s">
        <v>132</v>
      </c>
      <c r="C485" t="s">
        <v>156</v>
      </c>
      <c r="E485" t="s">
        <v>626</v>
      </c>
      <c r="F485" t="s">
        <v>884</v>
      </c>
      <c r="G485" t="s">
        <v>1498</v>
      </c>
      <c r="H485" t="s">
        <v>1720</v>
      </c>
      <c r="I485" t="s">
        <v>1749</v>
      </c>
      <c r="J485">
        <v>11233</v>
      </c>
      <c r="K485" t="s">
        <v>1779</v>
      </c>
      <c r="L485" t="s">
        <v>1781</v>
      </c>
      <c r="M485" t="s">
        <v>1782</v>
      </c>
      <c r="N485" t="s">
        <v>2008</v>
      </c>
      <c r="O485" t="s">
        <v>2029</v>
      </c>
      <c r="P485" t="s">
        <v>2055</v>
      </c>
      <c r="R485" t="s">
        <v>2062</v>
      </c>
      <c r="S485" t="s">
        <v>1780</v>
      </c>
      <c r="T485" t="s">
        <v>2065</v>
      </c>
      <c r="U485" t="s">
        <v>2073</v>
      </c>
      <c r="V485" t="s">
        <v>134</v>
      </c>
      <c r="W485">
        <v>1660</v>
      </c>
      <c r="X485" t="s">
        <v>2088</v>
      </c>
      <c r="Y485" t="s">
        <v>2098</v>
      </c>
      <c r="Z485" t="s">
        <v>2110</v>
      </c>
      <c r="AA485" t="s">
        <v>2581</v>
      </c>
      <c r="AC485" t="s">
        <v>3147</v>
      </c>
      <c r="AD485">
        <v>3</v>
      </c>
      <c r="AE485" t="s">
        <v>3222</v>
      </c>
      <c r="AF485" t="s">
        <v>3236</v>
      </c>
      <c r="AG485">
        <v>9</v>
      </c>
      <c r="AH485">
        <v>2</v>
      </c>
      <c r="AI485">
        <v>2</v>
      </c>
      <c r="AJ485">
        <v>228.19</v>
      </c>
      <c r="AM485" t="s">
        <v>3248</v>
      </c>
      <c r="AN485">
        <v>58760</v>
      </c>
    </row>
    <row r="486" spans="1:42">
      <c r="A486" s="1">
        <f>HYPERLINK("https://lsnyc.legalserver.org/matter/dynamic-profile/view/1909123","19-1909123")</f>
        <v>0</v>
      </c>
      <c r="B486" t="s">
        <v>70</v>
      </c>
      <c r="C486" t="s">
        <v>157</v>
      </c>
      <c r="E486" t="s">
        <v>627</v>
      </c>
      <c r="F486" t="s">
        <v>1051</v>
      </c>
      <c r="G486" t="s">
        <v>1263</v>
      </c>
      <c r="H486" t="s">
        <v>1604</v>
      </c>
      <c r="I486" t="s">
        <v>1754</v>
      </c>
      <c r="J486">
        <v>10035</v>
      </c>
      <c r="K486" t="s">
        <v>1779</v>
      </c>
      <c r="L486" t="s">
        <v>1781</v>
      </c>
      <c r="M486" t="s">
        <v>1782</v>
      </c>
      <c r="O486" t="s">
        <v>2031</v>
      </c>
      <c r="P486" t="s">
        <v>2052</v>
      </c>
      <c r="R486" t="s">
        <v>2062</v>
      </c>
      <c r="S486" t="s">
        <v>1779</v>
      </c>
      <c r="T486" t="s">
        <v>2065</v>
      </c>
      <c r="U486" t="s">
        <v>2078</v>
      </c>
      <c r="V486" t="s">
        <v>198</v>
      </c>
      <c r="W486">
        <v>1893</v>
      </c>
      <c r="X486" t="s">
        <v>2091</v>
      </c>
      <c r="Y486" t="s">
        <v>2104</v>
      </c>
      <c r="AA486" t="s">
        <v>2582</v>
      </c>
      <c r="AC486" t="s">
        <v>3148</v>
      </c>
      <c r="AD486">
        <v>72</v>
      </c>
      <c r="AE486" t="s">
        <v>3223</v>
      </c>
      <c r="AF486" t="s">
        <v>3236</v>
      </c>
      <c r="AG486">
        <v>33</v>
      </c>
      <c r="AH486">
        <v>3</v>
      </c>
      <c r="AI486">
        <v>1</v>
      </c>
      <c r="AJ486">
        <v>229.13</v>
      </c>
      <c r="AM486" t="s">
        <v>3248</v>
      </c>
      <c r="AN486">
        <v>59000</v>
      </c>
    </row>
    <row r="487" spans="1:42">
      <c r="A487" s="1">
        <f>HYPERLINK("https://lsnyc.legalserver.org/matter/dynamic-profile/view/1903871","19-1903871")</f>
        <v>0</v>
      </c>
      <c r="B487" t="s">
        <v>54</v>
      </c>
      <c r="C487" t="s">
        <v>168</v>
      </c>
      <c r="D487" t="s">
        <v>156</v>
      </c>
      <c r="E487" t="s">
        <v>628</v>
      </c>
      <c r="F487" t="s">
        <v>1052</v>
      </c>
      <c r="G487" t="s">
        <v>1499</v>
      </c>
      <c r="H487" t="s">
        <v>1721</v>
      </c>
      <c r="I487" t="s">
        <v>1749</v>
      </c>
      <c r="J487">
        <v>11212</v>
      </c>
      <c r="K487" t="s">
        <v>1779</v>
      </c>
      <c r="L487" t="s">
        <v>1781</v>
      </c>
      <c r="M487" t="s">
        <v>1782</v>
      </c>
      <c r="N487" t="s">
        <v>1783</v>
      </c>
      <c r="O487" t="s">
        <v>1793</v>
      </c>
      <c r="P487" t="s">
        <v>2050</v>
      </c>
      <c r="Q487" t="s">
        <v>2057</v>
      </c>
      <c r="R487" t="s">
        <v>2062</v>
      </c>
      <c r="S487" t="s">
        <v>1780</v>
      </c>
      <c r="T487" t="s">
        <v>2065</v>
      </c>
      <c r="U487" t="s">
        <v>2073</v>
      </c>
      <c r="V487" t="s">
        <v>161</v>
      </c>
      <c r="W487">
        <v>1600</v>
      </c>
      <c r="X487" t="s">
        <v>2088</v>
      </c>
      <c r="Z487" t="s">
        <v>2110</v>
      </c>
      <c r="AA487" t="s">
        <v>2583</v>
      </c>
      <c r="AB487" t="s">
        <v>1783</v>
      </c>
      <c r="AC487" t="s">
        <v>3149</v>
      </c>
      <c r="AD487">
        <v>6</v>
      </c>
      <c r="AE487" t="s">
        <v>3223</v>
      </c>
      <c r="AF487" t="s">
        <v>1783</v>
      </c>
      <c r="AG487">
        <v>0</v>
      </c>
      <c r="AH487">
        <v>1</v>
      </c>
      <c r="AI487">
        <v>0</v>
      </c>
      <c r="AJ487">
        <v>229.43</v>
      </c>
      <c r="AM487" t="s">
        <v>3248</v>
      </c>
      <c r="AN487">
        <v>28656</v>
      </c>
    </row>
    <row r="488" spans="1:42">
      <c r="A488" s="1">
        <f>HYPERLINK("https://lsnyc.legalserver.org/matter/dynamic-profile/view/1905315","19-1905315")</f>
        <v>0</v>
      </c>
      <c r="B488" t="s">
        <v>56</v>
      </c>
      <c r="C488" t="s">
        <v>167</v>
      </c>
      <c r="E488" t="s">
        <v>629</v>
      </c>
      <c r="F488" t="s">
        <v>1053</v>
      </c>
      <c r="G488" t="s">
        <v>1500</v>
      </c>
      <c r="H488" t="s">
        <v>1722</v>
      </c>
      <c r="I488" t="s">
        <v>1749</v>
      </c>
      <c r="J488">
        <v>11208</v>
      </c>
      <c r="K488" t="s">
        <v>1779</v>
      </c>
      <c r="L488" t="s">
        <v>1781</v>
      </c>
      <c r="M488" t="s">
        <v>1782</v>
      </c>
      <c r="N488" t="s">
        <v>2009</v>
      </c>
      <c r="O488" t="s">
        <v>2030</v>
      </c>
      <c r="P488" t="s">
        <v>2055</v>
      </c>
      <c r="R488" t="s">
        <v>2062</v>
      </c>
      <c r="S488" t="s">
        <v>1780</v>
      </c>
      <c r="T488" t="s">
        <v>2065</v>
      </c>
      <c r="V488" t="s">
        <v>167</v>
      </c>
      <c r="W488">
        <v>1146</v>
      </c>
      <c r="X488" t="s">
        <v>2088</v>
      </c>
      <c r="Y488" t="s">
        <v>2106</v>
      </c>
      <c r="AA488" t="s">
        <v>2584</v>
      </c>
      <c r="AC488" t="s">
        <v>3150</v>
      </c>
      <c r="AD488">
        <v>294</v>
      </c>
      <c r="AE488" t="s">
        <v>3223</v>
      </c>
      <c r="AF488" t="s">
        <v>3236</v>
      </c>
      <c r="AG488">
        <v>4</v>
      </c>
      <c r="AH488">
        <v>1</v>
      </c>
      <c r="AI488">
        <v>0</v>
      </c>
      <c r="AJ488">
        <v>230.58</v>
      </c>
      <c r="AM488" t="s">
        <v>3248</v>
      </c>
      <c r="AN488">
        <v>28800</v>
      </c>
    </row>
    <row r="489" spans="1:42">
      <c r="A489" s="1">
        <f>HYPERLINK("https://lsnyc.legalserver.org/matter/dynamic-profile/view/1907712","19-1907712")</f>
        <v>0</v>
      </c>
      <c r="B489" t="s">
        <v>72</v>
      </c>
      <c r="C489" t="s">
        <v>185</v>
      </c>
      <c r="E489" t="s">
        <v>313</v>
      </c>
      <c r="F489" t="s">
        <v>1054</v>
      </c>
      <c r="G489" t="s">
        <v>1501</v>
      </c>
      <c r="H489" t="s">
        <v>1723</v>
      </c>
      <c r="I489" t="s">
        <v>1761</v>
      </c>
      <c r="J489">
        <v>11377</v>
      </c>
      <c r="K489" t="s">
        <v>1779</v>
      </c>
      <c r="L489" t="s">
        <v>1781</v>
      </c>
      <c r="M489" t="s">
        <v>1782</v>
      </c>
      <c r="N489" t="s">
        <v>2010</v>
      </c>
      <c r="O489" t="s">
        <v>2032</v>
      </c>
      <c r="P489" t="s">
        <v>2053</v>
      </c>
      <c r="R489" t="s">
        <v>2062</v>
      </c>
      <c r="S489" t="s">
        <v>1779</v>
      </c>
      <c r="T489" t="s">
        <v>2065</v>
      </c>
      <c r="V489" t="s">
        <v>185</v>
      </c>
      <c r="W489">
        <v>0</v>
      </c>
      <c r="X489" t="s">
        <v>2087</v>
      </c>
      <c r="Y489" t="s">
        <v>2100</v>
      </c>
      <c r="AA489" t="s">
        <v>2585</v>
      </c>
      <c r="AC489" t="s">
        <v>3151</v>
      </c>
      <c r="AD489">
        <v>390</v>
      </c>
      <c r="AE489" t="s">
        <v>3223</v>
      </c>
      <c r="AF489" t="s">
        <v>1783</v>
      </c>
      <c r="AG489">
        <v>32</v>
      </c>
      <c r="AH489">
        <v>4</v>
      </c>
      <c r="AI489">
        <v>0</v>
      </c>
      <c r="AJ489">
        <v>233.01</v>
      </c>
      <c r="AM489" t="s">
        <v>3249</v>
      </c>
      <c r="AN489">
        <v>60000</v>
      </c>
    </row>
    <row r="490" spans="1:42">
      <c r="A490" s="1">
        <f>HYPERLINK("https://lsnyc.legalserver.org/matter/dynamic-profile/view/1908391","19-1908391")</f>
        <v>0</v>
      </c>
      <c r="B490" t="s">
        <v>96</v>
      </c>
      <c r="C490" t="s">
        <v>195</v>
      </c>
      <c r="E490" t="s">
        <v>630</v>
      </c>
      <c r="F490" t="s">
        <v>1055</v>
      </c>
      <c r="G490" t="s">
        <v>1471</v>
      </c>
      <c r="H490" t="s">
        <v>1709</v>
      </c>
      <c r="I490" t="s">
        <v>1749</v>
      </c>
      <c r="J490">
        <v>11219</v>
      </c>
      <c r="K490" t="s">
        <v>1779</v>
      </c>
      <c r="L490" t="s">
        <v>1781</v>
      </c>
      <c r="P490" t="s">
        <v>2054</v>
      </c>
      <c r="R490" t="s">
        <v>2062</v>
      </c>
      <c r="T490" t="s">
        <v>2065</v>
      </c>
      <c r="V490" t="s">
        <v>195</v>
      </c>
      <c r="W490">
        <v>0</v>
      </c>
      <c r="X490" t="s">
        <v>2088</v>
      </c>
      <c r="AA490" t="s">
        <v>2586</v>
      </c>
      <c r="AC490" t="s">
        <v>3152</v>
      </c>
      <c r="AD490">
        <v>20</v>
      </c>
      <c r="AG490">
        <v>0</v>
      </c>
      <c r="AH490">
        <v>3</v>
      </c>
      <c r="AI490">
        <v>0</v>
      </c>
      <c r="AJ490">
        <v>234.6</v>
      </c>
      <c r="AM490" t="s">
        <v>3254</v>
      </c>
      <c r="AN490">
        <v>50040</v>
      </c>
    </row>
    <row r="491" spans="1:42">
      <c r="A491" s="1">
        <f>HYPERLINK("https://lsnyc.legalserver.org/matter/dynamic-profile/view/1906136","19-1906136")</f>
        <v>0</v>
      </c>
      <c r="B491" t="s">
        <v>77</v>
      </c>
      <c r="C491" t="s">
        <v>146</v>
      </c>
      <c r="E491" t="s">
        <v>631</v>
      </c>
      <c r="F491" t="s">
        <v>1056</v>
      </c>
      <c r="G491" t="s">
        <v>1502</v>
      </c>
      <c r="H491" t="s">
        <v>1724</v>
      </c>
      <c r="I491" t="s">
        <v>1749</v>
      </c>
      <c r="J491">
        <v>11216</v>
      </c>
      <c r="K491" t="s">
        <v>1779</v>
      </c>
      <c r="L491" t="s">
        <v>1781</v>
      </c>
      <c r="M491" t="s">
        <v>1782</v>
      </c>
      <c r="N491" t="s">
        <v>2011</v>
      </c>
      <c r="O491" t="s">
        <v>2041</v>
      </c>
      <c r="P491" t="s">
        <v>2051</v>
      </c>
      <c r="R491" t="s">
        <v>2062</v>
      </c>
      <c r="S491" t="s">
        <v>1779</v>
      </c>
      <c r="T491" t="s">
        <v>2065</v>
      </c>
      <c r="U491" t="s">
        <v>2073</v>
      </c>
      <c r="V491" t="s">
        <v>146</v>
      </c>
      <c r="W491">
        <v>1550</v>
      </c>
      <c r="X491" t="s">
        <v>2088</v>
      </c>
      <c r="Y491" t="s">
        <v>2096</v>
      </c>
      <c r="AA491" t="s">
        <v>2587</v>
      </c>
      <c r="AB491" t="s">
        <v>1783</v>
      </c>
      <c r="AC491" t="s">
        <v>3153</v>
      </c>
      <c r="AD491">
        <v>82</v>
      </c>
      <c r="AE491" t="s">
        <v>3223</v>
      </c>
      <c r="AF491" t="s">
        <v>1783</v>
      </c>
      <c r="AG491">
        <v>1</v>
      </c>
      <c r="AH491">
        <v>2</v>
      </c>
      <c r="AI491">
        <v>0</v>
      </c>
      <c r="AJ491">
        <v>236.55</v>
      </c>
      <c r="AL491" t="s">
        <v>3247</v>
      </c>
      <c r="AM491" t="s">
        <v>3248</v>
      </c>
      <c r="AN491">
        <v>40000</v>
      </c>
    </row>
    <row r="492" spans="1:42">
      <c r="A492" s="1">
        <f>HYPERLINK("https://lsnyc.legalserver.org/matter/dynamic-profile/view/1906138","19-1906138")</f>
        <v>0</v>
      </c>
      <c r="B492" t="s">
        <v>77</v>
      </c>
      <c r="C492" t="s">
        <v>146</v>
      </c>
      <c r="E492" t="s">
        <v>631</v>
      </c>
      <c r="F492" t="s">
        <v>1056</v>
      </c>
      <c r="G492" t="s">
        <v>1502</v>
      </c>
      <c r="H492" t="s">
        <v>1724</v>
      </c>
      <c r="I492" t="s">
        <v>1749</v>
      </c>
      <c r="J492">
        <v>11216</v>
      </c>
      <c r="K492" t="s">
        <v>1779</v>
      </c>
      <c r="L492" t="s">
        <v>1781</v>
      </c>
      <c r="M492" t="s">
        <v>1782</v>
      </c>
      <c r="N492" t="s">
        <v>1793</v>
      </c>
      <c r="O492" t="s">
        <v>1793</v>
      </c>
      <c r="P492" t="s">
        <v>2055</v>
      </c>
      <c r="R492" t="s">
        <v>2062</v>
      </c>
      <c r="S492" t="s">
        <v>1779</v>
      </c>
      <c r="T492" t="s">
        <v>2065</v>
      </c>
      <c r="U492" t="s">
        <v>2073</v>
      </c>
      <c r="V492" t="s">
        <v>146</v>
      </c>
      <c r="W492">
        <v>0</v>
      </c>
      <c r="X492" t="s">
        <v>2088</v>
      </c>
      <c r="Y492" t="s">
        <v>2096</v>
      </c>
      <c r="AA492" t="s">
        <v>2587</v>
      </c>
      <c r="AB492" t="s">
        <v>1799</v>
      </c>
      <c r="AC492" t="s">
        <v>3153</v>
      </c>
      <c r="AD492">
        <v>82</v>
      </c>
      <c r="AE492" t="s">
        <v>3223</v>
      </c>
      <c r="AF492" t="s">
        <v>1783</v>
      </c>
      <c r="AG492">
        <v>1</v>
      </c>
      <c r="AH492">
        <v>2</v>
      </c>
      <c r="AI492">
        <v>0</v>
      </c>
      <c r="AJ492">
        <v>236.55</v>
      </c>
      <c r="AL492" t="s">
        <v>3247</v>
      </c>
      <c r="AM492" t="s">
        <v>3248</v>
      </c>
      <c r="AN492">
        <v>40000</v>
      </c>
    </row>
    <row r="493" spans="1:42">
      <c r="A493" s="1">
        <f>HYPERLINK("https://lsnyc.legalserver.org/matter/dynamic-profile/view/1906026","19-1906026")</f>
        <v>0</v>
      </c>
      <c r="B493" t="s">
        <v>59</v>
      </c>
      <c r="C493" t="s">
        <v>186</v>
      </c>
      <c r="E493" t="s">
        <v>632</v>
      </c>
      <c r="F493" t="s">
        <v>1057</v>
      </c>
      <c r="G493" t="s">
        <v>1503</v>
      </c>
      <c r="H493">
        <v>8</v>
      </c>
      <c r="I493" t="s">
        <v>1749</v>
      </c>
      <c r="J493">
        <v>11218</v>
      </c>
      <c r="K493" t="s">
        <v>1779</v>
      </c>
      <c r="L493" t="s">
        <v>1781</v>
      </c>
      <c r="M493" t="s">
        <v>1782</v>
      </c>
      <c r="O493" t="s">
        <v>2029</v>
      </c>
      <c r="P493" t="s">
        <v>2051</v>
      </c>
      <c r="R493" t="s">
        <v>2062</v>
      </c>
      <c r="S493" t="s">
        <v>1780</v>
      </c>
      <c r="T493" t="s">
        <v>2065</v>
      </c>
      <c r="V493" t="s">
        <v>226</v>
      </c>
      <c r="W493">
        <v>1615</v>
      </c>
      <c r="X493" t="s">
        <v>2088</v>
      </c>
      <c r="Y493" t="s">
        <v>2092</v>
      </c>
      <c r="AA493" t="s">
        <v>2588</v>
      </c>
      <c r="AC493" t="s">
        <v>3154</v>
      </c>
      <c r="AD493">
        <v>42</v>
      </c>
      <c r="AE493" t="s">
        <v>3223</v>
      </c>
      <c r="AG493">
        <v>3</v>
      </c>
      <c r="AH493">
        <v>1</v>
      </c>
      <c r="AI493">
        <v>0</v>
      </c>
      <c r="AJ493">
        <v>240.19</v>
      </c>
      <c r="AK493" t="s">
        <v>170</v>
      </c>
      <c r="AL493" t="s">
        <v>3247</v>
      </c>
      <c r="AM493" t="s">
        <v>3248</v>
      </c>
      <c r="AN493">
        <v>30000</v>
      </c>
    </row>
    <row r="494" spans="1:42">
      <c r="A494" s="1">
        <f>HYPERLINK("https://lsnyc.legalserver.org/matter/dynamic-profile/view/1906090","19-1906090")</f>
        <v>0</v>
      </c>
      <c r="B494" t="s">
        <v>59</v>
      </c>
      <c r="C494" t="s">
        <v>146</v>
      </c>
      <c r="E494" t="s">
        <v>632</v>
      </c>
      <c r="F494" t="s">
        <v>1057</v>
      </c>
      <c r="G494" t="s">
        <v>1504</v>
      </c>
      <c r="H494">
        <v>8</v>
      </c>
      <c r="I494" t="s">
        <v>1749</v>
      </c>
      <c r="J494">
        <v>11218</v>
      </c>
      <c r="K494" t="s">
        <v>1779</v>
      </c>
      <c r="L494" t="s">
        <v>1781</v>
      </c>
      <c r="M494" t="s">
        <v>1782</v>
      </c>
      <c r="P494" t="s">
        <v>2051</v>
      </c>
      <c r="R494" t="s">
        <v>2062</v>
      </c>
      <c r="S494" t="s">
        <v>1780</v>
      </c>
      <c r="T494" t="s">
        <v>2065</v>
      </c>
      <c r="V494" t="s">
        <v>146</v>
      </c>
      <c r="W494">
        <v>1615</v>
      </c>
      <c r="X494" t="s">
        <v>2088</v>
      </c>
      <c r="Y494" t="s">
        <v>2092</v>
      </c>
      <c r="AA494" t="s">
        <v>2588</v>
      </c>
      <c r="AC494" t="s">
        <v>3155</v>
      </c>
      <c r="AD494">
        <v>42</v>
      </c>
      <c r="AE494" t="s">
        <v>3223</v>
      </c>
      <c r="AG494">
        <v>3</v>
      </c>
      <c r="AH494">
        <v>1</v>
      </c>
      <c r="AI494">
        <v>0</v>
      </c>
      <c r="AJ494">
        <v>240.19</v>
      </c>
      <c r="AK494" t="s">
        <v>170</v>
      </c>
      <c r="AL494" t="s">
        <v>3247</v>
      </c>
      <c r="AM494" t="s">
        <v>3248</v>
      </c>
      <c r="AN494">
        <v>30000</v>
      </c>
    </row>
    <row r="495" spans="1:42">
      <c r="A495" s="1">
        <f>HYPERLINK("https://lsnyc.legalserver.org/matter/dynamic-profile/view/1907450","19-1907450")</f>
        <v>0</v>
      </c>
      <c r="B495" t="s">
        <v>71</v>
      </c>
      <c r="C495" t="s">
        <v>139</v>
      </c>
      <c r="E495" t="s">
        <v>403</v>
      </c>
      <c r="F495" t="s">
        <v>1058</v>
      </c>
      <c r="G495" t="s">
        <v>1505</v>
      </c>
      <c r="H495" t="s">
        <v>1616</v>
      </c>
      <c r="I495" t="s">
        <v>1754</v>
      </c>
      <c r="J495">
        <v>10034</v>
      </c>
      <c r="K495" t="s">
        <v>1779</v>
      </c>
      <c r="L495" t="s">
        <v>1781</v>
      </c>
      <c r="M495" t="s">
        <v>1782</v>
      </c>
      <c r="O495" t="s">
        <v>1793</v>
      </c>
      <c r="P495" t="s">
        <v>2052</v>
      </c>
      <c r="R495" t="s">
        <v>2062</v>
      </c>
      <c r="S495" t="s">
        <v>1780</v>
      </c>
      <c r="T495" t="s">
        <v>2065</v>
      </c>
      <c r="U495" t="s">
        <v>2073</v>
      </c>
      <c r="V495" t="s">
        <v>148</v>
      </c>
      <c r="W495">
        <v>1448.89</v>
      </c>
      <c r="X495" t="s">
        <v>2091</v>
      </c>
      <c r="Y495" t="s">
        <v>2099</v>
      </c>
      <c r="AA495" t="s">
        <v>2589</v>
      </c>
      <c r="AC495" t="s">
        <v>3156</v>
      </c>
      <c r="AD495">
        <v>32</v>
      </c>
      <c r="AE495" t="s">
        <v>3223</v>
      </c>
      <c r="AF495" t="s">
        <v>1783</v>
      </c>
      <c r="AG495">
        <v>18</v>
      </c>
      <c r="AH495">
        <v>1</v>
      </c>
      <c r="AI495">
        <v>0</v>
      </c>
      <c r="AJ495">
        <v>240.19</v>
      </c>
      <c r="AM495" t="s">
        <v>3248</v>
      </c>
      <c r="AN495">
        <v>30000</v>
      </c>
    </row>
    <row r="496" spans="1:42">
      <c r="A496" s="1">
        <f>HYPERLINK("https://lsnyc.legalserver.org/matter/dynamic-profile/view/1904638","19-1904638")</f>
        <v>0</v>
      </c>
      <c r="B496" t="s">
        <v>112</v>
      </c>
      <c r="C496" t="s">
        <v>162</v>
      </c>
      <c r="D496" t="s">
        <v>178</v>
      </c>
      <c r="E496" t="s">
        <v>633</v>
      </c>
      <c r="F496" t="s">
        <v>1059</v>
      </c>
      <c r="G496" t="s">
        <v>1506</v>
      </c>
      <c r="H496" t="s">
        <v>1583</v>
      </c>
      <c r="I496" t="s">
        <v>1754</v>
      </c>
      <c r="J496">
        <v>10010</v>
      </c>
      <c r="K496" t="s">
        <v>1779</v>
      </c>
      <c r="L496" t="s">
        <v>1781</v>
      </c>
      <c r="M496" t="s">
        <v>1782</v>
      </c>
      <c r="N496" t="s">
        <v>2012</v>
      </c>
      <c r="O496" t="s">
        <v>2030</v>
      </c>
      <c r="P496" t="s">
        <v>2050</v>
      </c>
      <c r="Q496" t="s">
        <v>2057</v>
      </c>
      <c r="R496" t="s">
        <v>2062</v>
      </c>
      <c r="S496" t="s">
        <v>1780</v>
      </c>
      <c r="T496" t="s">
        <v>2065</v>
      </c>
      <c r="U496" t="s">
        <v>2073</v>
      </c>
      <c r="V496" t="s">
        <v>162</v>
      </c>
      <c r="W496">
        <v>1567.75</v>
      </c>
      <c r="X496" t="s">
        <v>2091</v>
      </c>
      <c r="Y496" t="s">
        <v>2100</v>
      </c>
      <c r="Z496" t="s">
        <v>2110</v>
      </c>
      <c r="AA496" t="s">
        <v>2590</v>
      </c>
      <c r="AC496" t="s">
        <v>3157</v>
      </c>
      <c r="AD496">
        <v>16</v>
      </c>
      <c r="AE496" t="s">
        <v>3223</v>
      </c>
      <c r="AF496" t="s">
        <v>1783</v>
      </c>
      <c r="AG496">
        <v>26</v>
      </c>
      <c r="AH496">
        <v>1</v>
      </c>
      <c r="AI496">
        <v>0</v>
      </c>
      <c r="AJ496">
        <v>240.19</v>
      </c>
      <c r="AM496" t="s">
        <v>3248</v>
      </c>
      <c r="AN496">
        <v>30000</v>
      </c>
    </row>
    <row r="497" spans="1:45">
      <c r="A497" s="1">
        <f>HYPERLINK("https://lsnyc.legalserver.org/matter/dynamic-profile/view/1910115","19-1910115")</f>
        <v>0</v>
      </c>
      <c r="B497" t="s">
        <v>82</v>
      </c>
      <c r="C497" t="s">
        <v>177</v>
      </c>
      <c r="D497" t="s">
        <v>177</v>
      </c>
      <c r="E497" t="s">
        <v>634</v>
      </c>
      <c r="F497" t="s">
        <v>1060</v>
      </c>
      <c r="G497" t="s">
        <v>1193</v>
      </c>
      <c r="I497" t="s">
        <v>1754</v>
      </c>
      <c r="J497">
        <v>10033</v>
      </c>
      <c r="K497" t="s">
        <v>1779</v>
      </c>
      <c r="L497" t="s">
        <v>1781</v>
      </c>
      <c r="M497" t="s">
        <v>1782</v>
      </c>
      <c r="O497" t="s">
        <v>2031</v>
      </c>
      <c r="P497" t="s">
        <v>2055</v>
      </c>
      <c r="Q497" t="s">
        <v>2059</v>
      </c>
      <c r="R497" t="s">
        <v>2062</v>
      </c>
      <c r="S497" t="s">
        <v>1780</v>
      </c>
      <c r="T497" t="s">
        <v>2065</v>
      </c>
      <c r="V497" t="s">
        <v>177</v>
      </c>
      <c r="W497">
        <v>1135</v>
      </c>
      <c r="X497" t="s">
        <v>2091</v>
      </c>
      <c r="Y497" t="s">
        <v>2099</v>
      </c>
      <c r="Z497" t="s">
        <v>2116</v>
      </c>
      <c r="AA497" t="s">
        <v>2591</v>
      </c>
      <c r="AC497" t="s">
        <v>3158</v>
      </c>
      <c r="AD497">
        <v>12</v>
      </c>
      <c r="AE497" t="s">
        <v>3223</v>
      </c>
      <c r="AF497" t="s">
        <v>1783</v>
      </c>
      <c r="AG497">
        <v>39</v>
      </c>
      <c r="AH497">
        <v>2</v>
      </c>
      <c r="AI497">
        <v>1</v>
      </c>
      <c r="AJ497">
        <v>243.79</v>
      </c>
      <c r="AN497">
        <v>52000</v>
      </c>
    </row>
    <row r="498" spans="1:45">
      <c r="A498" s="1">
        <f>HYPERLINK("https://lsnyc.legalserver.org/matter/dynamic-profile/view/1905159","19-1905159")</f>
        <v>0</v>
      </c>
      <c r="B498" t="s">
        <v>104</v>
      </c>
      <c r="C498" t="s">
        <v>205</v>
      </c>
      <c r="E498" t="s">
        <v>635</v>
      </c>
      <c r="F498" t="s">
        <v>1061</v>
      </c>
      <c r="G498" t="s">
        <v>1507</v>
      </c>
      <c r="H498" t="s">
        <v>1725</v>
      </c>
      <c r="I498" t="s">
        <v>1753</v>
      </c>
      <c r="J498">
        <v>10303</v>
      </c>
      <c r="K498" t="s">
        <v>1779</v>
      </c>
      <c r="L498" t="s">
        <v>1781</v>
      </c>
      <c r="M498" t="s">
        <v>1782</v>
      </c>
      <c r="N498" t="s">
        <v>2013</v>
      </c>
      <c r="O498" t="s">
        <v>2049</v>
      </c>
      <c r="P498" t="s">
        <v>2050</v>
      </c>
      <c r="R498" t="s">
        <v>2063</v>
      </c>
      <c r="S498" t="s">
        <v>1780</v>
      </c>
      <c r="T498" t="s">
        <v>2066</v>
      </c>
      <c r="U498" t="s">
        <v>2073</v>
      </c>
      <c r="V498" t="s">
        <v>145</v>
      </c>
      <c r="W498">
        <v>0</v>
      </c>
      <c r="X498" t="s">
        <v>2090</v>
      </c>
      <c r="Y498" t="s">
        <v>2093</v>
      </c>
      <c r="AA498" t="s">
        <v>2592</v>
      </c>
      <c r="AC498" t="s">
        <v>3159</v>
      </c>
      <c r="AD498">
        <v>6</v>
      </c>
      <c r="AE498" t="s">
        <v>3222</v>
      </c>
      <c r="AF498" t="s">
        <v>1783</v>
      </c>
      <c r="AG498">
        <v>3</v>
      </c>
      <c r="AH498">
        <v>1</v>
      </c>
      <c r="AI498">
        <v>2</v>
      </c>
      <c r="AJ498">
        <v>247.54</v>
      </c>
      <c r="AK498" t="s">
        <v>3244</v>
      </c>
      <c r="AL498" t="s">
        <v>3245</v>
      </c>
      <c r="AN498">
        <v>52800</v>
      </c>
    </row>
    <row r="499" spans="1:45">
      <c r="A499" s="1">
        <f>HYPERLINK("https://lsnyc.legalserver.org/matter/dynamic-profile/view/1904267","19-1904267")</f>
        <v>0</v>
      </c>
      <c r="B499" t="s">
        <v>110</v>
      </c>
      <c r="C499" t="s">
        <v>135</v>
      </c>
      <c r="D499" t="s">
        <v>162</v>
      </c>
      <c r="E499" t="s">
        <v>636</v>
      </c>
      <c r="F499" t="s">
        <v>891</v>
      </c>
      <c r="G499" t="s">
        <v>1508</v>
      </c>
      <c r="H499" t="s">
        <v>1576</v>
      </c>
      <c r="I499" t="s">
        <v>1754</v>
      </c>
      <c r="J499">
        <v>10032</v>
      </c>
      <c r="K499" t="s">
        <v>1779</v>
      </c>
      <c r="L499" t="s">
        <v>1781</v>
      </c>
      <c r="M499" t="s">
        <v>1782</v>
      </c>
      <c r="O499" t="s">
        <v>2034</v>
      </c>
      <c r="P499" t="s">
        <v>2050</v>
      </c>
      <c r="Q499" t="s">
        <v>2057</v>
      </c>
      <c r="R499" t="s">
        <v>2062</v>
      </c>
      <c r="S499" t="s">
        <v>1780</v>
      </c>
      <c r="T499" t="s">
        <v>2065</v>
      </c>
      <c r="V499" t="s">
        <v>135</v>
      </c>
      <c r="W499">
        <v>606</v>
      </c>
      <c r="X499" t="s">
        <v>2091</v>
      </c>
      <c r="Y499" t="s">
        <v>2099</v>
      </c>
      <c r="Z499" t="s">
        <v>2110</v>
      </c>
      <c r="AA499" t="s">
        <v>2593</v>
      </c>
      <c r="AC499" t="s">
        <v>3160</v>
      </c>
      <c r="AD499">
        <v>42</v>
      </c>
      <c r="AE499" t="s">
        <v>3224</v>
      </c>
      <c r="AF499" t="s">
        <v>1783</v>
      </c>
      <c r="AG499">
        <v>53</v>
      </c>
      <c r="AH499">
        <v>1</v>
      </c>
      <c r="AI499">
        <v>0</v>
      </c>
      <c r="AJ499">
        <v>249.8</v>
      </c>
      <c r="AM499" t="s">
        <v>3248</v>
      </c>
      <c r="AN499">
        <v>31200</v>
      </c>
    </row>
    <row r="500" spans="1:45">
      <c r="A500" s="1">
        <f>HYPERLINK("https://lsnyc.legalserver.org/matter/dynamic-profile/view/1910227","19-1910227")</f>
        <v>0</v>
      </c>
      <c r="B500" t="s">
        <v>94</v>
      </c>
      <c r="C500" t="s">
        <v>203</v>
      </c>
      <c r="D500" t="s">
        <v>143</v>
      </c>
      <c r="E500" t="s">
        <v>637</v>
      </c>
      <c r="F500" t="s">
        <v>1062</v>
      </c>
      <c r="G500" t="s">
        <v>1509</v>
      </c>
      <c r="H500">
        <v>5</v>
      </c>
      <c r="I500" t="s">
        <v>1754</v>
      </c>
      <c r="J500">
        <v>10030</v>
      </c>
      <c r="K500" t="s">
        <v>1779</v>
      </c>
      <c r="L500" t="s">
        <v>1781</v>
      </c>
      <c r="M500" t="s">
        <v>1782</v>
      </c>
      <c r="N500" t="s">
        <v>2014</v>
      </c>
      <c r="O500" t="s">
        <v>2029</v>
      </c>
      <c r="P500" t="s">
        <v>2050</v>
      </c>
      <c r="Q500" t="s">
        <v>2057</v>
      </c>
      <c r="R500" t="s">
        <v>2062</v>
      </c>
      <c r="S500" t="s">
        <v>1780</v>
      </c>
      <c r="T500" t="s">
        <v>2065</v>
      </c>
      <c r="V500" t="s">
        <v>203</v>
      </c>
      <c r="W500">
        <v>1000</v>
      </c>
      <c r="X500" t="s">
        <v>2091</v>
      </c>
      <c r="Y500" t="s">
        <v>2099</v>
      </c>
      <c r="Z500" t="s">
        <v>2110</v>
      </c>
      <c r="AA500" t="s">
        <v>2594</v>
      </c>
      <c r="AC500" t="s">
        <v>3161</v>
      </c>
      <c r="AD500">
        <v>42</v>
      </c>
      <c r="AE500" t="s">
        <v>2704</v>
      </c>
      <c r="AF500" t="s">
        <v>1783</v>
      </c>
      <c r="AG500">
        <v>6</v>
      </c>
      <c r="AH500">
        <v>1</v>
      </c>
      <c r="AI500">
        <v>0</v>
      </c>
      <c r="AJ500">
        <v>249.8</v>
      </c>
      <c r="AM500" t="s">
        <v>3249</v>
      </c>
      <c r="AN500">
        <v>31200</v>
      </c>
    </row>
    <row r="501" spans="1:45">
      <c r="A501" s="1">
        <f>HYPERLINK("https://lsnyc.legalserver.org/matter/dynamic-profile/view/1906893","19-1906893")</f>
        <v>0</v>
      </c>
      <c r="B501" t="s">
        <v>55</v>
      </c>
      <c r="C501" t="s">
        <v>152</v>
      </c>
      <c r="D501" t="s">
        <v>160</v>
      </c>
      <c r="E501" t="s">
        <v>370</v>
      </c>
      <c r="F501" t="s">
        <v>1063</v>
      </c>
      <c r="G501" t="s">
        <v>1510</v>
      </c>
      <c r="I501" t="s">
        <v>1749</v>
      </c>
      <c r="J501">
        <v>11233</v>
      </c>
      <c r="K501" t="s">
        <v>1779</v>
      </c>
      <c r="L501" t="s">
        <v>1781</v>
      </c>
      <c r="M501" t="s">
        <v>1782</v>
      </c>
      <c r="N501" t="s">
        <v>2015</v>
      </c>
      <c r="O501" t="s">
        <v>2030</v>
      </c>
      <c r="P501" t="s">
        <v>2050</v>
      </c>
      <c r="Q501" t="s">
        <v>2057</v>
      </c>
      <c r="R501" t="s">
        <v>2062</v>
      </c>
      <c r="S501" t="s">
        <v>1780</v>
      </c>
      <c r="T501" t="s">
        <v>2065</v>
      </c>
      <c r="V501" t="s">
        <v>198</v>
      </c>
      <c r="W501">
        <v>0</v>
      </c>
      <c r="X501" t="s">
        <v>2088</v>
      </c>
      <c r="Z501" t="s">
        <v>2110</v>
      </c>
      <c r="AA501" t="s">
        <v>2595</v>
      </c>
      <c r="AD501">
        <v>2</v>
      </c>
      <c r="AG501">
        <v>0</v>
      </c>
      <c r="AH501">
        <v>2</v>
      </c>
      <c r="AI501">
        <v>2</v>
      </c>
      <c r="AJ501">
        <v>252.43</v>
      </c>
      <c r="AM501" t="s">
        <v>3248</v>
      </c>
      <c r="AN501">
        <v>65000</v>
      </c>
    </row>
    <row r="502" spans="1:45">
      <c r="A502" s="1">
        <f>HYPERLINK("https://lsnyc.legalserver.org/matter/dynamic-profile/view/1904725","19-1904725")</f>
        <v>0</v>
      </c>
      <c r="B502" t="s">
        <v>73</v>
      </c>
      <c r="C502" t="s">
        <v>162</v>
      </c>
      <c r="E502" t="s">
        <v>249</v>
      </c>
      <c r="F502" t="s">
        <v>1014</v>
      </c>
      <c r="G502" t="s">
        <v>1424</v>
      </c>
      <c r="H502" t="s">
        <v>1726</v>
      </c>
      <c r="I502" t="s">
        <v>1754</v>
      </c>
      <c r="J502">
        <v>10034</v>
      </c>
      <c r="K502" t="s">
        <v>1779</v>
      </c>
      <c r="L502" t="s">
        <v>1781</v>
      </c>
      <c r="M502" t="s">
        <v>1782</v>
      </c>
      <c r="O502" t="s">
        <v>2031</v>
      </c>
      <c r="P502" t="s">
        <v>2051</v>
      </c>
      <c r="R502" t="s">
        <v>2062</v>
      </c>
      <c r="S502" t="s">
        <v>1779</v>
      </c>
      <c r="T502" t="s">
        <v>2065</v>
      </c>
      <c r="V502" t="s">
        <v>162</v>
      </c>
      <c r="W502">
        <v>1650</v>
      </c>
      <c r="X502" t="s">
        <v>2091</v>
      </c>
      <c r="Y502" t="s">
        <v>2099</v>
      </c>
      <c r="AA502" t="s">
        <v>2596</v>
      </c>
      <c r="AC502" t="s">
        <v>3162</v>
      </c>
      <c r="AD502">
        <v>43</v>
      </c>
      <c r="AE502" t="s">
        <v>3223</v>
      </c>
      <c r="AF502" t="s">
        <v>1783</v>
      </c>
      <c r="AG502">
        <v>24</v>
      </c>
      <c r="AH502">
        <v>2</v>
      </c>
      <c r="AI502">
        <v>2</v>
      </c>
      <c r="AJ502">
        <v>252.43</v>
      </c>
      <c r="AM502" t="s">
        <v>3248</v>
      </c>
      <c r="AN502">
        <v>65000</v>
      </c>
    </row>
    <row r="503" spans="1:45">
      <c r="A503" s="1">
        <f>HYPERLINK("https://lsnyc.legalserver.org/matter/dynamic-profile/view/1907851","19-1907851")</f>
        <v>0</v>
      </c>
      <c r="B503" t="s">
        <v>72</v>
      </c>
      <c r="C503" t="s">
        <v>208</v>
      </c>
      <c r="E503" t="s">
        <v>638</v>
      </c>
      <c r="F503" t="s">
        <v>1064</v>
      </c>
      <c r="G503" t="s">
        <v>1296</v>
      </c>
      <c r="H503" t="s">
        <v>1727</v>
      </c>
      <c r="I503" t="s">
        <v>1761</v>
      </c>
      <c r="J503">
        <v>11377</v>
      </c>
      <c r="K503" t="s">
        <v>1779</v>
      </c>
      <c r="L503" t="s">
        <v>1781</v>
      </c>
      <c r="M503" t="s">
        <v>1782</v>
      </c>
      <c r="N503" t="s">
        <v>1888</v>
      </c>
      <c r="O503" t="s">
        <v>2032</v>
      </c>
      <c r="P503" t="s">
        <v>2053</v>
      </c>
      <c r="R503" t="s">
        <v>2062</v>
      </c>
      <c r="S503" t="s">
        <v>1779</v>
      </c>
      <c r="T503" t="s">
        <v>2065</v>
      </c>
      <c r="V503" t="s">
        <v>208</v>
      </c>
      <c r="W503">
        <v>1291</v>
      </c>
      <c r="X503" t="s">
        <v>2087</v>
      </c>
      <c r="Y503" t="s">
        <v>2100</v>
      </c>
      <c r="AA503" t="s">
        <v>2597</v>
      </c>
      <c r="AC503" t="s">
        <v>3163</v>
      </c>
      <c r="AD503">
        <v>66</v>
      </c>
      <c r="AE503" t="s">
        <v>3223</v>
      </c>
      <c r="AF503" t="s">
        <v>1783</v>
      </c>
      <c r="AG503">
        <v>12</v>
      </c>
      <c r="AH503">
        <v>2</v>
      </c>
      <c r="AI503">
        <v>1</v>
      </c>
      <c r="AJ503">
        <v>257.85</v>
      </c>
      <c r="AM503" t="s">
        <v>3248</v>
      </c>
      <c r="AN503">
        <v>55000</v>
      </c>
    </row>
    <row r="504" spans="1:45">
      <c r="A504" s="1">
        <f>HYPERLINK("https://lsnyc.legalserver.org/matter/dynamic-profile/view/1907792","19-1907792")</f>
        <v>0</v>
      </c>
      <c r="B504" t="s">
        <v>68</v>
      </c>
      <c r="C504" t="s">
        <v>154</v>
      </c>
      <c r="E504" t="s">
        <v>639</v>
      </c>
      <c r="F504" t="s">
        <v>922</v>
      </c>
      <c r="G504" t="s">
        <v>1153</v>
      </c>
      <c r="H504" t="s">
        <v>1632</v>
      </c>
      <c r="I504" t="s">
        <v>1749</v>
      </c>
      <c r="J504">
        <v>11212</v>
      </c>
      <c r="K504" t="s">
        <v>1779</v>
      </c>
      <c r="L504" t="s">
        <v>1781</v>
      </c>
      <c r="M504" t="s">
        <v>1782</v>
      </c>
      <c r="N504" t="s">
        <v>1783</v>
      </c>
      <c r="O504" t="s">
        <v>2033</v>
      </c>
      <c r="P504" t="s">
        <v>2055</v>
      </c>
      <c r="R504" t="s">
        <v>2062</v>
      </c>
      <c r="S504" t="s">
        <v>1779</v>
      </c>
      <c r="T504" t="s">
        <v>2065</v>
      </c>
      <c r="U504" t="s">
        <v>2073</v>
      </c>
      <c r="V504" t="s">
        <v>146</v>
      </c>
      <c r="W504">
        <v>250</v>
      </c>
      <c r="X504" t="s">
        <v>2088</v>
      </c>
      <c r="Y504" t="s">
        <v>2100</v>
      </c>
      <c r="AA504" t="s">
        <v>2598</v>
      </c>
      <c r="AC504" t="s">
        <v>3164</v>
      </c>
      <c r="AD504">
        <v>96</v>
      </c>
      <c r="AE504" t="s">
        <v>3223</v>
      </c>
      <c r="AF504" t="s">
        <v>2094</v>
      </c>
      <c r="AG504">
        <v>2</v>
      </c>
      <c r="AH504">
        <v>1</v>
      </c>
      <c r="AI504">
        <v>0</v>
      </c>
      <c r="AJ504">
        <v>264.21</v>
      </c>
      <c r="AM504" t="s">
        <v>3248</v>
      </c>
      <c r="AN504">
        <v>33000</v>
      </c>
    </row>
    <row r="505" spans="1:45">
      <c r="A505" s="1">
        <f>HYPERLINK("https://lsnyc.legalserver.org/matter/dynamic-profile/view/1906387","19-1906387")</f>
        <v>0</v>
      </c>
      <c r="B505" t="s">
        <v>110</v>
      </c>
      <c r="C505" t="s">
        <v>161</v>
      </c>
      <c r="E505" t="s">
        <v>566</v>
      </c>
      <c r="F505" t="s">
        <v>1065</v>
      </c>
      <c r="G505" t="s">
        <v>1511</v>
      </c>
      <c r="H505">
        <v>41</v>
      </c>
      <c r="I505" t="s">
        <v>1754</v>
      </c>
      <c r="J505">
        <v>10032</v>
      </c>
      <c r="K505" t="s">
        <v>1779</v>
      </c>
      <c r="L505" t="s">
        <v>1781</v>
      </c>
      <c r="M505" t="s">
        <v>1782</v>
      </c>
      <c r="O505" t="s">
        <v>2031</v>
      </c>
      <c r="P505" t="s">
        <v>2054</v>
      </c>
      <c r="R505" t="s">
        <v>2062</v>
      </c>
      <c r="S505" t="s">
        <v>1779</v>
      </c>
      <c r="T505" t="s">
        <v>2065</v>
      </c>
      <c r="V505" t="s">
        <v>161</v>
      </c>
      <c r="W505">
        <v>1600</v>
      </c>
      <c r="X505" t="s">
        <v>2091</v>
      </c>
      <c r="Y505" t="s">
        <v>2099</v>
      </c>
      <c r="AA505" t="s">
        <v>2599</v>
      </c>
      <c r="AC505" t="s">
        <v>3165</v>
      </c>
      <c r="AD505">
        <v>46</v>
      </c>
      <c r="AE505" t="s">
        <v>3223</v>
      </c>
      <c r="AF505" t="s">
        <v>1783</v>
      </c>
      <c r="AG505">
        <v>30</v>
      </c>
      <c r="AH505">
        <v>2</v>
      </c>
      <c r="AI505">
        <v>3</v>
      </c>
      <c r="AJ505">
        <v>265.16</v>
      </c>
      <c r="AM505" t="s">
        <v>3248</v>
      </c>
      <c r="AN505">
        <v>80000</v>
      </c>
    </row>
    <row r="506" spans="1:45">
      <c r="A506" s="1">
        <f>HYPERLINK("https://lsnyc.legalserver.org/matter/dynamic-profile/view/1907402","19-1907402")</f>
        <v>0</v>
      </c>
      <c r="B506" t="s">
        <v>61</v>
      </c>
      <c r="C506" t="s">
        <v>148</v>
      </c>
      <c r="D506" t="s">
        <v>149</v>
      </c>
      <c r="E506" t="s">
        <v>640</v>
      </c>
      <c r="F506" t="s">
        <v>1066</v>
      </c>
      <c r="G506" t="s">
        <v>1512</v>
      </c>
      <c r="H506" t="s">
        <v>1592</v>
      </c>
      <c r="I506" t="s">
        <v>1749</v>
      </c>
      <c r="J506">
        <v>11212</v>
      </c>
      <c r="K506" t="s">
        <v>1779</v>
      </c>
      <c r="L506" t="s">
        <v>1781</v>
      </c>
      <c r="M506" t="s">
        <v>1782</v>
      </c>
      <c r="N506" t="s">
        <v>2016</v>
      </c>
      <c r="O506" t="s">
        <v>2029</v>
      </c>
      <c r="P506" t="s">
        <v>2055</v>
      </c>
      <c r="Q506" t="s">
        <v>2059</v>
      </c>
      <c r="R506" t="s">
        <v>2062</v>
      </c>
      <c r="S506" t="s">
        <v>1780</v>
      </c>
      <c r="T506" t="s">
        <v>2065</v>
      </c>
      <c r="U506" t="s">
        <v>2073</v>
      </c>
      <c r="V506" t="s">
        <v>155</v>
      </c>
      <c r="W506">
        <v>1100</v>
      </c>
      <c r="X506" t="s">
        <v>2088</v>
      </c>
      <c r="Y506" t="s">
        <v>2094</v>
      </c>
      <c r="Z506" t="s">
        <v>2116</v>
      </c>
      <c r="AA506" t="s">
        <v>2600</v>
      </c>
      <c r="AC506" t="s">
        <v>3166</v>
      </c>
      <c r="AD506">
        <v>4</v>
      </c>
      <c r="AE506" t="s">
        <v>3222</v>
      </c>
      <c r="AF506" t="s">
        <v>1783</v>
      </c>
      <c r="AG506">
        <v>17</v>
      </c>
      <c r="AH506">
        <v>2</v>
      </c>
      <c r="AI506">
        <v>0</v>
      </c>
      <c r="AJ506">
        <v>266.11</v>
      </c>
      <c r="AM506" t="s">
        <v>3248</v>
      </c>
      <c r="AN506">
        <v>45000</v>
      </c>
    </row>
    <row r="507" spans="1:45">
      <c r="A507" s="1">
        <f>HYPERLINK("https://lsnyc.legalserver.org/matter/dynamic-profile/view/1903680","19-1903680")</f>
        <v>0</v>
      </c>
      <c r="B507" t="s">
        <v>55</v>
      </c>
      <c r="C507" t="s">
        <v>211</v>
      </c>
      <c r="D507" t="s">
        <v>160</v>
      </c>
      <c r="E507" t="s">
        <v>355</v>
      </c>
      <c r="F507" t="s">
        <v>1067</v>
      </c>
      <c r="G507" t="s">
        <v>1513</v>
      </c>
      <c r="H507" t="s">
        <v>1728</v>
      </c>
      <c r="I507" t="s">
        <v>1749</v>
      </c>
      <c r="J507">
        <v>11208</v>
      </c>
      <c r="K507" t="s">
        <v>1779</v>
      </c>
      <c r="L507" t="s">
        <v>1781</v>
      </c>
      <c r="M507" t="s">
        <v>1782</v>
      </c>
      <c r="N507" t="s">
        <v>2017</v>
      </c>
      <c r="O507" t="s">
        <v>2030</v>
      </c>
      <c r="P507" t="s">
        <v>2055</v>
      </c>
      <c r="Q507" t="s">
        <v>2059</v>
      </c>
      <c r="R507" t="s">
        <v>2062</v>
      </c>
      <c r="S507" t="s">
        <v>1780</v>
      </c>
      <c r="T507" t="s">
        <v>2065</v>
      </c>
      <c r="U507" t="s">
        <v>2075</v>
      </c>
      <c r="V507" t="s">
        <v>147</v>
      </c>
      <c r="W507">
        <v>1700</v>
      </c>
      <c r="X507" t="s">
        <v>2088</v>
      </c>
      <c r="Y507" t="s">
        <v>2092</v>
      </c>
      <c r="Z507" t="s">
        <v>2110</v>
      </c>
      <c r="AA507" t="s">
        <v>2601</v>
      </c>
      <c r="AB507" t="s">
        <v>1783</v>
      </c>
      <c r="AD507">
        <v>20</v>
      </c>
      <c r="AE507" t="s">
        <v>3223</v>
      </c>
      <c r="AF507" t="s">
        <v>1783</v>
      </c>
      <c r="AG507">
        <v>2</v>
      </c>
      <c r="AH507">
        <v>2</v>
      </c>
      <c r="AI507">
        <v>1</v>
      </c>
      <c r="AJ507">
        <v>266.43</v>
      </c>
      <c r="AM507" t="s">
        <v>3248</v>
      </c>
      <c r="AN507">
        <v>56830</v>
      </c>
    </row>
    <row r="508" spans="1:45">
      <c r="A508" s="1">
        <f>HYPERLINK("https://lsnyc.legalserver.org/matter/dynamic-profile/view/1907459","19-1907459")</f>
        <v>0</v>
      </c>
      <c r="B508" t="s">
        <v>82</v>
      </c>
      <c r="C508" t="s">
        <v>139</v>
      </c>
      <c r="E508" t="s">
        <v>641</v>
      </c>
      <c r="F508" t="s">
        <v>1068</v>
      </c>
      <c r="G508" t="s">
        <v>1514</v>
      </c>
      <c r="H508">
        <v>4</v>
      </c>
      <c r="I508" t="s">
        <v>1754</v>
      </c>
      <c r="J508">
        <v>10034</v>
      </c>
      <c r="K508" t="s">
        <v>1779</v>
      </c>
      <c r="L508" t="s">
        <v>1781</v>
      </c>
      <c r="M508" t="s">
        <v>1782</v>
      </c>
      <c r="P508" t="s">
        <v>2052</v>
      </c>
      <c r="R508" t="s">
        <v>2062</v>
      </c>
      <c r="S508" t="s">
        <v>1780</v>
      </c>
      <c r="T508" t="s">
        <v>2065</v>
      </c>
      <c r="V508" t="s">
        <v>139</v>
      </c>
      <c r="W508">
        <v>1384</v>
      </c>
      <c r="X508" t="s">
        <v>2091</v>
      </c>
      <c r="Y508" t="s">
        <v>2099</v>
      </c>
      <c r="AA508" t="s">
        <v>2602</v>
      </c>
      <c r="AC508" t="s">
        <v>3167</v>
      </c>
      <c r="AD508">
        <v>20</v>
      </c>
      <c r="AE508" t="s">
        <v>3223</v>
      </c>
      <c r="AF508" t="s">
        <v>1783</v>
      </c>
      <c r="AG508">
        <v>7</v>
      </c>
      <c r="AH508">
        <v>4</v>
      </c>
      <c r="AI508">
        <v>1</v>
      </c>
      <c r="AJ508">
        <v>271.79</v>
      </c>
      <c r="AM508" t="s">
        <v>3249</v>
      </c>
      <c r="AN508">
        <v>82000</v>
      </c>
    </row>
    <row r="509" spans="1:45">
      <c r="A509" s="1">
        <f>HYPERLINK("https://lsnyc.legalserver.org/matter/dynamic-profile/view/1897595","19-1897595")</f>
        <v>0</v>
      </c>
      <c r="B509" t="s">
        <v>89</v>
      </c>
      <c r="C509" t="s">
        <v>183</v>
      </c>
      <c r="E509" t="s">
        <v>642</v>
      </c>
      <c r="F509" t="s">
        <v>998</v>
      </c>
      <c r="G509" t="s">
        <v>1515</v>
      </c>
      <c r="H509" t="s">
        <v>1729</v>
      </c>
      <c r="I509" t="s">
        <v>1748</v>
      </c>
      <c r="J509">
        <v>11368</v>
      </c>
      <c r="K509" t="s">
        <v>1779</v>
      </c>
      <c r="L509" t="s">
        <v>1779</v>
      </c>
      <c r="M509" t="s">
        <v>1782</v>
      </c>
      <c r="N509" t="s">
        <v>2018</v>
      </c>
      <c r="O509" t="s">
        <v>2032</v>
      </c>
      <c r="P509" t="s">
        <v>2053</v>
      </c>
      <c r="R509" t="s">
        <v>2062</v>
      </c>
      <c r="S509" t="s">
        <v>1779</v>
      </c>
      <c r="T509" t="s">
        <v>2065</v>
      </c>
      <c r="U509" t="s">
        <v>2073</v>
      </c>
      <c r="V509" t="s">
        <v>246</v>
      </c>
      <c r="W509">
        <v>1293</v>
      </c>
      <c r="X509" t="s">
        <v>2087</v>
      </c>
      <c r="Y509" t="s">
        <v>2094</v>
      </c>
      <c r="AA509" t="s">
        <v>2603</v>
      </c>
      <c r="AC509" t="s">
        <v>3168</v>
      </c>
      <c r="AD509">
        <v>70</v>
      </c>
      <c r="AE509" t="s">
        <v>3223</v>
      </c>
      <c r="AF509" t="s">
        <v>1783</v>
      </c>
      <c r="AG509">
        <v>30</v>
      </c>
      <c r="AH509">
        <v>2</v>
      </c>
      <c r="AI509">
        <v>0</v>
      </c>
      <c r="AJ509">
        <v>276.76</v>
      </c>
      <c r="AM509" t="s">
        <v>3248</v>
      </c>
      <c r="AN509">
        <v>46800</v>
      </c>
    </row>
    <row r="510" spans="1:45">
      <c r="A510" s="1">
        <f>HYPERLINK("https://lsnyc.legalserver.org/matter/dynamic-profile/view/1906532","19-1906532")</f>
        <v>0</v>
      </c>
      <c r="B510" t="s">
        <v>55</v>
      </c>
      <c r="C510" t="s">
        <v>205</v>
      </c>
      <c r="D510" t="s">
        <v>192</v>
      </c>
      <c r="E510" t="s">
        <v>643</v>
      </c>
      <c r="F510" t="s">
        <v>1069</v>
      </c>
      <c r="G510" t="s">
        <v>1516</v>
      </c>
      <c r="H510" t="s">
        <v>1730</v>
      </c>
      <c r="I510" t="s">
        <v>1749</v>
      </c>
      <c r="J510">
        <v>11207</v>
      </c>
      <c r="K510" t="s">
        <v>1779</v>
      </c>
      <c r="L510" t="s">
        <v>1781</v>
      </c>
      <c r="M510" t="s">
        <v>1782</v>
      </c>
      <c r="N510" t="s">
        <v>2019</v>
      </c>
      <c r="O510" t="s">
        <v>2030</v>
      </c>
      <c r="P510" t="s">
        <v>2050</v>
      </c>
      <c r="Q510" t="s">
        <v>2057</v>
      </c>
      <c r="R510" t="s">
        <v>2062</v>
      </c>
      <c r="S510" t="s">
        <v>1780</v>
      </c>
      <c r="T510" t="s">
        <v>2065</v>
      </c>
      <c r="V510" t="s">
        <v>139</v>
      </c>
      <c r="W510">
        <v>1500</v>
      </c>
      <c r="X510" t="s">
        <v>2088</v>
      </c>
      <c r="Y510" t="s">
        <v>2094</v>
      </c>
      <c r="Z510" t="s">
        <v>2110</v>
      </c>
      <c r="AA510" t="s">
        <v>2604</v>
      </c>
      <c r="AB510" t="s">
        <v>1793</v>
      </c>
      <c r="AC510" t="s">
        <v>3169</v>
      </c>
      <c r="AD510">
        <v>18</v>
      </c>
      <c r="AE510" t="s">
        <v>3223</v>
      </c>
      <c r="AF510" t="s">
        <v>1783</v>
      </c>
      <c r="AG510">
        <v>1</v>
      </c>
      <c r="AH510">
        <v>1</v>
      </c>
      <c r="AI510">
        <v>1</v>
      </c>
      <c r="AJ510">
        <v>286.6</v>
      </c>
      <c r="AM510" t="s">
        <v>3248</v>
      </c>
      <c r="AN510">
        <v>48464</v>
      </c>
      <c r="AS510" t="s">
        <v>3315</v>
      </c>
    </row>
    <row r="511" spans="1:45">
      <c r="A511" s="1">
        <f>HYPERLINK("https://lsnyc.legalserver.org/matter/dynamic-profile/view/1905948","19-1905948")</f>
        <v>0</v>
      </c>
      <c r="B511" t="s">
        <v>120</v>
      </c>
      <c r="C511" t="s">
        <v>186</v>
      </c>
      <c r="E511" t="s">
        <v>644</v>
      </c>
      <c r="F511" t="s">
        <v>779</v>
      </c>
      <c r="G511" t="s">
        <v>1309</v>
      </c>
      <c r="H511" t="s">
        <v>1731</v>
      </c>
      <c r="I511" t="s">
        <v>1749</v>
      </c>
      <c r="J511">
        <v>11213</v>
      </c>
      <c r="K511" t="s">
        <v>1779</v>
      </c>
      <c r="L511" t="s">
        <v>1781</v>
      </c>
      <c r="M511" t="s">
        <v>1782</v>
      </c>
      <c r="N511" t="s">
        <v>1792</v>
      </c>
      <c r="O511" t="s">
        <v>1793</v>
      </c>
      <c r="P511" t="s">
        <v>2052</v>
      </c>
      <c r="R511" t="s">
        <v>2062</v>
      </c>
      <c r="S511" t="s">
        <v>1780</v>
      </c>
      <c r="T511" t="s">
        <v>2065</v>
      </c>
      <c r="U511" t="s">
        <v>2073</v>
      </c>
      <c r="V511" t="s">
        <v>145</v>
      </c>
      <c r="W511">
        <v>1025.26</v>
      </c>
      <c r="X511" t="s">
        <v>2088</v>
      </c>
      <c r="Y511" t="s">
        <v>2100</v>
      </c>
      <c r="AA511" t="s">
        <v>2605</v>
      </c>
      <c r="AB511" t="s">
        <v>1799</v>
      </c>
      <c r="AD511">
        <v>34</v>
      </c>
      <c r="AE511" t="s">
        <v>3223</v>
      </c>
      <c r="AF511" t="s">
        <v>1783</v>
      </c>
      <c r="AG511">
        <v>9</v>
      </c>
      <c r="AH511">
        <v>1</v>
      </c>
      <c r="AI511">
        <v>0</v>
      </c>
      <c r="AJ511">
        <v>286.63</v>
      </c>
      <c r="AM511" t="s">
        <v>3248</v>
      </c>
      <c r="AN511">
        <v>35800</v>
      </c>
    </row>
    <row r="512" spans="1:45">
      <c r="A512" s="1">
        <f>HYPERLINK("https://lsnyc.legalserver.org/matter/dynamic-profile/view/1907581","19-1907581")</f>
        <v>0</v>
      </c>
      <c r="B512" t="s">
        <v>82</v>
      </c>
      <c r="C512" t="s">
        <v>160</v>
      </c>
      <c r="E512" t="s">
        <v>374</v>
      </c>
      <c r="F512" t="s">
        <v>1070</v>
      </c>
      <c r="G512" t="s">
        <v>1517</v>
      </c>
      <c r="H512" t="s">
        <v>1732</v>
      </c>
      <c r="I512" t="s">
        <v>1754</v>
      </c>
      <c r="J512">
        <v>10034</v>
      </c>
      <c r="K512" t="s">
        <v>1779</v>
      </c>
      <c r="L512" t="s">
        <v>1781</v>
      </c>
      <c r="M512" t="s">
        <v>1782</v>
      </c>
      <c r="O512" t="s">
        <v>2034</v>
      </c>
      <c r="P512" t="s">
        <v>2050</v>
      </c>
      <c r="R512" t="s">
        <v>2062</v>
      </c>
      <c r="S512" t="s">
        <v>1780</v>
      </c>
      <c r="T512" t="s">
        <v>2065</v>
      </c>
      <c r="V512" t="s">
        <v>160</v>
      </c>
      <c r="W512">
        <v>2700</v>
      </c>
      <c r="X512" t="s">
        <v>2091</v>
      </c>
      <c r="Y512" t="s">
        <v>2099</v>
      </c>
      <c r="AA512" t="s">
        <v>2606</v>
      </c>
      <c r="AD512">
        <v>65</v>
      </c>
      <c r="AE512" t="s">
        <v>3223</v>
      </c>
      <c r="AF512" t="s">
        <v>1783</v>
      </c>
      <c r="AG512">
        <v>25</v>
      </c>
      <c r="AH512">
        <v>2</v>
      </c>
      <c r="AI512">
        <v>0</v>
      </c>
      <c r="AJ512">
        <v>305.14</v>
      </c>
      <c r="AM512" t="s">
        <v>3261</v>
      </c>
      <c r="AN512">
        <v>51600</v>
      </c>
    </row>
    <row r="513" spans="1:41">
      <c r="A513" s="1">
        <f>HYPERLINK("https://lsnyc.legalserver.org/matter/dynamic-profile/view/1906964","19-1906964")</f>
        <v>0</v>
      </c>
      <c r="B513" t="s">
        <v>108</v>
      </c>
      <c r="C513" t="s">
        <v>152</v>
      </c>
      <c r="D513" t="s">
        <v>188</v>
      </c>
      <c r="E513" t="s">
        <v>645</v>
      </c>
      <c r="F513" t="s">
        <v>1071</v>
      </c>
      <c r="G513" t="s">
        <v>1518</v>
      </c>
      <c r="I513" t="s">
        <v>1754</v>
      </c>
      <c r="J513">
        <v>10009</v>
      </c>
      <c r="K513" t="s">
        <v>1779</v>
      </c>
      <c r="L513" t="s">
        <v>1781</v>
      </c>
      <c r="M513" t="s">
        <v>1782</v>
      </c>
      <c r="O513" t="s">
        <v>2033</v>
      </c>
      <c r="P513" t="s">
        <v>2054</v>
      </c>
      <c r="Q513" t="s">
        <v>2059</v>
      </c>
      <c r="R513" t="s">
        <v>2062</v>
      </c>
      <c r="T513" t="s">
        <v>2065</v>
      </c>
      <c r="V513" t="s">
        <v>152</v>
      </c>
      <c r="W513">
        <v>0</v>
      </c>
      <c r="X513" t="s">
        <v>2088</v>
      </c>
      <c r="Z513" t="s">
        <v>2112</v>
      </c>
      <c r="AA513" t="s">
        <v>2607</v>
      </c>
      <c r="AC513" t="s">
        <v>3170</v>
      </c>
      <c r="AD513">
        <v>0</v>
      </c>
      <c r="AG513">
        <v>0</v>
      </c>
      <c r="AH513">
        <v>2</v>
      </c>
      <c r="AI513">
        <v>0</v>
      </c>
      <c r="AJ513">
        <v>313.02</v>
      </c>
      <c r="AM513" t="s">
        <v>3248</v>
      </c>
      <c r="AN513">
        <v>52932</v>
      </c>
      <c r="AO513" t="s">
        <v>3277</v>
      </c>
    </row>
    <row r="514" spans="1:41">
      <c r="A514" s="1">
        <f>HYPERLINK("https://lsnyc.legalserver.org/matter/dynamic-profile/view/1910921","19-1910921")</f>
        <v>0</v>
      </c>
      <c r="B514" t="s">
        <v>51</v>
      </c>
      <c r="C514" t="s">
        <v>142</v>
      </c>
      <c r="E514" t="s">
        <v>646</v>
      </c>
      <c r="F514" t="s">
        <v>1072</v>
      </c>
      <c r="G514" t="s">
        <v>1215</v>
      </c>
      <c r="H514" t="s">
        <v>1576</v>
      </c>
      <c r="I514" t="s">
        <v>1749</v>
      </c>
      <c r="J514">
        <v>11238</v>
      </c>
      <c r="K514" t="s">
        <v>1779</v>
      </c>
      <c r="L514" t="s">
        <v>1781</v>
      </c>
      <c r="M514" t="s">
        <v>1782</v>
      </c>
      <c r="N514" t="s">
        <v>2020</v>
      </c>
      <c r="O514" t="s">
        <v>2030</v>
      </c>
      <c r="P514" t="s">
        <v>2051</v>
      </c>
      <c r="R514" t="s">
        <v>2062</v>
      </c>
      <c r="S514" t="s">
        <v>1779</v>
      </c>
      <c r="T514" t="s">
        <v>2065</v>
      </c>
      <c r="U514" t="s">
        <v>2075</v>
      </c>
      <c r="V514" t="s">
        <v>2086</v>
      </c>
      <c r="W514">
        <v>0</v>
      </c>
      <c r="X514" t="s">
        <v>2088</v>
      </c>
      <c r="Y514" t="s">
        <v>2095</v>
      </c>
      <c r="AA514" t="s">
        <v>2608</v>
      </c>
      <c r="AD514">
        <v>29</v>
      </c>
      <c r="AE514" t="s">
        <v>3223</v>
      </c>
      <c r="AF514" t="s">
        <v>1783</v>
      </c>
      <c r="AG514">
        <v>0</v>
      </c>
      <c r="AH514">
        <v>2</v>
      </c>
      <c r="AI514">
        <v>0</v>
      </c>
      <c r="AJ514">
        <v>317.94</v>
      </c>
      <c r="AM514" t="s">
        <v>3249</v>
      </c>
      <c r="AN514">
        <v>53762.88</v>
      </c>
    </row>
    <row r="515" spans="1:41">
      <c r="A515" s="1">
        <f>HYPERLINK("https://lsnyc.legalserver.org/matter/dynamic-profile/view/1907690","19-1907690")</f>
        <v>0</v>
      </c>
      <c r="B515" t="s">
        <v>72</v>
      </c>
      <c r="C515" t="s">
        <v>185</v>
      </c>
      <c r="E515" t="s">
        <v>647</v>
      </c>
      <c r="F515" t="s">
        <v>1073</v>
      </c>
      <c r="G515" t="s">
        <v>1501</v>
      </c>
      <c r="H515" t="s">
        <v>1573</v>
      </c>
      <c r="I515" t="s">
        <v>1761</v>
      </c>
      <c r="J515">
        <v>11377</v>
      </c>
      <c r="K515" t="s">
        <v>1779</v>
      </c>
      <c r="L515" t="s">
        <v>1781</v>
      </c>
      <c r="M515" t="s">
        <v>1782</v>
      </c>
      <c r="N515" t="s">
        <v>2010</v>
      </c>
      <c r="O515" t="s">
        <v>2032</v>
      </c>
      <c r="P515" t="s">
        <v>2053</v>
      </c>
      <c r="R515" t="s">
        <v>2062</v>
      </c>
      <c r="S515" t="s">
        <v>1779</v>
      </c>
      <c r="T515" t="s">
        <v>2065</v>
      </c>
      <c r="U515" t="s">
        <v>2073</v>
      </c>
      <c r="V515" t="s">
        <v>185</v>
      </c>
      <c r="W515">
        <v>1635.49</v>
      </c>
      <c r="X515" t="s">
        <v>2087</v>
      </c>
      <c r="Y515" t="s">
        <v>2100</v>
      </c>
      <c r="AA515" t="s">
        <v>2609</v>
      </c>
      <c r="AC515" t="s">
        <v>3171</v>
      </c>
      <c r="AD515">
        <v>390</v>
      </c>
      <c r="AE515" t="s">
        <v>2704</v>
      </c>
      <c r="AF515" t="s">
        <v>1783</v>
      </c>
      <c r="AG515">
        <v>5</v>
      </c>
      <c r="AH515">
        <v>3</v>
      </c>
      <c r="AI515">
        <v>1</v>
      </c>
      <c r="AJ515">
        <v>322.33</v>
      </c>
      <c r="AM515" t="s">
        <v>3248</v>
      </c>
      <c r="AN515">
        <v>83000</v>
      </c>
    </row>
    <row r="516" spans="1:41">
      <c r="A516" s="1">
        <f>HYPERLINK("https://lsnyc.legalserver.org/matter/dynamic-profile/view/1905488","19-1905488")</f>
        <v>0</v>
      </c>
      <c r="B516" t="s">
        <v>73</v>
      </c>
      <c r="C516" t="s">
        <v>172</v>
      </c>
      <c r="E516" t="s">
        <v>607</v>
      </c>
      <c r="F516" t="s">
        <v>1074</v>
      </c>
      <c r="G516" t="s">
        <v>1519</v>
      </c>
      <c r="H516" t="s">
        <v>1676</v>
      </c>
      <c r="I516" t="s">
        <v>1754</v>
      </c>
      <c r="J516">
        <v>10034</v>
      </c>
      <c r="K516" t="s">
        <v>1779</v>
      </c>
      <c r="L516" t="s">
        <v>1781</v>
      </c>
      <c r="M516" t="s">
        <v>1782</v>
      </c>
      <c r="O516" t="s">
        <v>2031</v>
      </c>
      <c r="P516" t="s">
        <v>2051</v>
      </c>
      <c r="R516" t="s">
        <v>2062</v>
      </c>
      <c r="S516" t="s">
        <v>1780</v>
      </c>
      <c r="T516" t="s">
        <v>2065</v>
      </c>
      <c r="V516" t="s">
        <v>172</v>
      </c>
      <c r="W516">
        <v>1550</v>
      </c>
      <c r="X516" t="s">
        <v>2091</v>
      </c>
      <c r="Y516" t="s">
        <v>2099</v>
      </c>
      <c r="AA516" t="s">
        <v>2610</v>
      </c>
      <c r="AC516" t="s">
        <v>3172</v>
      </c>
      <c r="AD516">
        <v>44</v>
      </c>
      <c r="AE516" t="s">
        <v>3223</v>
      </c>
      <c r="AF516" t="s">
        <v>1783</v>
      </c>
      <c r="AG516">
        <v>3</v>
      </c>
      <c r="AH516">
        <v>1</v>
      </c>
      <c r="AI516">
        <v>1</v>
      </c>
      <c r="AJ516">
        <v>325.25</v>
      </c>
      <c r="AM516" t="s">
        <v>3248</v>
      </c>
      <c r="AN516">
        <v>55000</v>
      </c>
    </row>
    <row r="517" spans="1:41">
      <c r="A517" s="1">
        <f>HYPERLINK("https://lsnyc.legalserver.org/matter/dynamic-profile/view/1905149","19-1905149")</f>
        <v>0</v>
      </c>
      <c r="B517" t="s">
        <v>48</v>
      </c>
      <c r="C517" t="s">
        <v>151</v>
      </c>
      <c r="E517" t="s">
        <v>599</v>
      </c>
      <c r="F517" t="s">
        <v>769</v>
      </c>
      <c r="G517" t="s">
        <v>1520</v>
      </c>
      <c r="H517" t="s">
        <v>1559</v>
      </c>
      <c r="I517" t="s">
        <v>1769</v>
      </c>
      <c r="J517">
        <v>11385</v>
      </c>
      <c r="K517" t="s">
        <v>1779</v>
      </c>
      <c r="L517" t="s">
        <v>1781</v>
      </c>
      <c r="M517" t="s">
        <v>1782</v>
      </c>
      <c r="N517" t="s">
        <v>2021</v>
      </c>
      <c r="O517" t="s">
        <v>2030</v>
      </c>
      <c r="P517" t="s">
        <v>2051</v>
      </c>
      <c r="R517" t="s">
        <v>2062</v>
      </c>
      <c r="S517" t="s">
        <v>1780</v>
      </c>
      <c r="T517" t="s">
        <v>2065</v>
      </c>
      <c r="U517" t="s">
        <v>2073</v>
      </c>
      <c r="V517" t="s">
        <v>151</v>
      </c>
      <c r="W517">
        <v>1050</v>
      </c>
      <c r="X517" t="s">
        <v>2087</v>
      </c>
      <c r="Y517" t="s">
        <v>2100</v>
      </c>
      <c r="AA517" t="s">
        <v>2611</v>
      </c>
      <c r="AC517" t="s">
        <v>3173</v>
      </c>
      <c r="AD517">
        <v>6</v>
      </c>
      <c r="AE517" t="s">
        <v>3223</v>
      </c>
      <c r="AF517" t="s">
        <v>1783</v>
      </c>
      <c r="AG517">
        <v>14</v>
      </c>
      <c r="AH517">
        <v>1</v>
      </c>
      <c r="AI517">
        <v>2</v>
      </c>
      <c r="AJ517">
        <v>327.79</v>
      </c>
      <c r="AK517" t="s">
        <v>157</v>
      </c>
      <c r="AL517" t="s">
        <v>3247</v>
      </c>
      <c r="AM517" t="s">
        <v>3248</v>
      </c>
      <c r="AN517">
        <v>69918</v>
      </c>
    </row>
    <row r="518" spans="1:41">
      <c r="A518" s="1">
        <f>HYPERLINK("https://lsnyc.legalserver.org/matter/dynamic-profile/view/1898066","19-1898066")</f>
        <v>0</v>
      </c>
      <c r="B518" t="s">
        <v>96</v>
      </c>
      <c r="C518" t="s">
        <v>140</v>
      </c>
      <c r="E518" t="s">
        <v>648</v>
      </c>
      <c r="F518" t="s">
        <v>855</v>
      </c>
      <c r="G518" t="s">
        <v>1521</v>
      </c>
      <c r="H518">
        <v>15</v>
      </c>
      <c r="I518" t="s">
        <v>1749</v>
      </c>
      <c r="J518">
        <v>11226</v>
      </c>
      <c r="K518" t="s">
        <v>1779</v>
      </c>
      <c r="L518" t="s">
        <v>1781</v>
      </c>
      <c r="M518" t="s">
        <v>1782</v>
      </c>
      <c r="O518" t="s">
        <v>2031</v>
      </c>
      <c r="P518" t="s">
        <v>2051</v>
      </c>
      <c r="R518" t="s">
        <v>2062</v>
      </c>
      <c r="S518" t="s">
        <v>1779</v>
      </c>
      <c r="T518" t="s">
        <v>2065</v>
      </c>
      <c r="V518" t="s">
        <v>140</v>
      </c>
      <c r="W518">
        <v>717</v>
      </c>
      <c r="X518" t="s">
        <v>2088</v>
      </c>
      <c r="AA518" t="s">
        <v>2612</v>
      </c>
      <c r="AC518" t="s">
        <v>3174</v>
      </c>
      <c r="AD518">
        <v>16</v>
      </c>
      <c r="AG518">
        <v>14</v>
      </c>
      <c r="AH518">
        <v>3</v>
      </c>
      <c r="AI518">
        <v>0</v>
      </c>
      <c r="AJ518">
        <v>328.18</v>
      </c>
      <c r="AM518" t="s">
        <v>3248</v>
      </c>
      <c r="AN518">
        <v>70000</v>
      </c>
    </row>
    <row r="519" spans="1:41">
      <c r="A519" s="1">
        <f>HYPERLINK("https://lsnyc.legalserver.org/matter/dynamic-profile/view/1905193","19-1905193")</f>
        <v>0</v>
      </c>
      <c r="B519" t="s">
        <v>60</v>
      </c>
      <c r="C519" t="s">
        <v>167</v>
      </c>
      <c r="E519" t="s">
        <v>649</v>
      </c>
      <c r="F519" t="s">
        <v>1075</v>
      </c>
      <c r="G519" t="s">
        <v>1312</v>
      </c>
      <c r="H519" t="s">
        <v>1698</v>
      </c>
      <c r="I519" t="s">
        <v>1749</v>
      </c>
      <c r="J519">
        <v>11220</v>
      </c>
      <c r="K519" t="s">
        <v>1779</v>
      </c>
      <c r="L519" t="s">
        <v>1781</v>
      </c>
      <c r="M519" t="s">
        <v>1782</v>
      </c>
      <c r="O519" t="s">
        <v>2031</v>
      </c>
      <c r="P519" t="s">
        <v>2051</v>
      </c>
      <c r="R519" t="s">
        <v>2062</v>
      </c>
      <c r="S519" t="s">
        <v>1779</v>
      </c>
      <c r="T519" t="s">
        <v>2065</v>
      </c>
      <c r="V519" t="s">
        <v>176</v>
      </c>
      <c r="W519">
        <v>0</v>
      </c>
      <c r="X519" t="s">
        <v>2088</v>
      </c>
      <c r="AA519" t="s">
        <v>2613</v>
      </c>
      <c r="AC519" t="s">
        <v>3175</v>
      </c>
      <c r="AD519">
        <v>54</v>
      </c>
      <c r="AG519">
        <v>0</v>
      </c>
      <c r="AH519">
        <v>1</v>
      </c>
      <c r="AI519">
        <v>0</v>
      </c>
      <c r="AJ519">
        <v>333.07</v>
      </c>
      <c r="AM519" t="s">
        <v>3248</v>
      </c>
      <c r="AN519">
        <v>41600</v>
      </c>
    </row>
    <row r="520" spans="1:41">
      <c r="A520" s="1">
        <f>HYPERLINK("https://lsnyc.legalserver.org/matter/dynamic-profile/view/1902627","19-1902627")</f>
        <v>0</v>
      </c>
      <c r="B520" t="s">
        <v>57</v>
      </c>
      <c r="C520" t="s">
        <v>237</v>
      </c>
      <c r="D520" t="s">
        <v>164</v>
      </c>
      <c r="E520" t="s">
        <v>650</v>
      </c>
      <c r="F520" t="s">
        <v>1076</v>
      </c>
      <c r="G520" t="s">
        <v>1522</v>
      </c>
      <c r="H520" t="s">
        <v>1733</v>
      </c>
      <c r="I520" t="s">
        <v>1749</v>
      </c>
      <c r="J520">
        <v>11210</v>
      </c>
      <c r="K520" t="s">
        <v>1779</v>
      </c>
      <c r="L520" t="s">
        <v>1781</v>
      </c>
      <c r="M520" t="s">
        <v>1782</v>
      </c>
      <c r="N520" t="s">
        <v>1793</v>
      </c>
      <c r="O520" t="s">
        <v>1793</v>
      </c>
      <c r="P520" t="s">
        <v>2050</v>
      </c>
      <c r="Q520" t="s">
        <v>2057</v>
      </c>
      <c r="R520" t="s">
        <v>2062</v>
      </c>
      <c r="S520" t="s">
        <v>1780</v>
      </c>
      <c r="T520" t="s">
        <v>2065</v>
      </c>
      <c r="V520" t="s">
        <v>213</v>
      </c>
      <c r="W520">
        <v>800</v>
      </c>
      <c r="X520" t="s">
        <v>2088</v>
      </c>
      <c r="Y520" t="s">
        <v>2100</v>
      </c>
      <c r="Z520" t="s">
        <v>2110</v>
      </c>
      <c r="AA520" t="s">
        <v>2614</v>
      </c>
      <c r="AC520" t="s">
        <v>3176</v>
      </c>
      <c r="AD520">
        <v>3</v>
      </c>
      <c r="AE520" t="s">
        <v>3222</v>
      </c>
      <c r="AF520" t="s">
        <v>1783</v>
      </c>
      <c r="AG520">
        <v>0</v>
      </c>
      <c r="AH520">
        <v>1</v>
      </c>
      <c r="AI520">
        <v>0</v>
      </c>
      <c r="AJ520">
        <v>333.07</v>
      </c>
      <c r="AM520" t="s">
        <v>3248</v>
      </c>
      <c r="AN520">
        <v>41600</v>
      </c>
    </row>
    <row r="521" spans="1:41">
      <c r="A521" s="1">
        <f>HYPERLINK("https://lsnyc.legalserver.org/matter/dynamic-profile/view/1902986","19-1902986")</f>
        <v>0</v>
      </c>
      <c r="B521" t="s">
        <v>87</v>
      </c>
      <c r="C521" t="s">
        <v>219</v>
      </c>
      <c r="D521" t="s">
        <v>141</v>
      </c>
      <c r="E521" t="s">
        <v>265</v>
      </c>
      <c r="F521" t="s">
        <v>1007</v>
      </c>
      <c r="G521" t="s">
        <v>1523</v>
      </c>
      <c r="H521" t="s">
        <v>1734</v>
      </c>
      <c r="I521" t="s">
        <v>1749</v>
      </c>
      <c r="J521">
        <v>11216</v>
      </c>
      <c r="K521" t="s">
        <v>1779</v>
      </c>
      <c r="L521" t="s">
        <v>1781</v>
      </c>
      <c r="M521" t="s">
        <v>1782</v>
      </c>
      <c r="N521" t="s">
        <v>2022</v>
      </c>
      <c r="O521" t="s">
        <v>2045</v>
      </c>
      <c r="P521" t="s">
        <v>2050</v>
      </c>
      <c r="Q521" t="s">
        <v>2057</v>
      </c>
      <c r="R521" t="s">
        <v>2062</v>
      </c>
      <c r="T521" t="s">
        <v>2071</v>
      </c>
      <c r="V521" t="s">
        <v>162</v>
      </c>
      <c r="W521">
        <v>0</v>
      </c>
      <c r="X521" t="s">
        <v>2088</v>
      </c>
      <c r="Z521" t="s">
        <v>2118</v>
      </c>
      <c r="AA521" t="s">
        <v>2615</v>
      </c>
      <c r="AC521" t="s">
        <v>3177</v>
      </c>
      <c r="AD521">
        <v>0</v>
      </c>
      <c r="AG521">
        <v>0</v>
      </c>
      <c r="AH521">
        <v>1</v>
      </c>
      <c r="AI521">
        <v>0</v>
      </c>
      <c r="AJ521">
        <v>345.88</v>
      </c>
      <c r="AM521" t="s">
        <v>3248</v>
      </c>
      <c r="AN521">
        <v>43200</v>
      </c>
    </row>
    <row r="522" spans="1:41">
      <c r="A522" s="1">
        <f>HYPERLINK("https://lsnyc.legalserver.org/matter/dynamic-profile/view/1904601","19-1904601")</f>
        <v>0</v>
      </c>
      <c r="B522" t="s">
        <v>67</v>
      </c>
      <c r="C522" t="s">
        <v>169</v>
      </c>
      <c r="E522" t="s">
        <v>292</v>
      </c>
      <c r="F522" t="s">
        <v>506</v>
      </c>
      <c r="G522" t="s">
        <v>1149</v>
      </c>
      <c r="H522">
        <v>4</v>
      </c>
      <c r="I522" t="s">
        <v>1754</v>
      </c>
      <c r="J522">
        <v>10034</v>
      </c>
      <c r="K522" t="s">
        <v>1779</v>
      </c>
      <c r="L522" t="s">
        <v>1781</v>
      </c>
      <c r="M522" t="s">
        <v>1782</v>
      </c>
      <c r="P522" t="s">
        <v>2052</v>
      </c>
      <c r="R522" t="s">
        <v>2062</v>
      </c>
      <c r="S522" t="s">
        <v>1779</v>
      </c>
      <c r="T522" t="s">
        <v>2065</v>
      </c>
      <c r="V522" t="s">
        <v>169</v>
      </c>
      <c r="W522">
        <v>893</v>
      </c>
      <c r="X522" t="s">
        <v>2091</v>
      </c>
      <c r="Y522" t="s">
        <v>2099</v>
      </c>
      <c r="AA522" t="s">
        <v>2616</v>
      </c>
      <c r="AC522" t="s">
        <v>3178</v>
      </c>
      <c r="AD522">
        <v>25</v>
      </c>
      <c r="AE522" t="s">
        <v>3223</v>
      </c>
      <c r="AF522" t="s">
        <v>1783</v>
      </c>
      <c r="AG522">
        <v>38</v>
      </c>
      <c r="AH522">
        <v>1</v>
      </c>
      <c r="AI522">
        <v>0</v>
      </c>
      <c r="AJ522">
        <v>352.28</v>
      </c>
      <c r="AM522" t="s">
        <v>3249</v>
      </c>
      <c r="AN522">
        <v>44000</v>
      </c>
    </row>
    <row r="523" spans="1:41">
      <c r="A523" s="1">
        <f>HYPERLINK("https://lsnyc.legalserver.org/matter/dynamic-profile/view/1904308","19-1904308")</f>
        <v>0</v>
      </c>
      <c r="B523" t="s">
        <v>67</v>
      </c>
      <c r="C523" t="s">
        <v>135</v>
      </c>
      <c r="E523" t="s">
        <v>651</v>
      </c>
      <c r="F523" t="s">
        <v>737</v>
      </c>
      <c r="G523" t="s">
        <v>1517</v>
      </c>
      <c r="H523" t="s">
        <v>1556</v>
      </c>
      <c r="I523" t="s">
        <v>1754</v>
      </c>
      <c r="J523">
        <v>10034</v>
      </c>
      <c r="K523" t="s">
        <v>1779</v>
      </c>
      <c r="L523" t="s">
        <v>1781</v>
      </c>
      <c r="M523" t="s">
        <v>1782</v>
      </c>
      <c r="O523" t="s">
        <v>2034</v>
      </c>
      <c r="P523" t="s">
        <v>2052</v>
      </c>
      <c r="R523" t="s">
        <v>2062</v>
      </c>
      <c r="S523" t="s">
        <v>1780</v>
      </c>
      <c r="T523" t="s">
        <v>2065</v>
      </c>
      <c r="V523" t="s">
        <v>135</v>
      </c>
      <c r="W523">
        <v>2100</v>
      </c>
      <c r="X523" t="s">
        <v>2091</v>
      </c>
      <c r="Y523" t="s">
        <v>2099</v>
      </c>
      <c r="AA523" t="s">
        <v>2617</v>
      </c>
      <c r="AD523">
        <v>65</v>
      </c>
      <c r="AE523" t="s">
        <v>3223</v>
      </c>
      <c r="AF523" t="s">
        <v>1783</v>
      </c>
      <c r="AG523">
        <v>8</v>
      </c>
      <c r="AH523">
        <v>2</v>
      </c>
      <c r="AI523">
        <v>0</v>
      </c>
      <c r="AJ523">
        <v>354.82</v>
      </c>
      <c r="AM523" t="s">
        <v>3248</v>
      </c>
      <c r="AN523">
        <v>60000</v>
      </c>
    </row>
    <row r="524" spans="1:41">
      <c r="A524" s="1">
        <f>HYPERLINK("https://lsnyc.legalserver.org/matter/dynamic-profile/view/1906399","19-1906399")</f>
        <v>0</v>
      </c>
      <c r="B524" t="s">
        <v>110</v>
      </c>
      <c r="C524" t="s">
        <v>161</v>
      </c>
      <c r="E524" t="s">
        <v>652</v>
      </c>
      <c r="F524" t="s">
        <v>1077</v>
      </c>
      <c r="G524" t="s">
        <v>1511</v>
      </c>
      <c r="H524">
        <v>55</v>
      </c>
      <c r="I524" t="s">
        <v>1754</v>
      </c>
      <c r="J524">
        <v>10032</v>
      </c>
      <c r="K524" t="s">
        <v>1779</v>
      </c>
      <c r="L524" t="s">
        <v>1781</v>
      </c>
      <c r="M524" t="s">
        <v>1782</v>
      </c>
      <c r="O524" t="s">
        <v>2031</v>
      </c>
      <c r="P524" t="s">
        <v>2054</v>
      </c>
      <c r="R524" t="s">
        <v>2062</v>
      </c>
      <c r="S524" t="s">
        <v>1779</v>
      </c>
      <c r="T524" t="s">
        <v>2065</v>
      </c>
      <c r="V524" t="s">
        <v>161</v>
      </c>
      <c r="W524">
        <v>2395</v>
      </c>
      <c r="X524" t="s">
        <v>2091</v>
      </c>
      <c r="Y524" t="s">
        <v>2099</v>
      </c>
      <c r="AA524" t="s">
        <v>2618</v>
      </c>
      <c r="AC524" t="s">
        <v>3179</v>
      </c>
      <c r="AD524">
        <v>46</v>
      </c>
      <c r="AE524" t="s">
        <v>3223</v>
      </c>
      <c r="AF524" t="s">
        <v>1783</v>
      </c>
      <c r="AG524">
        <v>2</v>
      </c>
      <c r="AH524">
        <v>2</v>
      </c>
      <c r="AI524">
        <v>0</v>
      </c>
      <c r="AJ524">
        <v>354.82</v>
      </c>
      <c r="AM524" t="s">
        <v>3248</v>
      </c>
      <c r="AN524">
        <v>60000</v>
      </c>
    </row>
    <row r="525" spans="1:41">
      <c r="A525" s="1">
        <f>HYPERLINK("https://lsnyc.legalserver.org/matter/dynamic-profile/view/1908410","19-1908410")</f>
        <v>0</v>
      </c>
      <c r="B525" t="s">
        <v>70</v>
      </c>
      <c r="C525" t="s">
        <v>195</v>
      </c>
      <c r="E525" t="s">
        <v>537</v>
      </c>
      <c r="F525" t="s">
        <v>863</v>
      </c>
      <c r="G525" t="s">
        <v>1263</v>
      </c>
      <c r="H525" t="s">
        <v>1564</v>
      </c>
      <c r="I525" t="s">
        <v>1754</v>
      </c>
      <c r="J525">
        <v>10035</v>
      </c>
      <c r="K525" t="s">
        <v>1779</v>
      </c>
      <c r="L525" t="s">
        <v>1781</v>
      </c>
      <c r="M525" t="s">
        <v>1782</v>
      </c>
      <c r="O525" t="s">
        <v>1793</v>
      </c>
      <c r="P525" t="s">
        <v>2055</v>
      </c>
      <c r="R525" t="s">
        <v>2062</v>
      </c>
      <c r="S525" t="s">
        <v>1779</v>
      </c>
      <c r="T525" t="s">
        <v>2065</v>
      </c>
      <c r="U525" t="s">
        <v>2073</v>
      </c>
      <c r="V525" t="s">
        <v>208</v>
      </c>
      <c r="W525">
        <v>2487</v>
      </c>
      <c r="X525" t="s">
        <v>2091</v>
      </c>
      <c r="Y525" t="s">
        <v>2096</v>
      </c>
      <c r="AA525" t="s">
        <v>2619</v>
      </c>
      <c r="AC525" t="s">
        <v>3180</v>
      </c>
      <c r="AD525">
        <v>72</v>
      </c>
      <c r="AE525" t="s">
        <v>3223</v>
      </c>
      <c r="AF525" t="s">
        <v>1783</v>
      </c>
      <c r="AG525">
        <v>11</v>
      </c>
      <c r="AH525">
        <v>1</v>
      </c>
      <c r="AI525">
        <v>0</v>
      </c>
      <c r="AJ525">
        <v>360.29</v>
      </c>
      <c r="AM525" t="s">
        <v>3248</v>
      </c>
      <c r="AN525">
        <v>45000</v>
      </c>
    </row>
    <row r="526" spans="1:41">
      <c r="A526" s="1">
        <f>HYPERLINK("https://lsnyc.legalserver.org/matter/dynamic-profile/view/1902279","19-1902279")</f>
        <v>0</v>
      </c>
      <c r="B526" t="s">
        <v>57</v>
      </c>
      <c r="C526" t="s">
        <v>136</v>
      </c>
      <c r="E526" t="s">
        <v>653</v>
      </c>
      <c r="F526" t="s">
        <v>1078</v>
      </c>
      <c r="G526" t="s">
        <v>1524</v>
      </c>
      <c r="H526" t="s">
        <v>1709</v>
      </c>
      <c r="I526" t="s">
        <v>1749</v>
      </c>
      <c r="J526">
        <v>11226</v>
      </c>
      <c r="K526" t="s">
        <v>1779</v>
      </c>
      <c r="L526" t="s">
        <v>1781</v>
      </c>
      <c r="M526" t="s">
        <v>1782</v>
      </c>
      <c r="N526" t="s">
        <v>1792</v>
      </c>
      <c r="O526" t="s">
        <v>1793</v>
      </c>
      <c r="P526" t="s">
        <v>2055</v>
      </c>
      <c r="R526" t="s">
        <v>2062</v>
      </c>
      <c r="S526" t="s">
        <v>1780</v>
      </c>
      <c r="T526" t="s">
        <v>2065</v>
      </c>
      <c r="V526" t="s">
        <v>165</v>
      </c>
      <c r="W526">
        <v>1462</v>
      </c>
      <c r="X526" t="s">
        <v>2088</v>
      </c>
      <c r="Y526" t="s">
        <v>2099</v>
      </c>
      <c r="AA526" t="s">
        <v>2620</v>
      </c>
      <c r="AC526" t="s">
        <v>3181</v>
      </c>
      <c r="AD526">
        <v>42</v>
      </c>
      <c r="AE526" t="s">
        <v>3223</v>
      </c>
      <c r="AF526" t="s">
        <v>1783</v>
      </c>
      <c r="AG526">
        <v>4</v>
      </c>
      <c r="AH526">
        <v>1</v>
      </c>
      <c r="AI526">
        <v>0</v>
      </c>
      <c r="AJ526">
        <v>364.29</v>
      </c>
      <c r="AM526" t="s">
        <v>3248</v>
      </c>
      <c r="AN526">
        <v>45500</v>
      </c>
    </row>
    <row r="527" spans="1:41">
      <c r="A527" s="1">
        <f>HYPERLINK("https://lsnyc.legalserver.org/matter/dynamic-profile/view/1909013","19-1909013")</f>
        <v>0</v>
      </c>
      <c r="B527" t="s">
        <v>110</v>
      </c>
      <c r="C527" t="s">
        <v>178</v>
      </c>
      <c r="E527" t="s">
        <v>524</v>
      </c>
      <c r="F527" t="s">
        <v>1079</v>
      </c>
      <c r="G527" t="s">
        <v>1242</v>
      </c>
      <c r="H527" t="s">
        <v>1697</v>
      </c>
      <c r="I527" t="s">
        <v>1754</v>
      </c>
      <c r="J527">
        <v>10040</v>
      </c>
      <c r="K527" t="s">
        <v>1779</v>
      </c>
      <c r="L527" t="s">
        <v>1781</v>
      </c>
      <c r="M527" t="s">
        <v>1782</v>
      </c>
      <c r="O527" t="s">
        <v>2031</v>
      </c>
      <c r="P527" t="s">
        <v>2051</v>
      </c>
      <c r="R527" t="s">
        <v>2062</v>
      </c>
      <c r="S527" t="s">
        <v>1779</v>
      </c>
      <c r="T527" t="s">
        <v>2065</v>
      </c>
      <c r="V527" t="s">
        <v>178</v>
      </c>
      <c r="W527">
        <v>1611</v>
      </c>
      <c r="X527" t="s">
        <v>2091</v>
      </c>
      <c r="Y527" t="s">
        <v>2099</v>
      </c>
      <c r="AA527" t="s">
        <v>2621</v>
      </c>
      <c r="AC527" t="s">
        <v>3182</v>
      </c>
      <c r="AD527">
        <v>77</v>
      </c>
      <c r="AE527" t="s">
        <v>3223</v>
      </c>
      <c r="AF527" t="s">
        <v>1783</v>
      </c>
      <c r="AG527">
        <v>6</v>
      </c>
      <c r="AH527">
        <v>2</v>
      </c>
      <c r="AI527">
        <v>0</v>
      </c>
      <c r="AJ527">
        <v>366.65</v>
      </c>
      <c r="AM527" t="s">
        <v>3248</v>
      </c>
      <c r="AN527">
        <v>62000</v>
      </c>
    </row>
    <row r="528" spans="1:41">
      <c r="A528" s="1">
        <f>HYPERLINK("https://lsnyc.legalserver.org/matter/dynamic-profile/view/1903176","19-1903176")</f>
        <v>0</v>
      </c>
      <c r="B528" t="s">
        <v>57</v>
      </c>
      <c r="C528" t="s">
        <v>230</v>
      </c>
      <c r="E528" t="s">
        <v>403</v>
      </c>
      <c r="F528" t="s">
        <v>744</v>
      </c>
      <c r="G528" t="s">
        <v>1525</v>
      </c>
      <c r="H528" t="s">
        <v>1568</v>
      </c>
      <c r="I528" t="s">
        <v>1749</v>
      </c>
      <c r="J528">
        <v>11233</v>
      </c>
      <c r="K528" t="s">
        <v>1779</v>
      </c>
      <c r="L528" t="s">
        <v>1781</v>
      </c>
      <c r="M528" t="s">
        <v>1782</v>
      </c>
      <c r="N528" t="s">
        <v>2023</v>
      </c>
      <c r="O528" t="s">
        <v>2030</v>
      </c>
      <c r="P528" t="s">
        <v>2051</v>
      </c>
      <c r="R528" t="s">
        <v>2062</v>
      </c>
      <c r="S528" t="s">
        <v>1780</v>
      </c>
      <c r="T528" t="s">
        <v>2065</v>
      </c>
      <c r="U528" t="s">
        <v>2073</v>
      </c>
      <c r="V528" t="s">
        <v>191</v>
      </c>
      <c r="W528">
        <v>1300</v>
      </c>
      <c r="X528" t="s">
        <v>2088</v>
      </c>
      <c r="Y528" t="s">
        <v>2104</v>
      </c>
      <c r="AA528" t="s">
        <v>2622</v>
      </c>
      <c r="AB528" t="s">
        <v>1783</v>
      </c>
      <c r="AC528" t="s">
        <v>3183</v>
      </c>
      <c r="AD528">
        <v>6</v>
      </c>
      <c r="AE528" t="s">
        <v>3223</v>
      </c>
      <c r="AF528" t="s">
        <v>1783</v>
      </c>
      <c r="AG528">
        <v>10</v>
      </c>
      <c r="AH528">
        <v>1</v>
      </c>
      <c r="AI528">
        <v>0</v>
      </c>
      <c r="AJ528">
        <v>376.3</v>
      </c>
      <c r="AK528" t="s">
        <v>157</v>
      </c>
      <c r="AL528" t="s">
        <v>3247</v>
      </c>
      <c r="AM528" t="s">
        <v>3248</v>
      </c>
      <c r="AN528">
        <v>47000</v>
      </c>
    </row>
    <row r="529" spans="1:40">
      <c r="A529" s="1">
        <f>HYPERLINK("https://lsnyc.legalserver.org/matter/dynamic-profile/view/1905687","19-1905687")</f>
        <v>0</v>
      </c>
      <c r="B529" t="s">
        <v>58</v>
      </c>
      <c r="C529" t="s">
        <v>145</v>
      </c>
      <c r="E529" t="s">
        <v>258</v>
      </c>
      <c r="F529" t="s">
        <v>1080</v>
      </c>
      <c r="G529" t="s">
        <v>1208</v>
      </c>
      <c r="H529" t="s">
        <v>1635</v>
      </c>
      <c r="I529" t="s">
        <v>1749</v>
      </c>
      <c r="J529">
        <v>11226</v>
      </c>
      <c r="K529" t="s">
        <v>1779</v>
      </c>
      <c r="L529" t="s">
        <v>1781</v>
      </c>
      <c r="O529" t="s">
        <v>2032</v>
      </c>
      <c r="P529" t="s">
        <v>2053</v>
      </c>
      <c r="R529" t="s">
        <v>2062</v>
      </c>
      <c r="S529" t="s">
        <v>1779</v>
      </c>
      <c r="T529" t="s">
        <v>2065</v>
      </c>
      <c r="V529" t="s">
        <v>145</v>
      </c>
      <c r="W529">
        <v>0</v>
      </c>
      <c r="X529" t="s">
        <v>2088</v>
      </c>
      <c r="AA529" t="s">
        <v>2623</v>
      </c>
      <c r="AD529">
        <v>36</v>
      </c>
      <c r="AG529">
        <v>0</v>
      </c>
      <c r="AH529">
        <v>3</v>
      </c>
      <c r="AI529">
        <v>1</v>
      </c>
      <c r="AJ529">
        <v>388.35</v>
      </c>
      <c r="AM529" t="s">
        <v>3248</v>
      </c>
      <c r="AN529">
        <v>100000</v>
      </c>
    </row>
    <row r="530" spans="1:40">
      <c r="A530" s="1">
        <f>HYPERLINK("https://lsnyc.legalserver.org/matter/dynamic-profile/view/1904020","19-1904020")</f>
        <v>0</v>
      </c>
      <c r="B530" t="s">
        <v>87</v>
      </c>
      <c r="C530" t="s">
        <v>223</v>
      </c>
      <c r="D530" t="s">
        <v>152</v>
      </c>
      <c r="E530" t="s">
        <v>654</v>
      </c>
      <c r="F530" t="s">
        <v>1081</v>
      </c>
      <c r="G530" t="s">
        <v>1526</v>
      </c>
      <c r="H530" t="s">
        <v>1654</v>
      </c>
      <c r="I530" t="s">
        <v>1749</v>
      </c>
      <c r="J530">
        <v>11238</v>
      </c>
      <c r="K530" t="s">
        <v>1779</v>
      </c>
      <c r="L530" t="s">
        <v>1781</v>
      </c>
      <c r="M530" t="s">
        <v>1782</v>
      </c>
      <c r="O530" t="s">
        <v>2045</v>
      </c>
      <c r="P530" t="s">
        <v>2050</v>
      </c>
      <c r="Q530" t="s">
        <v>2057</v>
      </c>
      <c r="R530" t="s">
        <v>2062</v>
      </c>
      <c r="S530" t="s">
        <v>1780</v>
      </c>
      <c r="T530" t="s">
        <v>2071</v>
      </c>
      <c r="V530" t="s">
        <v>152</v>
      </c>
      <c r="W530">
        <v>0</v>
      </c>
      <c r="X530" t="s">
        <v>2088</v>
      </c>
      <c r="Z530" t="s">
        <v>2118</v>
      </c>
      <c r="AA530" t="s">
        <v>2624</v>
      </c>
      <c r="AD530">
        <v>8</v>
      </c>
      <c r="AG530">
        <v>0</v>
      </c>
      <c r="AH530">
        <v>1</v>
      </c>
      <c r="AI530">
        <v>0</v>
      </c>
      <c r="AJ530">
        <v>392.31</v>
      </c>
      <c r="AM530" t="s">
        <v>3248</v>
      </c>
      <c r="AN530">
        <v>49000</v>
      </c>
    </row>
    <row r="531" spans="1:40">
      <c r="A531" s="1">
        <f>HYPERLINK("https://lsnyc.legalserver.org/matter/dynamic-profile/view/1904682","19-1904682")</f>
        <v>0</v>
      </c>
      <c r="B531" t="s">
        <v>112</v>
      </c>
      <c r="C531" t="s">
        <v>162</v>
      </c>
      <c r="D531" t="s">
        <v>156</v>
      </c>
      <c r="E531" t="s">
        <v>655</v>
      </c>
      <c r="F531" t="s">
        <v>1066</v>
      </c>
      <c r="G531" t="s">
        <v>1527</v>
      </c>
      <c r="H531" t="s">
        <v>1735</v>
      </c>
      <c r="I531" t="s">
        <v>1754</v>
      </c>
      <c r="J531">
        <v>10035</v>
      </c>
      <c r="K531" t="s">
        <v>1779</v>
      </c>
      <c r="L531" t="s">
        <v>1781</v>
      </c>
      <c r="M531" t="s">
        <v>1782</v>
      </c>
      <c r="O531" t="s">
        <v>1793</v>
      </c>
      <c r="P531" t="s">
        <v>2050</v>
      </c>
      <c r="Q531" t="s">
        <v>2057</v>
      </c>
      <c r="R531" t="s">
        <v>2062</v>
      </c>
      <c r="S531" t="s">
        <v>1780</v>
      </c>
      <c r="T531" t="s">
        <v>2065</v>
      </c>
      <c r="U531" t="s">
        <v>2073</v>
      </c>
      <c r="V531" t="s">
        <v>162</v>
      </c>
      <c r="W531">
        <v>215</v>
      </c>
      <c r="X531" t="s">
        <v>2091</v>
      </c>
      <c r="Y531" t="s">
        <v>2100</v>
      </c>
      <c r="Z531" t="s">
        <v>2110</v>
      </c>
      <c r="AA531" t="s">
        <v>2625</v>
      </c>
      <c r="AC531" t="s">
        <v>3184</v>
      </c>
      <c r="AD531">
        <v>100</v>
      </c>
      <c r="AE531" t="s">
        <v>3223</v>
      </c>
      <c r="AF531" t="s">
        <v>1783</v>
      </c>
      <c r="AG531">
        <v>6</v>
      </c>
      <c r="AH531">
        <v>1</v>
      </c>
      <c r="AI531">
        <v>0</v>
      </c>
      <c r="AJ531">
        <v>392.31</v>
      </c>
      <c r="AM531" t="s">
        <v>3248</v>
      </c>
      <c r="AN531">
        <v>49000</v>
      </c>
    </row>
    <row r="532" spans="1:40">
      <c r="A532" s="1">
        <f>HYPERLINK("https://lsnyc.legalserver.org/matter/dynamic-profile/view/1906210","19-1906210")</f>
        <v>0</v>
      </c>
      <c r="B532" t="s">
        <v>74</v>
      </c>
      <c r="C532" t="s">
        <v>140</v>
      </c>
      <c r="E532" t="s">
        <v>366</v>
      </c>
      <c r="F532" t="s">
        <v>1082</v>
      </c>
      <c r="G532" t="s">
        <v>1528</v>
      </c>
      <c r="H532" t="s">
        <v>1736</v>
      </c>
      <c r="I532" t="s">
        <v>1756</v>
      </c>
      <c r="J532">
        <v>11354</v>
      </c>
      <c r="K532" t="s">
        <v>1779</v>
      </c>
      <c r="L532" t="s">
        <v>1781</v>
      </c>
      <c r="M532" t="s">
        <v>1782</v>
      </c>
      <c r="N532" t="s">
        <v>2024</v>
      </c>
      <c r="O532" t="s">
        <v>2032</v>
      </c>
      <c r="P532" t="s">
        <v>2053</v>
      </c>
      <c r="R532" t="s">
        <v>2062</v>
      </c>
      <c r="S532" t="s">
        <v>1779</v>
      </c>
      <c r="T532" t="s">
        <v>2065</v>
      </c>
      <c r="U532" t="s">
        <v>2073</v>
      </c>
      <c r="V532" t="s">
        <v>140</v>
      </c>
      <c r="W532">
        <v>1808</v>
      </c>
      <c r="X532" t="s">
        <v>2087</v>
      </c>
      <c r="Y532" t="s">
        <v>2098</v>
      </c>
      <c r="AA532" t="s">
        <v>2626</v>
      </c>
      <c r="AC532" t="s">
        <v>3185</v>
      </c>
      <c r="AD532">
        <v>91</v>
      </c>
      <c r="AE532" t="s">
        <v>3223</v>
      </c>
      <c r="AF532" t="s">
        <v>1783</v>
      </c>
      <c r="AG532">
        <v>5</v>
      </c>
      <c r="AH532">
        <v>1</v>
      </c>
      <c r="AI532">
        <v>1</v>
      </c>
      <c r="AJ532">
        <v>392.67</v>
      </c>
      <c r="AM532" t="s">
        <v>3248</v>
      </c>
      <c r="AN532">
        <v>66400</v>
      </c>
    </row>
    <row r="533" spans="1:40">
      <c r="A533" s="1">
        <f>HYPERLINK("https://lsnyc.legalserver.org/matter/dynamic-profile/view/1907585","19-1907585")</f>
        <v>0</v>
      </c>
      <c r="B533" t="s">
        <v>58</v>
      </c>
      <c r="C533" t="s">
        <v>160</v>
      </c>
      <c r="E533" t="s">
        <v>656</v>
      </c>
      <c r="F533" t="s">
        <v>1083</v>
      </c>
      <c r="G533" t="s">
        <v>1272</v>
      </c>
      <c r="H533" t="s">
        <v>1543</v>
      </c>
      <c r="I533" t="s">
        <v>1749</v>
      </c>
      <c r="J533">
        <v>11226</v>
      </c>
      <c r="K533" t="s">
        <v>1779</v>
      </c>
      <c r="L533" t="s">
        <v>1781</v>
      </c>
      <c r="M533" t="s">
        <v>1782</v>
      </c>
      <c r="O533" t="s">
        <v>2031</v>
      </c>
      <c r="P533" t="s">
        <v>2051</v>
      </c>
      <c r="R533" t="s">
        <v>2062</v>
      </c>
      <c r="S533" t="s">
        <v>1779</v>
      </c>
      <c r="T533" t="s">
        <v>2065</v>
      </c>
      <c r="V533" t="s">
        <v>160</v>
      </c>
      <c r="W533">
        <v>786.46</v>
      </c>
      <c r="X533" t="s">
        <v>2088</v>
      </c>
      <c r="AA533" t="s">
        <v>2627</v>
      </c>
      <c r="AC533" t="s">
        <v>3186</v>
      </c>
      <c r="AD533">
        <v>16</v>
      </c>
      <c r="AG533">
        <v>19</v>
      </c>
      <c r="AH533">
        <v>1</v>
      </c>
      <c r="AI533">
        <v>0</v>
      </c>
      <c r="AJ533">
        <v>400.32</v>
      </c>
      <c r="AM533" t="s">
        <v>3248</v>
      </c>
      <c r="AN533">
        <v>50000</v>
      </c>
    </row>
    <row r="534" spans="1:40">
      <c r="A534" s="1">
        <f>HYPERLINK("https://lsnyc.legalserver.org/matter/dynamic-profile/view/1908715","19-1908715")</f>
        <v>0</v>
      </c>
      <c r="B534" t="s">
        <v>66</v>
      </c>
      <c r="C534" t="s">
        <v>174</v>
      </c>
      <c r="D534" t="s">
        <v>196</v>
      </c>
      <c r="E534" t="s">
        <v>657</v>
      </c>
      <c r="F534" t="s">
        <v>1084</v>
      </c>
      <c r="G534" t="s">
        <v>1529</v>
      </c>
      <c r="H534">
        <v>33</v>
      </c>
      <c r="I534" t="s">
        <v>1754</v>
      </c>
      <c r="J534">
        <v>10040</v>
      </c>
      <c r="K534" t="s">
        <v>1779</v>
      </c>
      <c r="L534" t="s">
        <v>1781</v>
      </c>
      <c r="M534" t="s">
        <v>1782</v>
      </c>
      <c r="O534" t="s">
        <v>1793</v>
      </c>
      <c r="P534" t="s">
        <v>2050</v>
      </c>
      <c r="Q534" t="s">
        <v>2057</v>
      </c>
      <c r="R534" t="s">
        <v>2062</v>
      </c>
      <c r="S534" t="s">
        <v>1780</v>
      </c>
      <c r="T534" t="s">
        <v>2065</v>
      </c>
      <c r="V534" t="s">
        <v>174</v>
      </c>
      <c r="W534">
        <v>0</v>
      </c>
      <c r="X534" t="s">
        <v>2091</v>
      </c>
      <c r="Y534" t="s">
        <v>2099</v>
      </c>
      <c r="Z534" t="s">
        <v>2110</v>
      </c>
      <c r="AA534" t="s">
        <v>2628</v>
      </c>
      <c r="AC534" t="s">
        <v>3187</v>
      </c>
      <c r="AD534">
        <v>0</v>
      </c>
      <c r="AE534" t="s">
        <v>3223</v>
      </c>
      <c r="AF534" t="s">
        <v>1783</v>
      </c>
      <c r="AG534">
        <v>23</v>
      </c>
      <c r="AH534">
        <v>1</v>
      </c>
      <c r="AI534">
        <v>0</v>
      </c>
      <c r="AJ534">
        <v>400.32</v>
      </c>
      <c r="AM534" t="s">
        <v>3248</v>
      </c>
      <c r="AN534">
        <v>50000</v>
      </c>
    </row>
    <row r="535" spans="1:40">
      <c r="A535" s="1">
        <f>HYPERLINK("https://lsnyc.legalserver.org/matter/dynamic-profile/view/1908218","19-1908218")</f>
        <v>0</v>
      </c>
      <c r="B535" t="s">
        <v>72</v>
      </c>
      <c r="C535" t="s">
        <v>238</v>
      </c>
      <c r="E535" t="s">
        <v>658</v>
      </c>
      <c r="F535" t="s">
        <v>1085</v>
      </c>
      <c r="G535" t="s">
        <v>1296</v>
      </c>
      <c r="H535" t="s">
        <v>1651</v>
      </c>
      <c r="I535" t="s">
        <v>1761</v>
      </c>
      <c r="J535">
        <v>11377</v>
      </c>
      <c r="K535" t="s">
        <v>1779</v>
      </c>
      <c r="L535" t="s">
        <v>1781</v>
      </c>
      <c r="M535" t="s">
        <v>1782</v>
      </c>
      <c r="N535" t="s">
        <v>1888</v>
      </c>
      <c r="O535" t="s">
        <v>2032</v>
      </c>
      <c r="P535" t="s">
        <v>2053</v>
      </c>
      <c r="R535" t="s">
        <v>2062</v>
      </c>
      <c r="S535" t="s">
        <v>1779</v>
      </c>
      <c r="T535" t="s">
        <v>2065</v>
      </c>
      <c r="V535" t="s">
        <v>238</v>
      </c>
      <c r="W535">
        <v>1277.9</v>
      </c>
      <c r="X535" t="s">
        <v>2087</v>
      </c>
      <c r="Y535" t="s">
        <v>2100</v>
      </c>
      <c r="AA535" t="s">
        <v>2629</v>
      </c>
      <c r="AC535" t="s">
        <v>3188</v>
      </c>
      <c r="AD535">
        <v>66</v>
      </c>
      <c r="AE535" t="s">
        <v>3223</v>
      </c>
      <c r="AF535" t="s">
        <v>1783</v>
      </c>
      <c r="AG535">
        <v>0</v>
      </c>
      <c r="AH535">
        <v>4</v>
      </c>
      <c r="AI535">
        <v>0</v>
      </c>
      <c r="AJ535">
        <v>411.65</v>
      </c>
      <c r="AM535" t="s">
        <v>3248</v>
      </c>
      <c r="AN535">
        <v>106000</v>
      </c>
    </row>
    <row r="536" spans="1:40">
      <c r="A536" s="1">
        <f>HYPERLINK("https://lsnyc.legalserver.org/matter/dynamic-profile/view/1906393","19-1906393")</f>
        <v>0</v>
      </c>
      <c r="B536" t="s">
        <v>110</v>
      </c>
      <c r="C536" t="s">
        <v>161</v>
      </c>
      <c r="E536" t="s">
        <v>659</v>
      </c>
      <c r="F536" t="s">
        <v>1086</v>
      </c>
      <c r="G536" t="s">
        <v>1511</v>
      </c>
      <c r="H536">
        <v>36</v>
      </c>
      <c r="I536" t="s">
        <v>1754</v>
      </c>
      <c r="J536">
        <v>10032</v>
      </c>
      <c r="K536" t="s">
        <v>1779</v>
      </c>
      <c r="L536" t="s">
        <v>1781</v>
      </c>
      <c r="M536" t="s">
        <v>1782</v>
      </c>
      <c r="O536" t="s">
        <v>2031</v>
      </c>
      <c r="P536" t="s">
        <v>2054</v>
      </c>
      <c r="R536" t="s">
        <v>2062</v>
      </c>
      <c r="S536" t="s">
        <v>1779</v>
      </c>
      <c r="T536" t="s">
        <v>2065</v>
      </c>
      <c r="V536" t="s">
        <v>161</v>
      </c>
      <c r="W536">
        <v>0</v>
      </c>
      <c r="X536" t="s">
        <v>2091</v>
      </c>
      <c r="Y536" t="s">
        <v>2099</v>
      </c>
      <c r="AA536" t="s">
        <v>2630</v>
      </c>
      <c r="AC536" t="s">
        <v>3189</v>
      </c>
      <c r="AD536">
        <v>46</v>
      </c>
      <c r="AE536" t="s">
        <v>3223</v>
      </c>
      <c r="AF536" t="s">
        <v>1783</v>
      </c>
      <c r="AG536">
        <v>4</v>
      </c>
      <c r="AH536">
        <v>1</v>
      </c>
      <c r="AI536">
        <v>0</v>
      </c>
      <c r="AJ536">
        <v>412.33</v>
      </c>
      <c r="AM536" t="s">
        <v>3248</v>
      </c>
      <c r="AN536">
        <v>51500</v>
      </c>
    </row>
    <row r="537" spans="1:40">
      <c r="A537" s="1">
        <f>HYPERLINK("https://lsnyc.legalserver.org/matter/dynamic-profile/view/1909127","19-1909127")</f>
        <v>0</v>
      </c>
      <c r="B537" t="s">
        <v>70</v>
      </c>
      <c r="C537" t="s">
        <v>157</v>
      </c>
      <c r="E537" t="s">
        <v>467</v>
      </c>
      <c r="F537" t="s">
        <v>1087</v>
      </c>
      <c r="G537" t="s">
        <v>1263</v>
      </c>
      <c r="H537" t="s">
        <v>1650</v>
      </c>
      <c r="I537" t="s">
        <v>1754</v>
      </c>
      <c r="J537">
        <v>10035</v>
      </c>
      <c r="K537" t="s">
        <v>1779</v>
      </c>
      <c r="L537" t="s">
        <v>1781</v>
      </c>
      <c r="M537" t="s">
        <v>1782</v>
      </c>
      <c r="O537" t="s">
        <v>2029</v>
      </c>
      <c r="P537" t="s">
        <v>2052</v>
      </c>
      <c r="R537" t="s">
        <v>2062</v>
      </c>
      <c r="S537" t="s">
        <v>1779</v>
      </c>
      <c r="T537" t="s">
        <v>2065</v>
      </c>
      <c r="U537" t="s">
        <v>2073</v>
      </c>
      <c r="V537" t="s">
        <v>198</v>
      </c>
      <c r="W537">
        <v>2150</v>
      </c>
      <c r="X537" t="s">
        <v>2091</v>
      </c>
      <c r="Y537" t="s">
        <v>2104</v>
      </c>
      <c r="AA537" t="s">
        <v>2631</v>
      </c>
      <c r="AC537" t="s">
        <v>3190</v>
      </c>
      <c r="AD537">
        <v>72</v>
      </c>
      <c r="AE537" t="s">
        <v>3223</v>
      </c>
      <c r="AF537" t="s">
        <v>1783</v>
      </c>
      <c r="AG537">
        <v>1</v>
      </c>
      <c r="AH537">
        <v>2</v>
      </c>
      <c r="AI537">
        <v>0</v>
      </c>
      <c r="AJ537">
        <v>413.96</v>
      </c>
      <c r="AM537" t="s">
        <v>3248</v>
      </c>
      <c r="AN537">
        <v>70000</v>
      </c>
    </row>
    <row r="538" spans="1:40">
      <c r="A538" s="1">
        <f>HYPERLINK("https://lsnyc.legalserver.org/matter/dynamic-profile/view/1904723","19-1904723")</f>
        <v>0</v>
      </c>
      <c r="B538" t="s">
        <v>73</v>
      </c>
      <c r="C538" t="s">
        <v>162</v>
      </c>
      <c r="E538" t="s">
        <v>451</v>
      </c>
      <c r="F538" t="s">
        <v>755</v>
      </c>
      <c r="G538" t="s">
        <v>1424</v>
      </c>
      <c r="H538" t="s">
        <v>1737</v>
      </c>
      <c r="I538" t="s">
        <v>1754</v>
      </c>
      <c r="J538">
        <v>10034</v>
      </c>
      <c r="K538" t="s">
        <v>1779</v>
      </c>
      <c r="L538" t="s">
        <v>1781</v>
      </c>
      <c r="M538" t="s">
        <v>1782</v>
      </c>
      <c r="O538" t="s">
        <v>2031</v>
      </c>
      <c r="P538" t="s">
        <v>2051</v>
      </c>
      <c r="R538" t="s">
        <v>2062</v>
      </c>
      <c r="S538" t="s">
        <v>1779</v>
      </c>
      <c r="T538" t="s">
        <v>2065</v>
      </c>
      <c r="V538" t="s">
        <v>162</v>
      </c>
      <c r="W538">
        <v>1625</v>
      </c>
      <c r="X538" t="s">
        <v>2091</v>
      </c>
      <c r="Y538" t="s">
        <v>2099</v>
      </c>
      <c r="AA538" t="s">
        <v>2632</v>
      </c>
      <c r="AC538" t="s">
        <v>3191</v>
      </c>
      <c r="AD538">
        <v>43</v>
      </c>
      <c r="AE538" t="s">
        <v>3223</v>
      </c>
      <c r="AF538" t="s">
        <v>1783</v>
      </c>
      <c r="AG538">
        <v>2</v>
      </c>
      <c r="AH538">
        <v>2</v>
      </c>
      <c r="AI538">
        <v>0</v>
      </c>
      <c r="AJ538">
        <v>413.96</v>
      </c>
      <c r="AM538" t="s">
        <v>3248</v>
      </c>
      <c r="AN538">
        <v>70000</v>
      </c>
    </row>
    <row r="539" spans="1:40">
      <c r="A539" s="1">
        <f>HYPERLINK("https://lsnyc.legalserver.org/matter/dynamic-profile/view/1910836","19-1910836")</f>
        <v>0</v>
      </c>
      <c r="B539" t="s">
        <v>83</v>
      </c>
      <c r="C539" t="s">
        <v>180</v>
      </c>
      <c r="E539" t="s">
        <v>660</v>
      </c>
      <c r="F539" t="s">
        <v>850</v>
      </c>
      <c r="G539" t="s">
        <v>1530</v>
      </c>
      <c r="H539" t="s">
        <v>1644</v>
      </c>
      <c r="I539" t="s">
        <v>1754</v>
      </c>
      <c r="J539">
        <v>10033</v>
      </c>
      <c r="K539" t="s">
        <v>1779</v>
      </c>
      <c r="L539" t="s">
        <v>1781</v>
      </c>
      <c r="M539" t="s">
        <v>1782</v>
      </c>
      <c r="P539" t="s">
        <v>2052</v>
      </c>
      <c r="R539" t="s">
        <v>2062</v>
      </c>
      <c r="S539" t="s">
        <v>1780</v>
      </c>
      <c r="T539" t="s">
        <v>2065</v>
      </c>
      <c r="V539" t="s">
        <v>180</v>
      </c>
      <c r="W539">
        <v>1995.04</v>
      </c>
      <c r="X539" t="s">
        <v>2091</v>
      </c>
      <c r="Y539" t="s">
        <v>2099</v>
      </c>
      <c r="AA539" t="s">
        <v>2633</v>
      </c>
      <c r="AC539" t="s">
        <v>3192</v>
      </c>
      <c r="AD539">
        <v>0</v>
      </c>
      <c r="AE539" t="s">
        <v>3223</v>
      </c>
      <c r="AF539" t="s">
        <v>1783</v>
      </c>
      <c r="AG539">
        <v>4</v>
      </c>
      <c r="AH539">
        <v>2</v>
      </c>
      <c r="AI539">
        <v>0</v>
      </c>
      <c r="AJ539">
        <v>413.96</v>
      </c>
      <c r="AM539" t="s">
        <v>3248</v>
      </c>
      <c r="AN539">
        <v>70000</v>
      </c>
    </row>
    <row r="540" spans="1:40">
      <c r="A540" s="1">
        <f>HYPERLINK("https://lsnyc.legalserver.org/matter/dynamic-profile/view/1908368","19-1908368")</f>
        <v>0</v>
      </c>
      <c r="B540" t="s">
        <v>70</v>
      </c>
      <c r="C540" t="s">
        <v>195</v>
      </c>
      <c r="E540" t="s">
        <v>269</v>
      </c>
      <c r="F540" t="s">
        <v>770</v>
      </c>
      <c r="G540" t="s">
        <v>1263</v>
      </c>
      <c r="H540" t="s">
        <v>1642</v>
      </c>
      <c r="I540" t="s">
        <v>1754</v>
      </c>
      <c r="J540">
        <v>10035</v>
      </c>
      <c r="K540" t="s">
        <v>1779</v>
      </c>
      <c r="L540" t="s">
        <v>1781</v>
      </c>
      <c r="M540" t="s">
        <v>1782</v>
      </c>
      <c r="O540" t="s">
        <v>1793</v>
      </c>
      <c r="P540" t="s">
        <v>2055</v>
      </c>
      <c r="R540" t="s">
        <v>2062</v>
      </c>
      <c r="S540" t="s">
        <v>1779</v>
      </c>
      <c r="T540" t="s">
        <v>2065</v>
      </c>
      <c r="U540" t="s">
        <v>2073</v>
      </c>
      <c r="V540" t="s">
        <v>155</v>
      </c>
      <c r="W540">
        <v>72</v>
      </c>
      <c r="X540" t="s">
        <v>2091</v>
      </c>
      <c r="Y540" t="s">
        <v>2096</v>
      </c>
      <c r="AA540" t="s">
        <v>2634</v>
      </c>
      <c r="AC540" t="s">
        <v>3193</v>
      </c>
      <c r="AD540">
        <v>72</v>
      </c>
      <c r="AE540" t="s">
        <v>3223</v>
      </c>
      <c r="AF540" t="s">
        <v>3236</v>
      </c>
      <c r="AG540">
        <v>20</v>
      </c>
      <c r="AH540">
        <v>1</v>
      </c>
      <c r="AI540">
        <v>0</v>
      </c>
      <c r="AJ540">
        <v>416.33</v>
      </c>
      <c r="AM540" t="s">
        <v>3248</v>
      </c>
      <c r="AN540">
        <v>52000</v>
      </c>
    </row>
    <row r="541" spans="1:40">
      <c r="A541" s="1">
        <f>HYPERLINK("https://lsnyc.legalserver.org/matter/dynamic-profile/view/1905257","19-1905257")</f>
        <v>0</v>
      </c>
      <c r="B541" t="s">
        <v>71</v>
      </c>
      <c r="C541" t="s">
        <v>167</v>
      </c>
      <c r="E541" t="s">
        <v>384</v>
      </c>
      <c r="F541" t="s">
        <v>1088</v>
      </c>
      <c r="G541" t="s">
        <v>1160</v>
      </c>
      <c r="H541" t="s">
        <v>1547</v>
      </c>
      <c r="I541" t="s">
        <v>1754</v>
      </c>
      <c r="J541">
        <v>10024</v>
      </c>
      <c r="K541" t="s">
        <v>1779</v>
      </c>
      <c r="L541" t="s">
        <v>1781</v>
      </c>
      <c r="M541" t="s">
        <v>1782</v>
      </c>
      <c r="O541" t="s">
        <v>2032</v>
      </c>
      <c r="P541" t="s">
        <v>2053</v>
      </c>
      <c r="R541" t="s">
        <v>2062</v>
      </c>
      <c r="S541" t="s">
        <v>1779</v>
      </c>
      <c r="T541" t="s">
        <v>2065</v>
      </c>
      <c r="U541" t="s">
        <v>2073</v>
      </c>
      <c r="V541" t="s">
        <v>167</v>
      </c>
      <c r="W541">
        <v>1009</v>
      </c>
      <c r="X541" t="s">
        <v>2091</v>
      </c>
      <c r="Y541" t="s">
        <v>2097</v>
      </c>
      <c r="AA541" t="s">
        <v>2635</v>
      </c>
      <c r="AC541" t="s">
        <v>3194</v>
      </c>
      <c r="AD541">
        <v>10</v>
      </c>
      <c r="AE541" t="s">
        <v>3223</v>
      </c>
      <c r="AF541" t="s">
        <v>1783</v>
      </c>
      <c r="AG541">
        <v>42</v>
      </c>
      <c r="AH541">
        <v>1</v>
      </c>
      <c r="AI541">
        <v>0</v>
      </c>
      <c r="AJ541">
        <v>424.34</v>
      </c>
      <c r="AM541" t="s">
        <v>3248</v>
      </c>
      <c r="AN541">
        <v>53000</v>
      </c>
    </row>
    <row r="542" spans="1:40">
      <c r="A542" s="1">
        <f>HYPERLINK("https://lsnyc.legalserver.org/matter/dynamic-profile/view/1910842","19-1910842")</f>
        <v>0</v>
      </c>
      <c r="B542" t="s">
        <v>83</v>
      </c>
      <c r="C542" t="s">
        <v>180</v>
      </c>
      <c r="E542" t="s">
        <v>527</v>
      </c>
      <c r="F542" t="s">
        <v>1089</v>
      </c>
      <c r="G542" t="s">
        <v>1531</v>
      </c>
      <c r="I542" t="s">
        <v>1754</v>
      </c>
      <c r="J542">
        <v>10032</v>
      </c>
      <c r="K542" t="s">
        <v>1779</v>
      </c>
      <c r="L542" t="s">
        <v>1781</v>
      </c>
      <c r="M542" t="s">
        <v>1782</v>
      </c>
      <c r="P542" t="s">
        <v>2052</v>
      </c>
      <c r="R542" t="s">
        <v>2062</v>
      </c>
      <c r="S542" t="s">
        <v>1780</v>
      </c>
      <c r="T542" t="s">
        <v>2065</v>
      </c>
      <c r="V542" t="s">
        <v>180</v>
      </c>
      <c r="W542">
        <v>1650</v>
      </c>
      <c r="X542" t="s">
        <v>2091</v>
      </c>
      <c r="Y542" t="s">
        <v>2099</v>
      </c>
      <c r="AA542" t="s">
        <v>2636</v>
      </c>
      <c r="AC542" t="s">
        <v>3195</v>
      </c>
      <c r="AD542">
        <v>0</v>
      </c>
      <c r="AE542" t="s">
        <v>3223</v>
      </c>
      <c r="AF542" t="s">
        <v>1783</v>
      </c>
      <c r="AG542">
        <v>15</v>
      </c>
      <c r="AH542">
        <v>2</v>
      </c>
      <c r="AI542">
        <v>0</v>
      </c>
      <c r="AJ542">
        <v>431.7</v>
      </c>
      <c r="AM542" t="s">
        <v>3248</v>
      </c>
      <c r="AN542">
        <v>73000</v>
      </c>
    </row>
    <row r="543" spans="1:40">
      <c r="A543" s="1">
        <f>HYPERLINK("https://lsnyc.legalserver.org/matter/dynamic-profile/view/1909497","19-1909497")</f>
        <v>0</v>
      </c>
      <c r="B543" t="s">
        <v>110</v>
      </c>
      <c r="C543" t="s">
        <v>138</v>
      </c>
      <c r="E543" t="s">
        <v>661</v>
      </c>
      <c r="F543" t="s">
        <v>1090</v>
      </c>
      <c r="G543" t="s">
        <v>1242</v>
      </c>
      <c r="H543" t="s">
        <v>1565</v>
      </c>
      <c r="I543" t="s">
        <v>1754</v>
      </c>
      <c r="J543">
        <v>10040</v>
      </c>
      <c r="K543" t="s">
        <v>1779</v>
      </c>
      <c r="L543" t="s">
        <v>1781</v>
      </c>
      <c r="M543" t="s">
        <v>1782</v>
      </c>
      <c r="O543" t="s">
        <v>2031</v>
      </c>
      <c r="P543" t="s">
        <v>2052</v>
      </c>
      <c r="R543" t="s">
        <v>2062</v>
      </c>
      <c r="S543" t="s">
        <v>1779</v>
      </c>
      <c r="T543" t="s">
        <v>2065</v>
      </c>
      <c r="V543" t="s">
        <v>138</v>
      </c>
      <c r="W543">
        <v>1234.7</v>
      </c>
      <c r="X543" t="s">
        <v>2091</v>
      </c>
      <c r="Y543" t="s">
        <v>2099</v>
      </c>
      <c r="AA543" t="s">
        <v>2637</v>
      </c>
      <c r="AD543">
        <v>77</v>
      </c>
      <c r="AE543" t="s">
        <v>3223</v>
      </c>
      <c r="AF543" t="s">
        <v>1783</v>
      </c>
      <c r="AG543">
        <v>4</v>
      </c>
      <c r="AH543">
        <v>1</v>
      </c>
      <c r="AI543">
        <v>0</v>
      </c>
      <c r="AJ543">
        <v>464.37</v>
      </c>
      <c r="AM543" t="s">
        <v>3248</v>
      </c>
      <c r="AN543">
        <v>58000</v>
      </c>
    </row>
    <row r="544" spans="1:40">
      <c r="A544" s="1">
        <f>HYPERLINK("https://lsnyc.legalserver.org/matter/dynamic-profile/view/1904379","19-1904379")</f>
        <v>0</v>
      </c>
      <c r="B544" t="s">
        <v>129</v>
      </c>
      <c r="C544" t="s">
        <v>191</v>
      </c>
      <c r="E544" t="s">
        <v>366</v>
      </c>
      <c r="F544" t="s">
        <v>1091</v>
      </c>
      <c r="G544" t="s">
        <v>1446</v>
      </c>
      <c r="H544" t="s">
        <v>1600</v>
      </c>
      <c r="I544" t="s">
        <v>1754</v>
      </c>
      <c r="J544">
        <v>10024</v>
      </c>
      <c r="K544" t="s">
        <v>1779</v>
      </c>
      <c r="L544" t="s">
        <v>1781</v>
      </c>
      <c r="M544" t="s">
        <v>1782</v>
      </c>
      <c r="O544" t="s">
        <v>2031</v>
      </c>
      <c r="P544" t="s">
        <v>2052</v>
      </c>
      <c r="R544" t="s">
        <v>2062</v>
      </c>
      <c r="S544" t="s">
        <v>1779</v>
      </c>
      <c r="T544" t="s">
        <v>2065</v>
      </c>
      <c r="U544" t="s">
        <v>2073</v>
      </c>
      <c r="V544" t="s">
        <v>135</v>
      </c>
      <c r="W544">
        <v>2300</v>
      </c>
      <c r="X544" t="s">
        <v>2091</v>
      </c>
      <c r="Y544" t="s">
        <v>2097</v>
      </c>
      <c r="AA544" t="s">
        <v>2638</v>
      </c>
      <c r="AC544" t="s">
        <v>3196</v>
      </c>
      <c r="AD544">
        <v>12</v>
      </c>
      <c r="AE544" t="s">
        <v>3225</v>
      </c>
      <c r="AF544" t="s">
        <v>1783</v>
      </c>
      <c r="AG544">
        <v>7</v>
      </c>
      <c r="AH544">
        <v>1</v>
      </c>
      <c r="AI544">
        <v>0</v>
      </c>
      <c r="AJ544">
        <v>468.37</v>
      </c>
      <c r="AM544" t="s">
        <v>3248</v>
      </c>
      <c r="AN544">
        <v>58500</v>
      </c>
    </row>
    <row r="545" spans="1:41">
      <c r="A545" s="1">
        <f>HYPERLINK("https://lsnyc.legalserver.org/matter/dynamic-profile/view/1906527","19-1906527")</f>
        <v>0</v>
      </c>
      <c r="B545" t="s">
        <v>59</v>
      </c>
      <c r="C545" t="s">
        <v>205</v>
      </c>
      <c r="E545" t="s">
        <v>662</v>
      </c>
      <c r="F545" t="s">
        <v>1092</v>
      </c>
      <c r="G545" t="s">
        <v>1186</v>
      </c>
      <c r="H545" t="s">
        <v>1543</v>
      </c>
      <c r="I545" t="s">
        <v>1749</v>
      </c>
      <c r="J545">
        <v>11225</v>
      </c>
      <c r="K545" t="s">
        <v>1779</v>
      </c>
      <c r="L545" t="s">
        <v>1781</v>
      </c>
      <c r="M545" t="s">
        <v>1782</v>
      </c>
      <c r="O545" t="s">
        <v>2041</v>
      </c>
      <c r="P545" t="s">
        <v>2051</v>
      </c>
      <c r="R545" t="s">
        <v>2062</v>
      </c>
      <c r="S545" t="s">
        <v>1779</v>
      </c>
      <c r="T545" t="s">
        <v>2065</v>
      </c>
      <c r="V545" t="s">
        <v>186</v>
      </c>
      <c r="W545">
        <v>1639.25</v>
      </c>
      <c r="X545" t="s">
        <v>2088</v>
      </c>
      <c r="AA545" t="s">
        <v>2639</v>
      </c>
      <c r="AC545" t="s">
        <v>3197</v>
      </c>
      <c r="AD545">
        <v>11</v>
      </c>
      <c r="AG545">
        <v>7</v>
      </c>
      <c r="AH545">
        <v>2</v>
      </c>
      <c r="AI545">
        <v>0</v>
      </c>
      <c r="AJ545">
        <v>473.09</v>
      </c>
      <c r="AM545" t="s">
        <v>3248</v>
      </c>
      <c r="AN545">
        <v>80000</v>
      </c>
    </row>
    <row r="546" spans="1:41">
      <c r="A546" s="1">
        <f>HYPERLINK("https://lsnyc.legalserver.org/matter/dynamic-profile/view/1906550","19-1906550")</f>
        <v>0</v>
      </c>
      <c r="B546" t="s">
        <v>59</v>
      </c>
      <c r="C546" t="s">
        <v>165</v>
      </c>
      <c r="E546" t="s">
        <v>662</v>
      </c>
      <c r="F546" t="s">
        <v>1092</v>
      </c>
      <c r="G546" t="s">
        <v>1186</v>
      </c>
      <c r="H546" t="s">
        <v>1543</v>
      </c>
      <c r="I546" t="s">
        <v>1749</v>
      </c>
      <c r="J546">
        <v>11225</v>
      </c>
      <c r="K546" t="s">
        <v>1779</v>
      </c>
      <c r="L546" t="s">
        <v>1781</v>
      </c>
      <c r="M546" t="s">
        <v>1782</v>
      </c>
      <c r="O546" t="s">
        <v>2032</v>
      </c>
      <c r="P546" t="s">
        <v>2053</v>
      </c>
      <c r="R546" t="s">
        <v>2062</v>
      </c>
      <c r="S546" t="s">
        <v>1779</v>
      </c>
      <c r="T546" t="s">
        <v>2065</v>
      </c>
      <c r="V546" t="s">
        <v>165</v>
      </c>
      <c r="W546">
        <v>1639.26</v>
      </c>
      <c r="X546" t="s">
        <v>2088</v>
      </c>
      <c r="AA546" t="s">
        <v>2639</v>
      </c>
      <c r="AC546" t="s">
        <v>3197</v>
      </c>
      <c r="AD546">
        <v>11</v>
      </c>
      <c r="AE546" t="s">
        <v>3223</v>
      </c>
      <c r="AG546">
        <v>7</v>
      </c>
      <c r="AH546">
        <v>2</v>
      </c>
      <c r="AI546">
        <v>0</v>
      </c>
      <c r="AJ546">
        <v>473.09</v>
      </c>
      <c r="AM546" t="s">
        <v>3248</v>
      </c>
      <c r="AN546">
        <v>80000</v>
      </c>
    </row>
    <row r="547" spans="1:41">
      <c r="A547" s="1">
        <f>HYPERLINK("https://lsnyc.legalserver.org/matter/dynamic-profile/view/1908363","19-1908363")</f>
        <v>0</v>
      </c>
      <c r="B547" t="s">
        <v>72</v>
      </c>
      <c r="C547" t="s">
        <v>195</v>
      </c>
      <c r="E547" t="s">
        <v>663</v>
      </c>
      <c r="F547" t="s">
        <v>1093</v>
      </c>
      <c r="G547" t="s">
        <v>1296</v>
      </c>
      <c r="H547" t="s">
        <v>1576</v>
      </c>
      <c r="I547" t="s">
        <v>1761</v>
      </c>
      <c r="J547">
        <v>11377</v>
      </c>
      <c r="K547" t="s">
        <v>1779</v>
      </c>
      <c r="L547" t="s">
        <v>1781</v>
      </c>
      <c r="M547" t="s">
        <v>1782</v>
      </c>
      <c r="N547" t="s">
        <v>1888</v>
      </c>
      <c r="O547" t="s">
        <v>2032</v>
      </c>
      <c r="P547" t="s">
        <v>2053</v>
      </c>
      <c r="R547" t="s">
        <v>2062</v>
      </c>
      <c r="S547" t="s">
        <v>1779</v>
      </c>
      <c r="T547" t="s">
        <v>2065</v>
      </c>
      <c r="V547" t="s">
        <v>195</v>
      </c>
      <c r="W547">
        <v>1854</v>
      </c>
      <c r="X547" t="s">
        <v>2087</v>
      </c>
      <c r="Y547" t="s">
        <v>2100</v>
      </c>
      <c r="AA547" t="s">
        <v>2640</v>
      </c>
      <c r="AC547" t="s">
        <v>3198</v>
      </c>
      <c r="AD547">
        <v>66</v>
      </c>
      <c r="AE547" t="s">
        <v>3223</v>
      </c>
      <c r="AF547" t="s">
        <v>1783</v>
      </c>
      <c r="AG547">
        <v>26</v>
      </c>
      <c r="AH547">
        <v>1</v>
      </c>
      <c r="AI547">
        <v>0</v>
      </c>
      <c r="AJ547">
        <v>480.38</v>
      </c>
      <c r="AM547" t="s">
        <v>3249</v>
      </c>
      <c r="AN547">
        <v>60000</v>
      </c>
    </row>
    <row r="548" spans="1:41">
      <c r="A548" s="1">
        <f>HYPERLINK("https://lsnyc.legalserver.org/matter/dynamic-profile/view/1906208","19-1906208")</f>
        <v>0</v>
      </c>
      <c r="B548" t="s">
        <v>67</v>
      </c>
      <c r="C548" t="s">
        <v>140</v>
      </c>
      <c r="E548" t="s">
        <v>565</v>
      </c>
      <c r="F548" t="s">
        <v>1094</v>
      </c>
      <c r="G548" t="s">
        <v>1532</v>
      </c>
      <c r="H548" t="s">
        <v>1738</v>
      </c>
      <c r="I548" t="s">
        <v>1754</v>
      </c>
      <c r="J548">
        <v>10024</v>
      </c>
      <c r="K548" t="s">
        <v>1779</v>
      </c>
      <c r="L548" t="s">
        <v>1781</v>
      </c>
      <c r="M548" t="s">
        <v>1782</v>
      </c>
      <c r="P548" t="s">
        <v>2050</v>
      </c>
      <c r="R548" t="s">
        <v>2062</v>
      </c>
      <c r="S548" t="s">
        <v>1780</v>
      </c>
      <c r="T548" t="s">
        <v>2065</v>
      </c>
      <c r="V548" t="s">
        <v>140</v>
      </c>
      <c r="W548">
        <v>3039.5</v>
      </c>
      <c r="X548" t="s">
        <v>2091</v>
      </c>
      <c r="Y548" t="s">
        <v>2099</v>
      </c>
      <c r="AA548" t="s">
        <v>2641</v>
      </c>
      <c r="AC548" t="s">
        <v>3199</v>
      </c>
      <c r="AD548">
        <v>249</v>
      </c>
      <c r="AE548" t="s">
        <v>3223</v>
      </c>
      <c r="AF548" t="s">
        <v>1783</v>
      </c>
      <c r="AG548">
        <v>20</v>
      </c>
      <c r="AH548">
        <v>3</v>
      </c>
      <c r="AI548">
        <v>0</v>
      </c>
      <c r="AJ548">
        <v>482.89</v>
      </c>
      <c r="AM548" t="s">
        <v>3248</v>
      </c>
      <c r="AN548">
        <v>103000</v>
      </c>
    </row>
    <row r="549" spans="1:41">
      <c r="A549" s="1">
        <f>HYPERLINK("https://lsnyc.legalserver.org/matter/dynamic-profile/view/1865239","18-1865239")</f>
        <v>0</v>
      </c>
      <c r="B549" t="s">
        <v>133</v>
      </c>
      <c r="C549" t="s">
        <v>239</v>
      </c>
      <c r="D549" t="s">
        <v>246</v>
      </c>
      <c r="E549" t="s">
        <v>664</v>
      </c>
      <c r="F549" t="s">
        <v>1095</v>
      </c>
      <c r="G549" t="s">
        <v>1533</v>
      </c>
      <c r="H549" t="s">
        <v>1554</v>
      </c>
      <c r="I549" t="s">
        <v>1755</v>
      </c>
      <c r="J549">
        <v>11427</v>
      </c>
      <c r="K549" t="s">
        <v>1779</v>
      </c>
      <c r="L549" t="s">
        <v>1781</v>
      </c>
      <c r="M549" t="s">
        <v>1782</v>
      </c>
      <c r="N549" t="s">
        <v>2025</v>
      </c>
      <c r="O549" t="s">
        <v>2030</v>
      </c>
      <c r="P549" t="s">
        <v>2050</v>
      </c>
      <c r="Q549" t="s">
        <v>2057</v>
      </c>
      <c r="R549" t="s">
        <v>2062</v>
      </c>
      <c r="S549" t="s">
        <v>1780</v>
      </c>
      <c r="T549" t="s">
        <v>2065</v>
      </c>
      <c r="U549" t="s">
        <v>2073</v>
      </c>
      <c r="V549" t="s">
        <v>246</v>
      </c>
      <c r="W549">
        <v>1044</v>
      </c>
      <c r="X549" t="s">
        <v>2087</v>
      </c>
      <c r="Y549" t="s">
        <v>2094</v>
      </c>
      <c r="Z549" t="s">
        <v>2110</v>
      </c>
      <c r="AA549" t="s">
        <v>2642</v>
      </c>
      <c r="AC549" t="s">
        <v>3200</v>
      </c>
      <c r="AD549">
        <v>21</v>
      </c>
      <c r="AE549" t="s">
        <v>3223</v>
      </c>
      <c r="AF549" t="s">
        <v>2094</v>
      </c>
      <c r="AG549">
        <v>40</v>
      </c>
      <c r="AH549">
        <v>2</v>
      </c>
      <c r="AI549">
        <v>0</v>
      </c>
      <c r="AJ549">
        <v>482.93</v>
      </c>
      <c r="AM549" t="s">
        <v>3248</v>
      </c>
      <c r="AN549">
        <v>79490.05</v>
      </c>
    </row>
    <row r="550" spans="1:41">
      <c r="A550" s="1">
        <f>HYPERLINK("https://lsnyc.legalserver.org/matter/dynamic-profile/view/1896149","19-1896149")</f>
        <v>0</v>
      </c>
      <c r="B550" t="s">
        <v>50</v>
      </c>
      <c r="C550" t="s">
        <v>240</v>
      </c>
      <c r="E550" t="s">
        <v>665</v>
      </c>
      <c r="F550" t="s">
        <v>1096</v>
      </c>
      <c r="G550" t="s">
        <v>1366</v>
      </c>
      <c r="H550">
        <v>3</v>
      </c>
      <c r="I550" t="s">
        <v>1749</v>
      </c>
      <c r="J550">
        <v>11208</v>
      </c>
      <c r="K550" t="s">
        <v>1779</v>
      </c>
      <c r="L550" t="s">
        <v>1779</v>
      </c>
      <c r="M550" t="s">
        <v>1782</v>
      </c>
      <c r="N550" t="s">
        <v>2026</v>
      </c>
      <c r="O550" t="s">
        <v>2029</v>
      </c>
      <c r="P550" t="s">
        <v>2051</v>
      </c>
      <c r="R550" t="s">
        <v>2062</v>
      </c>
      <c r="S550" t="s">
        <v>1779</v>
      </c>
      <c r="T550" t="s">
        <v>2065</v>
      </c>
      <c r="V550" t="s">
        <v>161</v>
      </c>
      <c r="W550">
        <v>1300</v>
      </c>
      <c r="X550" t="s">
        <v>2088</v>
      </c>
      <c r="AA550" t="s">
        <v>2643</v>
      </c>
      <c r="AC550" t="s">
        <v>3201</v>
      </c>
      <c r="AD550">
        <v>4</v>
      </c>
      <c r="AG550">
        <v>9</v>
      </c>
      <c r="AH550">
        <v>2</v>
      </c>
      <c r="AI550">
        <v>0</v>
      </c>
      <c r="AJ550">
        <v>484.92</v>
      </c>
      <c r="AM550" t="s">
        <v>3248</v>
      </c>
      <c r="AN550">
        <v>82000</v>
      </c>
      <c r="AO550" t="s">
        <v>3278</v>
      </c>
    </row>
    <row r="551" spans="1:41">
      <c r="A551" s="1">
        <f>HYPERLINK("https://lsnyc.legalserver.org/matter/dynamic-profile/view/1906404","19-1906404")</f>
        <v>0</v>
      </c>
      <c r="B551" t="s">
        <v>110</v>
      </c>
      <c r="C551" t="s">
        <v>161</v>
      </c>
      <c r="E551" t="s">
        <v>666</v>
      </c>
      <c r="F551" t="s">
        <v>1097</v>
      </c>
      <c r="G551" t="s">
        <v>1511</v>
      </c>
      <c r="H551">
        <v>5</v>
      </c>
      <c r="I551" t="s">
        <v>1754</v>
      </c>
      <c r="J551">
        <v>10032</v>
      </c>
      <c r="K551" t="s">
        <v>1779</v>
      </c>
      <c r="L551" t="s">
        <v>1781</v>
      </c>
      <c r="M551" t="s">
        <v>1782</v>
      </c>
      <c r="O551" t="s">
        <v>2031</v>
      </c>
      <c r="P551" t="s">
        <v>2054</v>
      </c>
      <c r="R551" t="s">
        <v>2062</v>
      </c>
      <c r="S551" t="s">
        <v>1779</v>
      </c>
      <c r="T551" t="s">
        <v>2065</v>
      </c>
      <c r="V551" t="s">
        <v>161</v>
      </c>
      <c r="W551">
        <v>2250</v>
      </c>
      <c r="X551" t="s">
        <v>2091</v>
      </c>
      <c r="Y551" t="s">
        <v>2099</v>
      </c>
      <c r="AA551" t="s">
        <v>2644</v>
      </c>
      <c r="AC551" t="s">
        <v>3202</v>
      </c>
      <c r="AD551">
        <v>46</v>
      </c>
      <c r="AE551" t="s">
        <v>3223</v>
      </c>
      <c r="AF551" t="s">
        <v>1783</v>
      </c>
      <c r="AG551">
        <v>6</v>
      </c>
      <c r="AH551">
        <v>1</v>
      </c>
      <c r="AI551">
        <v>0</v>
      </c>
      <c r="AJ551">
        <v>490.39</v>
      </c>
      <c r="AM551" t="s">
        <v>3248</v>
      </c>
      <c r="AN551">
        <v>61250</v>
      </c>
    </row>
    <row r="552" spans="1:41">
      <c r="A552" s="1">
        <f>HYPERLINK("https://lsnyc.legalserver.org/matter/dynamic-profile/view/1908379","19-1908379")</f>
        <v>0</v>
      </c>
      <c r="B552" t="s">
        <v>57</v>
      </c>
      <c r="C552" t="s">
        <v>195</v>
      </c>
      <c r="E552" t="s">
        <v>292</v>
      </c>
      <c r="F552" t="s">
        <v>1098</v>
      </c>
      <c r="G552" t="s">
        <v>1124</v>
      </c>
      <c r="H552" t="s">
        <v>1739</v>
      </c>
      <c r="I552" t="s">
        <v>1749</v>
      </c>
      <c r="J552">
        <v>11233</v>
      </c>
      <c r="K552" t="s">
        <v>1779</v>
      </c>
      <c r="L552" t="s">
        <v>1781</v>
      </c>
      <c r="M552" t="s">
        <v>1782</v>
      </c>
      <c r="N552" t="s">
        <v>2027</v>
      </c>
      <c r="O552" t="s">
        <v>2029</v>
      </c>
      <c r="P552" t="s">
        <v>2051</v>
      </c>
      <c r="R552" t="s">
        <v>2062</v>
      </c>
      <c r="S552" t="s">
        <v>1779</v>
      </c>
      <c r="T552" t="s">
        <v>2065</v>
      </c>
      <c r="U552" t="s">
        <v>2073</v>
      </c>
      <c r="V552" t="s">
        <v>195</v>
      </c>
      <c r="W552">
        <v>890</v>
      </c>
      <c r="X552" t="s">
        <v>2088</v>
      </c>
      <c r="Y552" t="s">
        <v>2095</v>
      </c>
      <c r="AA552" t="s">
        <v>2645</v>
      </c>
      <c r="AB552" t="s">
        <v>1783</v>
      </c>
      <c r="AC552" t="s">
        <v>3203</v>
      </c>
      <c r="AD552">
        <v>1107</v>
      </c>
      <c r="AE552" t="s">
        <v>3223</v>
      </c>
      <c r="AF552" t="s">
        <v>1783</v>
      </c>
      <c r="AG552">
        <v>9</v>
      </c>
      <c r="AH552">
        <v>1</v>
      </c>
      <c r="AI552">
        <v>0</v>
      </c>
      <c r="AJ552">
        <v>504.4</v>
      </c>
      <c r="AM552" t="s">
        <v>3248</v>
      </c>
      <c r="AN552">
        <v>63000</v>
      </c>
      <c r="AO552" t="s">
        <v>3279</v>
      </c>
    </row>
    <row r="553" spans="1:41">
      <c r="A553" s="1">
        <f>HYPERLINK("https://lsnyc.legalserver.org/matter/dynamic-profile/view/1905679","19-1905679")</f>
        <v>0</v>
      </c>
      <c r="B553" t="s">
        <v>58</v>
      </c>
      <c r="C553" t="s">
        <v>145</v>
      </c>
      <c r="E553" t="s">
        <v>399</v>
      </c>
      <c r="F553" t="s">
        <v>1099</v>
      </c>
      <c r="G553" t="s">
        <v>1208</v>
      </c>
      <c r="H553" t="s">
        <v>1590</v>
      </c>
      <c r="I553" t="s">
        <v>1749</v>
      </c>
      <c r="J553">
        <v>11226</v>
      </c>
      <c r="K553" t="s">
        <v>1779</v>
      </c>
      <c r="L553" t="s">
        <v>1781</v>
      </c>
      <c r="O553" t="s">
        <v>2032</v>
      </c>
      <c r="P553" t="s">
        <v>2053</v>
      </c>
      <c r="R553" t="s">
        <v>2062</v>
      </c>
      <c r="S553" t="s">
        <v>1779</v>
      </c>
      <c r="T553" t="s">
        <v>2065</v>
      </c>
      <c r="V553" t="s">
        <v>145</v>
      </c>
      <c r="W553">
        <v>0</v>
      </c>
      <c r="X553" t="s">
        <v>2088</v>
      </c>
      <c r="AA553" t="s">
        <v>2646</v>
      </c>
      <c r="AC553" t="s">
        <v>3204</v>
      </c>
      <c r="AD553">
        <v>36</v>
      </c>
      <c r="AE553" t="s">
        <v>3223</v>
      </c>
      <c r="AG553">
        <v>0</v>
      </c>
      <c r="AH553">
        <v>2</v>
      </c>
      <c r="AI553">
        <v>0</v>
      </c>
      <c r="AJ553">
        <v>532.23</v>
      </c>
      <c r="AM553" t="s">
        <v>3248</v>
      </c>
      <c r="AN553">
        <v>90000</v>
      </c>
    </row>
    <row r="554" spans="1:41">
      <c r="A554" s="1">
        <f>HYPERLINK("https://lsnyc.legalserver.org/matter/dynamic-profile/view/1904206","19-1904206")</f>
        <v>0</v>
      </c>
      <c r="B554" t="s">
        <v>71</v>
      </c>
      <c r="C554" t="s">
        <v>147</v>
      </c>
      <c r="E554" t="s">
        <v>667</v>
      </c>
      <c r="F554" t="s">
        <v>1007</v>
      </c>
      <c r="G554" t="s">
        <v>1160</v>
      </c>
      <c r="H554" t="s">
        <v>1543</v>
      </c>
      <c r="I554" t="s">
        <v>1754</v>
      </c>
      <c r="J554">
        <v>10024</v>
      </c>
      <c r="K554" t="s">
        <v>1779</v>
      </c>
      <c r="L554" t="s">
        <v>1781</v>
      </c>
      <c r="M554" t="s">
        <v>1782</v>
      </c>
      <c r="O554" t="s">
        <v>1793</v>
      </c>
      <c r="P554" t="s">
        <v>2055</v>
      </c>
      <c r="R554" t="s">
        <v>2062</v>
      </c>
      <c r="S554" t="s">
        <v>1780</v>
      </c>
      <c r="T554" t="s">
        <v>2065</v>
      </c>
      <c r="U554" t="s">
        <v>2073</v>
      </c>
      <c r="V554" t="s">
        <v>147</v>
      </c>
      <c r="W554">
        <v>1300</v>
      </c>
      <c r="X554" t="s">
        <v>2091</v>
      </c>
      <c r="Y554" t="s">
        <v>2097</v>
      </c>
      <c r="AA554" t="s">
        <v>2647</v>
      </c>
      <c r="AC554" t="s">
        <v>3205</v>
      </c>
      <c r="AD554">
        <v>10</v>
      </c>
      <c r="AE554" t="s">
        <v>3223</v>
      </c>
      <c r="AF554" t="s">
        <v>1783</v>
      </c>
      <c r="AG554">
        <v>30</v>
      </c>
      <c r="AH554">
        <v>2</v>
      </c>
      <c r="AI554">
        <v>0</v>
      </c>
      <c r="AJ554">
        <v>532.23</v>
      </c>
      <c r="AM554" t="s">
        <v>3248</v>
      </c>
      <c r="AN554">
        <v>90000</v>
      </c>
    </row>
    <row r="555" spans="1:41">
      <c r="A555" s="1">
        <f>HYPERLINK("https://lsnyc.legalserver.org/matter/dynamic-profile/view/1910061","19-1910061")</f>
        <v>0</v>
      </c>
      <c r="B555" t="s">
        <v>62</v>
      </c>
      <c r="C555" t="s">
        <v>177</v>
      </c>
      <c r="E555" t="s">
        <v>668</v>
      </c>
      <c r="F555" t="s">
        <v>1100</v>
      </c>
      <c r="G555" t="s">
        <v>1534</v>
      </c>
      <c r="H555" t="s">
        <v>1577</v>
      </c>
      <c r="I555" t="s">
        <v>1752</v>
      </c>
      <c r="J555">
        <v>10452</v>
      </c>
      <c r="K555" t="s">
        <v>1779</v>
      </c>
      <c r="L555" t="s">
        <v>1781</v>
      </c>
      <c r="M555" t="s">
        <v>1782</v>
      </c>
      <c r="O555" t="s">
        <v>1793</v>
      </c>
      <c r="P555" t="s">
        <v>2055</v>
      </c>
      <c r="R555" t="s">
        <v>2062</v>
      </c>
      <c r="S555" t="s">
        <v>1780</v>
      </c>
      <c r="T555" t="s">
        <v>2065</v>
      </c>
      <c r="V555" t="s">
        <v>180</v>
      </c>
      <c r="W555">
        <v>930.77</v>
      </c>
      <c r="X555" t="s">
        <v>2089</v>
      </c>
      <c r="Y555" t="s">
        <v>2100</v>
      </c>
      <c r="AA555" t="s">
        <v>2648</v>
      </c>
      <c r="AC555" t="s">
        <v>3206</v>
      </c>
      <c r="AD555">
        <v>63</v>
      </c>
      <c r="AE555" t="s">
        <v>3223</v>
      </c>
      <c r="AF555" t="s">
        <v>1783</v>
      </c>
      <c r="AG555">
        <v>30</v>
      </c>
      <c r="AH555">
        <v>1</v>
      </c>
      <c r="AI555">
        <v>0</v>
      </c>
      <c r="AJ555">
        <v>547.64</v>
      </c>
      <c r="AM555" t="s">
        <v>3248</v>
      </c>
      <c r="AN555">
        <v>68400</v>
      </c>
    </row>
    <row r="556" spans="1:41">
      <c r="A556" s="1">
        <f>HYPERLINK("https://lsnyc.legalserver.org/matter/dynamic-profile/view/1908743","19-1908743")</f>
        <v>0</v>
      </c>
      <c r="B556" t="s">
        <v>48</v>
      </c>
      <c r="C556" t="s">
        <v>174</v>
      </c>
      <c r="E556" t="s">
        <v>384</v>
      </c>
      <c r="F556" t="s">
        <v>1101</v>
      </c>
      <c r="G556" t="s">
        <v>1535</v>
      </c>
      <c r="H556" t="s">
        <v>1647</v>
      </c>
      <c r="I556" t="s">
        <v>1775</v>
      </c>
      <c r="J556">
        <v>11104</v>
      </c>
      <c r="K556" t="s">
        <v>1779</v>
      </c>
      <c r="L556" t="s">
        <v>1781</v>
      </c>
      <c r="O556" t="s">
        <v>1793</v>
      </c>
      <c r="P556" t="s">
        <v>2052</v>
      </c>
      <c r="R556" t="s">
        <v>2063</v>
      </c>
      <c r="S556" t="s">
        <v>1780</v>
      </c>
      <c r="T556" t="s">
        <v>2065</v>
      </c>
      <c r="V556" t="s">
        <v>174</v>
      </c>
      <c r="W556">
        <v>2015</v>
      </c>
      <c r="X556" t="s">
        <v>2087</v>
      </c>
      <c r="Y556" t="s">
        <v>2093</v>
      </c>
      <c r="AA556" t="s">
        <v>2649</v>
      </c>
      <c r="AC556" t="s">
        <v>3207</v>
      </c>
      <c r="AD556">
        <v>95</v>
      </c>
      <c r="AE556" t="s">
        <v>3223</v>
      </c>
      <c r="AG556">
        <v>-1</v>
      </c>
      <c r="AH556">
        <v>1</v>
      </c>
      <c r="AI556">
        <v>0</v>
      </c>
      <c r="AJ556">
        <v>560.45</v>
      </c>
      <c r="AK556" t="s">
        <v>3244</v>
      </c>
      <c r="AL556" t="s">
        <v>3245</v>
      </c>
      <c r="AM556" t="s">
        <v>3248</v>
      </c>
      <c r="AN556">
        <v>70000</v>
      </c>
    </row>
    <row r="557" spans="1:41">
      <c r="A557" s="1">
        <f>HYPERLINK("https://lsnyc.legalserver.org/matter/dynamic-profile/view/1905028","19-1905028")</f>
        <v>0</v>
      </c>
      <c r="B557" t="s">
        <v>129</v>
      </c>
      <c r="C557" t="s">
        <v>151</v>
      </c>
      <c r="E557" t="s">
        <v>669</v>
      </c>
      <c r="F557" t="s">
        <v>1102</v>
      </c>
      <c r="G557" t="s">
        <v>1446</v>
      </c>
      <c r="H557" t="s">
        <v>1543</v>
      </c>
      <c r="I557" t="s">
        <v>1754</v>
      </c>
      <c r="J557">
        <v>10024</v>
      </c>
      <c r="K557" t="s">
        <v>1779</v>
      </c>
      <c r="L557" t="s">
        <v>1781</v>
      </c>
      <c r="M557" t="s">
        <v>1782</v>
      </c>
      <c r="O557" t="s">
        <v>2031</v>
      </c>
      <c r="P557" t="s">
        <v>2052</v>
      </c>
      <c r="R557" t="s">
        <v>2062</v>
      </c>
      <c r="S557" t="s">
        <v>1779</v>
      </c>
      <c r="T557" t="s">
        <v>2065</v>
      </c>
      <c r="U557" t="s">
        <v>2073</v>
      </c>
      <c r="V557" t="s">
        <v>213</v>
      </c>
      <c r="W557">
        <v>2085</v>
      </c>
      <c r="X557" t="s">
        <v>2091</v>
      </c>
      <c r="Y557" t="s">
        <v>2097</v>
      </c>
      <c r="AA557" t="s">
        <v>2650</v>
      </c>
      <c r="AC557" t="s">
        <v>3208</v>
      </c>
      <c r="AD557">
        <v>21</v>
      </c>
      <c r="AE557" t="s">
        <v>3223</v>
      </c>
      <c r="AF557" t="s">
        <v>1783</v>
      </c>
      <c r="AG557">
        <v>2</v>
      </c>
      <c r="AH557">
        <v>1</v>
      </c>
      <c r="AI557">
        <v>0</v>
      </c>
      <c r="AJ557">
        <v>560.45</v>
      </c>
      <c r="AM557" t="s">
        <v>3248</v>
      </c>
      <c r="AN557">
        <v>70000</v>
      </c>
    </row>
    <row r="558" spans="1:41">
      <c r="A558" s="1">
        <f>HYPERLINK("https://lsnyc.legalserver.org/matter/dynamic-profile/view/1907697","19-1907697")</f>
        <v>0</v>
      </c>
      <c r="B558" t="s">
        <v>72</v>
      </c>
      <c r="C558" t="s">
        <v>185</v>
      </c>
      <c r="E558" t="s">
        <v>467</v>
      </c>
      <c r="F558" t="s">
        <v>1103</v>
      </c>
      <c r="G558" t="s">
        <v>1501</v>
      </c>
      <c r="I558" t="s">
        <v>1761</v>
      </c>
      <c r="J558">
        <v>11377</v>
      </c>
      <c r="K558" t="s">
        <v>1779</v>
      </c>
      <c r="L558" t="s">
        <v>1781</v>
      </c>
      <c r="M558" t="s">
        <v>1782</v>
      </c>
      <c r="N558" t="s">
        <v>2010</v>
      </c>
      <c r="O558" t="s">
        <v>2032</v>
      </c>
      <c r="P558" t="s">
        <v>2053</v>
      </c>
      <c r="R558" t="s">
        <v>2062</v>
      </c>
      <c r="S558" t="s">
        <v>1779</v>
      </c>
      <c r="T558" t="s">
        <v>2065</v>
      </c>
      <c r="U558" t="s">
        <v>2073</v>
      </c>
      <c r="V558" t="s">
        <v>185</v>
      </c>
      <c r="W558">
        <v>1543</v>
      </c>
      <c r="X558" t="s">
        <v>2087</v>
      </c>
      <c r="Y558" t="s">
        <v>2100</v>
      </c>
      <c r="AA558" t="s">
        <v>2651</v>
      </c>
      <c r="AC558" t="s">
        <v>3209</v>
      </c>
      <c r="AD558">
        <v>390</v>
      </c>
      <c r="AE558" t="s">
        <v>2704</v>
      </c>
      <c r="AF558" t="s">
        <v>1783</v>
      </c>
      <c r="AG558">
        <v>2</v>
      </c>
      <c r="AH558">
        <v>2</v>
      </c>
      <c r="AI558">
        <v>0</v>
      </c>
      <c r="AJ558">
        <v>591.37</v>
      </c>
      <c r="AM558" t="s">
        <v>3249</v>
      </c>
      <c r="AN558">
        <v>100000</v>
      </c>
    </row>
    <row r="559" spans="1:41">
      <c r="A559" s="1">
        <f>HYPERLINK("https://lsnyc.legalserver.org/matter/dynamic-profile/view/1909425","19-1909425")</f>
        <v>0</v>
      </c>
      <c r="B559" t="s">
        <v>96</v>
      </c>
      <c r="C559" t="s">
        <v>164</v>
      </c>
      <c r="E559" t="s">
        <v>670</v>
      </c>
      <c r="F559" t="s">
        <v>1104</v>
      </c>
      <c r="G559" t="s">
        <v>1471</v>
      </c>
      <c r="H559" t="s">
        <v>1740</v>
      </c>
      <c r="I559" t="s">
        <v>1749</v>
      </c>
      <c r="J559">
        <v>11219</v>
      </c>
      <c r="K559" t="s">
        <v>1779</v>
      </c>
      <c r="L559" t="s">
        <v>1781</v>
      </c>
      <c r="M559" t="s">
        <v>1782</v>
      </c>
      <c r="R559" t="s">
        <v>2062</v>
      </c>
      <c r="S559" t="s">
        <v>1779</v>
      </c>
      <c r="T559" t="s">
        <v>2065</v>
      </c>
      <c r="V559" t="s">
        <v>164</v>
      </c>
      <c r="W559">
        <v>0</v>
      </c>
      <c r="X559" t="s">
        <v>2088</v>
      </c>
      <c r="AA559" t="s">
        <v>2652</v>
      </c>
      <c r="AC559" t="s">
        <v>3210</v>
      </c>
      <c r="AD559">
        <v>20</v>
      </c>
      <c r="AG559">
        <v>0</v>
      </c>
      <c r="AH559">
        <v>2</v>
      </c>
      <c r="AI559">
        <v>0</v>
      </c>
      <c r="AJ559">
        <v>626.85</v>
      </c>
      <c r="AL559" t="s">
        <v>3247</v>
      </c>
      <c r="AM559" t="s">
        <v>3262</v>
      </c>
      <c r="AN559">
        <v>106000</v>
      </c>
    </row>
    <row r="560" spans="1:41">
      <c r="A560" s="1">
        <f>HYPERLINK("https://lsnyc.legalserver.org/matter/dynamic-profile/view/1909501","19-1909501")</f>
        <v>0</v>
      </c>
      <c r="B560" t="s">
        <v>110</v>
      </c>
      <c r="C560" t="s">
        <v>138</v>
      </c>
      <c r="E560" t="s">
        <v>671</v>
      </c>
      <c r="F560" t="s">
        <v>1105</v>
      </c>
      <c r="G560" t="s">
        <v>1242</v>
      </c>
      <c r="H560" t="s">
        <v>1718</v>
      </c>
      <c r="I560" t="s">
        <v>1754</v>
      </c>
      <c r="J560">
        <v>10040</v>
      </c>
      <c r="K560" t="s">
        <v>1779</v>
      </c>
      <c r="L560" t="s">
        <v>1781</v>
      </c>
      <c r="M560" t="s">
        <v>1782</v>
      </c>
      <c r="O560" t="s">
        <v>2031</v>
      </c>
      <c r="P560" t="s">
        <v>2052</v>
      </c>
      <c r="R560" t="s">
        <v>2062</v>
      </c>
      <c r="S560" t="s">
        <v>1779</v>
      </c>
      <c r="T560" t="s">
        <v>2065</v>
      </c>
      <c r="V560" t="s">
        <v>138</v>
      </c>
      <c r="W560">
        <v>1738.34</v>
      </c>
      <c r="X560" t="s">
        <v>2091</v>
      </c>
      <c r="Y560" t="s">
        <v>2099</v>
      </c>
      <c r="AA560" t="s">
        <v>2167</v>
      </c>
      <c r="AC560" t="s">
        <v>3211</v>
      </c>
      <c r="AD560">
        <v>77</v>
      </c>
      <c r="AE560" t="s">
        <v>3223</v>
      </c>
      <c r="AF560" t="s">
        <v>1783</v>
      </c>
      <c r="AG560">
        <v>5</v>
      </c>
      <c r="AH560">
        <v>2</v>
      </c>
      <c r="AI560">
        <v>0</v>
      </c>
      <c r="AJ560">
        <v>626.85</v>
      </c>
      <c r="AM560" t="s">
        <v>3248</v>
      </c>
      <c r="AN560">
        <v>106000</v>
      </c>
    </row>
    <row r="561" spans="1:41">
      <c r="A561" s="1">
        <f>HYPERLINK("https://lsnyc.legalserver.org/matter/dynamic-profile/view/1907714","19-1907714")</f>
        <v>0</v>
      </c>
      <c r="B561" t="s">
        <v>72</v>
      </c>
      <c r="C561" t="s">
        <v>185</v>
      </c>
      <c r="E561" t="s">
        <v>672</v>
      </c>
      <c r="F561" t="s">
        <v>1106</v>
      </c>
      <c r="G561" t="s">
        <v>1501</v>
      </c>
      <c r="H561" t="s">
        <v>1654</v>
      </c>
      <c r="I561" t="s">
        <v>1761</v>
      </c>
      <c r="J561">
        <v>11377</v>
      </c>
      <c r="K561" t="s">
        <v>1779</v>
      </c>
      <c r="L561" t="s">
        <v>1781</v>
      </c>
      <c r="M561" t="s">
        <v>1782</v>
      </c>
      <c r="N561" t="s">
        <v>2010</v>
      </c>
      <c r="O561" t="s">
        <v>2032</v>
      </c>
      <c r="P561" t="s">
        <v>2053</v>
      </c>
      <c r="R561" t="s">
        <v>2062</v>
      </c>
      <c r="S561" t="s">
        <v>1779</v>
      </c>
      <c r="T561" t="s">
        <v>2065</v>
      </c>
      <c r="U561" t="s">
        <v>2073</v>
      </c>
      <c r="V561" t="s">
        <v>185</v>
      </c>
      <c r="W561">
        <v>2000</v>
      </c>
      <c r="X561" t="s">
        <v>2087</v>
      </c>
      <c r="Y561" t="s">
        <v>2100</v>
      </c>
      <c r="AA561" t="s">
        <v>2653</v>
      </c>
      <c r="AC561" t="s">
        <v>3212</v>
      </c>
      <c r="AD561">
        <v>390</v>
      </c>
      <c r="AE561" t="s">
        <v>3223</v>
      </c>
      <c r="AF561" t="s">
        <v>2094</v>
      </c>
      <c r="AG561">
        <v>-1</v>
      </c>
      <c r="AH561">
        <v>2</v>
      </c>
      <c r="AI561">
        <v>0</v>
      </c>
      <c r="AJ561">
        <v>650.5</v>
      </c>
      <c r="AM561" t="s">
        <v>3248</v>
      </c>
      <c r="AN561">
        <v>110000</v>
      </c>
    </row>
    <row r="562" spans="1:41">
      <c r="A562" s="1">
        <f>HYPERLINK("https://lsnyc.legalserver.org/matter/dynamic-profile/view/1910421","19-1910421")</f>
        <v>0</v>
      </c>
      <c r="B562" t="s">
        <v>59</v>
      </c>
      <c r="C562" t="s">
        <v>150</v>
      </c>
      <c r="E562" t="s">
        <v>673</v>
      </c>
      <c r="F562" t="s">
        <v>705</v>
      </c>
      <c r="G562" t="s">
        <v>1536</v>
      </c>
      <c r="H562" t="s">
        <v>1600</v>
      </c>
      <c r="I562" t="s">
        <v>1749</v>
      </c>
      <c r="J562">
        <v>11225</v>
      </c>
      <c r="K562" t="s">
        <v>1779</v>
      </c>
      <c r="L562" t="s">
        <v>1781</v>
      </c>
      <c r="M562" t="s">
        <v>1782</v>
      </c>
      <c r="P562" t="s">
        <v>2053</v>
      </c>
      <c r="R562" t="s">
        <v>2062</v>
      </c>
      <c r="S562" t="s">
        <v>1779</v>
      </c>
      <c r="T562" t="s">
        <v>2065</v>
      </c>
      <c r="V562" t="s">
        <v>177</v>
      </c>
      <c r="W562">
        <v>0</v>
      </c>
      <c r="X562" t="s">
        <v>2088</v>
      </c>
      <c r="AA562" t="s">
        <v>2654</v>
      </c>
      <c r="AC562" t="s">
        <v>3213</v>
      </c>
      <c r="AD562">
        <v>0</v>
      </c>
      <c r="AG562">
        <v>0</v>
      </c>
      <c r="AH562">
        <v>2</v>
      </c>
      <c r="AI562">
        <v>0</v>
      </c>
      <c r="AJ562">
        <v>656.42</v>
      </c>
      <c r="AM562" t="s">
        <v>3248</v>
      </c>
      <c r="AN562">
        <v>111000</v>
      </c>
    </row>
    <row r="563" spans="1:41">
      <c r="A563" s="1">
        <f>HYPERLINK("https://lsnyc.legalserver.org/matter/dynamic-profile/view/1904892","19-1904892")</f>
        <v>0</v>
      </c>
      <c r="B563" t="s">
        <v>82</v>
      </c>
      <c r="C563" t="s">
        <v>176</v>
      </c>
      <c r="D563" t="s">
        <v>246</v>
      </c>
      <c r="E563" t="s">
        <v>674</v>
      </c>
      <c r="F563" t="s">
        <v>1107</v>
      </c>
      <c r="G563" t="s">
        <v>1537</v>
      </c>
      <c r="H563" t="s">
        <v>1573</v>
      </c>
      <c r="I563" t="s">
        <v>1754</v>
      </c>
      <c r="J563">
        <v>10033</v>
      </c>
      <c r="K563" t="s">
        <v>1779</v>
      </c>
      <c r="L563" t="s">
        <v>1781</v>
      </c>
      <c r="M563" t="s">
        <v>1782</v>
      </c>
      <c r="O563" t="s">
        <v>2034</v>
      </c>
      <c r="P563" t="s">
        <v>2050</v>
      </c>
      <c r="Q563" t="s">
        <v>2057</v>
      </c>
      <c r="R563" t="s">
        <v>2062</v>
      </c>
      <c r="S563" t="s">
        <v>1780</v>
      </c>
      <c r="T563" t="s">
        <v>2065</v>
      </c>
      <c r="V563" t="s">
        <v>176</v>
      </c>
      <c r="W563">
        <v>2100</v>
      </c>
      <c r="X563" t="s">
        <v>2091</v>
      </c>
      <c r="Y563" t="s">
        <v>2099</v>
      </c>
      <c r="Z563" t="s">
        <v>2110</v>
      </c>
      <c r="AA563" t="s">
        <v>2655</v>
      </c>
      <c r="AC563" t="s">
        <v>3214</v>
      </c>
      <c r="AD563">
        <v>95</v>
      </c>
      <c r="AE563" t="s">
        <v>3223</v>
      </c>
      <c r="AF563" t="s">
        <v>1783</v>
      </c>
      <c r="AG563">
        <v>2</v>
      </c>
      <c r="AH563">
        <v>2</v>
      </c>
      <c r="AI563">
        <v>0</v>
      </c>
      <c r="AJ563">
        <v>709.64</v>
      </c>
      <c r="AM563" t="s">
        <v>3248</v>
      </c>
      <c r="AN563">
        <v>120000</v>
      </c>
    </row>
    <row r="564" spans="1:41">
      <c r="A564" s="1">
        <f>HYPERLINK("https://lsnyc.legalserver.org/matter/dynamic-profile/view/1908229","19-1908229")</f>
        <v>0</v>
      </c>
      <c r="B564" t="s">
        <v>77</v>
      </c>
      <c r="C564" t="s">
        <v>238</v>
      </c>
      <c r="E564" t="s">
        <v>675</v>
      </c>
      <c r="F564" t="s">
        <v>1108</v>
      </c>
      <c r="G564" t="s">
        <v>1502</v>
      </c>
      <c r="H564" t="s">
        <v>1741</v>
      </c>
      <c r="I564" t="s">
        <v>1749</v>
      </c>
      <c r="J564">
        <v>11216</v>
      </c>
      <c r="K564" t="s">
        <v>1779</v>
      </c>
      <c r="L564" t="s">
        <v>1781</v>
      </c>
      <c r="M564" t="s">
        <v>1782</v>
      </c>
      <c r="N564" t="s">
        <v>2011</v>
      </c>
      <c r="O564" t="s">
        <v>2041</v>
      </c>
      <c r="P564" t="s">
        <v>2051</v>
      </c>
      <c r="R564" t="s">
        <v>2062</v>
      </c>
      <c r="S564" t="s">
        <v>1779</v>
      </c>
      <c r="T564" t="s">
        <v>2065</v>
      </c>
      <c r="U564" t="s">
        <v>2073</v>
      </c>
      <c r="V564" t="s">
        <v>180</v>
      </c>
      <c r="W564">
        <v>1624.29</v>
      </c>
      <c r="X564" t="s">
        <v>2088</v>
      </c>
      <c r="Y564" t="s">
        <v>2096</v>
      </c>
      <c r="AA564" t="s">
        <v>2656</v>
      </c>
      <c r="AB564" t="s">
        <v>1799</v>
      </c>
      <c r="AC564" t="s">
        <v>3215</v>
      </c>
      <c r="AD564">
        <v>82</v>
      </c>
      <c r="AE564" t="s">
        <v>3223</v>
      </c>
      <c r="AG564">
        <v>-1</v>
      </c>
      <c r="AH564">
        <v>1</v>
      </c>
      <c r="AI564">
        <v>0</v>
      </c>
      <c r="AJ564">
        <v>780.62</v>
      </c>
      <c r="AM564" t="s">
        <v>3248</v>
      </c>
      <c r="AN564">
        <v>97500</v>
      </c>
    </row>
    <row r="565" spans="1:41">
      <c r="A565" s="1">
        <f>HYPERLINK("https://lsnyc.legalserver.org/matter/dynamic-profile/view/1908228","19-1908228")</f>
        <v>0</v>
      </c>
      <c r="B565" t="s">
        <v>77</v>
      </c>
      <c r="C565" t="s">
        <v>238</v>
      </c>
      <c r="E565" t="s">
        <v>675</v>
      </c>
      <c r="F565" t="s">
        <v>1108</v>
      </c>
      <c r="G565" t="s">
        <v>1502</v>
      </c>
      <c r="H565" t="s">
        <v>1741</v>
      </c>
      <c r="I565" t="s">
        <v>1749</v>
      </c>
      <c r="J565">
        <v>11216</v>
      </c>
      <c r="K565" t="s">
        <v>1779</v>
      </c>
      <c r="L565" t="s">
        <v>1781</v>
      </c>
      <c r="M565" t="s">
        <v>1782</v>
      </c>
      <c r="N565" t="s">
        <v>1783</v>
      </c>
      <c r="O565" t="s">
        <v>2033</v>
      </c>
      <c r="P565" t="s">
        <v>2055</v>
      </c>
      <c r="R565" t="s">
        <v>2062</v>
      </c>
      <c r="S565" t="s">
        <v>1779</v>
      </c>
      <c r="T565" t="s">
        <v>2065</v>
      </c>
      <c r="U565" t="s">
        <v>2073</v>
      </c>
      <c r="V565" t="s">
        <v>182</v>
      </c>
      <c r="W565">
        <v>1624.29</v>
      </c>
      <c r="X565" t="s">
        <v>2088</v>
      </c>
      <c r="Y565" t="s">
        <v>2096</v>
      </c>
      <c r="AA565" t="s">
        <v>2656</v>
      </c>
      <c r="AB565" t="s">
        <v>1799</v>
      </c>
      <c r="AC565" t="s">
        <v>3215</v>
      </c>
      <c r="AD565">
        <v>82</v>
      </c>
      <c r="AE565" t="s">
        <v>3223</v>
      </c>
      <c r="AF565" t="s">
        <v>1783</v>
      </c>
      <c r="AG565">
        <v>-1</v>
      </c>
      <c r="AH565">
        <v>1</v>
      </c>
      <c r="AI565">
        <v>0</v>
      </c>
      <c r="AJ565">
        <v>780.62</v>
      </c>
      <c r="AM565" t="s">
        <v>3248</v>
      </c>
      <c r="AN565">
        <v>97500</v>
      </c>
    </row>
    <row r="566" spans="1:41">
      <c r="A566" s="1">
        <f>HYPERLINK("https://lsnyc.legalserver.org/matter/dynamic-profile/view/1906363","19-1906363")</f>
        <v>0</v>
      </c>
      <c r="B566" t="s">
        <v>61</v>
      </c>
      <c r="C566" t="s">
        <v>161</v>
      </c>
      <c r="E566" t="s">
        <v>676</v>
      </c>
      <c r="F566" t="s">
        <v>711</v>
      </c>
      <c r="G566" t="s">
        <v>1502</v>
      </c>
      <c r="H566" t="s">
        <v>1563</v>
      </c>
      <c r="I566" t="s">
        <v>1749</v>
      </c>
      <c r="J566">
        <v>11216</v>
      </c>
      <c r="K566" t="s">
        <v>1779</v>
      </c>
      <c r="L566" t="s">
        <v>1781</v>
      </c>
      <c r="M566" t="s">
        <v>1782</v>
      </c>
      <c r="N566" t="s">
        <v>1799</v>
      </c>
      <c r="O566" t="s">
        <v>1793</v>
      </c>
      <c r="P566" t="s">
        <v>2055</v>
      </c>
      <c r="R566" t="s">
        <v>2062</v>
      </c>
      <c r="S566" t="s">
        <v>1779</v>
      </c>
      <c r="T566" t="s">
        <v>2065</v>
      </c>
      <c r="U566" t="s">
        <v>2073</v>
      </c>
      <c r="V566" t="s">
        <v>139</v>
      </c>
      <c r="W566">
        <v>1550</v>
      </c>
      <c r="X566" t="s">
        <v>2088</v>
      </c>
      <c r="Y566" t="s">
        <v>2096</v>
      </c>
      <c r="AA566" t="s">
        <v>2657</v>
      </c>
      <c r="AB566" t="s">
        <v>1799</v>
      </c>
      <c r="AC566" t="s">
        <v>3216</v>
      </c>
      <c r="AD566">
        <v>82</v>
      </c>
      <c r="AE566" t="s">
        <v>3223</v>
      </c>
      <c r="AF566" t="s">
        <v>1783</v>
      </c>
      <c r="AG566">
        <v>8</v>
      </c>
      <c r="AH566">
        <v>1</v>
      </c>
      <c r="AI566">
        <v>0</v>
      </c>
      <c r="AJ566">
        <v>792.63</v>
      </c>
      <c r="AL566" t="s">
        <v>3247</v>
      </c>
      <c r="AM566" t="s">
        <v>3248</v>
      </c>
      <c r="AN566">
        <v>99000</v>
      </c>
      <c r="AO566" t="s">
        <v>3280</v>
      </c>
    </row>
    <row r="567" spans="1:41">
      <c r="A567" s="1">
        <f>HYPERLINK("https://lsnyc.legalserver.org/matter/dynamic-profile/view/1906367","19-1906367")</f>
        <v>0</v>
      </c>
      <c r="B567" t="s">
        <v>61</v>
      </c>
      <c r="C567" t="s">
        <v>161</v>
      </c>
      <c r="E567" t="s">
        <v>676</v>
      </c>
      <c r="F567" t="s">
        <v>711</v>
      </c>
      <c r="G567" t="s">
        <v>1502</v>
      </c>
      <c r="H567" t="s">
        <v>1563</v>
      </c>
      <c r="I567" t="s">
        <v>1749</v>
      </c>
      <c r="J567">
        <v>11216</v>
      </c>
      <c r="K567" t="s">
        <v>1779</v>
      </c>
      <c r="L567" t="s">
        <v>1781</v>
      </c>
      <c r="M567" t="s">
        <v>1782</v>
      </c>
      <c r="N567" t="s">
        <v>2028</v>
      </c>
      <c r="O567" t="s">
        <v>2030</v>
      </c>
      <c r="P567" t="s">
        <v>2051</v>
      </c>
      <c r="R567" t="s">
        <v>2062</v>
      </c>
      <c r="S567" t="s">
        <v>1779</v>
      </c>
      <c r="T567" t="s">
        <v>2065</v>
      </c>
      <c r="U567" t="s">
        <v>2072</v>
      </c>
      <c r="V567" t="s">
        <v>184</v>
      </c>
      <c r="W567">
        <v>1550</v>
      </c>
      <c r="X567" t="s">
        <v>2088</v>
      </c>
      <c r="Y567" t="s">
        <v>2096</v>
      </c>
      <c r="AA567" t="s">
        <v>2657</v>
      </c>
      <c r="AB567" t="s">
        <v>1799</v>
      </c>
      <c r="AC567" t="s">
        <v>3216</v>
      </c>
      <c r="AD567">
        <v>82</v>
      </c>
      <c r="AE567" t="s">
        <v>3223</v>
      </c>
      <c r="AF567" t="s">
        <v>1783</v>
      </c>
      <c r="AG567">
        <v>8</v>
      </c>
      <c r="AH567">
        <v>1</v>
      </c>
      <c r="AI567">
        <v>0</v>
      </c>
      <c r="AJ567">
        <v>792.63</v>
      </c>
      <c r="AL567" t="s">
        <v>3247</v>
      </c>
      <c r="AM567" t="s">
        <v>3248</v>
      </c>
      <c r="AN567">
        <v>99000</v>
      </c>
      <c r="AO567" t="s">
        <v>3281</v>
      </c>
    </row>
    <row r="568" spans="1:41">
      <c r="A568" s="1">
        <f>HYPERLINK("https://lsnyc.legalserver.org/matter/dynamic-profile/view/1908412","19-1908412")</f>
        <v>0</v>
      </c>
      <c r="B568" t="s">
        <v>70</v>
      </c>
      <c r="C568" t="s">
        <v>195</v>
      </c>
      <c r="E568" t="s">
        <v>677</v>
      </c>
      <c r="F568" t="s">
        <v>1109</v>
      </c>
      <c r="G568" t="s">
        <v>1263</v>
      </c>
      <c r="H568" t="s">
        <v>1742</v>
      </c>
      <c r="I568" t="s">
        <v>1754</v>
      </c>
      <c r="J568">
        <v>10035</v>
      </c>
      <c r="K568" t="s">
        <v>1779</v>
      </c>
      <c r="L568" t="s">
        <v>1781</v>
      </c>
      <c r="M568" t="s">
        <v>1782</v>
      </c>
      <c r="O568" t="s">
        <v>1793</v>
      </c>
      <c r="P568" t="s">
        <v>2055</v>
      </c>
      <c r="R568" t="s">
        <v>2062</v>
      </c>
      <c r="S568" t="s">
        <v>1779</v>
      </c>
      <c r="T568" t="s">
        <v>2065</v>
      </c>
      <c r="U568" t="s">
        <v>2073</v>
      </c>
      <c r="V568" t="s">
        <v>208</v>
      </c>
      <c r="W568">
        <v>1510</v>
      </c>
      <c r="X568" t="s">
        <v>2091</v>
      </c>
      <c r="Y568" t="s">
        <v>2096</v>
      </c>
      <c r="AA568" t="s">
        <v>2658</v>
      </c>
      <c r="AC568" t="s">
        <v>3217</v>
      </c>
      <c r="AD568">
        <v>72</v>
      </c>
      <c r="AE568" t="s">
        <v>3223</v>
      </c>
      <c r="AF568" t="s">
        <v>1783</v>
      </c>
      <c r="AG568">
        <v>6</v>
      </c>
      <c r="AH568">
        <v>1</v>
      </c>
      <c r="AI568">
        <v>0</v>
      </c>
      <c r="AJ568">
        <v>800.64</v>
      </c>
      <c r="AM568" t="s">
        <v>3248</v>
      </c>
      <c r="AN568">
        <v>100000</v>
      </c>
    </row>
    <row r="569" spans="1:41">
      <c r="A569" s="1">
        <f>HYPERLINK("https://lsnyc.legalserver.org/matter/dynamic-profile/view/1906006","19-1906006")</f>
        <v>0</v>
      </c>
      <c r="B569" t="s">
        <v>67</v>
      </c>
      <c r="C569" t="s">
        <v>140</v>
      </c>
      <c r="E569" t="s">
        <v>678</v>
      </c>
      <c r="F569" t="s">
        <v>1110</v>
      </c>
      <c r="G569" t="s">
        <v>1538</v>
      </c>
      <c r="H569" t="s">
        <v>1576</v>
      </c>
      <c r="I569" t="s">
        <v>1754</v>
      </c>
      <c r="J569">
        <v>10033</v>
      </c>
      <c r="K569" t="s">
        <v>1779</v>
      </c>
      <c r="L569" t="s">
        <v>1781</v>
      </c>
      <c r="M569" t="s">
        <v>1782</v>
      </c>
      <c r="P569" t="s">
        <v>2052</v>
      </c>
      <c r="R569" t="s">
        <v>2062</v>
      </c>
      <c r="S569" t="s">
        <v>1780</v>
      </c>
      <c r="T569" t="s">
        <v>2065</v>
      </c>
      <c r="V569" t="s">
        <v>140</v>
      </c>
      <c r="W569">
        <v>2275</v>
      </c>
      <c r="X569" t="s">
        <v>2091</v>
      </c>
      <c r="Y569" t="s">
        <v>2099</v>
      </c>
      <c r="AA569" t="s">
        <v>2659</v>
      </c>
      <c r="AC569" t="s">
        <v>3218</v>
      </c>
      <c r="AD569">
        <v>49</v>
      </c>
      <c r="AE569" t="s">
        <v>3223</v>
      </c>
      <c r="AF569" t="s">
        <v>1783</v>
      </c>
      <c r="AG569">
        <v>8</v>
      </c>
      <c r="AH569">
        <v>3</v>
      </c>
      <c r="AI569">
        <v>0</v>
      </c>
      <c r="AJ569">
        <v>825.13</v>
      </c>
      <c r="AM569" t="s">
        <v>3248</v>
      </c>
      <c r="AN569">
        <v>176000</v>
      </c>
    </row>
    <row r="570" spans="1:41">
      <c r="A570" s="1">
        <f>HYPERLINK("https://lsnyc.legalserver.org/matter/dynamic-profile/view/1907063","19-1907063")</f>
        <v>0</v>
      </c>
      <c r="B570" t="s">
        <v>60</v>
      </c>
      <c r="C570" t="s">
        <v>163</v>
      </c>
      <c r="E570" t="s">
        <v>679</v>
      </c>
      <c r="F570" t="s">
        <v>1111</v>
      </c>
      <c r="G570" t="s">
        <v>1539</v>
      </c>
      <c r="H570" t="s">
        <v>1610</v>
      </c>
      <c r="I570" t="s">
        <v>1749</v>
      </c>
      <c r="J570">
        <v>11213</v>
      </c>
      <c r="K570" t="s">
        <v>1779</v>
      </c>
      <c r="L570" t="s">
        <v>1781</v>
      </c>
      <c r="M570" t="s">
        <v>1783</v>
      </c>
      <c r="O570" t="s">
        <v>2033</v>
      </c>
      <c r="P570" t="s">
        <v>2054</v>
      </c>
      <c r="R570" t="s">
        <v>2062</v>
      </c>
      <c r="T570" t="s">
        <v>2065</v>
      </c>
      <c r="V570" t="s">
        <v>152</v>
      </c>
      <c r="W570">
        <v>0</v>
      </c>
      <c r="X570" t="s">
        <v>2088</v>
      </c>
      <c r="AA570" t="s">
        <v>2660</v>
      </c>
      <c r="AC570" t="s">
        <v>3219</v>
      </c>
      <c r="AD570">
        <v>38</v>
      </c>
      <c r="AG570">
        <v>0</v>
      </c>
      <c r="AH570">
        <v>2</v>
      </c>
      <c r="AI570">
        <v>0</v>
      </c>
      <c r="AJ570">
        <v>839.15</v>
      </c>
      <c r="AM570" t="s">
        <v>3248</v>
      </c>
      <c r="AN570">
        <v>141900</v>
      </c>
    </row>
    <row r="571" spans="1:41">
      <c r="A571" s="1">
        <f>HYPERLINK("https://lsnyc.legalserver.org/matter/dynamic-profile/view/1907507","19-1907507")</f>
        <v>0</v>
      </c>
      <c r="B571" t="s">
        <v>60</v>
      </c>
      <c r="C571" t="s">
        <v>139</v>
      </c>
      <c r="E571" t="s">
        <v>680</v>
      </c>
      <c r="F571" t="s">
        <v>1112</v>
      </c>
      <c r="G571" t="s">
        <v>1132</v>
      </c>
      <c r="H571" t="s">
        <v>1743</v>
      </c>
      <c r="I571" t="s">
        <v>1749</v>
      </c>
      <c r="J571">
        <v>11225</v>
      </c>
      <c r="K571" t="s">
        <v>1779</v>
      </c>
      <c r="L571" t="s">
        <v>1781</v>
      </c>
      <c r="M571" t="s">
        <v>1782</v>
      </c>
      <c r="O571" t="s">
        <v>2033</v>
      </c>
      <c r="P571" t="s">
        <v>2054</v>
      </c>
      <c r="R571" t="s">
        <v>2062</v>
      </c>
      <c r="S571" t="s">
        <v>1779</v>
      </c>
      <c r="T571" t="s">
        <v>2065</v>
      </c>
      <c r="V571" t="s">
        <v>139</v>
      </c>
      <c r="W571">
        <v>0</v>
      </c>
      <c r="X571" t="s">
        <v>2088</v>
      </c>
      <c r="AA571" t="s">
        <v>2661</v>
      </c>
      <c r="AC571" t="s">
        <v>3220</v>
      </c>
      <c r="AD571">
        <v>46</v>
      </c>
      <c r="AG571">
        <v>0</v>
      </c>
      <c r="AH571">
        <v>1</v>
      </c>
      <c r="AI571">
        <v>0</v>
      </c>
      <c r="AJ571">
        <v>1136.91</v>
      </c>
      <c r="AM571" t="s">
        <v>3248</v>
      </c>
      <c r="AN571">
        <v>142000</v>
      </c>
    </row>
    <row r="572" spans="1:41">
      <c r="A572" s="1">
        <f>HYPERLINK("https://lsnyc.legalserver.org/matter/dynamic-profile/view/1910129","19-1910129")</f>
        <v>0</v>
      </c>
      <c r="B572" t="s">
        <v>83</v>
      </c>
      <c r="C572" t="s">
        <v>177</v>
      </c>
      <c r="E572" t="s">
        <v>681</v>
      </c>
      <c r="F572" t="s">
        <v>1113</v>
      </c>
      <c r="G572" t="s">
        <v>1511</v>
      </c>
      <c r="I572" t="s">
        <v>1754</v>
      </c>
      <c r="J572">
        <v>10032</v>
      </c>
      <c r="K572" t="s">
        <v>1779</v>
      </c>
      <c r="L572" t="s">
        <v>1781</v>
      </c>
      <c r="M572" t="s">
        <v>1782</v>
      </c>
      <c r="O572" t="s">
        <v>2031</v>
      </c>
      <c r="P572" t="s">
        <v>2051</v>
      </c>
      <c r="R572" t="s">
        <v>2062</v>
      </c>
      <c r="S572" t="s">
        <v>1779</v>
      </c>
      <c r="T572" t="s">
        <v>2065</v>
      </c>
      <c r="V572" t="s">
        <v>177</v>
      </c>
      <c r="W572">
        <v>2995</v>
      </c>
      <c r="X572" t="s">
        <v>2091</v>
      </c>
      <c r="Y572" t="s">
        <v>2099</v>
      </c>
      <c r="AA572" t="s">
        <v>2662</v>
      </c>
      <c r="AC572" t="s">
        <v>3221</v>
      </c>
      <c r="AD572">
        <v>47</v>
      </c>
      <c r="AE572" t="s">
        <v>3223</v>
      </c>
      <c r="AF572" t="s">
        <v>1783</v>
      </c>
      <c r="AG572">
        <v>1</v>
      </c>
      <c r="AH572">
        <v>2</v>
      </c>
      <c r="AI572">
        <v>0</v>
      </c>
      <c r="AJ572">
        <v>1951.51</v>
      </c>
      <c r="AM572" t="s">
        <v>3248</v>
      </c>
      <c r="AN572">
        <v>330000</v>
      </c>
    </row>
    <row r="573" spans="1:41">
      <c r="A573" s="1">
        <f>HYPERLINK("https://lsnyc.legalserver.org/matter/dynamic-profile/view/1910273","19-1910273")</f>
        <v>0</v>
      </c>
      <c r="B573" t="s">
        <v>74</v>
      </c>
      <c r="C573" t="s">
        <v>233</v>
      </c>
      <c r="E573" t="s">
        <v>583</v>
      </c>
      <c r="F573" t="s">
        <v>1011</v>
      </c>
      <c r="G573" t="s">
        <v>1458</v>
      </c>
      <c r="I573" t="s">
        <v>1746</v>
      </c>
      <c r="J573">
        <v>11435</v>
      </c>
      <c r="K573" t="s">
        <v>1779</v>
      </c>
      <c r="L573" t="s">
        <v>1781</v>
      </c>
      <c r="M573" t="s">
        <v>1782</v>
      </c>
      <c r="O573" t="s">
        <v>2034</v>
      </c>
      <c r="P573" t="s">
        <v>2055</v>
      </c>
      <c r="R573" t="s">
        <v>2062</v>
      </c>
      <c r="S573" t="s">
        <v>1780</v>
      </c>
      <c r="T573" t="s">
        <v>2065</v>
      </c>
      <c r="U573" t="s">
        <v>2073</v>
      </c>
      <c r="V573" t="s">
        <v>233</v>
      </c>
      <c r="W573">
        <v>2010</v>
      </c>
      <c r="X573" t="s">
        <v>2087</v>
      </c>
      <c r="Y573" t="s">
        <v>2103</v>
      </c>
      <c r="AA573" t="s">
        <v>2529</v>
      </c>
      <c r="AC573" t="s">
        <v>3104</v>
      </c>
      <c r="AD573">
        <v>2</v>
      </c>
      <c r="AE573" t="s">
        <v>3222</v>
      </c>
      <c r="AF573" t="s">
        <v>1783</v>
      </c>
      <c r="AG573">
        <v>-1</v>
      </c>
      <c r="AH573">
        <v>2</v>
      </c>
      <c r="AI573">
        <v>3</v>
      </c>
      <c r="AJ573">
        <v>2147.83</v>
      </c>
      <c r="AM573" t="s">
        <v>3248</v>
      </c>
      <c r="AN573">
        <v>648000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2019-10-07T15:54:58Z</dcterms:created>
  <dcterms:modified xsi:type="dcterms:W3CDTF">2019-10-07T15:54:58Z</dcterms:modified>
</cp:coreProperties>
</file>