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yes A Mtez\Dropbox\Control\"/>
    </mc:Choice>
  </mc:AlternateContent>
  <bookViews>
    <workbookView xWindow="0" yWindow="0" windowWidth="20490" windowHeight="7755"/>
  </bookViews>
  <sheets>
    <sheet name="18-02-17" sheetId="19" r:id="rId1"/>
    <sheet name="11-02-17" sheetId="18" r:id="rId2"/>
    <sheet name="04-02-17" sheetId="17" r:id="rId3"/>
    <sheet name="28-01-17" sheetId="16" r:id="rId4"/>
    <sheet name="21-1-17" sheetId="15" r:id="rId5"/>
    <sheet name="14-01-17" sheetId="14" r:id="rId6"/>
    <sheet name="07-01-17" sheetId="13" r:id="rId7"/>
    <sheet name="17-12-X COBRAR" sheetId="12" r:id="rId8"/>
    <sheet name="17-12- COBRADO" sheetId="11" r:id="rId9"/>
    <sheet name="17-12-16" sheetId="10" r:id="rId10"/>
    <sheet name="10-12-16" sheetId="9" r:id="rId11"/>
    <sheet name="03-12-16" sheetId="8" r:id="rId12"/>
    <sheet name="26-11-16" sheetId="7" r:id="rId13"/>
    <sheet name="19-11-16" sheetId="6" r:id="rId14"/>
    <sheet name="12-11-16" sheetId="5" r:id="rId15"/>
    <sheet name="05-11-16" sheetId="4" r:id="rId16"/>
    <sheet name="28-10-16" sheetId="3" r:id="rId17"/>
    <sheet name="22-10-16" sheetId="2" r:id="rId18"/>
    <sheet name="Hoja1" sheetId="1" r:id="rId19"/>
  </sheets>
  <definedNames>
    <definedName name="_xlnm.Print_Area" localSheetId="2">'04-02-17'!$A$1:$K$28</definedName>
    <definedName name="_xlnm.Print_Area" localSheetId="15">'05-11-16'!$A$1:$N$41</definedName>
    <definedName name="_xlnm.Print_Area" localSheetId="6">'07-01-17'!$A$51:$F$100</definedName>
    <definedName name="_xlnm.Print_Area" localSheetId="1">'11-02-17'!$A$19:$F$60</definedName>
    <definedName name="_xlnm.Print_Area" localSheetId="14">'12-11-16'!$A$1:$M$39</definedName>
    <definedName name="_xlnm.Print_Area" localSheetId="5">'14-01-17'!$A$56:$F$111</definedName>
    <definedName name="_xlnm.Print_Area" localSheetId="0">'18-02-17'!$A$1:$K$16</definedName>
    <definedName name="_xlnm.Print_Area" localSheetId="13">'19-11-16'!$A$2:$K$52</definedName>
    <definedName name="_xlnm.Print_Area" localSheetId="4">'21-1-17'!$A$2:$K$16</definedName>
    <definedName name="_xlnm.Print_Area" localSheetId="12">'26-11-16'!$A$1:$K$65</definedName>
    <definedName name="_xlnm.Print_Area" localSheetId="3">'28-01-17'!$A$2:$K$12</definedName>
    <definedName name="_xlnm.Print_Area" localSheetId="16">'28-10-16'!$A$1:$N$36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9" l="1"/>
  <c r="C62" i="19"/>
  <c r="C49" i="19"/>
  <c r="C43" i="19"/>
  <c r="C37" i="19"/>
  <c r="C29" i="19"/>
  <c r="J8" i="19"/>
  <c r="J7" i="19"/>
  <c r="J6" i="19"/>
  <c r="J5" i="19"/>
  <c r="J4" i="19"/>
  <c r="G6" i="19"/>
  <c r="G9" i="19"/>
  <c r="J15" i="19"/>
  <c r="F38" i="19"/>
  <c r="C13" i="19"/>
  <c r="F16" i="19"/>
  <c r="E16" i="19"/>
  <c r="D16" i="19"/>
  <c r="H16" i="19"/>
  <c r="F34" i="18"/>
  <c r="F33" i="18"/>
  <c r="D62" i="19" l="1"/>
  <c r="D29" i="19"/>
  <c r="E29" i="19" s="1"/>
  <c r="E62" i="19" l="1"/>
  <c r="F62" i="19" s="1"/>
  <c r="D56" i="19"/>
  <c r="D49" i="19"/>
  <c r="D43" i="19"/>
  <c r="D37" i="19"/>
  <c r="J16" i="19"/>
  <c r="J14" i="19"/>
  <c r="J13" i="19"/>
  <c r="J12" i="19"/>
  <c r="J11" i="19"/>
  <c r="J10" i="19"/>
  <c r="J9" i="19"/>
  <c r="A5" i="19"/>
  <c r="A6" i="19" s="1"/>
  <c r="A7" i="19" s="1"/>
  <c r="A8" i="19" l="1"/>
  <c r="A9" i="19" s="1"/>
  <c r="A10" i="19" s="1"/>
  <c r="A11" i="19" s="1"/>
  <c r="A12" i="19" s="1"/>
  <c r="A13" i="19" s="1"/>
  <c r="A14" i="19" s="1"/>
  <c r="A15" i="19" s="1"/>
  <c r="A16" i="19" s="1"/>
  <c r="J17" i="19"/>
  <c r="E49" i="19"/>
  <c r="F49" i="19" s="1"/>
  <c r="F29" i="19"/>
  <c r="F31" i="19" s="1"/>
  <c r="E37" i="19"/>
  <c r="F37" i="19" s="1"/>
  <c r="F39" i="19" s="1"/>
  <c r="E43" i="19"/>
  <c r="F43" i="19" s="1"/>
  <c r="F45" i="19" s="1"/>
  <c r="E56" i="19"/>
  <c r="F56" i="19" s="1"/>
  <c r="I35" i="18"/>
  <c r="G17" i="18"/>
  <c r="D17" i="18"/>
  <c r="J16" i="18"/>
  <c r="C16" i="18"/>
  <c r="J15" i="18"/>
  <c r="C56" i="18"/>
  <c r="C29" i="18"/>
  <c r="D29" i="18" s="1"/>
  <c r="J13" i="18"/>
  <c r="J12" i="18"/>
  <c r="J11" i="18"/>
  <c r="J9" i="18"/>
  <c r="J6" i="18"/>
  <c r="J5" i="18"/>
  <c r="A5" i="18"/>
  <c r="A6" i="18" s="1"/>
  <c r="A7" i="18" s="1"/>
  <c r="A8" i="18" s="1"/>
  <c r="F38" i="18"/>
  <c r="F31" i="18"/>
  <c r="G4" i="18"/>
  <c r="F30" i="18"/>
  <c r="F4" i="18"/>
  <c r="F8" i="18"/>
  <c r="J8" i="18" s="1"/>
  <c r="E4" i="18"/>
  <c r="J4" i="18" s="1"/>
  <c r="E10" i="18"/>
  <c r="J10" i="18" s="1"/>
  <c r="D14" i="18"/>
  <c r="C14" i="18"/>
  <c r="D56" i="18"/>
  <c r="C49" i="18"/>
  <c r="D49" i="18" s="1"/>
  <c r="C43" i="18"/>
  <c r="D43" i="18" s="1"/>
  <c r="C37" i="18"/>
  <c r="D37" i="18" s="1"/>
  <c r="E37" i="18" s="1"/>
  <c r="J7" i="18"/>
  <c r="A9" i="18" l="1"/>
  <c r="A10" i="18" s="1"/>
  <c r="A11" i="18" s="1"/>
  <c r="A12" i="18" s="1"/>
  <c r="A13" i="18" s="1"/>
  <c r="A14" i="18" s="1"/>
  <c r="J14" i="18"/>
  <c r="E29" i="18"/>
  <c r="F29" i="18" s="1"/>
  <c r="F32" i="18" s="1"/>
  <c r="J17" i="18"/>
  <c r="J18" i="18" s="1"/>
  <c r="I32" i="18" s="1"/>
  <c r="A15" i="18"/>
  <c r="A16" i="18" s="1"/>
  <c r="A17" i="18" s="1"/>
  <c r="E49" i="18"/>
  <c r="F49" i="18" s="1"/>
  <c r="E43" i="18"/>
  <c r="F43" i="18" s="1"/>
  <c r="E56" i="18"/>
  <c r="F56" i="18" s="1"/>
  <c r="F37" i="18"/>
  <c r="F39" i="18" s="1"/>
  <c r="I33" i="18" l="1"/>
  <c r="K34" i="18" s="1"/>
  <c r="K35" i="18" s="1"/>
  <c r="F42" i="17" l="1"/>
  <c r="J15" i="17" l="1"/>
  <c r="J14" i="17"/>
  <c r="J13" i="17"/>
  <c r="J12" i="17"/>
  <c r="J19" i="17"/>
  <c r="J18" i="17"/>
  <c r="J11" i="17"/>
  <c r="J10" i="17"/>
  <c r="K15" i="15"/>
  <c r="G16" i="17"/>
  <c r="E6" i="17"/>
  <c r="E16" i="17"/>
  <c r="D16" i="17"/>
  <c r="D6" i="17"/>
  <c r="D5" i="17"/>
  <c r="J5" i="17" s="1"/>
  <c r="C17" i="17"/>
  <c r="J17" i="17" s="1"/>
  <c r="C59" i="17"/>
  <c r="D59" i="17" s="1"/>
  <c r="E59" i="17" s="1"/>
  <c r="C52" i="17"/>
  <c r="D52" i="17" s="1"/>
  <c r="E52" i="17" s="1"/>
  <c r="J81" i="17"/>
  <c r="J80" i="17"/>
  <c r="A80" i="17"/>
  <c r="A81" i="17" s="1"/>
  <c r="J79" i="17"/>
  <c r="D68" i="17"/>
  <c r="F68" i="17" s="1"/>
  <c r="C67" i="17"/>
  <c r="C46" i="17"/>
  <c r="D46" i="17" s="1"/>
  <c r="E46" i="17" s="1"/>
  <c r="C40" i="17"/>
  <c r="D40" i="17" s="1"/>
  <c r="E32" i="17"/>
  <c r="J20" i="17"/>
  <c r="J9" i="17"/>
  <c r="A5" i="17"/>
  <c r="A6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J4" i="17"/>
  <c r="J6" i="17" l="1"/>
  <c r="J16" i="17"/>
  <c r="E40" i="17"/>
  <c r="F32" i="17"/>
  <c r="F34" i="17" s="1"/>
  <c r="F46" i="17"/>
  <c r="F52" i="17"/>
  <c r="F59" i="17"/>
  <c r="F40" i="17" l="1"/>
  <c r="J13" i="16" l="1"/>
  <c r="J99" i="16"/>
  <c r="J97" i="16"/>
  <c r="J85" i="16"/>
  <c r="A89" i="16"/>
  <c r="A90" i="16"/>
  <c r="A91" i="16" s="1"/>
  <c r="A92" i="16" s="1"/>
  <c r="A93" i="16" s="1"/>
  <c r="A94" i="16" s="1"/>
  <c r="A95" i="16" s="1"/>
  <c r="A96" i="16" s="1"/>
  <c r="A97" i="16" s="1"/>
  <c r="A98" i="16" s="1"/>
  <c r="A87" i="16"/>
  <c r="J98" i="16"/>
  <c r="J95" i="16"/>
  <c r="J94" i="16"/>
  <c r="J96" i="16"/>
  <c r="E91" i="16"/>
  <c r="E88" i="16"/>
  <c r="E87" i="16"/>
  <c r="E85" i="16"/>
  <c r="E89" i="16"/>
  <c r="J89" i="16" s="1"/>
  <c r="A6" i="16"/>
  <c r="A9" i="16" s="1"/>
  <c r="A10" i="16" s="1"/>
  <c r="A11" i="16" s="1"/>
  <c r="A12" i="16" s="1"/>
  <c r="A5" i="16"/>
  <c r="G10" i="16"/>
  <c r="G6" i="16"/>
  <c r="F10" i="16"/>
  <c r="J10" i="16" s="1"/>
  <c r="F4" i="16"/>
  <c r="F6" i="16"/>
  <c r="E10" i="16"/>
  <c r="C6" i="16"/>
  <c r="J6" i="16" s="1"/>
  <c r="D74" i="16"/>
  <c r="F74" i="16" s="1"/>
  <c r="C73" i="16"/>
  <c r="C68" i="16"/>
  <c r="C35" i="16"/>
  <c r="D35" i="16" s="1"/>
  <c r="E35" i="16" s="1"/>
  <c r="C15" i="16"/>
  <c r="J93" i="16"/>
  <c r="J92" i="16"/>
  <c r="J91" i="16"/>
  <c r="J90" i="16"/>
  <c r="J88" i="16"/>
  <c r="J87" i="16"/>
  <c r="J86" i="16"/>
  <c r="A86" i="16"/>
  <c r="A88" i="16" s="1"/>
  <c r="D69" i="16"/>
  <c r="F69" i="16" s="1"/>
  <c r="C65" i="16"/>
  <c r="D65" i="16" s="1"/>
  <c r="F65" i="16" s="1"/>
  <c r="C57" i="16"/>
  <c r="D57" i="16" s="1"/>
  <c r="F57" i="16" s="1"/>
  <c r="C51" i="16"/>
  <c r="C47" i="16"/>
  <c r="D47" i="16" s="1"/>
  <c r="C41" i="16"/>
  <c r="D41" i="16" s="1"/>
  <c r="E41" i="16" s="1"/>
  <c r="C29" i="16"/>
  <c r="D29" i="16" s="1"/>
  <c r="E29" i="16" s="1"/>
  <c r="C23" i="16"/>
  <c r="D23" i="16" s="1"/>
  <c r="E23" i="16" s="1"/>
  <c r="J12" i="16"/>
  <c r="J11" i="16"/>
  <c r="J9" i="16"/>
  <c r="J5" i="16"/>
  <c r="J4" i="16"/>
  <c r="C78" i="16" l="1"/>
  <c r="D78" i="16"/>
  <c r="E47" i="16"/>
  <c r="F47" i="16" s="1"/>
  <c r="F23" i="16"/>
  <c r="F25" i="16" s="1"/>
  <c r="F29" i="16"/>
  <c r="F35" i="16"/>
  <c r="F41" i="16"/>
  <c r="D15" i="16"/>
  <c r="D51" i="16"/>
  <c r="F51" i="16" s="1"/>
  <c r="F21" i="15"/>
  <c r="J16" i="15"/>
  <c r="J15" i="15"/>
  <c r="J14" i="15"/>
  <c r="J13" i="15"/>
  <c r="J12" i="15"/>
  <c r="J8" i="15"/>
  <c r="J7" i="15"/>
  <c r="J6" i="15"/>
  <c r="J5" i="15"/>
  <c r="A13" i="15"/>
  <c r="A14" i="15"/>
  <c r="A15" i="15"/>
  <c r="A16" i="15"/>
  <c r="A12" i="15"/>
  <c r="E15" i="16" l="1"/>
  <c r="J95" i="15"/>
  <c r="J94" i="15"/>
  <c r="J93" i="15"/>
  <c r="J92" i="15"/>
  <c r="J91" i="15"/>
  <c r="J90" i="15"/>
  <c r="J89" i="15"/>
  <c r="J88" i="15"/>
  <c r="J87" i="15"/>
  <c r="E14" i="15"/>
  <c r="C14" i="15"/>
  <c r="C73" i="15"/>
  <c r="C61" i="15"/>
  <c r="D61" i="15" s="1"/>
  <c r="F61" i="15" s="1"/>
  <c r="C55" i="15"/>
  <c r="C51" i="15"/>
  <c r="C39" i="15"/>
  <c r="D39" i="15" s="1"/>
  <c r="C33" i="15"/>
  <c r="D33" i="15" s="1"/>
  <c r="C27" i="15"/>
  <c r="C19" i="15"/>
  <c r="D19" i="15" s="1"/>
  <c r="E19" i="15" s="1"/>
  <c r="C46" i="15"/>
  <c r="C45" i="15" s="1"/>
  <c r="D45" i="15" s="1"/>
  <c r="D73" i="15"/>
  <c r="F73" i="15" s="1"/>
  <c r="C69" i="15"/>
  <c r="D51" i="15"/>
  <c r="D27" i="15"/>
  <c r="J11" i="15"/>
  <c r="J4" i="15"/>
  <c r="J86" i="15"/>
  <c r="J96" i="15" s="1"/>
  <c r="J85" i="15"/>
  <c r="A85" i="15"/>
  <c r="A86" i="15" s="1"/>
  <c r="A5" i="15" s="1"/>
  <c r="A6" i="15" s="1"/>
  <c r="A7" i="15" s="1"/>
  <c r="A8" i="15" s="1"/>
  <c r="A11" i="15" s="1"/>
  <c r="J84" i="15"/>
  <c r="F15" i="16" l="1"/>
  <c r="F17" i="16" s="1"/>
  <c r="D79" i="16"/>
  <c r="A87" i="15"/>
  <c r="A88" i="15" s="1"/>
  <c r="A89" i="15" s="1"/>
  <c r="A90" i="15" s="1"/>
  <c r="A91" i="15" s="1"/>
  <c r="A92" i="15" s="1"/>
  <c r="A93" i="15" s="1"/>
  <c r="A94" i="15" s="1"/>
  <c r="A95" i="15" s="1"/>
  <c r="J17" i="15"/>
  <c r="C78" i="15"/>
  <c r="D78" i="15" s="1"/>
  <c r="F78" i="15" s="1"/>
  <c r="C77" i="15"/>
  <c r="D55" i="15"/>
  <c r="F55" i="15" s="1"/>
  <c r="E27" i="15"/>
  <c r="F27" i="15" s="1"/>
  <c r="E45" i="15"/>
  <c r="F45" i="15" s="1"/>
  <c r="E33" i="15"/>
  <c r="F33" i="15" s="1"/>
  <c r="E39" i="15"/>
  <c r="F39" i="15" s="1"/>
  <c r="E51" i="15"/>
  <c r="F51" i="15" s="1"/>
  <c r="F19" i="15"/>
  <c r="D69" i="15"/>
  <c r="F69" i="15" s="1"/>
  <c r="E78" i="16" l="1"/>
  <c r="F78" i="16" s="1"/>
  <c r="F79" i="16"/>
  <c r="C79" i="15"/>
  <c r="D77" i="15"/>
  <c r="F76" i="15"/>
  <c r="F80" i="16" l="1"/>
  <c r="E77" i="15"/>
  <c r="F77" i="15" s="1"/>
  <c r="F79" i="15" s="1"/>
  <c r="A39" i="14" l="1"/>
  <c r="A38" i="14"/>
  <c r="A14" i="14"/>
  <c r="A13" i="14"/>
  <c r="J13" i="14"/>
  <c r="J38" i="14"/>
  <c r="J54" i="14"/>
  <c r="F75" i="14"/>
  <c r="G36" i="14"/>
  <c r="F61" i="14" l="1"/>
  <c r="C112" i="14"/>
  <c r="C98" i="14"/>
  <c r="C92" i="14"/>
  <c r="C88" i="14"/>
  <c r="C84" i="14"/>
  <c r="C78" i="14"/>
  <c r="C72" i="14"/>
  <c r="C66" i="14"/>
  <c r="C58" i="14"/>
  <c r="J64" i="9"/>
  <c r="J5" i="11"/>
  <c r="J55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39" i="14"/>
  <c r="J37" i="14"/>
  <c r="J35" i="14"/>
  <c r="J27" i="14"/>
  <c r="J21" i="14"/>
  <c r="J20" i="14"/>
  <c r="J18" i="14"/>
  <c r="J12" i="14"/>
  <c r="J10" i="14"/>
  <c r="J9" i="14"/>
  <c r="J8" i="14"/>
  <c r="J6" i="14"/>
  <c r="A6" i="14"/>
  <c r="G14" i="14"/>
  <c r="G19" i="14"/>
  <c r="J19" i="14" s="1"/>
  <c r="G21" i="14"/>
  <c r="G26" i="14"/>
  <c r="G47" i="14"/>
  <c r="G23" i="14"/>
  <c r="G28" i="14"/>
  <c r="G33" i="14"/>
  <c r="G7" i="14"/>
  <c r="F73" i="14"/>
  <c r="F14" i="14"/>
  <c r="F7" i="14"/>
  <c r="F33" i="14"/>
  <c r="F24" i="14"/>
  <c r="F26" i="14"/>
  <c r="J26" i="14" s="1"/>
  <c r="F25" i="14"/>
  <c r="F30" i="14"/>
  <c r="C106" i="14"/>
  <c r="F11" i="14" l="1"/>
  <c r="J11" i="14" s="1"/>
  <c r="E5" i="14"/>
  <c r="M5" i="14"/>
  <c r="E7" i="14"/>
  <c r="D106" i="14" l="1"/>
  <c r="F106" i="14" s="1"/>
  <c r="F49" i="14" l="1"/>
  <c r="E29" i="14" l="1"/>
  <c r="J29" i="14" s="1"/>
  <c r="E14" i="14"/>
  <c r="E24" i="14"/>
  <c r="J24" i="14" s="1"/>
  <c r="E30" i="14"/>
  <c r="J30" i="14" s="1"/>
  <c r="E25" i="14"/>
  <c r="J25" i="14" s="1"/>
  <c r="E22" i="14"/>
  <c r="J22" i="14" s="1"/>
  <c r="E28" i="14"/>
  <c r="D45" i="14"/>
  <c r="D5" i="14"/>
  <c r="D14" i="14"/>
  <c r="J14" i="14" s="1"/>
  <c r="F36" i="14"/>
  <c r="F34" i="14"/>
  <c r="J34" i="14" s="1"/>
  <c r="E23" i="14"/>
  <c r="E33" i="14"/>
  <c r="E36" i="14"/>
  <c r="D23" i="14"/>
  <c r="D28" i="14"/>
  <c r="D55" i="14"/>
  <c r="D49" i="14"/>
  <c r="D47" i="14"/>
  <c r="D33" i="14"/>
  <c r="D39" i="14"/>
  <c r="D36" i="14"/>
  <c r="J36" i="14" s="1"/>
  <c r="C5" i="14"/>
  <c r="C7" i="14"/>
  <c r="J7" i="14" s="1"/>
  <c r="C33" i="14"/>
  <c r="J36" i="12"/>
  <c r="C46" i="14"/>
  <c r="C28" i="14"/>
  <c r="J28" i="14" s="1"/>
  <c r="D110" i="14"/>
  <c r="F110" i="14" s="1"/>
  <c r="D92" i="14"/>
  <c r="F92" i="14" s="1"/>
  <c r="D88" i="14"/>
  <c r="D84" i="14"/>
  <c r="D78" i="14"/>
  <c r="D72" i="14"/>
  <c r="D66" i="14"/>
  <c r="E66" i="14" s="1"/>
  <c r="D58" i="14"/>
  <c r="E58" i="14" s="1"/>
  <c r="A7" i="14"/>
  <c r="A8" i="14" l="1"/>
  <c r="A9" i="14" s="1"/>
  <c r="A10" i="14" s="1"/>
  <c r="A11" i="14" s="1"/>
  <c r="A12" i="14" s="1"/>
  <c r="A18" i="14" s="1"/>
  <c r="A19" i="14" s="1"/>
  <c r="J33" i="14"/>
  <c r="J5" i="14"/>
  <c r="J23" i="14"/>
  <c r="E72" i="14"/>
  <c r="F72" i="14" s="1"/>
  <c r="E84" i="14"/>
  <c r="F84" i="14" s="1"/>
  <c r="E78" i="14"/>
  <c r="F78" i="14" s="1"/>
  <c r="E88" i="14"/>
  <c r="F88" i="14" s="1"/>
  <c r="F58" i="14"/>
  <c r="F66" i="14"/>
  <c r="H102" i="13"/>
  <c r="F102" i="13"/>
  <c r="F101" i="13"/>
  <c r="E101" i="13"/>
  <c r="D101" i="13"/>
  <c r="J51" i="13"/>
  <c r="A20" i="14" l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3" i="14" s="1"/>
  <c r="A34" i="14" s="1"/>
  <c r="A35" i="14" s="1"/>
  <c r="A36" i="14" s="1"/>
  <c r="A37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J56" i="14"/>
  <c r="C66" i="13"/>
  <c r="H14" i="13"/>
  <c r="J14" i="13" s="1"/>
  <c r="H8" i="13"/>
  <c r="F55" i="13" l="1"/>
  <c r="C53" i="13"/>
  <c r="C60" i="13"/>
  <c r="D66" i="13"/>
  <c r="C72" i="13"/>
  <c r="C78" i="13"/>
  <c r="C101" i="13" s="1"/>
  <c r="C82" i="13"/>
  <c r="C86" i="13"/>
  <c r="C92" i="13"/>
  <c r="J5" i="13"/>
  <c r="J6" i="13"/>
  <c r="J7" i="13"/>
  <c r="J8" i="13"/>
  <c r="G9" i="13"/>
  <c r="J9" i="13" s="1"/>
  <c r="J10" i="13"/>
  <c r="J11" i="13"/>
  <c r="H12" i="13"/>
  <c r="J12" i="13" s="1"/>
  <c r="J13" i="13"/>
  <c r="F18" i="13"/>
  <c r="H18" i="13"/>
  <c r="J18" i="13" s="1"/>
  <c r="H19" i="13"/>
  <c r="J19" i="13" s="1"/>
  <c r="G20" i="13"/>
  <c r="H20" i="13"/>
  <c r="J20" i="13"/>
  <c r="G21" i="13"/>
  <c r="J21" i="13"/>
  <c r="J22" i="13"/>
  <c r="E23" i="13"/>
  <c r="J23" i="13" s="1"/>
  <c r="F23" i="13"/>
  <c r="H23" i="13"/>
  <c r="D24" i="13"/>
  <c r="E24" i="13"/>
  <c r="J24" i="13"/>
  <c r="D25" i="13"/>
  <c r="G25" i="13"/>
  <c r="J25" i="13" s="1"/>
  <c r="F26" i="13"/>
  <c r="G26" i="13"/>
  <c r="J26" i="13"/>
  <c r="J27" i="13"/>
  <c r="J28" i="13"/>
  <c r="J29" i="13"/>
  <c r="F30" i="13"/>
  <c r="J30" i="13" s="1"/>
  <c r="J31" i="13"/>
  <c r="D34" i="13"/>
  <c r="E34" i="13"/>
  <c r="J34" i="13" s="1"/>
  <c r="F34" i="13"/>
  <c r="G34" i="13"/>
  <c r="G35" i="13"/>
  <c r="J35" i="13" s="1"/>
  <c r="J36" i="13"/>
  <c r="F39" i="13"/>
  <c r="J39" i="13"/>
  <c r="J40" i="13"/>
  <c r="D41" i="13"/>
  <c r="E41" i="13"/>
  <c r="G41" i="13"/>
  <c r="J41" i="13"/>
  <c r="J42" i="13"/>
  <c r="G43" i="13"/>
  <c r="J43" i="13"/>
  <c r="J44" i="13"/>
  <c r="F45" i="13"/>
  <c r="J45" i="13" s="1"/>
  <c r="J46" i="13"/>
  <c r="D47" i="13"/>
  <c r="E47" i="13"/>
  <c r="G47" i="13"/>
  <c r="J47" i="13"/>
  <c r="D48" i="13"/>
  <c r="F48" i="13"/>
  <c r="G48" i="13"/>
  <c r="J48" i="13"/>
  <c r="J49" i="13"/>
  <c r="G50" i="13"/>
  <c r="J50" i="13" s="1"/>
  <c r="A6" i="13"/>
  <c r="A7" i="13" s="1"/>
  <c r="A8" i="13" s="1"/>
  <c r="A9" i="13" s="1"/>
  <c r="A10" i="13" s="1"/>
  <c r="A11" i="13" s="1"/>
  <c r="A12" i="13" s="1"/>
  <c r="A13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4" i="13" s="1"/>
  <c r="A35" i="13" s="1"/>
  <c r="A36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D92" i="13"/>
  <c r="D99" i="13"/>
  <c r="F99" i="13" s="1"/>
  <c r="F92" i="13"/>
  <c r="D86" i="13"/>
  <c r="D82" i="13"/>
  <c r="E82" i="13" s="1"/>
  <c r="F82" i="13" s="1"/>
  <c r="D78" i="13"/>
  <c r="F78" i="13" s="1"/>
  <c r="D72" i="13"/>
  <c r="E72" i="13" s="1"/>
  <c r="F72" i="13" s="1"/>
  <c r="D60" i="13"/>
  <c r="E60" i="13" s="1"/>
  <c r="E86" i="13"/>
  <c r="D53" i="13"/>
  <c r="E53" i="13"/>
  <c r="E78" i="13"/>
  <c r="C74" i="11"/>
  <c r="D74" i="11" s="1"/>
  <c r="C80" i="11"/>
  <c r="D80" i="11" s="1"/>
  <c r="C91" i="11"/>
  <c r="D91" i="11" s="1"/>
  <c r="C85" i="11"/>
  <c r="D85" i="11" s="1"/>
  <c r="F5" i="11"/>
  <c r="H5" i="11"/>
  <c r="G8" i="11"/>
  <c r="J8" i="11" s="1"/>
  <c r="J11" i="11"/>
  <c r="G24" i="11"/>
  <c r="J24" i="11"/>
  <c r="D31" i="11"/>
  <c r="E31" i="11"/>
  <c r="F31" i="11"/>
  <c r="G31" i="11"/>
  <c r="H31" i="11"/>
  <c r="J31" i="11"/>
  <c r="C32" i="11"/>
  <c r="E32" i="11"/>
  <c r="G32" i="11"/>
  <c r="J32" i="11"/>
  <c r="F33" i="11"/>
  <c r="G33" i="11"/>
  <c r="J33" i="11" s="1"/>
  <c r="J35" i="11"/>
  <c r="J36" i="11"/>
  <c r="J37" i="11"/>
  <c r="J38" i="11"/>
  <c r="C47" i="11"/>
  <c r="E47" i="11"/>
  <c r="J47" i="11"/>
  <c r="D48" i="11"/>
  <c r="E48" i="11"/>
  <c r="F48" i="11"/>
  <c r="G48" i="11"/>
  <c r="H48" i="11"/>
  <c r="J48" i="11"/>
  <c r="J50" i="11"/>
  <c r="J52" i="11"/>
  <c r="G53" i="11"/>
  <c r="J53" i="11"/>
  <c r="J54" i="11"/>
  <c r="D58" i="11"/>
  <c r="E58" i="11"/>
  <c r="F58" i="11"/>
  <c r="G58" i="11"/>
  <c r="J58" i="11"/>
  <c r="J60" i="11"/>
  <c r="G62" i="11"/>
  <c r="J62" i="11" s="1"/>
  <c r="J63" i="11"/>
  <c r="J81" i="11"/>
  <c r="C43" i="12"/>
  <c r="D43" i="12" s="1"/>
  <c r="J15" i="12"/>
  <c r="J20" i="12"/>
  <c r="J21" i="12"/>
  <c r="J22" i="12"/>
  <c r="J26" i="12"/>
  <c r="J30" i="12"/>
  <c r="J31" i="12"/>
  <c r="D32" i="12"/>
  <c r="J32" i="12"/>
  <c r="C33" i="12"/>
  <c r="J33" i="12"/>
  <c r="D34" i="12"/>
  <c r="J34" i="12"/>
  <c r="J35" i="12"/>
  <c r="F37" i="12"/>
  <c r="J37" i="12" s="1"/>
  <c r="J39" i="12"/>
  <c r="F53" i="13"/>
  <c r="F56" i="13" s="1"/>
  <c r="H38" i="12"/>
  <c r="G14" i="12"/>
  <c r="F14" i="12"/>
  <c r="E14" i="12"/>
  <c r="D14" i="12"/>
  <c r="G9" i="12"/>
  <c r="G8" i="12"/>
  <c r="F8" i="12"/>
  <c r="E8" i="12"/>
  <c r="G5" i="12"/>
  <c r="F5" i="12"/>
  <c r="A5" i="12"/>
  <c r="A6" i="12" s="1"/>
  <c r="A7" i="12"/>
  <c r="A8" i="12" s="1"/>
  <c r="A9" i="12" s="1"/>
  <c r="A14" i="12" s="1"/>
  <c r="A15" i="12" s="1"/>
  <c r="A16" i="12" s="1"/>
  <c r="A20" i="12"/>
  <c r="A21" i="12"/>
  <c r="A22" i="12"/>
  <c r="A26" i="12"/>
  <c r="A30" i="12"/>
  <c r="A31" i="12" s="1"/>
  <c r="A32" i="12" s="1"/>
  <c r="A33" i="12" s="1"/>
  <c r="A34" i="12"/>
  <c r="A35" i="12"/>
  <c r="A36" i="12"/>
  <c r="A37" i="12"/>
  <c r="A38" i="12"/>
  <c r="A39" i="12" s="1"/>
  <c r="O85" i="11"/>
  <c r="O90" i="11" s="1"/>
  <c r="O86" i="11"/>
  <c r="O87" i="11"/>
  <c r="O88" i="11"/>
  <c r="O89" i="11"/>
  <c r="J64" i="11"/>
  <c r="C67" i="11"/>
  <c r="D67" i="11"/>
  <c r="H61" i="11"/>
  <c r="F59" i="11"/>
  <c r="H51" i="11"/>
  <c r="G51" i="11"/>
  <c r="C51" i="11"/>
  <c r="D49" i="11"/>
  <c r="C46" i="11"/>
  <c r="D45" i="11"/>
  <c r="G39" i="11"/>
  <c r="C39" i="11"/>
  <c r="G26" i="11"/>
  <c r="H19" i="11"/>
  <c r="G16" i="11"/>
  <c r="F16" i="11"/>
  <c r="E16" i="11"/>
  <c r="D16" i="11"/>
  <c r="G11" i="11"/>
  <c r="G10" i="11"/>
  <c r="F10" i="11"/>
  <c r="E10" i="11"/>
  <c r="G6" i="11"/>
  <c r="F6" i="11"/>
  <c r="A6" i="11"/>
  <c r="A7" i="11"/>
  <c r="A8" i="11" s="1"/>
  <c r="A9" i="11" s="1"/>
  <c r="A10" i="11" s="1"/>
  <c r="A11" i="11" s="1"/>
  <c r="A16" i="11" s="1"/>
  <c r="A17" i="11" s="1"/>
  <c r="A18" i="11" s="1"/>
  <c r="A19" i="11" s="1"/>
  <c r="A23" i="11" s="1"/>
  <c r="A24" i="11"/>
  <c r="A25" i="11" s="1"/>
  <c r="A26" i="11" s="1"/>
  <c r="A27" i="11"/>
  <c r="A31" i="11"/>
  <c r="A32" i="11" s="1"/>
  <c r="A33" i="11" s="1"/>
  <c r="A34" i="11" s="1"/>
  <c r="A35" i="11" s="1"/>
  <c r="A36" i="11" s="1"/>
  <c r="A37" i="11" s="1"/>
  <c r="A39" i="11" s="1"/>
  <c r="A43" i="11" s="1"/>
  <c r="A44" i="11" s="1"/>
  <c r="A45" i="11" s="1"/>
  <c r="A46" i="11" s="1"/>
  <c r="A47" i="11" s="1"/>
  <c r="A48" i="11" s="1"/>
  <c r="A49" i="11" s="1"/>
  <c r="A50" i="1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E67" i="11"/>
  <c r="F67" i="11"/>
  <c r="C99" i="10"/>
  <c r="C95" i="10"/>
  <c r="C89" i="10"/>
  <c r="C84" i="10"/>
  <c r="G67" i="10"/>
  <c r="J67" i="10"/>
  <c r="H66" i="10"/>
  <c r="J66" i="10"/>
  <c r="J65" i="10"/>
  <c r="F64" i="10"/>
  <c r="J64" i="10" s="1"/>
  <c r="D63" i="10"/>
  <c r="E63" i="10"/>
  <c r="F63" i="10"/>
  <c r="G63" i="10"/>
  <c r="J63" i="10"/>
  <c r="J62" i="10"/>
  <c r="J61" i="10"/>
  <c r="J60" i="10"/>
  <c r="J59" i="10"/>
  <c r="G58" i="10"/>
  <c r="J58" i="10"/>
  <c r="J57" i="10"/>
  <c r="C56" i="10"/>
  <c r="J56" i="10" s="1"/>
  <c r="G56" i="10"/>
  <c r="H56" i="10"/>
  <c r="J55" i="10"/>
  <c r="J54" i="10"/>
  <c r="D53" i="10"/>
  <c r="J53" i="10" s="1"/>
  <c r="D52" i="10"/>
  <c r="J52" i="10" s="1"/>
  <c r="E52" i="10"/>
  <c r="F52" i="10"/>
  <c r="G52" i="10"/>
  <c r="H52" i="10"/>
  <c r="C51" i="10"/>
  <c r="E51" i="10"/>
  <c r="J51" i="10"/>
  <c r="C50" i="10"/>
  <c r="J50" i="10"/>
  <c r="D49" i="10"/>
  <c r="J49" i="10"/>
  <c r="J48" i="10"/>
  <c r="C43" i="10"/>
  <c r="G43" i="10"/>
  <c r="J43" i="10"/>
  <c r="J42" i="10"/>
  <c r="J41" i="10"/>
  <c r="J40" i="10"/>
  <c r="J39" i="10"/>
  <c r="F38" i="10"/>
  <c r="G38" i="10"/>
  <c r="J38" i="10" s="1"/>
  <c r="C37" i="10"/>
  <c r="J37" i="10" s="1"/>
  <c r="E37" i="10"/>
  <c r="G37" i="10"/>
  <c r="J32" i="10"/>
  <c r="J31" i="10"/>
  <c r="F30" i="10"/>
  <c r="J30" i="10" s="1"/>
  <c r="G29" i="10"/>
  <c r="J29" i="10" s="1"/>
  <c r="J28" i="10"/>
  <c r="G27" i="10"/>
  <c r="J27" i="10"/>
  <c r="J26" i="10"/>
  <c r="E25" i="10"/>
  <c r="F25" i="10"/>
  <c r="J25" i="10"/>
  <c r="F24" i="10"/>
  <c r="J24" i="10"/>
  <c r="H19" i="10"/>
  <c r="J19" i="10"/>
  <c r="J18" i="10"/>
  <c r="J17" i="10"/>
  <c r="G11" i="10"/>
  <c r="J11" i="10"/>
  <c r="E10" i="10"/>
  <c r="F10" i="10"/>
  <c r="G10" i="10"/>
  <c r="J10" i="10"/>
  <c r="J9" i="10"/>
  <c r="G8" i="10"/>
  <c r="J8" i="10" s="1"/>
  <c r="J7" i="10"/>
  <c r="F6" i="10"/>
  <c r="G6" i="10"/>
  <c r="J6" i="10" s="1"/>
  <c r="A6" i="10"/>
  <c r="A7" i="10" s="1"/>
  <c r="A8" i="10" s="1"/>
  <c r="A9" i="10" s="1"/>
  <c r="A10" i="10" s="1"/>
  <c r="A11" i="10" s="1"/>
  <c r="A16" i="10" s="1"/>
  <c r="A17" i="10" s="1"/>
  <c r="A18" i="10" s="1"/>
  <c r="A19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6" i="10" s="1"/>
  <c r="A37" i="10" s="1"/>
  <c r="A38" i="10" s="1"/>
  <c r="A39" i="10" s="1"/>
  <c r="A40" i="10" s="1"/>
  <c r="A41" i="10" s="1"/>
  <c r="A42" i="10" s="1"/>
  <c r="A43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H36" i="10"/>
  <c r="H5" i="10"/>
  <c r="G16" i="10"/>
  <c r="C71" i="10"/>
  <c r="G36" i="10"/>
  <c r="J47" i="10"/>
  <c r="J23" i="10"/>
  <c r="F16" i="10"/>
  <c r="F5" i="10"/>
  <c r="J5" i="10"/>
  <c r="F36" i="10"/>
  <c r="E36" i="10"/>
  <c r="C117" i="10"/>
  <c r="D117" i="10"/>
  <c r="E16" i="10"/>
  <c r="C114" i="10"/>
  <c r="D114" i="10" s="1"/>
  <c r="D16" i="10"/>
  <c r="D36" i="10"/>
  <c r="C109" i="10"/>
  <c r="D109" i="10" s="1"/>
  <c r="C104" i="10"/>
  <c r="D104" i="10" s="1"/>
  <c r="D99" i="10"/>
  <c r="D95" i="10"/>
  <c r="D89" i="10"/>
  <c r="D84" i="10"/>
  <c r="C78" i="10"/>
  <c r="D78" i="10" s="1"/>
  <c r="E78" i="10" s="1"/>
  <c r="D71" i="10"/>
  <c r="E71" i="10" s="1"/>
  <c r="F71" i="10" s="1"/>
  <c r="J36" i="10"/>
  <c r="J16" i="10"/>
  <c r="F78" i="10"/>
  <c r="E89" i="10"/>
  <c r="F89" i="10"/>
  <c r="E95" i="10"/>
  <c r="F95" i="10"/>
  <c r="E84" i="10"/>
  <c r="F84" i="10"/>
  <c r="A6" i="9"/>
  <c r="A7" i="9" s="1"/>
  <c r="A8" i="9" s="1"/>
  <c r="A9" i="9" s="1"/>
  <c r="A10" i="9" s="1"/>
  <c r="A15" i="9" s="1"/>
  <c r="A16" i="9" s="1"/>
  <c r="A17" i="9" s="1"/>
  <c r="A18" i="9" s="1"/>
  <c r="A19" i="9" s="1"/>
  <c r="A20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J72" i="9"/>
  <c r="J71" i="9"/>
  <c r="J70" i="9"/>
  <c r="J69" i="9"/>
  <c r="C68" i="9"/>
  <c r="J68" i="9" s="1"/>
  <c r="D68" i="9"/>
  <c r="E68" i="9"/>
  <c r="J67" i="9"/>
  <c r="J66" i="9"/>
  <c r="J65" i="9"/>
  <c r="E64" i="9"/>
  <c r="C63" i="9"/>
  <c r="D63" i="9"/>
  <c r="J63" i="9" s="1"/>
  <c r="J62" i="9"/>
  <c r="F61" i="9"/>
  <c r="J61" i="9"/>
  <c r="C60" i="9"/>
  <c r="J60" i="9"/>
  <c r="G59" i="9"/>
  <c r="J59" i="9"/>
  <c r="C58" i="9"/>
  <c r="J58" i="9"/>
  <c r="F57" i="9"/>
  <c r="J57" i="9"/>
  <c r="C56" i="9"/>
  <c r="D56" i="9"/>
  <c r="J56" i="9" s="1"/>
  <c r="E56" i="9"/>
  <c r="F56" i="9"/>
  <c r="J55" i="9"/>
  <c r="E54" i="9"/>
  <c r="J54" i="9"/>
  <c r="D53" i="9"/>
  <c r="F53" i="9"/>
  <c r="J53" i="9" s="1"/>
  <c r="E52" i="9"/>
  <c r="F52" i="9"/>
  <c r="J52" i="9"/>
  <c r="J51" i="9"/>
  <c r="J46" i="9"/>
  <c r="J45" i="9"/>
  <c r="J44" i="9"/>
  <c r="G43" i="9"/>
  <c r="J43" i="9"/>
  <c r="G42" i="9"/>
  <c r="J42" i="9"/>
  <c r="D41" i="9"/>
  <c r="F41" i="9"/>
  <c r="J41" i="9" s="1"/>
  <c r="G40" i="9"/>
  <c r="J40" i="9" s="1"/>
  <c r="G39" i="9"/>
  <c r="J39" i="9" s="1"/>
  <c r="G38" i="9"/>
  <c r="J38" i="9" s="1"/>
  <c r="J33" i="9"/>
  <c r="J31" i="9"/>
  <c r="J29" i="9"/>
  <c r="J28" i="9"/>
  <c r="J27" i="9"/>
  <c r="J26" i="9"/>
  <c r="J7" i="9"/>
  <c r="D5" i="9"/>
  <c r="G32" i="9"/>
  <c r="J32" i="9" s="1"/>
  <c r="G37" i="9"/>
  <c r="G30" i="9"/>
  <c r="G5" i="9"/>
  <c r="G9" i="9"/>
  <c r="J9" i="9" s="1"/>
  <c r="G8" i="9"/>
  <c r="J8" i="9" s="1"/>
  <c r="G25" i="9"/>
  <c r="J25" i="9" s="1"/>
  <c r="G18" i="9"/>
  <c r="J18" i="9" s="1"/>
  <c r="F32" i="9"/>
  <c r="G6" i="9"/>
  <c r="J5" i="9"/>
  <c r="C93" i="9"/>
  <c r="C108" i="9"/>
  <c r="D108" i="9"/>
  <c r="C103" i="9"/>
  <c r="D103" i="9"/>
  <c r="C76" i="9"/>
  <c r="C99" i="9"/>
  <c r="D99" i="9" s="1"/>
  <c r="C88" i="9"/>
  <c r="D88" i="9"/>
  <c r="E88" i="9" s="1"/>
  <c r="F88" i="9" s="1"/>
  <c r="C82" i="9"/>
  <c r="D82" i="9"/>
  <c r="E82" i="9" s="1"/>
  <c r="F82" i="9" s="1"/>
  <c r="F37" i="9"/>
  <c r="F6" i="9"/>
  <c r="J24" i="9"/>
  <c r="J17" i="9"/>
  <c r="J19" i="9"/>
  <c r="J20" i="9"/>
  <c r="F10" i="9"/>
  <c r="J10" i="9" s="1"/>
  <c r="E6" i="9"/>
  <c r="E37" i="9"/>
  <c r="E16" i="9"/>
  <c r="J16" i="9" s="1"/>
  <c r="D37" i="9"/>
  <c r="D6" i="9"/>
  <c r="C6" i="9"/>
  <c r="J6" i="9" s="1"/>
  <c r="C30" i="9"/>
  <c r="J30" i="9"/>
  <c r="D93" i="9"/>
  <c r="E93" i="9" s="1"/>
  <c r="F93" i="9" s="1"/>
  <c r="D76" i="9"/>
  <c r="J15" i="9"/>
  <c r="I92" i="9"/>
  <c r="J92" i="9" s="1"/>
  <c r="I93" i="9"/>
  <c r="J93" i="9" s="1"/>
  <c r="K93" i="9" s="1"/>
  <c r="J37" i="9"/>
  <c r="E76" i="9"/>
  <c r="F76" i="9"/>
  <c r="C72" i="8"/>
  <c r="D72" i="8"/>
  <c r="E72" i="8" s="1"/>
  <c r="F72" i="8" s="1"/>
  <c r="C74" i="8"/>
  <c r="D74" i="8"/>
  <c r="E74" i="8" s="1"/>
  <c r="F74" i="8" s="1"/>
  <c r="C76" i="8"/>
  <c r="D76" i="8"/>
  <c r="E76" i="8" s="1"/>
  <c r="F76" i="8" s="1"/>
  <c r="D78" i="8"/>
  <c r="E78" i="8"/>
  <c r="F78" i="8" s="1"/>
  <c r="D80" i="8"/>
  <c r="E80" i="8" s="1"/>
  <c r="E81" i="8"/>
  <c r="C81" i="8"/>
  <c r="L93" i="9"/>
  <c r="G5" i="8"/>
  <c r="J5" i="8"/>
  <c r="A6" i="8"/>
  <c r="A7" i="8"/>
  <c r="A8" i="8" s="1"/>
  <c r="A9" i="8" s="1"/>
  <c r="A10" i="8" s="1"/>
  <c r="A11" i="8" s="1"/>
  <c r="A12" i="8" s="1"/>
  <c r="A17" i="8" s="1"/>
  <c r="A18" i="8" s="1"/>
  <c r="A19" i="8" s="1"/>
  <c r="A20" i="8" s="1"/>
  <c r="A21" i="8" s="1"/>
  <c r="A25" i="8" s="1"/>
  <c r="A26" i="8" s="1"/>
  <c r="A27" i="8" s="1"/>
  <c r="A28" i="8" s="1"/>
  <c r="A29" i="8" s="1"/>
  <c r="A30" i="8" s="1"/>
  <c r="A31" i="8" s="1"/>
  <c r="A32" i="8" s="1"/>
  <c r="A37" i="8" s="1"/>
  <c r="A38" i="8" s="1"/>
  <c r="A39" i="8" s="1"/>
  <c r="A40" i="8" s="1"/>
  <c r="A41" i="8" s="1"/>
  <c r="A42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J6" i="8"/>
  <c r="G7" i="8"/>
  <c r="J7" i="8" s="1"/>
  <c r="E8" i="8"/>
  <c r="G8" i="8"/>
  <c r="J8" i="8"/>
  <c r="E9" i="8"/>
  <c r="G9" i="8"/>
  <c r="J9" i="8" s="1"/>
  <c r="E10" i="8"/>
  <c r="J10" i="8" s="1"/>
  <c r="G11" i="8"/>
  <c r="J11" i="8" s="1"/>
  <c r="D12" i="8"/>
  <c r="E12" i="8"/>
  <c r="G12" i="8"/>
  <c r="J14" i="8"/>
  <c r="J15" i="8"/>
  <c r="J16" i="8"/>
  <c r="C17" i="8"/>
  <c r="J17" i="8"/>
  <c r="C18" i="8"/>
  <c r="F18" i="8"/>
  <c r="J18" i="8" s="1"/>
  <c r="J19" i="8"/>
  <c r="J20" i="8"/>
  <c r="G21" i="8"/>
  <c r="J21" i="8" s="1"/>
  <c r="J24" i="8"/>
  <c r="C25" i="8"/>
  <c r="J25" i="8"/>
  <c r="J26" i="8"/>
  <c r="J27" i="8"/>
  <c r="J28" i="8"/>
  <c r="C29" i="8"/>
  <c r="J29" i="8" s="1"/>
  <c r="J30" i="8"/>
  <c r="C31" i="8"/>
  <c r="G31" i="8"/>
  <c r="J31" i="8" s="1"/>
  <c r="C32" i="8"/>
  <c r="F32" i="8"/>
  <c r="J32" i="8"/>
  <c r="J66" i="8"/>
  <c r="J65" i="8"/>
  <c r="J64" i="8"/>
  <c r="J63" i="8"/>
  <c r="J59" i="8"/>
  <c r="J56" i="8"/>
  <c r="J51" i="8"/>
  <c r="J50" i="8"/>
  <c r="G53" i="8"/>
  <c r="J53" i="8"/>
  <c r="G57" i="8"/>
  <c r="J57" i="8"/>
  <c r="G58" i="8"/>
  <c r="J58" i="8"/>
  <c r="G47" i="8"/>
  <c r="J47" i="8"/>
  <c r="G52" i="8"/>
  <c r="F61" i="8"/>
  <c r="F60" i="8"/>
  <c r="J60" i="8"/>
  <c r="F52" i="8"/>
  <c r="F49" i="8"/>
  <c r="J49" i="8" s="1"/>
  <c r="E62" i="8"/>
  <c r="J62" i="8" s="1"/>
  <c r="E48" i="8"/>
  <c r="C54" i="8"/>
  <c r="J54" i="8"/>
  <c r="D55" i="8"/>
  <c r="J55" i="8"/>
  <c r="D61" i="8"/>
  <c r="J61" i="8"/>
  <c r="D48" i="8"/>
  <c r="C48" i="8"/>
  <c r="J42" i="8"/>
  <c r="J39" i="8"/>
  <c r="G37" i="8"/>
  <c r="G38" i="8"/>
  <c r="J38" i="8" s="1"/>
  <c r="G41" i="8"/>
  <c r="J41" i="8"/>
  <c r="G40" i="8"/>
  <c r="J40" i="8"/>
  <c r="E38" i="8"/>
  <c r="E37" i="8"/>
  <c r="J52" i="8"/>
  <c r="J48" i="8"/>
  <c r="J37" i="8"/>
  <c r="A74" i="7"/>
  <c r="A75" i="7"/>
  <c r="A76" i="7" s="1"/>
  <c r="A77" i="7" s="1"/>
  <c r="A78" i="7" s="1"/>
  <c r="J64" i="7"/>
  <c r="J63" i="7"/>
  <c r="J62" i="7"/>
  <c r="J56" i="7"/>
  <c r="J54" i="7"/>
  <c r="J51" i="7"/>
  <c r="J42" i="7"/>
  <c r="J41" i="7"/>
  <c r="J40" i="7"/>
  <c r="J37" i="7"/>
  <c r="G34" i="7"/>
  <c r="J34" i="7" s="1"/>
  <c r="J32" i="7"/>
  <c r="J25" i="7"/>
  <c r="J24" i="7"/>
  <c r="J22" i="7"/>
  <c r="J21" i="7"/>
  <c r="J18" i="7"/>
  <c r="J12" i="7"/>
  <c r="J8" i="7"/>
  <c r="F6" i="7"/>
  <c r="J6" i="7" s="1"/>
  <c r="J4" i="7"/>
  <c r="A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G52" i="7"/>
  <c r="G33" i="7"/>
  <c r="G43" i="7"/>
  <c r="G35" i="7"/>
  <c r="G50" i="7"/>
  <c r="F50" i="7"/>
  <c r="J50" i="7" s="1"/>
  <c r="G60" i="7"/>
  <c r="G65" i="7"/>
  <c r="G5" i="7"/>
  <c r="J5" i="7" s="1"/>
  <c r="G46" i="7"/>
  <c r="J46" i="7" s="1"/>
  <c r="G38" i="7"/>
  <c r="G30" i="7"/>
  <c r="G11" i="7"/>
  <c r="G7" i="7"/>
  <c r="G31" i="7"/>
  <c r="G58" i="7"/>
  <c r="G20" i="7"/>
  <c r="G23" i="7"/>
  <c r="G29" i="7"/>
  <c r="G10" i="7"/>
  <c r="G48" i="7"/>
  <c r="G39" i="7"/>
  <c r="G49" i="7"/>
  <c r="J49" i="7" s="1"/>
  <c r="G53" i="7"/>
  <c r="G45" i="7"/>
  <c r="G19" i="7"/>
  <c r="G13" i="7"/>
  <c r="G14" i="7"/>
  <c r="G27" i="7"/>
  <c r="F29" i="7"/>
  <c r="F57" i="7"/>
  <c r="F65" i="7"/>
  <c r="F52" i="7"/>
  <c r="F39" i="7"/>
  <c r="J39" i="7" s="1"/>
  <c r="F43" i="7"/>
  <c r="J43" i="7" s="1"/>
  <c r="F30" i="7"/>
  <c r="C61" i="7"/>
  <c r="F23" i="7"/>
  <c r="F53" i="7"/>
  <c r="F27" i="7"/>
  <c r="F14" i="7"/>
  <c r="F47" i="7"/>
  <c r="J47" i="7" s="1"/>
  <c r="F55" i="7"/>
  <c r="F13" i="7"/>
  <c r="F44" i="7"/>
  <c r="F61" i="7"/>
  <c r="F48" i="7"/>
  <c r="J48" i="7" s="1"/>
  <c r="F16" i="7"/>
  <c r="F35" i="7"/>
  <c r="F38" i="7"/>
  <c r="F10" i="7"/>
  <c r="J10" i="7"/>
  <c r="F19" i="7"/>
  <c r="F7" i="7"/>
  <c r="F58" i="7"/>
  <c r="F31" i="7"/>
  <c r="J31" i="7" s="1"/>
  <c r="F11" i="7"/>
  <c r="E68" i="7"/>
  <c r="E9" i="7"/>
  <c r="E57" i="7"/>
  <c r="E17" i="7"/>
  <c r="E27" i="7"/>
  <c r="H66" i="7"/>
  <c r="G66" i="7"/>
  <c r="F66" i="7"/>
  <c r="J78" i="7"/>
  <c r="J77" i="7"/>
  <c r="J76" i="7"/>
  <c r="J75" i="7"/>
  <c r="J74" i="7"/>
  <c r="E16" i="7"/>
  <c r="J16" i="7" s="1"/>
  <c r="E33" i="7"/>
  <c r="E44" i="7"/>
  <c r="J44" i="7"/>
  <c r="E15" i="7"/>
  <c r="J15" i="7"/>
  <c r="E11" i="7"/>
  <c r="J11" i="7"/>
  <c r="E29" i="7"/>
  <c r="E28" i="7"/>
  <c r="E3" i="7"/>
  <c r="E59" i="7"/>
  <c r="E52" i="7"/>
  <c r="E19" i="7"/>
  <c r="E58" i="7"/>
  <c r="J58" i="7"/>
  <c r="E35" i="7"/>
  <c r="E53" i="7"/>
  <c r="E7" i="7"/>
  <c r="J7" i="7"/>
  <c r="E65" i="7"/>
  <c r="E45" i="7"/>
  <c r="E36" i="7"/>
  <c r="D52" i="7"/>
  <c r="D17" i="7"/>
  <c r="D59" i="7"/>
  <c r="J59" i="7" s="1"/>
  <c r="D36" i="7"/>
  <c r="J36" i="7" s="1"/>
  <c r="D27" i="7"/>
  <c r="D65" i="7"/>
  <c r="D28" i="7"/>
  <c r="D29" i="7"/>
  <c r="J29" i="7"/>
  <c r="D35" i="7"/>
  <c r="J35" i="7"/>
  <c r="D53" i="7"/>
  <c r="D33" i="7"/>
  <c r="D30" i="7"/>
  <c r="J30" i="7"/>
  <c r="D38" i="7"/>
  <c r="J38" i="7"/>
  <c r="D19" i="7"/>
  <c r="D20" i="7"/>
  <c r="J20" i="7" s="1"/>
  <c r="D23" i="7"/>
  <c r="D45" i="7"/>
  <c r="D9" i="7"/>
  <c r="J9" i="7" s="1"/>
  <c r="D14" i="7"/>
  <c r="J14" i="7" s="1"/>
  <c r="D13" i="7"/>
  <c r="J13" i="7" s="1"/>
  <c r="D55" i="7"/>
  <c r="J55" i="7" s="1"/>
  <c r="D61" i="7"/>
  <c r="J61" i="7" s="1"/>
  <c r="J28" i="7"/>
  <c r="J17" i="7"/>
  <c r="I68" i="7"/>
  <c r="E66" i="7"/>
  <c r="E70" i="7"/>
  <c r="I73" i="7"/>
  <c r="J3" i="7"/>
  <c r="F70" i="7"/>
  <c r="C65" i="7"/>
  <c r="J65" i="7" s="1"/>
  <c r="C33" i="7"/>
  <c r="J33" i="7" s="1"/>
  <c r="C57" i="7"/>
  <c r="J57" i="7" s="1"/>
  <c r="C53" i="7"/>
  <c r="J53" i="7" s="1"/>
  <c r="C26" i="7"/>
  <c r="J26" i="7" s="1"/>
  <c r="C52" i="7"/>
  <c r="J52" i="7" s="1"/>
  <c r="C60" i="7"/>
  <c r="J60" i="7" s="1"/>
  <c r="C19" i="7"/>
  <c r="J19" i="7" s="1"/>
  <c r="C23" i="7"/>
  <c r="J23" i="7" s="1"/>
  <c r="C27" i="7"/>
  <c r="J27" i="7" s="1"/>
  <c r="C45" i="7"/>
  <c r="J45" i="7" s="1"/>
  <c r="H70" i="7"/>
  <c r="G70" i="7"/>
  <c r="J73" i="7"/>
  <c r="J79" i="7" s="1"/>
  <c r="I79" i="7"/>
  <c r="I66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J50" i="6"/>
  <c r="J48" i="6"/>
  <c r="J46" i="6"/>
  <c r="J38" i="6"/>
  <c r="J35" i="6"/>
  <c r="J34" i="6"/>
  <c r="J33" i="6"/>
  <c r="J28" i="6"/>
  <c r="J21" i="6"/>
  <c r="J20" i="6"/>
  <c r="J7" i="6"/>
  <c r="J4" i="6"/>
  <c r="G42" i="6"/>
  <c r="G52" i="6"/>
  <c r="G40" i="6"/>
  <c r="J40" i="6"/>
  <c r="G24" i="6"/>
  <c r="J24" i="6"/>
  <c r="G31" i="6"/>
  <c r="G15" i="6"/>
  <c r="G12" i="6"/>
  <c r="G11" i="6"/>
  <c r="G10" i="6"/>
  <c r="J10" i="6"/>
  <c r="G39" i="6"/>
  <c r="G26" i="6"/>
  <c r="J26" i="6" s="1"/>
  <c r="G22" i="6"/>
  <c r="J22" i="6" s="1"/>
  <c r="G23" i="6"/>
  <c r="J23" i="6" s="1"/>
  <c r="G14" i="6"/>
  <c r="G36" i="6"/>
  <c r="G8" i="6"/>
  <c r="G25" i="6"/>
  <c r="J25" i="6"/>
  <c r="G29" i="6"/>
  <c r="G9" i="6"/>
  <c r="J9" i="6" s="1"/>
  <c r="G51" i="6"/>
  <c r="G27" i="6"/>
  <c r="G45" i="6"/>
  <c r="J45" i="6" s="1"/>
  <c r="G37" i="6"/>
  <c r="G44" i="6"/>
  <c r="G32" i="6"/>
  <c r="G43" i="6"/>
  <c r="G6" i="6"/>
  <c r="E43" i="6"/>
  <c r="E39" i="6"/>
  <c r="E37" i="6"/>
  <c r="E5" i="6"/>
  <c r="E3" i="6"/>
  <c r="J3" i="6" s="1"/>
  <c r="E11" i="6"/>
  <c r="E12" i="6"/>
  <c r="E14" i="6"/>
  <c r="F42" i="6"/>
  <c r="F31" i="6"/>
  <c r="J31" i="6" s="1"/>
  <c r="F27" i="6"/>
  <c r="F51" i="6"/>
  <c r="F17" i="6"/>
  <c r="F52" i="6"/>
  <c r="F6" i="6"/>
  <c r="F11" i="6"/>
  <c r="F13" i="6"/>
  <c r="F16" i="6"/>
  <c r="J16" i="6"/>
  <c r="F8" i="6"/>
  <c r="F19" i="6"/>
  <c r="F41" i="6"/>
  <c r="F36" i="6"/>
  <c r="F5" i="6"/>
  <c r="F49" i="6"/>
  <c r="F32" i="6"/>
  <c r="F43" i="6"/>
  <c r="E17" i="6"/>
  <c r="J39" i="6"/>
  <c r="J27" i="6"/>
  <c r="J55" i="6"/>
  <c r="I53" i="6"/>
  <c r="E51" i="6"/>
  <c r="E42" i="6"/>
  <c r="E8" i="6"/>
  <c r="E41" i="6"/>
  <c r="E52" i="6"/>
  <c r="E6" i="6"/>
  <c r="E44" i="6"/>
  <c r="J44" i="6"/>
  <c r="E32" i="6"/>
  <c r="E36" i="6"/>
  <c r="E49" i="6"/>
  <c r="H53" i="6"/>
  <c r="G53" i="6"/>
  <c r="F53" i="6"/>
  <c r="D51" i="6"/>
  <c r="D47" i="6"/>
  <c r="J47" i="6" s="1"/>
  <c r="D12" i="6"/>
  <c r="D30" i="6"/>
  <c r="J30" i="6"/>
  <c r="D8" i="6"/>
  <c r="D29" i="6"/>
  <c r="J29" i="6" s="1"/>
  <c r="D13" i="6"/>
  <c r="J13" i="6" s="1"/>
  <c r="D32" i="6"/>
  <c r="D36" i="6"/>
  <c r="D17" i="6"/>
  <c r="D5" i="6"/>
  <c r="D11" i="6"/>
  <c r="D15" i="6"/>
  <c r="J15" i="6"/>
  <c r="D6" i="6"/>
  <c r="J6" i="6"/>
  <c r="D43" i="6"/>
  <c r="D52" i="6"/>
  <c r="D14" i="6"/>
  <c r="D49" i="6"/>
  <c r="J49" i="6" s="1"/>
  <c r="J8" i="6"/>
  <c r="J51" i="6"/>
  <c r="E53" i="6"/>
  <c r="E57" i="6"/>
  <c r="D53" i="6"/>
  <c r="D57" i="6"/>
  <c r="G57" i="6"/>
  <c r="F57" i="6"/>
  <c r="C18" i="6"/>
  <c r="J18" i="6"/>
  <c r="C17" i="6"/>
  <c r="J17" i="6"/>
  <c r="C11" i="6"/>
  <c r="J11" i="6"/>
  <c r="C5" i="6"/>
  <c r="J5" i="6"/>
  <c r="C42" i="6"/>
  <c r="J42" i="6"/>
  <c r="C52" i="6"/>
  <c r="J52" i="6"/>
  <c r="C37" i="6"/>
  <c r="J37" i="6"/>
  <c r="C41" i="6"/>
  <c r="J41" i="6"/>
  <c r="C12" i="6"/>
  <c r="J12" i="6"/>
  <c r="C19" i="6"/>
  <c r="J19" i="6"/>
  <c r="C32" i="6"/>
  <c r="J32" i="6"/>
  <c r="C14" i="6"/>
  <c r="J14" i="6"/>
  <c r="C36" i="6"/>
  <c r="J36" i="6"/>
  <c r="C43" i="6"/>
  <c r="J43" i="6"/>
  <c r="H57" i="6"/>
  <c r="C53" i="6"/>
  <c r="C57" i="6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I40" i="5"/>
  <c r="J33" i="5"/>
  <c r="L33" i="5"/>
  <c r="J26" i="5"/>
  <c r="L26" i="5"/>
  <c r="C42" i="5"/>
  <c r="G28" i="5"/>
  <c r="G30" i="5"/>
  <c r="G39" i="5"/>
  <c r="G14" i="5"/>
  <c r="G18" i="5"/>
  <c r="G12" i="5"/>
  <c r="G7" i="5"/>
  <c r="G13" i="5"/>
  <c r="G36" i="5"/>
  <c r="G29" i="5"/>
  <c r="G8" i="5"/>
  <c r="G25" i="5"/>
  <c r="F12" i="5"/>
  <c r="F30" i="5"/>
  <c r="F29" i="5"/>
  <c r="F7" i="5"/>
  <c r="F10" i="5"/>
  <c r="F32" i="5"/>
  <c r="F3" i="5"/>
  <c r="F11" i="5"/>
  <c r="F17" i="5"/>
  <c r="F16" i="5"/>
  <c r="F28" i="5"/>
  <c r="F36" i="5"/>
  <c r="F8" i="5"/>
  <c r="F25" i="5"/>
  <c r="F34" i="5"/>
  <c r="E34" i="5"/>
  <c r="E29" i="5"/>
  <c r="E23" i="5"/>
  <c r="E24" i="5"/>
  <c r="J24" i="5" s="1"/>
  <c r="L24" i="5" s="1"/>
  <c r="E14" i="5"/>
  <c r="E4" i="5"/>
  <c r="E38" i="5"/>
  <c r="E36" i="5"/>
  <c r="E7" i="5"/>
  <c r="E30" i="5"/>
  <c r="E25" i="5"/>
  <c r="E13" i="5"/>
  <c r="E11" i="5"/>
  <c r="E10" i="5"/>
  <c r="J10" i="5" s="1"/>
  <c r="E8" i="5"/>
  <c r="C28" i="5"/>
  <c r="C32" i="5"/>
  <c r="C14" i="5"/>
  <c r="J14" i="5" s="1"/>
  <c r="L14" i="5" s="1"/>
  <c r="C12" i="5"/>
  <c r="C18" i="5"/>
  <c r="C36" i="5"/>
  <c r="C16" i="5"/>
  <c r="C22" i="5"/>
  <c r="J22" i="5"/>
  <c r="L22" i="5" s="1"/>
  <c r="J29" i="5"/>
  <c r="L29" i="5" s="1"/>
  <c r="J13" i="5"/>
  <c r="L13" i="5" s="1"/>
  <c r="C35" i="5"/>
  <c r="C4" i="5"/>
  <c r="J4" i="5"/>
  <c r="C7" i="5"/>
  <c r="J7" i="5"/>
  <c r="L7" i="5" s="1"/>
  <c r="C19" i="5"/>
  <c r="J19" i="5" s="1"/>
  <c r="L19" i="5" s="1"/>
  <c r="J42" i="5"/>
  <c r="K40" i="5"/>
  <c r="H40" i="5"/>
  <c r="J39" i="5"/>
  <c r="L39" i="5" s="1"/>
  <c r="J38" i="5"/>
  <c r="L38" i="5" s="1"/>
  <c r="J37" i="5"/>
  <c r="L37" i="5" s="1"/>
  <c r="J36" i="5"/>
  <c r="L36" i="5" s="1"/>
  <c r="J35" i="5"/>
  <c r="L35" i="5" s="1"/>
  <c r="J34" i="5"/>
  <c r="L34" i="5" s="1"/>
  <c r="J32" i="5"/>
  <c r="L32" i="5" s="1"/>
  <c r="J31" i="5"/>
  <c r="L31" i="5" s="1"/>
  <c r="J30" i="5"/>
  <c r="L30" i="5" s="1"/>
  <c r="J28" i="5"/>
  <c r="L28" i="5" s="1"/>
  <c r="L27" i="5"/>
  <c r="J25" i="5"/>
  <c r="L25" i="5"/>
  <c r="J23" i="5"/>
  <c r="L23" i="5"/>
  <c r="L21" i="5"/>
  <c r="J20" i="5"/>
  <c r="L20" i="5" s="1"/>
  <c r="J18" i="5"/>
  <c r="L18" i="5" s="1"/>
  <c r="J17" i="5"/>
  <c r="L17" i="5" s="1"/>
  <c r="J16" i="5"/>
  <c r="L16" i="5" s="1"/>
  <c r="J15" i="5"/>
  <c r="L15" i="5" s="1"/>
  <c r="J12" i="5"/>
  <c r="L12" i="5" s="1"/>
  <c r="J11" i="5"/>
  <c r="L11" i="5" s="1"/>
  <c r="J8" i="5"/>
  <c r="L8" i="5" s="1"/>
  <c r="G40" i="5"/>
  <c r="F40" i="5"/>
  <c r="E40" i="5"/>
  <c r="J6" i="5"/>
  <c r="L6" i="5"/>
  <c r="L4" i="5"/>
  <c r="C40" i="5"/>
  <c r="J9" i="5"/>
  <c r="L9" i="5"/>
  <c r="D40" i="5"/>
  <c r="A4" i="4"/>
  <c r="A5" i="4" s="1"/>
  <c r="A6" i="4" s="1"/>
  <c r="A7" i="4" s="1"/>
  <c r="A8" i="4" s="1"/>
  <c r="A9" i="4" s="1"/>
  <c r="A10" i="4" s="1"/>
  <c r="A11" i="4" s="1"/>
  <c r="D5" i="4"/>
  <c r="J5" i="4"/>
  <c r="L5" i="4" s="1"/>
  <c r="G10" i="4"/>
  <c r="J10" i="4" s="1"/>
  <c r="L10" i="4" s="1"/>
  <c r="G44" i="4"/>
  <c r="J44" i="4"/>
  <c r="G19" i="4"/>
  <c r="G20" i="4"/>
  <c r="G6" i="4"/>
  <c r="G12" i="4"/>
  <c r="G29" i="4"/>
  <c r="G17" i="4"/>
  <c r="G27" i="4"/>
  <c r="G28" i="4"/>
  <c r="G24" i="4"/>
  <c r="G4" i="4"/>
  <c r="G7" i="4"/>
  <c r="G34" i="4"/>
  <c r="G26" i="4"/>
  <c r="F23" i="4"/>
  <c r="F4" i="4"/>
  <c r="F30" i="4"/>
  <c r="F20" i="4"/>
  <c r="F9" i="4"/>
  <c r="F28" i="4"/>
  <c r="F34" i="4"/>
  <c r="F7" i="4"/>
  <c r="F22" i="4"/>
  <c r="F6" i="4"/>
  <c r="F12" i="4"/>
  <c r="F24" i="4"/>
  <c r="F26" i="4"/>
  <c r="F27" i="4"/>
  <c r="K42" i="4"/>
  <c r="I22" i="4"/>
  <c r="I8" i="4"/>
  <c r="I42" i="4" s="1"/>
  <c r="E23" i="4"/>
  <c r="C23" i="4"/>
  <c r="J23" i="4"/>
  <c r="L23" i="4" s="1"/>
  <c r="E22" i="4"/>
  <c r="E30" i="4"/>
  <c r="E6" i="4"/>
  <c r="C6" i="4"/>
  <c r="J6" i="4" s="1"/>
  <c r="E34" i="4"/>
  <c r="E17" i="4"/>
  <c r="E27" i="4"/>
  <c r="E29" i="4"/>
  <c r="E33" i="4"/>
  <c r="E7" i="4"/>
  <c r="E38" i="4"/>
  <c r="E24" i="4"/>
  <c r="E26" i="4"/>
  <c r="C26" i="4"/>
  <c r="J26" i="4" s="1"/>
  <c r="L26" i="4" s="1"/>
  <c r="E9" i="4"/>
  <c r="J41" i="4"/>
  <c r="L41" i="4" s="1"/>
  <c r="J40" i="4"/>
  <c r="L40" i="4" s="1"/>
  <c r="J39" i="4"/>
  <c r="L39" i="4" s="1"/>
  <c r="J21" i="4"/>
  <c r="L21" i="4" s="1"/>
  <c r="J37" i="4"/>
  <c r="J36" i="4"/>
  <c r="L36" i="4"/>
  <c r="D38" i="4"/>
  <c r="D7" i="4"/>
  <c r="D42" i="4" s="1"/>
  <c r="D4" i="4"/>
  <c r="D27" i="4"/>
  <c r="D9" i="4"/>
  <c r="D24" i="4"/>
  <c r="D25" i="4"/>
  <c r="D28" i="4"/>
  <c r="D29" i="4"/>
  <c r="D33" i="4"/>
  <c r="C17" i="4"/>
  <c r="J17" i="4" s="1"/>
  <c r="L17" i="4" s="1"/>
  <c r="C28" i="4"/>
  <c r="J28" i="4"/>
  <c r="L28" i="4" s="1"/>
  <c r="C9" i="4"/>
  <c r="C25" i="4"/>
  <c r="C7" i="4"/>
  <c r="J7" i="4" s="1"/>
  <c r="L7" i="4" s="1"/>
  <c r="C12" i="4"/>
  <c r="C38" i="4"/>
  <c r="C29" i="4"/>
  <c r="J29" i="4"/>
  <c r="L29" i="4" s="1"/>
  <c r="C34" i="4"/>
  <c r="C24" i="4"/>
  <c r="J24" i="4"/>
  <c r="L24" i="4" s="1"/>
  <c r="J3" i="4"/>
  <c r="L3" i="4" s="1"/>
  <c r="J32" i="4"/>
  <c r="L32" i="4" s="1"/>
  <c r="J20" i="4"/>
  <c r="L20" i="4" s="1"/>
  <c r="J31" i="4"/>
  <c r="L31" i="4" s="1"/>
  <c r="J25" i="4"/>
  <c r="L25" i="4" s="1"/>
  <c r="J19" i="4"/>
  <c r="L19" i="4" s="1"/>
  <c r="J11" i="4"/>
  <c r="L11" i="4" s="1"/>
  <c r="J13" i="4"/>
  <c r="L13" i="4" s="1"/>
  <c r="J34" i="4"/>
  <c r="L34" i="4" s="1"/>
  <c r="L37" i="4"/>
  <c r="J16" i="4"/>
  <c r="L16" i="4"/>
  <c r="J18" i="4"/>
  <c r="L18" i="4"/>
  <c r="J12" i="4"/>
  <c r="L12" i="4"/>
  <c r="J22" i="4"/>
  <c r="L22" i="4"/>
  <c r="J15" i="4"/>
  <c r="L15" i="4"/>
  <c r="J35" i="4"/>
  <c r="L35" i="4"/>
  <c r="F42" i="4"/>
  <c r="J14" i="4"/>
  <c r="L14" i="4" s="1"/>
  <c r="J30" i="4"/>
  <c r="L30" i="4" s="1"/>
  <c r="J4" i="4"/>
  <c r="L4" i="4" s="1"/>
  <c r="G42" i="4"/>
  <c r="H42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J8" i="4"/>
  <c r="L8" i="4"/>
  <c r="C42" i="4"/>
  <c r="J9" i="4"/>
  <c r="L9" i="4" s="1"/>
  <c r="E42" i="4"/>
  <c r="J27" i="4"/>
  <c r="J33" i="4"/>
  <c r="L33" i="4" s="1"/>
  <c r="J38" i="4"/>
  <c r="L38" i="4" s="1"/>
  <c r="K37" i="3"/>
  <c r="H4" i="3"/>
  <c r="L27" i="4"/>
  <c r="H37" i="3"/>
  <c r="I37" i="3"/>
  <c r="J36" i="3"/>
  <c r="L36" i="3" s="1"/>
  <c r="J35" i="3"/>
  <c r="L35" i="3" s="1"/>
  <c r="J34" i="3"/>
  <c r="L34" i="3" s="1"/>
  <c r="J33" i="3"/>
  <c r="L33" i="3" s="1"/>
  <c r="J28" i="3"/>
  <c r="L28" i="3" s="1"/>
  <c r="G25" i="3"/>
  <c r="J25" i="3" s="1"/>
  <c r="L25" i="3" s="1"/>
  <c r="J23" i="3"/>
  <c r="L23" i="3"/>
  <c r="C21" i="3"/>
  <c r="D21" i="3"/>
  <c r="J21" i="3" s="1"/>
  <c r="L21" i="3" s="1"/>
  <c r="E21" i="3"/>
  <c r="F21" i="3"/>
  <c r="L20" i="3"/>
  <c r="J18" i="3"/>
  <c r="L18" i="3" s="1"/>
  <c r="J10" i="3"/>
  <c r="L10" i="3" s="1"/>
  <c r="C9" i="3"/>
  <c r="F9" i="3"/>
  <c r="J9" i="3"/>
  <c r="C5" i="3"/>
  <c r="D5" i="3"/>
  <c r="J5" i="3" s="1"/>
  <c r="L5" i="3" s="1"/>
  <c r="F5" i="3"/>
  <c r="G5" i="3"/>
  <c r="G32" i="3"/>
  <c r="J32" i="3"/>
  <c r="L32" i="3" s="1"/>
  <c r="G4" i="3"/>
  <c r="G11" i="3"/>
  <c r="J11" i="3"/>
  <c r="L11" i="3" s="1"/>
  <c r="G24" i="3"/>
  <c r="G22" i="3"/>
  <c r="G14" i="3"/>
  <c r="G3" i="3"/>
  <c r="G17" i="3"/>
  <c r="G19" i="3"/>
  <c r="G26" i="3"/>
  <c r="G31" i="3"/>
  <c r="G37" i="3"/>
  <c r="F17" i="3"/>
  <c r="F13" i="3"/>
  <c r="F3" i="3"/>
  <c r="F26" i="3"/>
  <c r="J26" i="3" s="1"/>
  <c r="L26" i="3" s="1"/>
  <c r="F15" i="3"/>
  <c r="F16" i="3"/>
  <c r="F22" i="3"/>
  <c r="F4" i="3"/>
  <c r="F37" i="3" s="1"/>
  <c r="F19" i="3"/>
  <c r="F29" i="3"/>
  <c r="F30" i="3"/>
  <c r="F31" i="3"/>
  <c r="J19" i="3"/>
  <c r="L19" i="3" s="1"/>
  <c r="J31" i="3"/>
  <c r="L31" i="3" s="1"/>
  <c r="J29" i="3"/>
  <c r="L29" i="3" s="1"/>
  <c r="J30" i="3"/>
  <c r="L30" i="3" s="1"/>
  <c r="E14" i="3"/>
  <c r="E24" i="3"/>
  <c r="J24" i="3"/>
  <c r="L24" i="3" s="1"/>
  <c r="E13" i="3"/>
  <c r="E3" i="3"/>
  <c r="E4" i="3"/>
  <c r="E37" i="3" s="1"/>
  <c r="E6" i="3"/>
  <c r="E22" i="3"/>
  <c r="D27" i="3"/>
  <c r="J27" i="3" s="1"/>
  <c r="L27" i="3" s="1"/>
  <c r="D22" i="3"/>
  <c r="D14" i="3"/>
  <c r="D7" i="3"/>
  <c r="D4" i="3"/>
  <c r="D37" i="3" s="1"/>
  <c r="D6" i="3"/>
  <c r="D12" i="3"/>
  <c r="D3" i="3"/>
  <c r="D16" i="3"/>
  <c r="C22" i="3"/>
  <c r="J22" i="3" s="1"/>
  <c r="L22" i="3" s="1"/>
  <c r="C17" i="3"/>
  <c r="J17" i="3"/>
  <c r="L17" i="3" s="1"/>
  <c r="J16" i="3"/>
  <c r="L16" i="3" s="1"/>
  <c r="C15" i="3"/>
  <c r="J15" i="3" s="1"/>
  <c r="L15" i="3" s="1"/>
  <c r="C14" i="3"/>
  <c r="J14" i="3"/>
  <c r="L14" i="3" s="1"/>
  <c r="C13" i="3"/>
  <c r="J13" i="3" s="1"/>
  <c r="L13" i="3" s="1"/>
  <c r="C12" i="3"/>
  <c r="J12" i="3"/>
  <c r="L12" i="3" s="1"/>
  <c r="C8" i="3"/>
  <c r="J8" i="3" s="1"/>
  <c r="L8" i="3" s="1"/>
  <c r="C7" i="3"/>
  <c r="J7" i="3"/>
  <c r="L7" i="3" s="1"/>
  <c r="C6" i="3"/>
  <c r="J6" i="3" s="1"/>
  <c r="L6" i="3" s="1"/>
  <c r="C4" i="3"/>
  <c r="J4" i="3"/>
  <c r="L4" i="3" s="1"/>
  <c r="C3" i="3"/>
  <c r="C37" i="3" s="1"/>
  <c r="J3" i="3"/>
  <c r="L3" i="3" s="1"/>
  <c r="I33" i="2"/>
  <c r="C12" i="2"/>
  <c r="E12" i="2"/>
  <c r="I12" i="2" s="1"/>
  <c r="J31" i="2" s="1"/>
  <c r="D19" i="2"/>
  <c r="F19" i="2"/>
  <c r="I19" i="2"/>
  <c r="I25" i="2"/>
  <c r="E22" i="2"/>
  <c r="I22" i="2" s="1"/>
  <c r="F22" i="2"/>
  <c r="G22" i="2"/>
  <c r="I27" i="2"/>
  <c r="I3" i="2"/>
  <c r="C4" i="2"/>
  <c r="E4" i="2"/>
  <c r="H4" i="2"/>
  <c r="I4" i="2"/>
  <c r="C5" i="2"/>
  <c r="D5" i="2"/>
  <c r="I5" i="2" s="1"/>
  <c r="E5" i="2"/>
  <c r="G5" i="2"/>
  <c r="C6" i="2"/>
  <c r="D6" i="2"/>
  <c r="E6" i="2"/>
  <c r="H6" i="2"/>
  <c r="I6" i="2"/>
  <c r="C7" i="2"/>
  <c r="D7" i="2"/>
  <c r="I7" i="2" s="1"/>
  <c r="E7" i="2"/>
  <c r="F7" i="2"/>
  <c r="G7" i="2"/>
  <c r="H7" i="2"/>
  <c r="C8" i="2"/>
  <c r="I8" i="2" s="1"/>
  <c r="E8" i="2"/>
  <c r="F8" i="2"/>
  <c r="G8" i="2"/>
  <c r="H8" i="2"/>
  <c r="C9" i="2"/>
  <c r="D9" i="2"/>
  <c r="G9" i="2"/>
  <c r="H9" i="2"/>
  <c r="I9" i="2"/>
  <c r="C10" i="2"/>
  <c r="E10" i="2"/>
  <c r="F10" i="2"/>
  <c r="I10" i="2"/>
  <c r="C11" i="2"/>
  <c r="D11" i="2"/>
  <c r="I11" i="2" s="1"/>
  <c r="E11" i="2"/>
  <c r="F11" i="2"/>
  <c r="G11" i="2"/>
  <c r="H11" i="2"/>
  <c r="C13" i="2"/>
  <c r="E13" i="2"/>
  <c r="G13" i="2"/>
  <c r="H13" i="2"/>
  <c r="I13" i="2"/>
  <c r="C14" i="2"/>
  <c r="E14" i="2"/>
  <c r="I14" i="2" s="1"/>
  <c r="H15" i="2"/>
  <c r="I15" i="2" s="1"/>
  <c r="D16" i="2"/>
  <c r="F16" i="2"/>
  <c r="I16" i="2"/>
  <c r="D17" i="2"/>
  <c r="F17" i="2"/>
  <c r="H17" i="2"/>
  <c r="I17" i="2"/>
  <c r="D18" i="2"/>
  <c r="E18" i="2"/>
  <c r="I18" i="2" s="1"/>
  <c r="F18" i="2"/>
  <c r="G20" i="2"/>
  <c r="I20" i="2"/>
  <c r="E21" i="2"/>
  <c r="I21" i="2"/>
  <c r="I23" i="2"/>
  <c r="F24" i="2"/>
  <c r="I24" i="2" s="1"/>
  <c r="G26" i="2"/>
  <c r="H26" i="2"/>
  <c r="I26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3" i="1"/>
  <c r="C9" i="1"/>
  <c r="C25" i="1" s="1"/>
  <c r="C29" i="1" s="1"/>
  <c r="D30" i="1" s="1"/>
  <c r="D31" i="1" s="1"/>
  <c r="C10" i="1"/>
  <c r="C13" i="1"/>
  <c r="C14" i="1"/>
  <c r="C16" i="1"/>
  <c r="C17" i="1"/>
  <c r="C19" i="1"/>
  <c r="C27" i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I30" i="2" l="1"/>
  <c r="I31" i="2" s="1"/>
  <c r="L37" i="3"/>
  <c r="L6" i="4"/>
  <c r="L42" i="4" s="1"/>
  <c r="L44" i="4" s="1"/>
  <c r="J42" i="4"/>
  <c r="J37" i="3"/>
  <c r="L10" i="5"/>
  <c r="L40" i="5" s="1"/>
  <c r="L42" i="5" s="1"/>
  <c r="J40" i="5"/>
  <c r="J53" i="6"/>
  <c r="C66" i="7"/>
  <c r="D66" i="7"/>
  <c r="D70" i="7" s="1"/>
  <c r="F80" i="8"/>
  <c r="F81" i="8"/>
  <c r="J12" i="8"/>
  <c r="E99" i="9"/>
  <c r="F99" i="9" s="1"/>
  <c r="D81" i="8"/>
  <c r="J69" i="10"/>
  <c r="E43" i="12"/>
  <c r="F43" i="12" s="1"/>
  <c r="J65" i="11"/>
  <c r="F85" i="11"/>
  <c r="E85" i="11"/>
  <c r="F80" i="11"/>
  <c r="E80" i="11"/>
  <c r="J41" i="12"/>
  <c r="E91" i="11"/>
  <c r="F91" i="11" s="1"/>
  <c r="E74" i="11"/>
  <c r="F74" i="11" s="1"/>
  <c r="J89" i="10"/>
  <c r="K89" i="10" s="1"/>
  <c r="F60" i="13"/>
  <c r="F62" i="13" s="1"/>
  <c r="E66" i="13"/>
  <c r="F66" i="13" s="1"/>
  <c r="J42" i="12" l="1"/>
  <c r="J70" i="11"/>
  <c r="J72" i="11" s="1"/>
  <c r="L89" i="10"/>
  <c r="M89" i="10" s="1"/>
  <c r="M91" i="10" s="1"/>
  <c r="C70" i="7"/>
  <c r="J66" i="7"/>
  <c r="J68" i="7" s="1"/>
  <c r="K72" i="11" l="1"/>
  <c r="J83" i="11"/>
  <c r="J86" i="11" s="1"/>
  <c r="D98" i="14" l="1"/>
  <c r="F98" i="14" s="1"/>
  <c r="D112" i="14" l="1"/>
  <c r="E112" i="14" l="1"/>
  <c r="F112" i="14" s="1"/>
  <c r="F113" i="14" s="1"/>
</calcChain>
</file>

<file path=xl/sharedStrings.xml><?xml version="1.0" encoding="utf-8"?>
<sst xmlns="http://schemas.openxmlformats.org/spreadsheetml/2006/main" count="1288" uniqueCount="370">
  <si>
    <t>wilb-mode</t>
  </si>
  <si>
    <t>No.</t>
  </si>
  <si>
    <t>NOMBRE</t>
  </si>
  <si>
    <t>LUNES</t>
  </si>
  <si>
    <t>MARTES</t>
  </si>
  <si>
    <t>MIERCOLES</t>
  </si>
  <si>
    <t>JUEVES</t>
  </si>
  <si>
    <t>VIERNES</t>
  </si>
  <si>
    <t>SABADO</t>
  </si>
  <si>
    <t>SALDO</t>
  </si>
  <si>
    <t>TOTAL</t>
  </si>
  <si>
    <t>OBSERVACION</t>
  </si>
  <si>
    <t>osorio</t>
  </si>
  <si>
    <t>roberto</t>
  </si>
  <si>
    <t>alvaro alpuhe</t>
  </si>
  <si>
    <t>gerardo morales</t>
  </si>
  <si>
    <t>jhony</t>
  </si>
  <si>
    <t>jesus pintor</t>
  </si>
  <si>
    <t>gabriel</t>
  </si>
  <si>
    <t>eleazar</t>
  </si>
  <si>
    <t>wilberto</t>
  </si>
  <si>
    <t>PLOM-elect</t>
  </si>
  <si>
    <t>ABEL CHAN</t>
  </si>
  <si>
    <t>carlos lopez</t>
  </si>
  <si>
    <t>jonathan herrera plomero</t>
  </si>
  <si>
    <t>francisco olan</t>
  </si>
  <si>
    <t>jesus vazquez</t>
  </si>
  <si>
    <t>jose angel electr</t>
  </si>
  <si>
    <t>ana plomero</t>
  </si>
  <si>
    <t>don carlos</t>
  </si>
  <si>
    <t>enrique lopez</t>
  </si>
  <si>
    <t>orlando electrico</t>
  </si>
  <si>
    <t>esther</t>
  </si>
  <si>
    <t>alejandro caamal</t>
  </si>
  <si>
    <t>carlos legaspe</t>
  </si>
  <si>
    <t>noe</t>
  </si>
  <si>
    <t>MIGUEL</t>
  </si>
  <si>
    <t>ADALIO ( MIGUEL)</t>
  </si>
  <si>
    <t>pedro lopez torrez</t>
  </si>
  <si>
    <t>jose miguel cruz</t>
  </si>
  <si>
    <t>VARIOS</t>
  </si>
  <si>
    <t>ARQUITECTA</t>
  </si>
  <si>
    <t>EDILZAR</t>
  </si>
  <si>
    <t>alumieros</t>
  </si>
  <si>
    <t>CECILIO</t>
  </si>
  <si>
    <t>RAUL GOMEZ</t>
  </si>
  <si>
    <t>ing raul</t>
  </si>
  <si>
    <t>SEGURIDAD</t>
  </si>
  <si>
    <t>JUAN PABLO</t>
  </si>
  <si>
    <t>PANCHITO</t>
  </si>
  <si>
    <t>fredman</t>
  </si>
  <si>
    <t>raymundo perez</t>
  </si>
  <si>
    <t>jesus dolores maquuinaria</t>
  </si>
  <si>
    <t>100-126=26</t>
  </si>
  <si>
    <t>TIKETS</t>
  </si>
  <si>
    <t xml:space="preserve">MODESTO </t>
  </si>
  <si>
    <t>eleazar e izamar</t>
  </si>
  <si>
    <t>WILBERTO</t>
  </si>
  <si>
    <t>prestamo</t>
  </si>
  <si>
    <t>MIGUEL SANCHEZ</t>
  </si>
  <si>
    <t>chicles</t>
  </si>
  <si>
    <t>JOSE LUIS</t>
  </si>
  <si>
    <t>jonathan herrera</t>
  </si>
  <si>
    <t>ING.JOSE JUAN CAMAS</t>
  </si>
  <si>
    <t>ing.tony</t>
  </si>
  <si>
    <t>moises cervo</t>
  </si>
  <si>
    <t>rafael perez</t>
  </si>
  <si>
    <t>artemio aguilar perez</t>
  </si>
  <si>
    <t>ELECTRICOS</t>
  </si>
  <si>
    <t>GERARDO DOMINGUEZ</t>
  </si>
  <si>
    <t>DON CARLOS</t>
  </si>
  <si>
    <t>ADRIAN POOT</t>
  </si>
  <si>
    <t>ERICK RUBIEL</t>
  </si>
  <si>
    <t>NOE</t>
  </si>
  <si>
    <t>PLOMEROS</t>
  </si>
  <si>
    <t>JESUS ADRIAN VAZQUEZ</t>
  </si>
  <si>
    <t>DOMINGO PEREZ DIAZ</t>
  </si>
  <si>
    <t>MODESTO Y WILBERTO</t>
  </si>
  <si>
    <t>ROBERTO RODRI.(MODEST)</t>
  </si>
  <si>
    <t>ABEL MARIO</t>
  </si>
  <si>
    <t>ALEJANDRO PEREZ</t>
  </si>
  <si>
    <t>JAVIER CRUZ</t>
  </si>
  <si>
    <t>CARPIO SEÑOR DEL VOLTEO</t>
  </si>
  <si>
    <t>CARLOS RODRIGUEZ (HERNAN)</t>
  </si>
  <si>
    <t>ARISTEO</t>
  </si>
  <si>
    <t>FRANCISCO ALUMINIO</t>
  </si>
  <si>
    <t>SABAS</t>
  </si>
  <si>
    <t>JESUS DOLORES ENCARGADO MAQ.</t>
  </si>
  <si>
    <t>ANTONIO CHIMAL TELMEX</t>
  </si>
  <si>
    <t>lunes 12-12-16</t>
  </si>
  <si>
    <t>MARTES 13-12-16</t>
  </si>
  <si>
    <t>MIERCOLES 14-12-16</t>
  </si>
  <si>
    <t>JUEVES 15-12-16</t>
  </si>
  <si>
    <t>VIERNES 16-12-16</t>
  </si>
  <si>
    <t>ENRIQUE LOPEZ</t>
  </si>
  <si>
    <t>JOSE ANGEL</t>
  </si>
  <si>
    <t>WILLIAMS</t>
  </si>
  <si>
    <t>BRUNO SANCHEZ MUÑOZ</t>
  </si>
  <si>
    <t>JORGE OSORIO</t>
  </si>
  <si>
    <t>PEDRO (MIGUEL)</t>
  </si>
  <si>
    <t>MIGUEL ANGEL CALVO</t>
  </si>
  <si>
    <t>JOSE GUITERREZ MTZ</t>
  </si>
  <si>
    <t>HECTOR GODI (GUARNICI)</t>
  </si>
  <si>
    <t>MAGDIEL ARCOS (CLEMENTE)</t>
  </si>
  <si>
    <t>JUAN CARLOS CRUZ ROJAS</t>
  </si>
  <si>
    <t>ERICK CASTILLO</t>
  </si>
  <si>
    <t>DANIEL LOPEZ</t>
  </si>
  <si>
    <t>GERARDO HDZ</t>
  </si>
  <si>
    <t>HERNAN (JUAN PABLO)</t>
  </si>
  <si>
    <t>JESUS VAZQUEZ (RAUL)</t>
  </si>
  <si>
    <t>RAFAEL</t>
  </si>
  <si>
    <t>RAUL RESIDENTE</t>
  </si>
  <si>
    <t>SERGIO</t>
  </si>
  <si>
    <t>ANTONIO CHIMAL</t>
  </si>
  <si>
    <t>GERSSON</t>
  </si>
  <si>
    <t>GASOLINA</t>
  </si>
  <si>
    <t>COMPU MIMI</t>
  </si>
  <si>
    <t>BRI</t>
  </si>
  <si>
    <t>ELVIA</t>
  </si>
  <si>
    <t>ALFREDO</t>
  </si>
  <si>
    <t>BETO CEL</t>
  </si>
  <si>
    <t>TORTILLAS</t>
  </si>
  <si>
    <t>jueves 15-12-16</t>
  </si>
  <si>
    <t>sabado 10-12-16</t>
  </si>
  <si>
    <t>ALFONSO</t>
  </si>
  <si>
    <t>ISAIAS</t>
  </si>
  <si>
    <t>HECTOR GODINES</t>
  </si>
  <si>
    <t>HERNAN TZIU</t>
  </si>
  <si>
    <t xml:space="preserve">CECILIO </t>
  </si>
  <si>
    <t>RAFAEL PEREZ</t>
  </si>
  <si>
    <t>ABONO 112(42+70)</t>
  </si>
  <si>
    <t>JOSE LUIS TORRES</t>
  </si>
  <si>
    <t xml:space="preserve">FRANCISCO OLAN </t>
  </si>
  <si>
    <t xml:space="preserve">JUAN TORRES </t>
  </si>
  <si>
    <t>CARLOS LOPEZ PLOMERO</t>
  </si>
  <si>
    <t>ELEAZAR</t>
  </si>
  <si>
    <t>JORGE OSORIO GARCIA (MODESTO)</t>
  </si>
  <si>
    <t>42 DOMI</t>
  </si>
  <si>
    <t>JORGE PEREZ (MODESTO)</t>
  </si>
  <si>
    <t>JOSE MARIA (MODESTO)</t>
  </si>
  <si>
    <t>ALBARO ALPUCHE</t>
  </si>
  <si>
    <t>DON MIGUEL</t>
  </si>
  <si>
    <t>EUCARIO (MIGUEL SANC)</t>
  </si>
  <si>
    <t>SERGIO CRUZ</t>
  </si>
  <si>
    <t>PEDRO (CLEMENTE)</t>
  </si>
  <si>
    <t>JOSE MIGUEL USCANGA</t>
  </si>
  <si>
    <t>JOSUE LOPEZ</t>
  </si>
  <si>
    <t>ABIGAIL</t>
  </si>
  <si>
    <t>CARLOS GLZ ALUMINIO</t>
  </si>
  <si>
    <t>ISAIAS MACEDO TONY</t>
  </si>
  <si>
    <t>LEONEL HDZ (TONY)</t>
  </si>
  <si>
    <t>TOPO</t>
  </si>
  <si>
    <t>MODESTO</t>
  </si>
  <si>
    <t>JORGE ABRAHM</t>
  </si>
  <si>
    <t>DOMINGO 04-12-16</t>
  </si>
  <si>
    <t>MIERCOLES 07-12-16</t>
  </si>
  <si>
    <t>JUEVES 08-12-16</t>
  </si>
  <si>
    <t>VIERNES 09-12-16</t>
  </si>
  <si>
    <t>MARTES 06-12-16</t>
  </si>
  <si>
    <t>LUNES 05-12-16</t>
  </si>
  <si>
    <t>LUNES 03-12-16</t>
  </si>
  <si>
    <t xml:space="preserve">ADRIAN POOT </t>
  </si>
  <si>
    <t xml:space="preserve">DON CARLOS  </t>
  </si>
  <si>
    <t xml:space="preserve">ERICK RUBIEL </t>
  </si>
  <si>
    <t>JUAN ALEJANDRO</t>
  </si>
  <si>
    <t>MARCO ANTONIO</t>
  </si>
  <si>
    <t>ANGEL FUENTES</t>
  </si>
  <si>
    <t>MARTIN HDZ (MODESTO)</t>
  </si>
  <si>
    <t>MIGUEL ANGEL CALVA (MIGUEL)</t>
  </si>
  <si>
    <t>OSCAR CRUZ CLEMENTE</t>
  </si>
  <si>
    <t>CRISTOBAL</t>
  </si>
  <si>
    <t>FLORENCIO CRUZ</t>
  </si>
  <si>
    <t xml:space="preserve">RAUL GOMEZ </t>
  </si>
  <si>
    <t>RUBEN MAQUINARIA</t>
  </si>
  <si>
    <t>MODESTO 2000</t>
  </si>
  <si>
    <t>martes 1</t>
  </si>
  <si>
    <t>miercoles1</t>
  </si>
  <si>
    <t>jueves 1</t>
  </si>
  <si>
    <t xml:space="preserve">refugio </t>
  </si>
  <si>
    <t>pelon</t>
  </si>
  <si>
    <t>refugio</t>
  </si>
  <si>
    <t>martin</t>
  </si>
  <si>
    <t>ABIGAIL (WILBERTO)</t>
  </si>
  <si>
    <t>ARQUITECTA MAURI</t>
  </si>
  <si>
    <t>ANGEL ALBERTO (TONY)</t>
  </si>
  <si>
    <t>ABEL MARIO (MODESTO)</t>
  </si>
  <si>
    <t>ADRIAN POOT (CARLOS)</t>
  </si>
  <si>
    <t>ABRHAM GOMEZ (CARLOS)</t>
  </si>
  <si>
    <t>ARTEMIO (MODESTO)</t>
  </si>
  <si>
    <t>ALBARO ALPUCHE (WILB)</t>
  </si>
  <si>
    <t>ALBARO SANCHEZ</t>
  </si>
  <si>
    <t>BALTAZAR GOMEZ (MIGUEL)</t>
  </si>
  <si>
    <t>BOLIVAR HDZ (WILBER)</t>
  </si>
  <si>
    <t>CECILIO (CLEMENTE)</t>
  </si>
  <si>
    <t>DON CARLOS  ELECTRICO</t>
  </si>
  <si>
    <t>ERVIN</t>
  </si>
  <si>
    <t>FRANCISCO OLAN PLOMERO</t>
  </si>
  <si>
    <t>FERNANDO  (WILBERTO)</t>
  </si>
  <si>
    <t>GABRIEL (WILBERTO)</t>
  </si>
  <si>
    <t>GERONIMO (MODESTO)</t>
  </si>
  <si>
    <t>HERNAN (CLEMENTE)</t>
  </si>
  <si>
    <t>IVAN MELENDEZ (TONY)</t>
  </si>
  <si>
    <t>JOSE ANGEL ELECTRICO</t>
  </si>
  <si>
    <t>JORGE LUIS (MIGUEL S)</t>
  </si>
  <si>
    <t>JERRY (MIGUEL)</t>
  </si>
  <si>
    <t>JUAN TORRES CANCINO(PLOMERO)</t>
  </si>
  <si>
    <t>JUAN ALEJANDRO PEREZ LOPEZ ELECTRICO</t>
  </si>
  <si>
    <t>JULIO CESAR ROSA(POLMERO)</t>
  </si>
  <si>
    <t>LIBRADO</t>
  </si>
  <si>
    <t>LUIS FELIPE (CARLOS)</t>
  </si>
  <si>
    <t>MAURICIO BOLQUETE</t>
  </si>
  <si>
    <t>MARVIN (MODESTO)</t>
  </si>
  <si>
    <t>MIGUEL SANCHEZ CONTRAT</t>
  </si>
  <si>
    <t>RAYMUNDO GUARNICION</t>
  </si>
  <si>
    <t>ERICK RUBIEL (DON CARLOS)</t>
  </si>
  <si>
    <t>OSCAR SOSA PLOMERO</t>
  </si>
  <si>
    <t>VENTA EFECTIVO</t>
  </si>
  <si>
    <t>DAVID PLOMERO</t>
  </si>
  <si>
    <t>EZEQUIEL (WILBERTO)</t>
  </si>
  <si>
    <t>FRANCISCO RETRO</t>
  </si>
  <si>
    <t>JAVIER MAQUINARIA</t>
  </si>
  <si>
    <t>JOSE CAHUM</t>
  </si>
  <si>
    <t>JESUS ALFREDO</t>
  </si>
  <si>
    <t>ADALIO (CONTRA MIGUEL)</t>
  </si>
  <si>
    <t>BALTAZAR (GUARNI)</t>
  </si>
  <si>
    <t>FERNANDO DENIS (WILBER)</t>
  </si>
  <si>
    <t>JAVIER POOT PLOMERO</t>
  </si>
  <si>
    <t>JERRY (CLEMENTE)</t>
  </si>
  <si>
    <t>MARTIN JESUS</t>
  </si>
  <si>
    <t>MIGUEL ANGL (MIGUL CON)</t>
  </si>
  <si>
    <t>MIGUEL PEREZ</t>
  </si>
  <si>
    <t>RAUL SANCHEZ (RESIDENT)</t>
  </si>
  <si>
    <t>ROMAN DIAZ</t>
  </si>
  <si>
    <t>A cuenta</t>
  </si>
  <si>
    <t>CARLOS RODRIGUEZ</t>
  </si>
  <si>
    <t>DAVID TOPO</t>
  </si>
  <si>
    <t>ELIAZAR</t>
  </si>
  <si>
    <t>EFRAIN DIAZ (MODEST)</t>
  </si>
  <si>
    <t>GERARDO</t>
  </si>
  <si>
    <t>MAURICIO</t>
  </si>
  <si>
    <t>MIGUEL SANCHEZ COLO</t>
  </si>
  <si>
    <t>RAUL SANCHEZ</t>
  </si>
  <si>
    <t>RESIDENTE</t>
  </si>
  <si>
    <t>ROMAN</t>
  </si>
  <si>
    <t>ANGEL CUTS</t>
  </si>
  <si>
    <t>DON TITO</t>
  </si>
  <si>
    <t>ERICK CASTELLANO</t>
  </si>
  <si>
    <t>GERARDO RETRO</t>
  </si>
  <si>
    <t>HERVIN</t>
  </si>
  <si>
    <t>RICARDO</t>
  </si>
  <si>
    <t>ROBERTO CARPIO</t>
  </si>
  <si>
    <t>FRANCISCO DUI</t>
  </si>
  <si>
    <t>ALFONSO DUI</t>
  </si>
  <si>
    <t>NEPTALI DUI</t>
  </si>
  <si>
    <t>MIGUEL ANGEL PEREZ</t>
  </si>
  <si>
    <t>FRANCISCO OLAN</t>
  </si>
  <si>
    <t>------</t>
  </si>
  <si>
    <t>ALFREDO MORALES</t>
  </si>
  <si>
    <t>DANIEL</t>
  </si>
  <si>
    <t>JOSE ENRIQUE</t>
  </si>
  <si>
    <t>MANUEL ROMAN</t>
  </si>
  <si>
    <t>GERARDO HERNANDEZ</t>
  </si>
  <si>
    <t>RAFA</t>
  </si>
  <si>
    <t>ENRIQUE MODESTO</t>
  </si>
  <si>
    <t>DAVID</t>
  </si>
  <si>
    <t>MIGUEL PEREZ PEREZ</t>
  </si>
  <si>
    <t>CARLOS MODESTO</t>
  </si>
  <si>
    <t>JOSE CAJUN MAY</t>
  </si>
  <si>
    <t>IMPORTE</t>
  </si>
  <si>
    <t>STATUS</t>
  </si>
  <si>
    <t>RONHY</t>
  </si>
  <si>
    <t>PAGADO</t>
  </si>
  <si>
    <t>CARLOS SAUCERO</t>
  </si>
  <si>
    <t>RAMON MANUEL SANCHEZ</t>
  </si>
  <si>
    <t>SABAS LOPEZ</t>
  </si>
  <si>
    <t>DANIEL TOPO</t>
  </si>
  <si>
    <t>DANIEL LOPEZ PEREZ</t>
  </si>
  <si>
    <t>CARLOS ALFREDO</t>
  </si>
  <si>
    <t>ENRIQUE</t>
  </si>
  <si>
    <t>ANGEL CUTZ</t>
  </si>
  <si>
    <t>FRANCISCO PLOMERO</t>
  </si>
  <si>
    <t>PAULINO</t>
  </si>
  <si>
    <t xml:space="preserve">ALFONSO </t>
  </si>
  <si>
    <t>JUAN C CRUZ ROJAS</t>
  </si>
  <si>
    <t>MADIEL ARCOS</t>
  </si>
  <si>
    <t>JORGE PEREZ LAZARO</t>
  </si>
  <si>
    <t>GEREARDO HDZ</t>
  </si>
  <si>
    <t>ERICK DE LA CRUZ</t>
  </si>
  <si>
    <t>PEDRO CALVO</t>
  </si>
  <si>
    <t>CRUZ ROSALES</t>
  </si>
  <si>
    <t>HECTOR (ANA)</t>
  </si>
  <si>
    <t>HERNAN DZIB</t>
  </si>
  <si>
    <t>DON PANCHITO GLZ</t>
  </si>
  <si>
    <t>jesus alfredo lopez (hrm enrique)</t>
  </si>
  <si>
    <t>orlando camacho electrico</t>
  </si>
  <si>
    <t>horchata y emperador</t>
  </si>
  <si>
    <t>jorge hdz</t>
  </si>
  <si>
    <t>cecilio</t>
  </si>
  <si>
    <t>jose maria</t>
  </si>
  <si>
    <t>ezequiel</t>
  </si>
  <si>
    <t>luis enrique de la cruz</t>
  </si>
  <si>
    <t>danielgodinez</t>
  </si>
  <si>
    <t>coca</t>
  </si>
  <si>
    <t>total</t>
  </si>
  <si>
    <t>don bruno</t>
  </si>
  <si>
    <t>lunes</t>
  </si>
  <si>
    <t>martes</t>
  </si>
  <si>
    <t>semana pasada</t>
  </si>
  <si>
    <t>raul gomez</t>
  </si>
  <si>
    <t>miercoles</t>
  </si>
  <si>
    <t>miercoles francisco olan</t>
  </si>
  <si>
    <t>miercole</t>
  </si>
  <si>
    <t>jueves</t>
  </si>
  <si>
    <t>viernes</t>
  </si>
  <si>
    <t>ricardo cano</t>
  </si>
  <si>
    <t>alexander</t>
  </si>
  <si>
    <t>tomas aquino</t>
  </si>
  <si>
    <t>francisco hernandez</t>
  </si>
  <si>
    <t>jose aguilar</t>
  </si>
  <si>
    <t>francisco javier</t>
  </si>
  <si>
    <t>ruben de la cruz</t>
  </si>
  <si>
    <t>wilbert</t>
  </si>
  <si>
    <t>gustavo de la cruz</t>
  </si>
  <si>
    <t xml:space="preserve">  </t>
  </si>
  <si>
    <t>raul cano</t>
  </si>
  <si>
    <t>jorge perez</t>
  </si>
  <si>
    <t>PLO-ELEC-ALB</t>
  </si>
  <si>
    <t>SALDO S.P</t>
  </si>
  <si>
    <t>Nayeli maquinaria</t>
  </si>
  <si>
    <t>Don carlos</t>
  </si>
  <si>
    <t>Julio cesar</t>
  </si>
  <si>
    <t>jorge hernandez</t>
  </si>
  <si>
    <t>hiram de la torre</t>
  </si>
  <si>
    <t>jorge luis (aeropuerto)</t>
  </si>
  <si>
    <t>Fidel</t>
  </si>
  <si>
    <t>JKH,LIK</t>
  </si>
  <si>
    <t>MARIO</t>
  </si>
  <si>
    <t>SABADO  SE QUEDO CON TIKETS</t>
  </si>
  <si>
    <t>JORGE HDZ LUNES</t>
  </si>
  <si>
    <t>FRANCISCO VELAZCO</t>
  </si>
  <si>
    <t>jueves (MARTIN</t>
  </si>
  <si>
    <t>25-3=22</t>
  </si>
  <si>
    <t>RECARGA</t>
  </si>
  <si>
    <t>JUEVES PIDIO FRANCISCO OLAN</t>
  </si>
  <si>
    <t>MIERCOLES PIDIO CARLOS LOPEZ</t>
  </si>
  <si>
    <t>MAURICIO VOLQUETE</t>
  </si>
  <si>
    <t>ALEJANDRO CAMAL</t>
  </si>
  <si>
    <t>CARLOS LEGASOE</t>
  </si>
  <si>
    <t>AGU-COCA</t>
  </si>
  <si>
    <t>PACHITO</t>
  </si>
  <si>
    <t>HERNAN</t>
  </si>
  <si>
    <t>TRABAJADOR NUEVO</t>
  </si>
  <si>
    <t xml:space="preserve">MIGUEL SANCHEZ </t>
  </si>
  <si>
    <t>ING.CAMAS</t>
  </si>
  <si>
    <t xml:space="preserve">JOSE LUIS </t>
  </si>
  <si>
    <t>gerardo hdz</t>
  </si>
  <si>
    <t>PEDRO</t>
  </si>
  <si>
    <t>DIANA</t>
  </si>
  <si>
    <t>SEMAN PASADA</t>
  </si>
  <si>
    <t>79+45 =124</t>
  </si>
  <si>
    <t>TONI</t>
  </si>
  <si>
    <t>fernando denis</t>
  </si>
  <si>
    <t>santos</t>
  </si>
  <si>
    <t>gerardo</t>
  </si>
  <si>
    <t>saldo semana pasada</t>
  </si>
  <si>
    <t>tiket semana pasada</t>
  </si>
  <si>
    <t>enrique</t>
  </si>
  <si>
    <t>2 pidio martin</t>
  </si>
  <si>
    <t>1 pidio moises hernandez</t>
  </si>
  <si>
    <t>TONY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</si>
</sst>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right"/>
    </xf>
    <xf numFmtId="44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1" applyFont="1" applyFill="1"/>
    <xf numFmtId="44" fontId="0" fillId="3" borderId="0" xfId="1" applyFont="1" applyFill="1"/>
    <xf numFmtId="44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Border="1"/>
    <xf numFmtId="164" fontId="0" fillId="0" borderId="0" xfId="0" applyNumberFormat="1"/>
    <xf numFmtId="0" fontId="3" fillId="0" borderId="2" xfId="0" applyFont="1" applyBorder="1"/>
    <xf numFmtId="164" fontId="3" fillId="0" borderId="2" xfId="2" applyNumberFormat="1" applyFont="1" applyBorder="1"/>
    <xf numFmtId="0" fontId="0" fillId="0" borderId="3" xfId="0" applyBorder="1"/>
    <xf numFmtId="0" fontId="0" fillId="0" borderId="4" xfId="0" applyBorder="1"/>
    <xf numFmtId="0" fontId="2" fillId="0" borderId="2" xfId="0" applyFont="1" applyFill="1" applyBorder="1" applyAlignment="1">
      <alignment horizontal="center"/>
    </xf>
    <xf numFmtId="164" fontId="0" fillId="2" borderId="0" xfId="0" applyNumberFormat="1" applyFill="1"/>
    <xf numFmtId="164" fontId="3" fillId="0" borderId="2" xfId="2" quotePrefix="1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3" xfId="2" applyNumberFormat="1" applyFont="1" applyBorder="1"/>
    <xf numFmtId="0" fontId="3" fillId="0" borderId="0" xfId="0" applyFont="1" applyFill="1" applyBorder="1"/>
    <xf numFmtId="0" fontId="5" fillId="0" borderId="0" xfId="0" applyFont="1"/>
    <xf numFmtId="164" fontId="5" fillId="0" borderId="0" xfId="2" applyNumberFormat="1" applyFont="1" applyFill="1" applyBorder="1"/>
    <xf numFmtId="164" fontId="5" fillId="0" borderId="0" xfId="0" applyNumberFormat="1" applyFont="1"/>
    <xf numFmtId="164" fontId="4" fillId="0" borderId="2" xfId="2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6" fillId="0" borderId="3" xfId="0" applyFont="1" applyBorder="1"/>
    <xf numFmtId="0" fontId="6" fillId="0" borderId="2" xfId="0" applyFont="1" applyBorder="1"/>
    <xf numFmtId="0" fontId="8" fillId="0" borderId="2" xfId="0" applyFont="1" applyBorder="1"/>
    <xf numFmtId="164" fontId="8" fillId="0" borderId="2" xfId="2" quotePrefix="1" applyNumberFormat="1" applyFont="1" applyBorder="1" applyAlignment="1">
      <alignment horizontal="center"/>
    </xf>
    <xf numFmtId="164" fontId="8" fillId="0" borderId="2" xfId="2" applyNumberFormat="1" applyFont="1" applyBorder="1"/>
    <xf numFmtId="164" fontId="8" fillId="0" borderId="3" xfId="2" applyNumberFormat="1" applyFont="1" applyBorder="1"/>
    <xf numFmtId="164" fontId="2" fillId="0" borderId="0" xfId="0" applyNumberFormat="1" applyFont="1"/>
    <xf numFmtId="43" fontId="0" fillId="0" borderId="0" xfId="0" applyNumberFormat="1"/>
    <xf numFmtId="165" fontId="5" fillId="0" borderId="0" xfId="2" applyNumberFormat="1" applyFont="1" applyFill="1" applyBorder="1"/>
    <xf numFmtId="0" fontId="8" fillId="0" borderId="2" xfId="0" applyFont="1" applyFill="1" applyBorder="1"/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164" fontId="10" fillId="0" borderId="2" xfId="2" applyNumberFormat="1" applyFont="1" applyBorder="1"/>
    <xf numFmtId="0" fontId="8" fillId="4" borderId="2" xfId="0" applyFont="1" applyFill="1" applyBorder="1"/>
    <xf numFmtId="0" fontId="10" fillId="0" borderId="2" xfId="0" applyFont="1" applyBorder="1" applyAlignment="1">
      <alignment horizontal="center"/>
    </xf>
    <xf numFmtId="164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64" fontId="8" fillId="4" borderId="2" xfId="2" quotePrefix="1" applyNumberFormat="1" applyFont="1" applyFill="1" applyBorder="1" applyAlignment="1">
      <alignment horizontal="center"/>
    </xf>
    <xf numFmtId="0" fontId="0" fillId="4" borderId="0" xfId="0" applyFill="1" applyBorder="1"/>
    <xf numFmtId="164" fontId="8" fillId="4" borderId="5" xfId="2" applyNumberFormat="1" applyFont="1" applyFill="1" applyBorder="1"/>
    <xf numFmtId="0" fontId="0" fillId="4" borderId="0" xfId="0" applyFill="1"/>
    <xf numFmtId="0" fontId="0" fillId="4" borderId="2" xfId="0" applyFill="1" applyBorder="1"/>
    <xf numFmtId="0" fontId="8" fillId="0" borderId="0" xfId="0" applyFont="1" applyFill="1" applyBorder="1" applyAlignment="1">
      <alignment horizontal="center"/>
    </xf>
    <xf numFmtId="0" fontId="11" fillId="0" borderId="0" xfId="0" applyFont="1"/>
    <xf numFmtId="165" fontId="11" fillId="0" borderId="0" xfId="2" applyNumberFormat="1" applyFont="1" applyFill="1" applyBorder="1"/>
    <xf numFmtId="164" fontId="11" fillId="0" borderId="0" xfId="2" applyNumberFormat="1" applyFont="1" applyFill="1" applyBorder="1"/>
    <xf numFmtId="0" fontId="6" fillId="0" borderId="0" xfId="0" applyFont="1"/>
    <xf numFmtId="164" fontId="6" fillId="0" borderId="0" xfId="0" applyNumberFormat="1" applyFont="1"/>
    <xf numFmtId="44" fontId="6" fillId="0" borderId="0" xfId="1" applyFont="1"/>
    <xf numFmtId="44" fontId="6" fillId="0" borderId="0" xfId="0" applyNumberFormat="1" applyFont="1"/>
    <xf numFmtId="164" fontId="12" fillId="0" borderId="0" xfId="0" applyNumberFormat="1" applyFont="1"/>
    <xf numFmtId="2" fontId="0" fillId="0" borderId="0" xfId="0" applyNumberFormat="1"/>
    <xf numFmtId="164" fontId="8" fillId="4" borderId="6" xfId="2" applyNumberFormat="1" applyFont="1" applyFill="1" applyBorder="1"/>
    <xf numFmtId="0" fontId="7" fillId="0" borderId="0" xfId="0" applyFont="1" applyBorder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6" fillId="0" borderId="2" xfId="0" applyFont="1" applyBorder="1"/>
    <xf numFmtId="164" fontId="16" fillId="0" borderId="2" xfId="2" applyNumberFormat="1" applyFont="1" applyBorder="1"/>
    <xf numFmtId="0" fontId="13" fillId="0" borderId="3" xfId="0" applyFont="1" applyBorder="1"/>
    <xf numFmtId="0" fontId="13" fillId="0" borderId="2" xfId="0" applyFont="1" applyBorder="1"/>
    <xf numFmtId="0" fontId="16" fillId="0" borderId="2" xfId="0" applyFont="1" applyFill="1" applyBorder="1"/>
    <xf numFmtId="0" fontId="16" fillId="4" borderId="2" xfId="0" applyFont="1" applyFill="1" applyBorder="1" applyAlignment="1">
      <alignment horizontal="center"/>
    </xf>
    <xf numFmtId="164" fontId="16" fillId="4" borderId="2" xfId="2" applyNumberFormat="1" applyFont="1" applyFill="1" applyBorder="1"/>
    <xf numFmtId="0" fontId="17" fillId="0" borderId="2" xfId="0" applyFont="1" applyBorder="1" applyAlignment="1">
      <alignment horizontal="center"/>
    </xf>
    <xf numFmtId="164" fontId="17" fillId="0" borderId="2" xfId="2" applyNumberFormat="1" applyFont="1" applyBorder="1"/>
    <xf numFmtId="164" fontId="16" fillId="4" borderId="2" xfId="2" quotePrefix="1" applyNumberFormat="1" applyFont="1" applyFill="1" applyBorder="1" applyAlignment="1">
      <alignment horizontal="center"/>
    </xf>
    <xf numFmtId="164" fontId="17" fillId="0" borderId="2" xfId="2" quotePrefix="1" applyNumberFormat="1" applyFont="1" applyBorder="1" applyAlignment="1">
      <alignment horizontal="center"/>
    </xf>
    <xf numFmtId="0" fontId="13" fillId="0" borderId="0" xfId="0" applyFont="1" applyBorder="1"/>
    <xf numFmtId="164" fontId="16" fillId="0" borderId="2" xfId="2" quotePrefix="1" applyNumberFormat="1" applyFont="1" applyBorder="1" applyAlignment="1">
      <alignment horizontal="center"/>
    </xf>
    <xf numFmtId="0" fontId="13" fillId="0" borderId="0" xfId="1" applyNumberFormat="1" applyFont="1" applyBorder="1"/>
    <xf numFmtId="0" fontId="16" fillId="0" borderId="0" xfId="0" applyFont="1" applyFill="1" applyBorder="1" applyAlignment="1">
      <alignment horizontal="center"/>
    </xf>
    <xf numFmtId="0" fontId="18" fillId="0" borderId="0" xfId="0" applyFont="1"/>
    <xf numFmtId="165" fontId="18" fillId="0" borderId="0" xfId="2" applyNumberFormat="1" applyFont="1" applyFill="1" applyBorder="1"/>
    <xf numFmtId="164" fontId="18" fillId="0" borderId="0" xfId="2" applyNumberFormat="1" applyFont="1" applyFill="1" applyBorder="1"/>
    <xf numFmtId="164" fontId="18" fillId="0" borderId="0" xfId="0" applyNumberFormat="1" applyFont="1"/>
    <xf numFmtId="164" fontId="15" fillId="0" borderId="0" xfId="0" applyNumberFormat="1" applyFont="1"/>
    <xf numFmtId="164" fontId="19" fillId="0" borderId="0" xfId="0" applyNumberFormat="1" applyFont="1"/>
    <xf numFmtId="44" fontId="13" fillId="0" borderId="0" xfId="1" applyFont="1"/>
    <xf numFmtId="164" fontId="13" fillId="0" borderId="0" xfId="0" applyNumberFormat="1" applyFont="1"/>
    <xf numFmtId="164" fontId="20" fillId="0" borderId="0" xfId="0" applyNumberFormat="1" applyFont="1"/>
    <xf numFmtId="2" fontId="13" fillId="0" borderId="0" xfId="0" applyNumberFormat="1" applyFont="1"/>
    <xf numFmtId="44" fontId="13" fillId="0" borderId="0" xfId="0" applyNumberFormat="1" applyFont="1"/>
    <xf numFmtId="44" fontId="13" fillId="0" borderId="0" xfId="1" applyFont="1" applyAlignment="1">
      <alignment horizontal="right"/>
    </xf>
    <xf numFmtId="0" fontId="16" fillId="5" borderId="2" xfId="0" applyFont="1" applyFill="1" applyBorder="1"/>
    <xf numFmtId="164" fontId="20" fillId="4" borderId="0" xfId="0" applyNumberFormat="1" applyFont="1" applyFill="1"/>
    <xf numFmtId="164" fontId="13" fillId="4" borderId="0" xfId="0" applyNumberFormat="1" applyFont="1" applyFill="1"/>
    <xf numFmtId="164" fontId="19" fillId="4" borderId="0" xfId="0" applyNumberFormat="1" applyFont="1" applyFill="1"/>
    <xf numFmtId="0" fontId="13" fillId="4" borderId="0" xfId="0" applyFont="1" applyFill="1"/>
    <xf numFmtId="0" fontId="16" fillId="4" borderId="2" xfId="0" applyFont="1" applyFill="1" applyBorder="1"/>
    <xf numFmtId="164" fontId="13" fillId="0" borderId="3" xfId="0" applyNumberFormat="1" applyFont="1" applyBorder="1"/>
    <xf numFmtId="0" fontId="15" fillId="0" borderId="0" xfId="0" applyFont="1" applyBorder="1" applyAlignment="1">
      <alignment horizontal="center"/>
    </xf>
    <xf numFmtId="0" fontId="16" fillId="0" borderId="0" xfId="0" applyFont="1" applyBorder="1"/>
    <xf numFmtId="164" fontId="16" fillId="4" borderId="0" xfId="2" applyNumberFormat="1" applyFont="1" applyFill="1" applyBorder="1"/>
    <xf numFmtId="164" fontId="16" fillId="0" borderId="0" xfId="2" applyNumberFormat="1" applyFont="1" applyBorder="1"/>
    <xf numFmtId="0" fontId="15" fillId="0" borderId="0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4" fontId="13" fillId="0" borderId="0" xfId="0" applyNumberFormat="1" applyFont="1"/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64" fontId="16" fillId="4" borderId="2" xfId="2" applyNumberFormat="1" applyFont="1" applyFill="1" applyBorder="1" applyAlignment="1">
      <alignment horizontal="center"/>
    </xf>
    <xf numFmtId="44" fontId="15" fillId="0" borderId="0" xfId="1" applyFont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Normal="100" workbookViewId="0">
      <selection sqref="A1:K16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3" width="12.140625" customWidth="1"/>
    <col min="4" max="4" width="11.42578125" customWidth="1"/>
    <col min="5" max="5" width="10.7109375" customWidth="1"/>
    <col min="6" max="6" width="11.42578125" customWidth="1"/>
    <col min="7" max="9" width="10.7109375" customWidth="1"/>
    <col min="10" max="10" width="13.85546875" customWidth="1"/>
    <col min="11" max="11" width="16.5703125" customWidth="1"/>
  </cols>
  <sheetData>
    <row r="1" spans="1:12" x14ac:dyDescent="0.25">
      <c r="A1" s="71"/>
      <c r="B1" s="71"/>
      <c r="C1" s="71"/>
      <c r="D1" s="71"/>
      <c r="E1" s="71"/>
      <c r="F1" s="71"/>
      <c r="G1" s="71"/>
      <c r="H1" s="71"/>
      <c r="I1" s="71"/>
      <c r="J1" s="119">
        <v>42784</v>
      </c>
      <c r="K1" s="71"/>
    </row>
    <row r="2" spans="1:12" ht="26.25" x14ac:dyDescent="0.4">
      <c r="A2" s="71"/>
      <c r="B2" s="72"/>
      <c r="C2" s="71"/>
      <c r="D2" s="71"/>
      <c r="E2" s="71"/>
      <c r="F2" s="71"/>
      <c r="G2" s="71"/>
      <c r="H2" s="71"/>
      <c r="I2" s="71"/>
      <c r="J2" s="71"/>
      <c r="K2" s="71"/>
    </row>
    <row r="3" spans="1:12" x14ac:dyDescent="0.25">
      <c r="A3" s="118" t="s">
        <v>1</v>
      </c>
      <c r="B3" s="74" t="s">
        <v>2</v>
      </c>
      <c r="C3" s="118" t="s">
        <v>3</v>
      </c>
      <c r="D3" s="118" t="s">
        <v>4</v>
      </c>
      <c r="E3" s="118" t="s">
        <v>5</v>
      </c>
      <c r="F3" s="118" t="s">
        <v>6</v>
      </c>
      <c r="G3" s="118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2" ht="20.100000000000001" customHeight="1" x14ac:dyDescent="0.3">
      <c r="A4" s="118">
        <v>1</v>
      </c>
      <c r="B4" s="78" t="s">
        <v>70</v>
      </c>
      <c r="C4" s="83"/>
      <c r="D4" s="83"/>
      <c r="E4" s="83"/>
      <c r="F4" s="83"/>
      <c r="G4" s="83">
        <v>10</v>
      </c>
      <c r="H4" s="76"/>
      <c r="I4" s="76"/>
      <c r="J4" s="79">
        <f>SUM(C4:I4)</f>
        <v>10</v>
      </c>
      <c r="K4" s="77"/>
    </row>
    <row r="5" spans="1:12" ht="20.100000000000001" customHeight="1" x14ac:dyDescent="0.3">
      <c r="A5" s="118">
        <f>+A4+1</f>
        <v>2</v>
      </c>
      <c r="B5" s="78" t="s">
        <v>366</v>
      </c>
      <c r="C5" s="83"/>
      <c r="D5" s="83"/>
      <c r="E5" s="83"/>
      <c r="F5" s="83"/>
      <c r="G5" s="83">
        <v>45</v>
      </c>
      <c r="H5" s="76"/>
      <c r="I5" s="76"/>
      <c r="J5" s="79">
        <f>SUM(C5:I5)</f>
        <v>45</v>
      </c>
      <c r="K5" s="77"/>
    </row>
    <row r="6" spans="1:12" ht="20.100000000000001" customHeight="1" x14ac:dyDescent="0.3">
      <c r="A6" s="118">
        <f>+A5+1</f>
        <v>3</v>
      </c>
      <c r="B6" s="78" t="s">
        <v>35</v>
      </c>
      <c r="C6" s="83"/>
      <c r="D6" s="83"/>
      <c r="E6" s="83">
        <v>45</v>
      </c>
      <c r="F6" s="83">
        <v>15</v>
      </c>
      <c r="G6" s="83">
        <f>12+45</f>
        <v>57</v>
      </c>
      <c r="H6" s="76"/>
      <c r="I6" s="76"/>
      <c r="J6" s="79">
        <f>SUM(C6:I6)</f>
        <v>117</v>
      </c>
      <c r="K6" s="80"/>
    </row>
    <row r="7" spans="1:12" ht="20.100000000000001" customHeight="1" x14ac:dyDescent="0.3">
      <c r="A7" s="118">
        <f t="shared" ref="A7:A16" si="0">+A6+1</f>
        <v>4</v>
      </c>
      <c r="B7" s="78" t="s">
        <v>41</v>
      </c>
      <c r="C7" s="83"/>
      <c r="D7" s="83"/>
      <c r="E7" s="83"/>
      <c r="F7" s="83"/>
      <c r="G7" s="83"/>
      <c r="H7" s="83"/>
      <c r="I7" s="83">
        <v>42</v>
      </c>
      <c r="J7" s="79">
        <f>SUM(C7:I7)</f>
        <v>42</v>
      </c>
      <c r="K7" s="80"/>
    </row>
    <row r="8" spans="1:12" ht="20.100000000000001" customHeight="1" x14ac:dyDescent="0.3">
      <c r="A8" s="120">
        <f t="shared" si="0"/>
        <v>5</v>
      </c>
      <c r="B8" s="78" t="s">
        <v>129</v>
      </c>
      <c r="C8" s="83">
        <v>200</v>
      </c>
      <c r="D8" s="83">
        <v>100</v>
      </c>
      <c r="E8" s="83"/>
      <c r="F8" s="83">
        <v>100</v>
      </c>
      <c r="G8" s="83">
        <v>100</v>
      </c>
      <c r="H8" s="83"/>
      <c r="I8" s="83"/>
      <c r="J8" s="79">
        <f>SUM(C8:I8)</f>
        <v>500</v>
      </c>
      <c r="K8" s="80"/>
    </row>
    <row r="9" spans="1:12" ht="20.100000000000001" customHeight="1" x14ac:dyDescent="0.3">
      <c r="A9" s="120">
        <f t="shared" si="0"/>
        <v>6</v>
      </c>
      <c r="B9" s="78" t="s">
        <v>356</v>
      </c>
      <c r="C9" s="83"/>
      <c r="D9" s="83"/>
      <c r="E9" s="83">
        <v>50</v>
      </c>
      <c r="F9" s="83"/>
      <c r="G9" s="83">
        <f>12+7</f>
        <v>19</v>
      </c>
      <c r="H9" s="83"/>
      <c r="I9" s="83"/>
      <c r="J9" s="79">
        <f t="shared" ref="J9:J14" si="1">SUM(C9:I9)</f>
        <v>69</v>
      </c>
      <c r="K9" s="80"/>
    </row>
    <row r="10" spans="1:12" ht="20.100000000000001" customHeight="1" x14ac:dyDescent="0.3">
      <c r="A10" s="120">
        <f t="shared" si="0"/>
        <v>7</v>
      </c>
      <c r="B10" s="78" t="s">
        <v>349</v>
      </c>
      <c r="C10" s="83">
        <v>100</v>
      </c>
      <c r="D10" s="83"/>
      <c r="E10" s="83"/>
      <c r="F10" s="83"/>
      <c r="G10" s="83"/>
      <c r="H10" s="83"/>
      <c r="I10" s="83"/>
      <c r="J10" s="79">
        <f t="shared" si="1"/>
        <v>100</v>
      </c>
      <c r="K10" s="80"/>
    </row>
    <row r="11" spans="1:12" ht="20.100000000000001" customHeight="1" x14ac:dyDescent="0.3">
      <c r="A11" s="118">
        <f t="shared" si="0"/>
        <v>8</v>
      </c>
      <c r="B11" s="78" t="s">
        <v>350</v>
      </c>
      <c r="C11" s="83"/>
      <c r="D11" s="83"/>
      <c r="E11" s="83"/>
      <c r="F11" s="83"/>
      <c r="G11" s="83"/>
      <c r="H11" s="83"/>
      <c r="I11" s="83">
        <v>100</v>
      </c>
      <c r="J11" s="79">
        <f t="shared" si="1"/>
        <v>100</v>
      </c>
      <c r="K11" s="80"/>
    </row>
    <row r="12" spans="1:12" ht="20.100000000000001" customHeight="1" x14ac:dyDescent="0.3">
      <c r="A12" s="118">
        <f t="shared" si="0"/>
        <v>9</v>
      </c>
      <c r="B12" s="78" t="s">
        <v>45</v>
      </c>
      <c r="C12" s="83">
        <v>100</v>
      </c>
      <c r="D12" s="83"/>
      <c r="E12" s="83">
        <v>100</v>
      </c>
      <c r="F12" s="83"/>
      <c r="G12" s="83"/>
      <c r="H12" s="83"/>
      <c r="I12" s="83"/>
      <c r="J12" s="79">
        <f t="shared" si="1"/>
        <v>200</v>
      </c>
      <c r="K12" s="80"/>
    </row>
    <row r="13" spans="1:12" ht="20.100000000000001" customHeight="1" x14ac:dyDescent="0.3">
      <c r="A13" s="118">
        <f t="shared" si="0"/>
        <v>10</v>
      </c>
      <c r="B13" s="78" t="s">
        <v>43</v>
      </c>
      <c r="C13" s="83">
        <f>135+45+24</f>
        <v>204</v>
      </c>
      <c r="D13" s="83">
        <v>135</v>
      </c>
      <c r="E13" s="83"/>
      <c r="F13" s="83"/>
      <c r="G13" s="83"/>
      <c r="H13" s="83"/>
      <c r="I13" s="83">
        <v>550</v>
      </c>
      <c r="J13" s="79">
        <f t="shared" si="1"/>
        <v>889</v>
      </c>
      <c r="K13" s="80"/>
    </row>
    <row r="14" spans="1:12" ht="20.100000000000001" customHeight="1" x14ac:dyDescent="0.3">
      <c r="A14" s="118">
        <f t="shared" si="0"/>
        <v>11</v>
      </c>
      <c r="B14" s="78" t="s">
        <v>86</v>
      </c>
      <c r="C14" s="83"/>
      <c r="D14" s="83"/>
      <c r="E14" s="83"/>
      <c r="F14" s="83"/>
      <c r="G14" s="83"/>
      <c r="H14" s="83"/>
      <c r="I14" s="83">
        <v>200</v>
      </c>
      <c r="J14" s="79">
        <f t="shared" si="1"/>
        <v>200</v>
      </c>
      <c r="K14" s="80"/>
    </row>
    <row r="15" spans="1:12" ht="20.100000000000001" customHeight="1" x14ac:dyDescent="0.3">
      <c r="A15" s="118">
        <f t="shared" si="0"/>
        <v>12</v>
      </c>
      <c r="B15" s="78" t="s">
        <v>47</v>
      </c>
      <c r="C15" s="83">
        <v>45</v>
      </c>
      <c r="D15" s="84"/>
      <c r="E15" s="84">
        <v>45</v>
      </c>
      <c r="F15" s="84">
        <v>45</v>
      </c>
      <c r="G15" s="84"/>
      <c r="H15" s="84"/>
      <c r="I15" s="84">
        <v>257</v>
      </c>
      <c r="J15" s="79">
        <f>SUM(C15:I15)</f>
        <v>392</v>
      </c>
      <c r="K15" s="80"/>
      <c r="L15" t="s">
        <v>359</v>
      </c>
    </row>
    <row r="16" spans="1:12" ht="20.100000000000001" customHeight="1" x14ac:dyDescent="0.3">
      <c r="A16" s="118">
        <f t="shared" si="0"/>
        <v>13</v>
      </c>
      <c r="B16" s="78" t="s">
        <v>48</v>
      </c>
      <c r="C16" s="84"/>
      <c r="D16" s="84">
        <f>60+30+45+5</f>
        <v>140</v>
      </c>
      <c r="E16" s="84">
        <f>72+30+70</f>
        <v>172</v>
      </c>
      <c r="F16" s="84">
        <f>48+30+40+35</f>
        <v>153</v>
      </c>
      <c r="G16" s="84">
        <v>40</v>
      </c>
      <c r="H16" s="84">
        <f>30+48</f>
        <v>78</v>
      </c>
      <c r="I16" s="84"/>
      <c r="J16" s="79">
        <f t="shared" ref="J16" si="2">SUM(C16:I16)</f>
        <v>583</v>
      </c>
      <c r="K16" s="80"/>
      <c r="L16">
        <v>133</v>
      </c>
    </row>
    <row r="17" spans="1:14" ht="20.100000000000001" customHeight="1" x14ac:dyDescent="0.3">
      <c r="A17" s="112"/>
      <c r="B17" s="113"/>
      <c r="C17" s="114"/>
      <c r="D17" s="114"/>
      <c r="E17" s="114"/>
      <c r="F17" s="114"/>
      <c r="G17" s="114"/>
      <c r="H17" s="114"/>
      <c r="I17" s="114"/>
      <c r="J17" s="115">
        <f>SUM(J4:J16)</f>
        <v>3247</v>
      </c>
      <c r="K17" s="89"/>
    </row>
    <row r="18" spans="1:14" ht="20.100000000000001" customHeight="1" x14ac:dyDescent="0.3">
      <c r="A18" s="112"/>
      <c r="B18" s="113"/>
      <c r="C18" s="114"/>
      <c r="D18" s="114"/>
      <c r="E18" s="114"/>
      <c r="F18" s="114"/>
      <c r="G18" s="114"/>
      <c r="H18" s="114"/>
      <c r="I18" s="114"/>
      <c r="J18" s="115"/>
      <c r="K18" s="89"/>
    </row>
    <row r="19" spans="1:14" ht="20.100000000000001" customHeight="1" x14ac:dyDescent="0.25">
      <c r="A19" s="118"/>
      <c r="B19" s="74" t="s">
        <v>2</v>
      </c>
      <c r="C19" s="121" t="s">
        <v>10</v>
      </c>
      <c r="D19" s="121"/>
      <c r="E19" s="121" t="s">
        <v>11</v>
      </c>
      <c r="F19" s="121"/>
      <c r="G19" s="112"/>
      <c r="H19" s="116"/>
      <c r="I19" s="116"/>
      <c r="J19" s="116"/>
      <c r="K19" s="116"/>
    </row>
    <row r="20" spans="1:14" ht="20.100000000000001" customHeight="1" x14ac:dyDescent="0.3">
      <c r="A20" s="118"/>
      <c r="B20" s="78" t="s">
        <v>152</v>
      </c>
      <c r="C20" s="122">
        <v>3185</v>
      </c>
      <c r="D20" s="122"/>
      <c r="E20" s="121"/>
      <c r="F20" s="121"/>
      <c r="G20" s="114"/>
      <c r="H20" s="114"/>
      <c r="I20" s="114"/>
      <c r="J20" s="115"/>
      <c r="K20" s="89"/>
    </row>
    <row r="21" spans="1:14" ht="20.100000000000001" customHeight="1" x14ac:dyDescent="0.3">
      <c r="A21" s="118"/>
      <c r="B21" s="78" t="s">
        <v>57</v>
      </c>
      <c r="C21" s="122">
        <v>867</v>
      </c>
      <c r="D21" s="122"/>
      <c r="E21" s="121"/>
      <c r="F21" s="121"/>
      <c r="G21" s="114"/>
      <c r="H21" s="114"/>
      <c r="I21" s="114"/>
      <c r="J21" s="115"/>
      <c r="K21" s="89"/>
    </row>
    <row r="22" spans="1:14" ht="20.100000000000001" customHeight="1" x14ac:dyDescent="0.3">
      <c r="A22" s="118"/>
      <c r="B22" s="78" t="s">
        <v>352</v>
      </c>
      <c r="C22" s="122">
        <v>810</v>
      </c>
      <c r="D22" s="122"/>
      <c r="E22" s="121"/>
      <c r="F22" s="121"/>
      <c r="G22" s="114"/>
      <c r="H22" s="114"/>
      <c r="I22" s="114"/>
      <c r="J22" s="115"/>
      <c r="K22" s="89"/>
    </row>
    <row r="23" spans="1:14" ht="20.100000000000001" customHeight="1" x14ac:dyDescent="0.3">
      <c r="A23" s="118"/>
      <c r="B23" s="78" t="s">
        <v>353</v>
      </c>
      <c r="C23" s="122">
        <v>1890</v>
      </c>
      <c r="D23" s="122"/>
      <c r="E23" s="121"/>
      <c r="F23" s="121"/>
      <c r="G23" s="114"/>
      <c r="H23" s="114"/>
      <c r="I23" s="114"/>
      <c r="J23" s="115"/>
      <c r="K23" s="89"/>
    </row>
    <row r="24" spans="1:14" ht="20.100000000000001" customHeight="1" x14ac:dyDescent="0.3">
      <c r="A24" s="120"/>
      <c r="B24" s="78" t="s">
        <v>369</v>
      </c>
      <c r="C24" s="122">
        <v>90</v>
      </c>
      <c r="D24" s="122"/>
      <c r="E24" s="121"/>
      <c r="F24" s="121"/>
      <c r="G24" s="114"/>
      <c r="H24" s="114"/>
      <c r="I24" s="114"/>
      <c r="J24" s="115"/>
      <c r="K24" s="89"/>
    </row>
    <row r="25" spans="1:14" ht="20.100000000000001" customHeight="1" x14ac:dyDescent="0.3">
      <c r="A25" s="118"/>
      <c r="B25" s="78" t="s">
        <v>354</v>
      </c>
      <c r="C25" s="122">
        <v>360</v>
      </c>
      <c r="D25" s="122"/>
      <c r="E25" s="121"/>
      <c r="F25" s="121"/>
      <c r="G25" s="114"/>
      <c r="H25" s="114"/>
      <c r="I25" s="114"/>
      <c r="J25" s="115"/>
      <c r="K25" s="89"/>
    </row>
    <row r="26" spans="1:14" ht="20.100000000000001" customHeight="1" x14ac:dyDescent="0.3">
      <c r="A26" s="112"/>
      <c r="B26" s="113"/>
      <c r="C26" s="114"/>
      <c r="D26" s="114"/>
      <c r="E26" s="114"/>
      <c r="F26" s="114"/>
      <c r="G26" s="114"/>
      <c r="H26" s="114"/>
      <c r="I26" s="114"/>
      <c r="J26" s="115"/>
      <c r="K26" s="89"/>
    </row>
    <row r="27" spans="1:14" ht="21" x14ac:dyDescent="0.35">
      <c r="A27" s="71"/>
      <c r="B27" s="92" t="s">
        <v>54</v>
      </c>
      <c r="C27" s="93"/>
      <c r="D27" s="94"/>
      <c r="E27" s="95"/>
      <c r="F27" s="95"/>
      <c r="G27" s="95"/>
      <c r="H27" s="95"/>
      <c r="I27" s="96"/>
      <c r="J27" s="97"/>
      <c r="K27" s="71"/>
    </row>
    <row r="28" spans="1:14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</row>
    <row r="29" spans="1:14" ht="15.75" x14ac:dyDescent="0.25">
      <c r="A29" s="71"/>
      <c r="B29" s="71" t="s">
        <v>55</v>
      </c>
      <c r="C29" s="108">
        <f>SUM(C30:C35)</f>
        <v>29</v>
      </c>
      <c r="D29" s="99">
        <f>+C29*100</f>
        <v>2900</v>
      </c>
      <c r="E29" s="99">
        <f>+D29*0.1</f>
        <v>290</v>
      </c>
      <c r="F29" s="99">
        <f>+D29-E29</f>
        <v>2610</v>
      </c>
      <c r="G29" s="100"/>
      <c r="H29" s="100"/>
      <c r="I29" s="71"/>
      <c r="J29" s="71"/>
      <c r="K29" s="71"/>
      <c r="N29" s="42"/>
    </row>
    <row r="30" spans="1:14" ht="15.75" x14ac:dyDescent="0.25">
      <c r="A30" s="71"/>
      <c r="B30" s="71"/>
      <c r="C30" s="106">
        <v>8</v>
      </c>
      <c r="D30" s="99"/>
      <c r="E30" s="104" t="s">
        <v>364</v>
      </c>
      <c r="F30" s="99">
        <v>575</v>
      </c>
      <c r="G30" s="100"/>
      <c r="H30" s="100"/>
      <c r="I30" s="71"/>
      <c r="J30" s="71"/>
      <c r="K30" s="71"/>
      <c r="N30" s="42"/>
    </row>
    <row r="31" spans="1:14" x14ac:dyDescent="0.25">
      <c r="A31" s="71"/>
      <c r="B31" s="71" t="s">
        <v>363</v>
      </c>
      <c r="C31" s="107">
        <v>2</v>
      </c>
      <c r="D31" s="99"/>
      <c r="E31" s="99"/>
      <c r="F31" s="123">
        <f>+F29+F30</f>
        <v>3185</v>
      </c>
      <c r="G31" s="100"/>
      <c r="H31" s="100"/>
      <c r="I31" s="71"/>
      <c r="J31" s="71"/>
      <c r="K31" s="71"/>
      <c r="N31" s="42"/>
    </row>
    <row r="32" spans="1:14" x14ac:dyDescent="0.25">
      <c r="A32" s="71"/>
      <c r="B32" s="71"/>
      <c r="C32" s="107">
        <v>5</v>
      </c>
      <c r="D32" s="99"/>
      <c r="E32" s="99"/>
      <c r="F32" s="99"/>
      <c r="G32" s="100"/>
      <c r="H32" s="100"/>
      <c r="I32" s="99"/>
      <c r="J32" s="71"/>
      <c r="K32" s="71"/>
      <c r="N32" s="42"/>
    </row>
    <row r="33" spans="1:14" x14ac:dyDescent="0.25">
      <c r="A33" s="71"/>
      <c r="B33" s="71" t="s">
        <v>367</v>
      </c>
      <c r="C33" s="107">
        <v>7</v>
      </c>
      <c r="D33" s="99"/>
      <c r="E33" s="99"/>
      <c r="F33" s="99"/>
      <c r="G33" s="100"/>
      <c r="H33" s="100"/>
      <c r="I33" s="103"/>
      <c r="J33" s="71"/>
      <c r="K33" s="71"/>
      <c r="N33" s="42"/>
    </row>
    <row r="34" spans="1:14" x14ac:dyDescent="0.25">
      <c r="A34" s="71"/>
      <c r="B34" s="71"/>
      <c r="C34" s="107">
        <v>3</v>
      </c>
      <c r="D34" s="99"/>
      <c r="E34" s="99"/>
      <c r="F34" s="99"/>
      <c r="G34" s="100"/>
      <c r="H34" s="100"/>
      <c r="I34" s="99"/>
      <c r="J34" s="71"/>
      <c r="K34" s="103"/>
      <c r="N34" s="42"/>
    </row>
    <row r="35" spans="1:14" x14ac:dyDescent="0.25">
      <c r="A35" s="71"/>
      <c r="B35" s="71"/>
      <c r="C35" s="107">
        <v>4</v>
      </c>
      <c r="D35" s="99"/>
      <c r="E35" s="99"/>
      <c r="F35" s="99"/>
      <c r="G35" s="100"/>
      <c r="H35" s="100"/>
      <c r="I35" s="99"/>
      <c r="J35" s="71"/>
      <c r="K35" s="103"/>
      <c r="N35" s="42"/>
    </row>
    <row r="36" spans="1:14" x14ac:dyDescent="0.25">
      <c r="A36" s="71"/>
      <c r="B36" s="71"/>
      <c r="C36" s="107"/>
      <c r="D36" s="99"/>
      <c r="E36" s="99"/>
      <c r="F36" s="99"/>
      <c r="G36" s="100"/>
      <c r="H36" s="100"/>
      <c r="I36" s="71"/>
      <c r="J36" s="71"/>
      <c r="K36" s="71"/>
      <c r="N36" s="42"/>
    </row>
    <row r="37" spans="1:14" ht="15.75" x14ac:dyDescent="0.25">
      <c r="A37" s="71"/>
      <c r="B37" s="71" t="s">
        <v>57</v>
      </c>
      <c r="C37" s="108">
        <f>SUM(C38:C40)</f>
        <v>9</v>
      </c>
      <c r="D37" s="99">
        <f t="shared" ref="D37:D56" si="3">+C37*100</f>
        <v>900</v>
      </c>
      <c r="E37" s="99">
        <f t="shared" ref="E37:E56" si="4">+D37*0.1</f>
        <v>90</v>
      </c>
      <c r="F37" s="99">
        <f t="shared" ref="F37:F56" si="5">+D37-E37</f>
        <v>810</v>
      </c>
      <c r="G37" s="71"/>
      <c r="H37" s="71"/>
      <c r="I37" s="71"/>
      <c r="J37" s="71"/>
      <c r="K37" s="71"/>
    </row>
    <row r="38" spans="1:14" x14ac:dyDescent="0.25">
      <c r="A38" s="71"/>
      <c r="B38" s="71" t="s">
        <v>361</v>
      </c>
      <c r="C38" s="109">
        <v>5</v>
      </c>
      <c r="D38" s="99"/>
      <c r="E38" s="99"/>
      <c r="F38" s="99">
        <f>45+12</f>
        <v>57</v>
      </c>
      <c r="G38" s="71"/>
      <c r="H38" s="71"/>
      <c r="I38" s="71"/>
      <c r="J38" s="71"/>
      <c r="K38" s="71"/>
    </row>
    <row r="39" spans="1:14" x14ac:dyDescent="0.25">
      <c r="A39" s="71"/>
      <c r="B39" s="71" t="s">
        <v>362</v>
      </c>
      <c r="C39" s="109">
        <v>2</v>
      </c>
      <c r="D39" s="99"/>
      <c r="E39" s="99"/>
      <c r="F39" s="99">
        <f>+F38+F37</f>
        <v>867</v>
      </c>
      <c r="G39" s="71"/>
      <c r="H39" s="71"/>
      <c r="I39" s="71"/>
      <c r="J39" s="71"/>
      <c r="K39" s="71"/>
    </row>
    <row r="40" spans="1:14" x14ac:dyDescent="0.25">
      <c r="A40" s="71"/>
      <c r="B40" s="71"/>
      <c r="C40" s="109">
        <v>2</v>
      </c>
      <c r="D40" s="99"/>
      <c r="E40" s="99"/>
      <c r="F40" s="99"/>
      <c r="G40" s="71"/>
      <c r="H40" s="71"/>
      <c r="I40" s="71"/>
      <c r="J40" s="71"/>
      <c r="K40" s="71"/>
    </row>
    <row r="41" spans="1:14" x14ac:dyDescent="0.25">
      <c r="A41" s="71"/>
      <c r="B41" s="71"/>
      <c r="C41" s="109"/>
      <c r="D41" s="99"/>
      <c r="E41" s="99"/>
      <c r="F41" s="99"/>
      <c r="G41" s="71"/>
      <c r="H41" s="71"/>
      <c r="I41" s="71"/>
      <c r="J41" s="71"/>
      <c r="K41" s="71"/>
    </row>
    <row r="42" spans="1:14" x14ac:dyDescent="0.25">
      <c r="A42" s="71"/>
      <c r="B42" s="71"/>
      <c r="C42" s="109"/>
      <c r="D42" s="99"/>
      <c r="E42" s="99"/>
      <c r="F42" s="99"/>
      <c r="G42" s="71"/>
      <c r="H42" s="71"/>
      <c r="I42" s="71"/>
      <c r="J42" s="71"/>
      <c r="K42" s="71"/>
    </row>
    <row r="43" spans="1:14" ht="15.75" x14ac:dyDescent="0.25">
      <c r="A43" s="71"/>
      <c r="B43" s="71" t="s">
        <v>59</v>
      </c>
      <c r="C43" s="108">
        <f>SUM(C44:C45)</f>
        <v>1</v>
      </c>
      <c r="D43" s="99">
        <f t="shared" si="3"/>
        <v>100</v>
      </c>
      <c r="E43" s="99">
        <f t="shared" si="4"/>
        <v>10</v>
      </c>
      <c r="F43" s="99">
        <f t="shared" si="5"/>
        <v>90</v>
      </c>
      <c r="G43" s="71"/>
      <c r="H43" s="71"/>
      <c r="I43" s="71"/>
      <c r="J43" s="71"/>
      <c r="K43" s="71"/>
    </row>
    <row r="44" spans="1:14" x14ac:dyDescent="0.25">
      <c r="A44" s="71"/>
      <c r="B44" s="71"/>
      <c r="C44" s="109">
        <v>1</v>
      </c>
      <c r="D44" s="99"/>
      <c r="E44" s="104" t="s">
        <v>364</v>
      </c>
      <c r="F44" s="99">
        <v>720</v>
      </c>
      <c r="G44" s="71"/>
      <c r="H44" s="71"/>
      <c r="I44" s="71"/>
      <c r="J44" s="71"/>
      <c r="K44" s="71"/>
    </row>
    <row r="45" spans="1:14" x14ac:dyDescent="0.25">
      <c r="A45" s="71"/>
      <c r="B45" s="71"/>
      <c r="C45" s="109"/>
      <c r="D45" s="99"/>
      <c r="E45" s="99"/>
      <c r="F45" s="123">
        <f>+F43+F44</f>
        <v>810</v>
      </c>
      <c r="G45" s="71"/>
      <c r="H45" s="71"/>
      <c r="I45" s="71"/>
      <c r="J45" s="71"/>
      <c r="K45" s="71"/>
    </row>
    <row r="46" spans="1:14" x14ac:dyDescent="0.25">
      <c r="A46" s="71"/>
      <c r="C46" s="55"/>
      <c r="D46" s="99"/>
      <c r="E46" s="99"/>
      <c r="F46" s="99"/>
      <c r="G46" s="71"/>
      <c r="H46" s="71"/>
      <c r="I46" s="71"/>
      <c r="J46" s="71"/>
      <c r="K46" s="71"/>
    </row>
    <row r="47" spans="1:14" x14ac:dyDescent="0.25">
      <c r="A47" s="71"/>
      <c r="B47" s="71"/>
      <c r="C47" s="109"/>
      <c r="D47" s="99"/>
      <c r="E47" s="99"/>
      <c r="F47" s="99"/>
      <c r="G47" s="71"/>
      <c r="H47" s="71"/>
      <c r="I47" s="71"/>
      <c r="J47" s="71"/>
      <c r="K47" s="71"/>
    </row>
    <row r="48" spans="1:14" x14ac:dyDescent="0.25">
      <c r="A48" s="71"/>
      <c r="B48" s="71"/>
      <c r="C48" s="109"/>
      <c r="D48" s="99"/>
      <c r="E48" s="99"/>
      <c r="F48" s="99"/>
      <c r="G48" s="71"/>
      <c r="H48" s="71"/>
      <c r="I48" s="100"/>
      <c r="J48" s="71"/>
      <c r="K48" s="71"/>
    </row>
    <row r="49" spans="1:13" ht="15.75" x14ac:dyDescent="0.25">
      <c r="A49" s="71"/>
      <c r="B49" s="71" t="s">
        <v>61</v>
      </c>
      <c r="C49" s="108">
        <f>SUM(C50:C54)</f>
        <v>4</v>
      </c>
      <c r="D49" s="99">
        <f t="shared" si="3"/>
        <v>400</v>
      </c>
      <c r="E49" s="99">
        <f t="shared" si="4"/>
        <v>40</v>
      </c>
      <c r="F49" s="99">
        <f t="shared" si="5"/>
        <v>360</v>
      </c>
      <c r="G49" s="71"/>
      <c r="H49" s="71"/>
      <c r="I49" s="100"/>
      <c r="J49" s="100"/>
      <c r="K49" s="99"/>
      <c r="L49" s="1"/>
      <c r="M49" s="1"/>
    </row>
    <row r="50" spans="1:13" x14ac:dyDescent="0.25">
      <c r="A50" s="71"/>
      <c r="B50" s="71"/>
      <c r="C50" s="109">
        <v>3</v>
      </c>
      <c r="D50" s="99"/>
      <c r="E50" s="99"/>
      <c r="F50" s="99"/>
      <c r="G50" s="71"/>
      <c r="H50" s="71"/>
      <c r="I50" s="71"/>
      <c r="J50" s="71"/>
      <c r="K50" s="71"/>
      <c r="M50" s="1"/>
    </row>
    <row r="51" spans="1:13" x14ac:dyDescent="0.25">
      <c r="A51" s="71"/>
      <c r="B51" s="71" t="s">
        <v>25</v>
      </c>
      <c r="C51" s="109">
        <v>1</v>
      </c>
      <c r="D51" s="99"/>
      <c r="E51" s="99"/>
      <c r="F51" s="99"/>
      <c r="G51" s="71"/>
      <c r="H51" s="71"/>
      <c r="I51" s="71"/>
      <c r="J51" s="71"/>
      <c r="K51" s="71"/>
      <c r="M51" s="13"/>
    </row>
    <row r="52" spans="1:13" x14ac:dyDescent="0.25">
      <c r="A52" s="71"/>
      <c r="B52" s="71"/>
      <c r="C52" s="109"/>
      <c r="D52" s="99"/>
      <c r="E52" s="99"/>
      <c r="F52" s="99"/>
      <c r="G52" s="71"/>
      <c r="H52" s="71"/>
      <c r="I52" s="71"/>
      <c r="J52" s="71"/>
      <c r="K52" s="71"/>
      <c r="M52" s="13"/>
    </row>
    <row r="53" spans="1:13" x14ac:dyDescent="0.25">
      <c r="A53" s="71"/>
      <c r="B53" s="71"/>
      <c r="C53" s="109"/>
      <c r="D53" s="99"/>
      <c r="E53" s="99"/>
      <c r="F53" s="99"/>
      <c r="G53" s="71"/>
      <c r="H53" s="71"/>
      <c r="I53" s="71"/>
      <c r="J53" s="71"/>
      <c r="K53" s="71"/>
    </row>
    <row r="54" spans="1:13" x14ac:dyDescent="0.25">
      <c r="A54" s="71"/>
      <c r="B54" s="71"/>
      <c r="C54" s="109"/>
      <c r="D54" s="99"/>
      <c r="E54" s="99"/>
      <c r="F54" s="99"/>
      <c r="G54" s="71"/>
      <c r="H54" s="71"/>
      <c r="I54" s="71"/>
      <c r="J54" s="71"/>
      <c r="K54" s="71"/>
      <c r="M54" s="13"/>
    </row>
    <row r="55" spans="1:13" x14ac:dyDescent="0.25">
      <c r="A55" s="71"/>
      <c r="B55" s="71"/>
      <c r="C55" s="109"/>
      <c r="D55" s="99"/>
      <c r="E55" s="99"/>
      <c r="F55" s="99"/>
      <c r="G55" s="71"/>
      <c r="H55" s="71"/>
      <c r="I55" s="71"/>
      <c r="J55" s="102"/>
      <c r="K55" s="71"/>
    </row>
    <row r="56" spans="1:13" ht="15.75" x14ac:dyDescent="0.25">
      <c r="A56" s="71"/>
      <c r="B56" s="71" t="s">
        <v>63</v>
      </c>
      <c r="C56" s="108">
        <f>SUM(C57:C61)</f>
        <v>21</v>
      </c>
      <c r="D56" s="99">
        <f t="shared" si="3"/>
        <v>2100</v>
      </c>
      <c r="E56" s="99">
        <f t="shared" si="4"/>
        <v>210</v>
      </c>
      <c r="F56" s="99">
        <f t="shared" si="5"/>
        <v>1890</v>
      </c>
      <c r="G56" s="71"/>
      <c r="H56" s="71"/>
      <c r="I56" s="71"/>
      <c r="J56" s="71"/>
      <c r="K56" s="71"/>
    </row>
    <row r="57" spans="1:13" x14ac:dyDescent="0.25">
      <c r="A57" s="71"/>
      <c r="B57" s="71" t="s">
        <v>365</v>
      </c>
      <c r="C57" s="107">
        <v>9</v>
      </c>
      <c r="D57" s="103"/>
      <c r="E57" s="103"/>
      <c r="F57" s="103"/>
      <c r="G57" s="71"/>
      <c r="H57" s="71"/>
      <c r="I57" s="100"/>
      <c r="J57" s="71"/>
      <c r="K57" s="71"/>
    </row>
    <row r="58" spans="1:13" x14ac:dyDescent="0.25">
      <c r="A58" s="71"/>
      <c r="B58" s="71" t="s">
        <v>29</v>
      </c>
      <c r="C58" s="107">
        <v>1</v>
      </c>
      <c r="D58" s="103"/>
      <c r="E58" s="103"/>
      <c r="F58" s="103"/>
      <c r="G58" s="71"/>
      <c r="H58" s="71"/>
      <c r="I58" s="100"/>
      <c r="J58" s="71"/>
      <c r="K58" s="71"/>
    </row>
    <row r="59" spans="1:13" x14ac:dyDescent="0.25">
      <c r="A59" s="71"/>
      <c r="B59" s="71" t="s">
        <v>368</v>
      </c>
      <c r="C59" s="107">
        <v>6</v>
      </c>
      <c r="D59" s="103"/>
      <c r="E59" s="103"/>
      <c r="F59" s="103"/>
      <c r="G59" s="71"/>
      <c r="H59" s="71"/>
      <c r="I59" s="100"/>
      <c r="J59" s="71"/>
      <c r="K59" s="71"/>
    </row>
    <row r="60" spans="1:13" x14ac:dyDescent="0.25">
      <c r="A60" s="71"/>
      <c r="B60" s="71"/>
      <c r="C60" s="107">
        <v>5</v>
      </c>
      <c r="D60" s="103"/>
      <c r="E60" s="103"/>
      <c r="F60" s="103"/>
      <c r="G60" s="71"/>
      <c r="H60" s="71"/>
      <c r="I60" s="100"/>
      <c r="J60" s="71"/>
      <c r="K60" s="71"/>
    </row>
    <row r="61" spans="1:13" x14ac:dyDescent="0.25">
      <c r="A61" s="71"/>
      <c r="B61" s="71"/>
      <c r="C61" s="109"/>
      <c r="D61" s="71"/>
      <c r="E61" s="71"/>
      <c r="F61" s="71"/>
      <c r="G61" s="71"/>
      <c r="H61" s="71"/>
      <c r="I61" s="71"/>
      <c r="J61" s="71"/>
      <c r="K61" s="71"/>
    </row>
    <row r="62" spans="1:13" ht="15.75" x14ac:dyDescent="0.25">
      <c r="A62" s="71"/>
      <c r="B62" s="71" t="s">
        <v>360</v>
      </c>
      <c r="C62" s="108">
        <f>SUM(C63:C67)</f>
        <v>1</v>
      </c>
      <c r="D62" s="99">
        <f t="shared" ref="D62" si="6">+C62*100</f>
        <v>100</v>
      </c>
      <c r="E62" s="99">
        <f t="shared" ref="E62" si="7">+D62*0.1</f>
        <v>10</v>
      </c>
      <c r="F62" s="99">
        <f t="shared" ref="F62" si="8">+D62-E62</f>
        <v>90</v>
      </c>
      <c r="G62" s="71"/>
      <c r="H62" s="100"/>
      <c r="I62" s="71"/>
      <c r="J62" s="71"/>
      <c r="K62" s="71"/>
    </row>
    <row r="63" spans="1:13" x14ac:dyDescent="0.25">
      <c r="A63" s="71"/>
      <c r="B63" s="71"/>
      <c r="C63" s="107">
        <v>1</v>
      </c>
      <c r="D63" s="103"/>
      <c r="E63" s="103"/>
      <c r="F63" s="103"/>
      <c r="G63" s="71"/>
      <c r="H63" s="100"/>
      <c r="I63" s="71"/>
      <c r="J63" s="71"/>
      <c r="K63" s="71"/>
    </row>
    <row r="64" spans="1:13" x14ac:dyDescent="0.25">
      <c r="A64" s="71"/>
      <c r="B64" s="71"/>
      <c r="C64" s="107"/>
      <c r="D64" s="99"/>
      <c r="E64" s="99"/>
      <c r="F64" s="99"/>
      <c r="G64" s="71"/>
      <c r="H64" s="71"/>
      <c r="I64" s="71"/>
      <c r="J64" s="71"/>
      <c r="K64" s="71"/>
    </row>
    <row r="65" spans="1:11" x14ac:dyDescent="0.25">
      <c r="A65" s="71"/>
      <c r="B65" s="71"/>
      <c r="C65" s="107"/>
      <c r="D65" s="99"/>
      <c r="E65" s="99"/>
      <c r="F65" s="99"/>
      <c r="G65" s="71"/>
      <c r="H65" s="71"/>
      <c r="I65" s="71"/>
      <c r="J65" s="71"/>
      <c r="K65" s="71"/>
    </row>
    <row r="66" spans="1:11" x14ac:dyDescent="0.25">
      <c r="A66" s="71"/>
      <c r="B66" s="71"/>
      <c r="C66" s="107"/>
      <c r="D66" s="71"/>
      <c r="E66" s="71"/>
      <c r="F66" s="103"/>
      <c r="G66" s="71"/>
      <c r="H66" s="71"/>
      <c r="I66" s="71"/>
      <c r="J66" s="71"/>
      <c r="K66" s="71"/>
    </row>
    <row r="67" spans="1:11" x14ac:dyDescent="0.25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</row>
  </sheetData>
  <mergeCells count="14">
    <mergeCell ref="C22:D22"/>
    <mergeCell ref="E22:F22"/>
    <mergeCell ref="C23:D23"/>
    <mergeCell ref="E23:F23"/>
    <mergeCell ref="C25:D25"/>
    <mergeCell ref="E25:F25"/>
    <mergeCell ref="C24:D24"/>
    <mergeCell ref="E24:F24"/>
    <mergeCell ref="C19:D19"/>
    <mergeCell ref="E19:F19"/>
    <mergeCell ref="C20:D20"/>
    <mergeCell ref="E20:F20"/>
    <mergeCell ref="C21:D21"/>
    <mergeCell ref="E21:F21"/>
  </mergeCells>
  <pageMargins left="0.33" right="0.7" top="0.47" bottom="0.3" header="0.31496062992125984" footer="0.31496062992125984"/>
  <pageSetup scale="84" fitToHeight="0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19"/>
  <sheetViews>
    <sheetView topLeftCell="A20" zoomScaleNormal="100" workbookViewId="0">
      <selection activeCell="I62" sqref="I62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5" width="10.7109375" customWidth="1"/>
    <col min="6" max="6" width="10.5703125" customWidth="1"/>
    <col min="7" max="9" width="10.7109375" customWidth="1"/>
    <col min="10" max="10" width="13.85546875" customWidth="1"/>
    <col min="11" max="11" width="16.5703125" customWidth="1"/>
  </cols>
  <sheetData>
    <row r="2" spans="1:11" ht="26.25" x14ac:dyDescent="0.4">
      <c r="B2" s="45" t="s">
        <v>68</v>
      </c>
    </row>
    <row r="3" spans="1:11" x14ac:dyDescent="0.25">
      <c r="A3" s="31" t="s">
        <v>1</v>
      </c>
      <c r="B3" s="32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3" t="s">
        <v>8</v>
      </c>
      <c r="I3" s="33" t="s">
        <v>9</v>
      </c>
      <c r="J3" s="33" t="s">
        <v>10</v>
      </c>
      <c r="K3" s="33" t="s">
        <v>11</v>
      </c>
    </row>
    <row r="4" spans="1:11" ht="18.75" x14ac:dyDescent="0.3">
      <c r="A4" s="31"/>
      <c r="B4" s="32"/>
      <c r="C4" s="46"/>
      <c r="D4" s="46"/>
      <c r="E4" s="46"/>
      <c r="F4" s="46"/>
      <c r="G4" s="46"/>
      <c r="H4" s="46"/>
      <c r="I4" s="46"/>
      <c r="J4" s="33"/>
      <c r="K4" s="34"/>
    </row>
    <row r="5" spans="1:11" ht="18.75" x14ac:dyDescent="0.3">
      <c r="A5" s="31">
        <v>1</v>
      </c>
      <c r="B5" s="37" t="s">
        <v>94</v>
      </c>
      <c r="C5" s="46"/>
      <c r="D5" s="46"/>
      <c r="E5" s="46"/>
      <c r="F5" s="46">
        <f>12+15</f>
        <v>27</v>
      </c>
      <c r="G5" s="46">
        <v>24</v>
      </c>
      <c r="H5" s="46">
        <f>24+15</f>
        <v>39</v>
      </c>
      <c r="I5" s="46"/>
      <c r="J5" s="39">
        <f>SUM(C5:I5)</f>
        <v>90</v>
      </c>
      <c r="K5" s="34"/>
    </row>
    <row r="6" spans="1:11" ht="18.75" x14ac:dyDescent="0.3">
      <c r="A6" s="31">
        <f>+A5+1</f>
        <v>2</v>
      </c>
      <c r="B6" s="37" t="s">
        <v>69</v>
      </c>
      <c r="C6" s="46">
        <v>4</v>
      </c>
      <c r="D6" s="46"/>
      <c r="E6" s="46">
        <v>10</v>
      </c>
      <c r="F6" s="46">
        <f>15+36+5+19+5</f>
        <v>80</v>
      </c>
      <c r="G6" s="46">
        <f>27+15+12</f>
        <v>54</v>
      </c>
      <c r="H6" s="46"/>
      <c r="I6" s="46">
        <v>285</v>
      </c>
      <c r="J6" s="39">
        <f t="shared" ref="J6:J11" si="0">SUM(C6:I6)</f>
        <v>433</v>
      </c>
      <c r="K6" s="34"/>
    </row>
    <row r="7" spans="1:11" ht="18.75" x14ac:dyDescent="0.3">
      <c r="A7" s="31">
        <f t="shared" ref="A7:A11" si="1">+A6+1</f>
        <v>3</v>
      </c>
      <c r="B7" s="37" t="s">
        <v>70</v>
      </c>
      <c r="C7" s="46"/>
      <c r="D7" s="46">
        <v>15</v>
      </c>
      <c r="E7" s="46"/>
      <c r="F7" s="46"/>
      <c r="G7" s="46">
        <v>10</v>
      </c>
      <c r="H7" s="46"/>
      <c r="I7" s="46"/>
      <c r="J7" s="39">
        <f t="shared" si="0"/>
        <v>25</v>
      </c>
      <c r="K7" s="34"/>
    </row>
    <row r="8" spans="1:11" ht="18.75" x14ac:dyDescent="0.3">
      <c r="A8" s="31">
        <f t="shared" si="1"/>
        <v>4</v>
      </c>
      <c r="B8" s="37" t="s">
        <v>95</v>
      </c>
      <c r="C8" s="46">
        <v>15</v>
      </c>
      <c r="D8" s="46">
        <v>10</v>
      </c>
      <c r="E8" s="46"/>
      <c r="F8" s="46">
        <v>15</v>
      </c>
      <c r="G8" s="46">
        <f>25+15+30</f>
        <v>70</v>
      </c>
      <c r="H8" s="46"/>
      <c r="I8" s="46"/>
      <c r="J8" s="39">
        <f t="shared" si="0"/>
        <v>110</v>
      </c>
      <c r="K8" s="34"/>
    </row>
    <row r="9" spans="1:11" ht="18.75" x14ac:dyDescent="0.3">
      <c r="A9" s="31">
        <f t="shared" si="1"/>
        <v>5</v>
      </c>
      <c r="B9" s="37" t="s">
        <v>71</v>
      </c>
      <c r="C9" s="46"/>
      <c r="D9" s="46"/>
      <c r="E9" s="46"/>
      <c r="F9" s="46"/>
      <c r="G9" s="46">
        <v>32</v>
      </c>
      <c r="H9" s="46"/>
      <c r="I9" s="46"/>
      <c r="J9" s="39">
        <f t="shared" si="0"/>
        <v>32</v>
      </c>
      <c r="K9" s="34"/>
    </row>
    <row r="10" spans="1:11" ht="18.75" x14ac:dyDescent="0.3">
      <c r="A10" s="31">
        <f t="shared" si="1"/>
        <v>6</v>
      </c>
      <c r="B10" s="37" t="s">
        <v>72</v>
      </c>
      <c r="C10" s="46"/>
      <c r="D10" s="46"/>
      <c r="E10" s="46">
        <f>24+15</f>
        <v>39</v>
      </c>
      <c r="F10" s="46">
        <f>7+10+7+5</f>
        <v>29</v>
      </c>
      <c r="G10" s="46">
        <f>51+90</f>
        <v>141</v>
      </c>
      <c r="H10" s="46"/>
      <c r="I10" s="46">
        <v>15</v>
      </c>
      <c r="J10" s="39">
        <f t="shared" si="0"/>
        <v>224</v>
      </c>
      <c r="K10" s="34"/>
    </row>
    <row r="11" spans="1:11" ht="18.75" x14ac:dyDescent="0.3">
      <c r="A11" s="31">
        <f t="shared" si="1"/>
        <v>7</v>
      </c>
      <c r="B11" s="37" t="s">
        <v>73</v>
      </c>
      <c r="C11" s="46"/>
      <c r="D11" s="46"/>
      <c r="E11" s="46"/>
      <c r="F11" s="46">
        <v>45</v>
      </c>
      <c r="G11" s="46">
        <f>30+12</f>
        <v>42</v>
      </c>
      <c r="H11" s="46"/>
      <c r="I11" s="46"/>
      <c r="J11" s="39">
        <f t="shared" si="0"/>
        <v>87</v>
      </c>
      <c r="K11" s="34"/>
    </row>
    <row r="12" spans="1:11" ht="18.75" x14ac:dyDescent="0.3">
      <c r="A12" s="31"/>
      <c r="B12" s="37"/>
      <c r="C12" s="46"/>
      <c r="D12" s="46"/>
      <c r="E12" s="46"/>
      <c r="F12" s="46"/>
      <c r="G12" s="46"/>
      <c r="H12" s="46"/>
      <c r="I12" s="46"/>
      <c r="J12" s="47"/>
      <c r="K12" s="34"/>
    </row>
    <row r="13" spans="1:11" ht="18.75" x14ac:dyDescent="0.3">
      <c r="A13" s="31"/>
      <c r="B13" s="37"/>
      <c r="C13" s="46"/>
      <c r="D13" s="46"/>
      <c r="E13" s="46"/>
      <c r="F13" s="46"/>
      <c r="G13" s="46"/>
      <c r="H13" s="46"/>
      <c r="I13" s="46"/>
      <c r="J13" s="39"/>
      <c r="K13" s="34"/>
    </row>
    <row r="14" spans="1:11" ht="26.25" x14ac:dyDescent="0.4">
      <c r="A14" s="31"/>
      <c r="B14" s="45" t="s">
        <v>74</v>
      </c>
      <c r="C14" s="46"/>
      <c r="D14" s="46"/>
      <c r="E14" s="46"/>
      <c r="F14" s="46"/>
      <c r="G14" s="46"/>
      <c r="H14" s="46"/>
      <c r="I14" s="46"/>
      <c r="J14" s="39"/>
      <c r="K14" s="34"/>
    </row>
    <row r="15" spans="1:11" ht="18.75" x14ac:dyDescent="0.3">
      <c r="A15" s="31"/>
      <c r="B15" s="37"/>
      <c r="C15" s="46"/>
      <c r="D15" s="46"/>
      <c r="E15" s="46"/>
      <c r="F15" s="46"/>
      <c r="G15" s="46"/>
      <c r="H15" s="46"/>
      <c r="I15" s="46"/>
      <c r="J15" s="39"/>
      <c r="K15" s="34"/>
    </row>
    <row r="16" spans="1:11" ht="18.75" x14ac:dyDescent="0.3">
      <c r="A16" s="31">
        <f>+A11+1</f>
        <v>8</v>
      </c>
      <c r="B16" s="37" t="s">
        <v>22</v>
      </c>
      <c r="C16" s="46"/>
      <c r="D16" s="46">
        <f>30+15</f>
        <v>45</v>
      </c>
      <c r="E16" s="46">
        <f>15+4+30</f>
        <v>49</v>
      </c>
      <c r="F16" s="46">
        <f>4+15+30</f>
        <v>49</v>
      </c>
      <c r="G16" s="46">
        <f>48+30</f>
        <v>78</v>
      </c>
      <c r="H16" s="46"/>
      <c r="I16" s="46"/>
      <c r="J16" s="39">
        <f t="shared" ref="J16:J19" si="2">SUM(C16:I16)</f>
        <v>221</v>
      </c>
      <c r="K16" s="34"/>
    </row>
    <row r="17" spans="1:11" ht="18.75" x14ac:dyDescent="0.3">
      <c r="A17" s="31">
        <f>+A16+1</f>
        <v>9</v>
      </c>
      <c r="B17" s="37" t="s">
        <v>75</v>
      </c>
      <c r="C17" s="46"/>
      <c r="D17" s="46"/>
      <c r="E17" s="46">
        <v>5</v>
      </c>
      <c r="F17" s="46"/>
      <c r="G17" s="46"/>
      <c r="H17" s="46"/>
      <c r="I17" s="46"/>
      <c r="J17" s="39">
        <f t="shared" si="2"/>
        <v>5</v>
      </c>
      <c r="K17" s="34"/>
    </row>
    <row r="18" spans="1:11" ht="18.75" x14ac:dyDescent="0.3">
      <c r="A18" s="31">
        <f t="shared" ref="A18:A19" si="3">+A17+1</f>
        <v>10</v>
      </c>
      <c r="B18" s="37" t="s">
        <v>76</v>
      </c>
      <c r="C18" s="46"/>
      <c r="D18" s="46"/>
      <c r="E18" s="46"/>
      <c r="F18" s="46">
        <v>45</v>
      </c>
      <c r="G18" s="46"/>
      <c r="H18" s="46"/>
      <c r="I18" s="46"/>
      <c r="J18" s="39">
        <f t="shared" si="2"/>
        <v>45</v>
      </c>
      <c r="K18" s="34"/>
    </row>
    <row r="19" spans="1:11" ht="18.75" x14ac:dyDescent="0.3">
      <c r="A19" s="31">
        <f t="shared" si="3"/>
        <v>11</v>
      </c>
      <c r="B19" s="37" t="s">
        <v>96</v>
      </c>
      <c r="C19" s="46"/>
      <c r="D19" s="46"/>
      <c r="E19" s="46">
        <v>45</v>
      </c>
      <c r="F19" s="46"/>
      <c r="G19" s="46"/>
      <c r="H19" s="46">
        <f>63+40</f>
        <v>103</v>
      </c>
      <c r="I19" s="46"/>
      <c r="J19" s="39">
        <f t="shared" si="2"/>
        <v>148</v>
      </c>
      <c r="K19" s="34"/>
    </row>
    <row r="20" spans="1:11" ht="18.75" x14ac:dyDescent="0.3">
      <c r="A20" s="31"/>
      <c r="B20" s="37"/>
      <c r="C20" s="46"/>
      <c r="D20" s="46"/>
      <c r="E20" s="46"/>
      <c r="F20" s="46"/>
      <c r="G20" s="46"/>
      <c r="H20" s="46"/>
      <c r="I20" s="46"/>
      <c r="J20" s="39"/>
      <c r="K20" s="34"/>
    </row>
    <row r="21" spans="1:11" ht="26.25" x14ac:dyDescent="0.4">
      <c r="A21" s="31"/>
      <c r="B21" s="45" t="s">
        <v>77</v>
      </c>
      <c r="C21" s="46"/>
      <c r="D21" s="46"/>
      <c r="E21" s="46"/>
      <c r="F21" s="46"/>
      <c r="G21" s="46"/>
      <c r="H21" s="46"/>
      <c r="I21" s="46"/>
      <c r="J21" s="39"/>
      <c r="K21" s="34"/>
    </row>
    <row r="22" spans="1:11" ht="18.75" x14ac:dyDescent="0.3">
      <c r="A22" s="31"/>
      <c r="B22" s="37"/>
      <c r="C22" s="46"/>
      <c r="D22" s="46"/>
      <c r="E22" s="46"/>
      <c r="F22" s="46"/>
      <c r="G22" s="46"/>
      <c r="H22" s="46"/>
      <c r="I22" s="46"/>
      <c r="J22" s="39"/>
      <c r="K22" s="35"/>
    </row>
    <row r="23" spans="1:11" ht="18.75" x14ac:dyDescent="0.3">
      <c r="A23" s="31">
        <f>+A19+1</f>
        <v>12</v>
      </c>
      <c r="B23" s="37" t="s">
        <v>78</v>
      </c>
      <c r="C23" s="46"/>
      <c r="D23" s="46"/>
      <c r="E23" s="46"/>
      <c r="F23" s="46"/>
      <c r="G23" s="46"/>
      <c r="H23" s="46"/>
      <c r="I23" s="46">
        <v>36</v>
      </c>
      <c r="J23" s="39">
        <f t="shared" ref="J23:J32" si="4">SUM(C23:I23)</f>
        <v>36</v>
      </c>
      <c r="K23" s="35"/>
    </row>
    <row r="24" spans="1:11" ht="18.75" x14ac:dyDescent="0.3">
      <c r="A24" s="31">
        <f t="shared" ref="A24:A32" si="5">+A23+1</f>
        <v>13</v>
      </c>
      <c r="B24" s="37" t="s">
        <v>57</v>
      </c>
      <c r="C24" s="46"/>
      <c r="D24" s="46"/>
      <c r="E24" s="46"/>
      <c r="F24" s="46">
        <f>15+5</f>
        <v>20</v>
      </c>
      <c r="G24" s="46"/>
      <c r="H24" s="46"/>
      <c r="I24" s="46"/>
      <c r="J24" s="39">
        <f t="shared" si="4"/>
        <v>20</v>
      </c>
      <c r="K24" s="35"/>
    </row>
    <row r="25" spans="1:11" ht="18.75" x14ac:dyDescent="0.3">
      <c r="A25" s="31">
        <f t="shared" si="5"/>
        <v>14</v>
      </c>
      <c r="B25" s="37" t="s">
        <v>55</v>
      </c>
      <c r="C25" s="46"/>
      <c r="D25" s="46"/>
      <c r="E25" s="46">
        <f>47+45</f>
        <v>92</v>
      </c>
      <c r="F25" s="46">
        <f>36+15+5+15+15+45</f>
        <v>131</v>
      </c>
      <c r="G25" s="46"/>
      <c r="H25" s="46"/>
      <c r="I25" s="46"/>
      <c r="J25" s="39">
        <f t="shared" si="4"/>
        <v>223</v>
      </c>
      <c r="K25" s="35"/>
    </row>
    <row r="26" spans="1:11" ht="18.75" x14ac:dyDescent="0.3">
      <c r="A26" s="31">
        <f t="shared" si="5"/>
        <v>15</v>
      </c>
      <c r="B26" s="37" t="s">
        <v>124</v>
      </c>
      <c r="C26" s="46"/>
      <c r="D26" s="46"/>
      <c r="E26" s="46"/>
      <c r="F26" s="46">
        <v>3</v>
      </c>
      <c r="G26" s="46"/>
      <c r="H26" s="46"/>
      <c r="I26" s="46"/>
      <c r="J26" s="39">
        <f t="shared" si="4"/>
        <v>3</v>
      </c>
      <c r="K26" s="35"/>
    </row>
    <row r="27" spans="1:11" ht="18.75" x14ac:dyDescent="0.3">
      <c r="A27" s="31">
        <f t="shared" si="5"/>
        <v>16</v>
      </c>
      <c r="B27" s="37" t="s">
        <v>97</v>
      </c>
      <c r="C27" s="46"/>
      <c r="D27" s="46"/>
      <c r="E27" s="46"/>
      <c r="F27" s="46"/>
      <c r="G27" s="46">
        <f>27+47</f>
        <v>74</v>
      </c>
      <c r="H27" s="46"/>
      <c r="I27" s="46"/>
      <c r="J27" s="39">
        <f t="shared" si="4"/>
        <v>74</v>
      </c>
      <c r="K27" s="35"/>
    </row>
    <row r="28" spans="1:11" ht="18.75" x14ac:dyDescent="0.3">
      <c r="A28" s="31">
        <f t="shared" si="5"/>
        <v>17</v>
      </c>
      <c r="B28" s="37" t="s">
        <v>79</v>
      </c>
      <c r="C28" s="46"/>
      <c r="D28" s="46"/>
      <c r="E28" s="46"/>
      <c r="F28" s="46"/>
      <c r="G28" s="46">
        <v>15</v>
      </c>
      <c r="H28" s="46"/>
      <c r="I28" s="46"/>
      <c r="J28" s="39">
        <f t="shared" si="4"/>
        <v>15</v>
      </c>
      <c r="K28" s="35"/>
    </row>
    <row r="29" spans="1:11" ht="18.75" x14ac:dyDescent="0.3">
      <c r="A29" s="31">
        <f t="shared" si="5"/>
        <v>18</v>
      </c>
      <c r="B29" s="37" t="s">
        <v>98</v>
      </c>
      <c r="C29" s="46"/>
      <c r="D29" s="46"/>
      <c r="E29" s="46"/>
      <c r="F29" s="46"/>
      <c r="G29" s="46">
        <f>40+15</f>
        <v>55</v>
      </c>
      <c r="H29" s="46">
        <v>20</v>
      </c>
      <c r="I29" s="46"/>
      <c r="J29" s="39">
        <f t="shared" si="4"/>
        <v>75</v>
      </c>
      <c r="K29" s="35"/>
    </row>
    <row r="30" spans="1:11" ht="18.75" x14ac:dyDescent="0.3">
      <c r="A30" s="31">
        <f t="shared" si="5"/>
        <v>19</v>
      </c>
      <c r="B30" s="37" t="s">
        <v>125</v>
      </c>
      <c r="C30" s="46"/>
      <c r="D30" s="46"/>
      <c r="E30" s="46"/>
      <c r="F30" s="46">
        <f>15+10</f>
        <v>25</v>
      </c>
      <c r="G30" s="46"/>
      <c r="H30" s="46"/>
      <c r="I30" s="46"/>
      <c r="J30" s="39">
        <f t="shared" si="4"/>
        <v>25</v>
      </c>
      <c r="K30" s="35"/>
    </row>
    <row r="31" spans="1:11" ht="18.75" x14ac:dyDescent="0.3">
      <c r="A31" s="31">
        <f t="shared" si="5"/>
        <v>20</v>
      </c>
      <c r="B31" s="37" t="s">
        <v>76</v>
      </c>
      <c r="C31" s="46"/>
      <c r="D31" s="46"/>
      <c r="E31" s="46"/>
      <c r="F31" s="46"/>
      <c r="G31" s="46">
        <v>15</v>
      </c>
      <c r="H31" s="46"/>
      <c r="I31" s="46"/>
      <c r="J31" s="39">
        <f t="shared" si="4"/>
        <v>15</v>
      </c>
      <c r="K31" s="35"/>
    </row>
    <row r="32" spans="1:11" ht="18.75" x14ac:dyDescent="0.3">
      <c r="A32" s="31">
        <f t="shared" si="5"/>
        <v>21</v>
      </c>
      <c r="B32" s="37" t="s">
        <v>80</v>
      </c>
      <c r="C32" s="46"/>
      <c r="D32" s="46">
        <v>12</v>
      </c>
      <c r="E32" s="46"/>
      <c r="F32" s="46"/>
      <c r="G32" s="46">
        <v>15</v>
      </c>
      <c r="H32" s="46"/>
      <c r="I32" s="46"/>
      <c r="J32" s="39">
        <f t="shared" si="4"/>
        <v>27</v>
      </c>
      <c r="K32" s="35"/>
    </row>
    <row r="33" spans="1:11" ht="18.75" x14ac:dyDescent="0.3">
      <c r="A33" s="31"/>
      <c r="B33" s="15"/>
      <c r="C33" s="46"/>
      <c r="D33" s="46"/>
      <c r="E33" s="46"/>
      <c r="F33" s="46"/>
      <c r="G33" s="46"/>
      <c r="H33" s="46"/>
      <c r="I33" s="46"/>
      <c r="J33" s="39"/>
      <c r="K33" s="35"/>
    </row>
    <row r="34" spans="1:11" ht="26.25" x14ac:dyDescent="0.4">
      <c r="A34" s="31"/>
      <c r="B34" s="45" t="s">
        <v>36</v>
      </c>
      <c r="C34" s="46"/>
      <c r="D34" s="46"/>
      <c r="E34" s="46"/>
      <c r="F34" s="46"/>
      <c r="G34" s="46"/>
      <c r="H34" s="46"/>
      <c r="I34" s="46"/>
      <c r="J34" s="39"/>
      <c r="K34" s="35"/>
    </row>
    <row r="35" spans="1:11" ht="18.75" x14ac:dyDescent="0.3">
      <c r="A35" s="31"/>
      <c r="B35" s="15"/>
      <c r="C35" s="46"/>
      <c r="D35" s="46"/>
      <c r="E35" s="46"/>
      <c r="F35" s="46"/>
      <c r="G35" s="46"/>
      <c r="H35" s="46"/>
      <c r="I35" s="46"/>
      <c r="J35" s="39"/>
      <c r="K35" s="35"/>
    </row>
    <row r="36" spans="1:11" ht="18.75" x14ac:dyDescent="0.3">
      <c r="A36" s="31">
        <f>+A32+1</f>
        <v>22</v>
      </c>
      <c r="B36" s="37" t="s">
        <v>37</v>
      </c>
      <c r="C36" s="46"/>
      <c r="D36" s="46">
        <f>24+15</f>
        <v>39</v>
      </c>
      <c r="E36" s="46">
        <f>24+15+45</f>
        <v>84</v>
      </c>
      <c r="F36" s="46">
        <f>24+15</f>
        <v>39</v>
      </c>
      <c r="G36" s="46">
        <f>12+12+15+15</f>
        <v>54</v>
      </c>
      <c r="H36" s="46">
        <f>24+15</f>
        <v>39</v>
      </c>
      <c r="I36" s="46"/>
      <c r="J36" s="39">
        <f t="shared" ref="J36:J43" si="6">SUM(C36:I36)</f>
        <v>255</v>
      </c>
      <c r="K36" s="35"/>
    </row>
    <row r="37" spans="1:11" ht="18.75" x14ac:dyDescent="0.3">
      <c r="A37" s="31">
        <f>+A36+1</f>
        <v>23</v>
      </c>
      <c r="B37" s="44" t="s">
        <v>99</v>
      </c>
      <c r="C37" s="51">
        <f>15+12</f>
        <v>27</v>
      </c>
      <c r="D37" s="50"/>
      <c r="E37" s="50">
        <f>35+45</f>
        <v>80</v>
      </c>
      <c r="F37" s="50">
        <v>7</v>
      </c>
      <c r="G37" s="51">
        <f>27+35</f>
        <v>62</v>
      </c>
      <c r="H37" s="51">
        <v>24</v>
      </c>
      <c r="I37" s="51"/>
      <c r="J37" s="39">
        <f t="shared" si="6"/>
        <v>200</v>
      </c>
      <c r="K37" s="35"/>
    </row>
    <row r="38" spans="1:11" ht="18.75" x14ac:dyDescent="0.3">
      <c r="A38" s="31">
        <f t="shared" ref="A38:A43" si="7">+A37+1</f>
        <v>24</v>
      </c>
      <c r="B38" s="44" t="s">
        <v>100</v>
      </c>
      <c r="C38" s="51"/>
      <c r="D38" s="50"/>
      <c r="E38" s="50"/>
      <c r="F38" s="50">
        <f>36+4+18</f>
        <v>58</v>
      </c>
      <c r="G38" s="51">
        <f>51+60</f>
        <v>111</v>
      </c>
      <c r="H38" s="51">
        <v>36</v>
      </c>
      <c r="I38" s="51"/>
      <c r="J38" s="39">
        <f t="shared" si="6"/>
        <v>205</v>
      </c>
      <c r="K38" s="35"/>
    </row>
    <row r="39" spans="1:11" ht="18.75" x14ac:dyDescent="0.3">
      <c r="A39" s="31">
        <f t="shared" si="7"/>
        <v>25</v>
      </c>
      <c r="B39" s="44" t="s">
        <v>81</v>
      </c>
      <c r="C39" s="51"/>
      <c r="D39" s="50"/>
      <c r="E39" s="50"/>
      <c r="F39" s="50"/>
      <c r="G39" s="51"/>
      <c r="H39" s="51"/>
      <c r="I39" s="51">
        <v>35</v>
      </c>
      <c r="J39" s="39">
        <f t="shared" si="6"/>
        <v>35</v>
      </c>
      <c r="K39" s="35"/>
    </row>
    <row r="40" spans="1:11" ht="18.75" x14ac:dyDescent="0.3">
      <c r="A40" s="31">
        <f t="shared" si="7"/>
        <v>26</v>
      </c>
      <c r="B40" s="44" t="s">
        <v>101</v>
      </c>
      <c r="C40" s="51"/>
      <c r="D40" s="50"/>
      <c r="E40" s="50"/>
      <c r="F40" s="50"/>
      <c r="G40" s="51">
        <v>45</v>
      </c>
      <c r="H40" s="51"/>
      <c r="I40" s="51"/>
      <c r="J40" s="39">
        <f t="shared" si="6"/>
        <v>45</v>
      </c>
      <c r="K40" s="35"/>
    </row>
    <row r="41" spans="1:11" ht="18.75" x14ac:dyDescent="0.3">
      <c r="A41" s="31">
        <f t="shared" si="7"/>
        <v>27</v>
      </c>
      <c r="B41" s="37" t="s">
        <v>102</v>
      </c>
      <c r="C41" s="51">
        <v>100</v>
      </c>
      <c r="D41" s="51"/>
      <c r="E41" s="51"/>
      <c r="F41" s="51"/>
      <c r="G41" s="51"/>
      <c r="H41" s="51"/>
      <c r="I41" s="51"/>
      <c r="J41" s="39">
        <f t="shared" si="6"/>
        <v>100</v>
      </c>
      <c r="K41" s="35"/>
    </row>
    <row r="42" spans="1:11" ht="18.75" x14ac:dyDescent="0.3">
      <c r="A42" s="31">
        <f t="shared" si="7"/>
        <v>28</v>
      </c>
      <c r="B42" s="37" t="s">
        <v>103</v>
      </c>
      <c r="C42" s="51"/>
      <c r="D42" s="51"/>
      <c r="E42" s="51"/>
      <c r="F42" s="51">
        <v>36</v>
      </c>
      <c r="G42" s="51"/>
      <c r="H42" s="51"/>
      <c r="I42" s="51"/>
      <c r="J42" s="39">
        <f t="shared" si="6"/>
        <v>36</v>
      </c>
      <c r="K42" s="35"/>
    </row>
    <row r="43" spans="1:11" ht="18.75" x14ac:dyDescent="0.3">
      <c r="A43" s="31">
        <f t="shared" si="7"/>
        <v>29</v>
      </c>
      <c r="B43" s="37" t="s">
        <v>104</v>
      </c>
      <c r="C43" s="51">
        <f>15+47</f>
        <v>62</v>
      </c>
      <c r="D43" s="51"/>
      <c r="E43" s="51"/>
      <c r="F43" s="51">
        <v>47</v>
      </c>
      <c r="G43" s="51">
        <f>47+45</f>
        <v>92</v>
      </c>
      <c r="H43" s="51"/>
      <c r="I43" s="51"/>
      <c r="J43" s="39">
        <f t="shared" si="6"/>
        <v>201</v>
      </c>
      <c r="K43" s="35"/>
    </row>
    <row r="44" spans="1:11" ht="18.75" x14ac:dyDescent="0.3">
      <c r="A44" s="31"/>
      <c r="B44" s="37"/>
      <c r="C44" s="51"/>
      <c r="D44" s="51"/>
      <c r="E44" s="51"/>
      <c r="F44" s="51"/>
      <c r="G44" s="51"/>
      <c r="H44" s="51"/>
      <c r="I44" s="51"/>
      <c r="J44" s="47"/>
      <c r="K44" s="35"/>
    </row>
    <row r="45" spans="1:11" ht="18.75" x14ac:dyDescent="0.3">
      <c r="A45" s="31"/>
      <c r="B45" s="49" t="s">
        <v>40</v>
      </c>
      <c r="C45" s="51"/>
      <c r="D45" s="51"/>
      <c r="E45" s="51"/>
      <c r="F45" s="51"/>
      <c r="G45" s="51"/>
      <c r="H45" s="51"/>
      <c r="I45" s="51"/>
      <c r="J45" s="47"/>
      <c r="K45" s="35"/>
    </row>
    <row r="46" spans="1:11" ht="18.75" x14ac:dyDescent="0.3">
      <c r="A46" s="31"/>
      <c r="B46" s="49"/>
      <c r="C46" s="51"/>
      <c r="D46" s="51"/>
      <c r="E46" s="51"/>
      <c r="F46" s="51"/>
      <c r="G46" s="51"/>
      <c r="H46" s="51"/>
      <c r="I46" s="51"/>
      <c r="J46" s="47"/>
      <c r="K46" s="35"/>
    </row>
    <row r="47" spans="1:11" ht="18.75" x14ac:dyDescent="0.3">
      <c r="A47" s="31">
        <f>+A43+1</f>
        <v>30</v>
      </c>
      <c r="B47" s="37" t="s">
        <v>82</v>
      </c>
      <c r="C47" s="51"/>
      <c r="D47" s="51"/>
      <c r="E47" s="51">
        <v>45</v>
      </c>
      <c r="F47" s="51"/>
      <c r="G47" s="51"/>
      <c r="H47" s="51"/>
      <c r="I47" s="51"/>
      <c r="J47" s="39">
        <f t="shared" ref="J47:J67" si="8">SUM(C47:I47)</f>
        <v>45</v>
      </c>
      <c r="K47" s="35"/>
    </row>
    <row r="48" spans="1:11" ht="18.75" x14ac:dyDescent="0.3">
      <c r="A48" s="31">
        <f>+A47+1</f>
        <v>31</v>
      </c>
      <c r="B48" s="37" t="s">
        <v>83</v>
      </c>
      <c r="C48" s="51"/>
      <c r="D48" s="51"/>
      <c r="E48" s="51"/>
      <c r="F48" s="51"/>
      <c r="G48" s="51">
        <v>4</v>
      </c>
      <c r="H48" s="51"/>
      <c r="I48" s="51"/>
      <c r="J48" s="39">
        <f t="shared" si="8"/>
        <v>4</v>
      </c>
      <c r="K48" s="35"/>
    </row>
    <row r="49" spans="1:11" ht="18.75" x14ac:dyDescent="0.3">
      <c r="A49" s="31">
        <f t="shared" ref="A49:A59" si="9">+A48+1</f>
        <v>32</v>
      </c>
      <c r="B49" s="37" t="s">
        <v>41</v>
      </c>
      <c r="C49" s="51"/>
      <c r="D49" s="51">
        <f>15+12</f>
        <v>27</v>
      </c>
      <c r="E49" s="51"/>
      <c r="F49" s="51">
        <v>15</v>
      </c>
      <c r="G49" s="51">
        <v>25</v>
      </c>
      <c r="H49" s="51"/>
      <c r="I49" s="51"/>
      <c r="J49" s="39">
        <f t="shared" si="8"/>
        <v>67</v>
      </c>
      <c r="K49" s="35"/>
    </row>
    <row r="50" spans="1:11" ht="18.75" x14ac:dyDescent="0.3">
      <c r="A50" s="31">
        <f t="shared" si="9"/>
        <v>33</v>
      </c>
      <c r="B50" s="37" t="s">
        <v>84</v>
      </c>
      <c r="C50" s="51">
        <f>15+12</f>
        <v>27</v>
      </c>
      <c r="D50" s="51"/>
      <c r="E50" s="51">
        <v>20</v>
      </c>
      <c r="F50" s="51">
        <v>20</v>
      </c>
      <c r="G50" s="51"/>
      <c r="H50" s="51">
        <v>10</v>
      </c>
      <c r="I50" s="51">
        <v>360</v>
      </c>
      <c r="J50" s="39">
        <f t="shared" si="8"/>
        <v>437</v>
      </c>
      <c r="K50" s="35"/>
    </row>
    <row r="51" spans="1:11" ht="18.75" x14ac:dyDescent="0.3">
      <c r="A51" s="31">
        <f t="shared" si="9"/>
        <v>34</v>
      </c>
      <c r="B51" s="37" t="s">
        <v>42</v>
      </c>
      <c r="C51" s="51">
        <f>15+12</f>
        <v>27</v>
      </c>
      <c r="D51" s="51"/>
      <c r="E51" s="51">
        <f>40+20</f>
        <v>60</v>
      </c>
      <c r="F51" s="51"/>
      <c r="G51" s="51">
        <v>10</v>
      </c>
      <c r="H51" s="51"/>
      <c r="I51" s="51"/>
      <c r="J51" s="39">
        <f t="shared" si="8"/>
        <v>97</v>
      </c>
      <c r="K51" s="35"/>
    </row>
    <row r="52" spans="1:11" ht="18.75" x14ac:dyDescent="0.3">
      <c r="A52" s="31">
        <f t="shared" si="9"/>
        <v>35</v>
      </c>
      <c r="B52" s="37" t="s">
        <v>105</v>
      </c>
      <c r="C52" s="51"/>
      <c r="D52" s="51">
        <f>36+12+45</f>
        <v>93</v>
      </c>
      <c r="E52" s="51">
        <f>36+12+45</f>
        <v>93</v>
      </c>
      <c r="F52" s="51">
        <f>24+12+35+15</f>
        <v>86</v>
      </c>
      <c r="G52" s="51">
        <f>48+45+15</f>
        <v>108</v>
      </c>
      <c r="H52" s="51">
        <f>36+12</f>
        <v>48</v>
      </c>
      <c r="I52" s="51"/>
      <c r="J52" s="39">
        <f t="shared" si="8"/>
        <v>428</v>
      </c>
      <c r="K52" s="35"/>
    </row>
    <row r="53" spans="1:11" ht="18.75" x14ac:dyDescent="0.3">
      <c r="A53" s="31">
        <f t="shared" si="9"/>
        <v>36</v>
      </c>
      <c r="B53" s="37" t="s">
        <v>85</v>
      </c>
      <c r="C53" s="51">
        <v>90</v>
      </c>
      <c r="D53" s="51">
        <f>3*45</f>
        <v>135</v>
      </c>
      <c r="E53" s="51"/>
      <c r="F53" s="51"/>
      <c r="G53" s="51"/>
      <c r="H53" s="51"/>
      <c r="I53" s="51"/>
      <c r="J53" s="39">
        <f t="shared" si="8"/>
        <v>225</v>
      </c>
      <c r="K53" s="35"/>
    </row>
    <row r="54" spans="1:11" ht="18.75" x14ac:dyDescent="0.3">
      <c r="A54" s="31">
        <f t="shared" si="9"/>
        <v>37</v>
      </c>
      <c r="B54" s="37" t="s">
        <v>44</v>
      </c>
      <c r="C54" s="51"/>
      <c r="D54" s="51"/>
      <c r="E54" s="51">
        <v>100</v>
      </c>
      <c r="F54" s="51"/>
      <c r="G54" s="51"/>
      <c r="H54" s="51"/>
      <c r="I54" s="51"/>
      <c r="J54" s="39">
        <f t="shared" si="8"/>
        <v>100</v>
      </c>
      <c r="K54" s="35"/>
    </row>
    <row r="55" spans="1:11" ht="18.75" x14ac:dyDescent="0.3">
      <c r="A55" s="31">
        <f t="shared" si="9"/>
        <v>38</v>
      </c>
      <c r="B55" s="37" t="s">
        <v>106</v>
      </c>
      <c r="C55" s="51">
        <v>100</v>
      </c>
      <c r="D55" s="51">
        <v>100</v>
      </c>
      <c r="E55" s="51"/>
      <c r="F55" s="51"/>
      <c r="G55" s="51">
        <v>100</v>
      </c>
      <c r="H55" s="51"/>
      <c r="I55" s="51"/>
      <c r="J55" s="39">
        <f t="shared" si="8"/>
        <v>300</v>
      </c>
      <c r="K55" s="35"/>
    </row>
    <row r="56" spans="1:11" ht="18.75" x14ac:dyDescent="0.3">
      <c r="A56" s="31">
        <f t="shared" si="9"/>
        <v>39</v>
      </c>
      <c r="B56" s="37" t="s">
        <v>107</v>
      </c>
      <c r="C56" s="51">
        <f>45+15</f>
        <v>60</v>
      </c>
      <c r="D56" s="51">
        <v>47</v>
      </c>
      <c r="E56" s="51"/>
      <c r="F56" s="51">
        <v>47</v>
      </c>
      <c r="G56" s="51">
        <f>51+65</f>
        <v>116</v>
      </c>
      <c r="H56" s="51">
        <f>24+15</f>
        <v>39</v>
      </c>
      <c r="I56" s="51"/>
      <c r="J56" s="39">
        <f t="shared" si="8"/>
        <v>309</v>
      </c>
      <c r="K56" s="35"/>
    </row>
    <row r="57" spans="1:11" ht="18.75" x14ac:dyDescent="0.3">
      <c r="A57" s="31">
        <f t="shared" si="9"/>
        <v>40</v>
      </c>
      <c r="B57" s="37" t="s">
        <v>108</v>
      </c>
      <c r="C57" s="51">
        <v>100</v>
      </c>
      <c r="D57" s="51"/>
      <c r="E57" s="51">
        <v>100</v>
      </c>
      <c r="F57" s="51">
        <v>100</v>
      </c>
      <c r="G57" s="51"/>
      <c r="H57" s="51"/>
      <c r="I57" s="51"/>
      <c r="J57" s="39">
        <f t="shared" si="8"/>
        <v>300</v>
      </c>
      <c r="K57" s="35"/>
    </row>
    <row r="58" spans="1:11" ht="18.75" x14ac:dyDescent="0.3">
      <c r="A58" s="31">
        <f t="shared" si="9"/>
        <v>41</v>
      </c>
      <c r="B58" s="37" t="s">
        <v>109</v>
      </c>
      <c r="C58" s="52"/>
      <c r="D58" s="50">
        <v>10</v>
      </c>
      <c r="E58" s="50">
        <v>35</v>
      </c>
      <c r="F58" s="50"/>
      <c r="G58" s="50">
        <f>27+16</f>
        <v>43</v>
      </c>
      <c r="H58" s="50"/>
      <c r="I58" s="50"/>
      <c r="J58" s="39">
        <f t="shared" si="8"/>
        <v>88</v>
      </c>
      <c r="K58" s="35"/>
    </row>
    <row r="59" spans="1:11" ht="18.75" x14ac:dyDescent="0.3">
      <c r="A59" s="31">
        <f t="shared" si="9"/>
        <v>42</v>
      </c>
      <c r="B59" s="37" t="s">
        <v>110</v>
      </c>
      <c r="C59" s="51"/>
      <c r="D59" s="51"/>
      <c r="E59" s="51">
        <v>100</v>
      </c>
      <c r="F59" s="51"/>
      <c r="G59" s="51">
        <v>100</v>
      </c>
      <c r="H59" s="51"/>
      <c r="I59" s="50"/>
      <c r="J59" s="39">
        <f t="shared" si="8"/>
        <v>200</v>
      </c>
      <c r="K59" s="35"/>
    </row>
    <row r="60" spans="1:11" ht="18.75" x14ac:dyDescent="0.3">
      <c r="A60" s="31">
        <f t="shared" ref="A60:A67" si="10">+A59+1</f>
        <v>43</v>
      </c>
      <c r="B60" s="37" t="s">
        <v>45</v>
      </c>
      <c r="C60" s="51"/>
      <c r="D60" s="51"/>
      <c r="E60" s="51"/>
      <c r="F60" s="51">
        <v>15</v>
      </c>
      <c r="G60" s="51"/>
      <c r="H60" s="51"/>
      <c r="I60" s="50"/>
      <c r="J60" s="39">
        <f t="shared" si="8"/>
        <v>15</v>
      </c>
      <c r="K60" s="35"/>
    </row>
    <row r="61" spans="1:11" ht="18.75" x14ac:dyDescent="0.3">
      <c r="A61" s="31">
        <f t="shared" si="10"/>
        <v>44</v>
      </c>
      <c r="B61" s="37" t="s">
        <v>111</v>
      </c>
      <c r="C61" s="51">
        <v>12</v>
      </c>
      <c r="D61" s="51">
        <v>30</v>
      </c>
      <c r="E61" s="51"/>
      <c r="F61" s="51">
        <v>90</v>
      </c>
      <c r="G61" s="51">
        <v>12</v>
      </c>
      <c r="H61" s="51"/>
      <c r="I61" s="50"/>
      <c r="J61" s="39">
        <f t="shared" si="8"/>
        <v>144</v>
      </c>
      <c r="K61" s="35"/>
    </row>
    <row r="62" spans="1:11" ht="18.75" x14ac:dyDescent="0.3">
      <c r="A62" s="31">
        <f t="shared" si="10"/>
        <v>45</v>
      </c>
      <c r="B62" s="37" t="s">
        <v>86</v>
      </c>
      <c r="C62" s="52"/>
      <c r="D62" s="50"/>
      <c r="E62" s="50"/>
      <c r="F62" s="50">
        <v>15</v>
      </c>
      <c r="G62" s="50"/>
      <c r="H62" s="50"/>
      <c r="I62" s="50">
        <v>215</v>
      </c>
      <c r="J62" s="39">
        <f t="shared" si="8"/>
        <v>230</v>
      </c>
      <c r="K62" s="35"/>
    </row>
    <row r="63" spans="1:11" ht="18.75" x14ac:dyDescent="0.3">
      <c r="A63" s="31">
        <f t="shared" si="10"/>
        <v>46</v>
      </c>
      <c r="B63" s="37" t="s">
        <v>112</v>
      </c>
      <c r="C63" s="52"/>
      <c r="D63" s="50">
        <f>24+40+45+10</f>
        <v>119</v>
      </c>
      <c r="E63" s="50">
        <f>24+15+40+45</f>
        <v>124</v>
      </c>
      <c r="F63" s="50">
        <f>24+12+35+40</f>
        <v>111</v>
      </c>
      <c r="G63" s="50">
        <f>39+45</f>
        <v>84</v>
      </c>
      <c r="H63" s="50">
        <v>12</v>
      </c>
      <c r="I63" s="50"/>
      <c r="J63" s="39">
        <f t="shared" si="8"/>
        <v>450</v>
      </c>
      <c r="K63" s="35"/>
    </row>
    <row r="64" spans="1:11" ht="18.75" x14ac:dyDescent="0.3">
      <c r="A64" s="31">
        <f t="shared" si="10"/>
        <v>47</v>
      </c>
      <c r="B64" s="37" t="s">
        <v>47</v>
      </c>
      <c r="C64" s="52"/>
      <c r="D64" s="50"/>
      <c r="E64" s="50"/>
      <c r="F64" s="50">
        <f>45+100</f>
        <v>145</v>
      </c>
      <c r="G64" s="50">
        <v>45</v>
      </c>
      <c r="H64" s="50"/>
      <c r="I64" s="50">
        <v>117</v>
      </c>
      <c r="J64" s="39">
        <f t="shared" si="8"/>
        <v>307</v>
      </c>
      <c r="K64" s="35"/>
    </row>
    <row r="65" spans="1:14" ht="18.75" x14ac:dyDescent="0.3">
      <c r="A65" s="31">
        <f t="shared" si="10"/>
        <v>48</v>
      </c>
      <c r="B65" s="37" t="s">
        <v>48</v>
      </c>
      <c r="C65" s="50"/>
      <c r="D65" s="50">
        <v>47</v>
      </c>
      <c r="E65" s="50">
        <v>5</v>
      </c>
      <c r="F65" s="50"/>
      <c r="G65" s="50">
        <v>30</v>
      </c>
      <c r="H65" s="50"/>
      <c r="I65" s="50"/>
      <c r="J65" s="39">
        <f t="shared" si="8"/>
        <v>82</v>
      </c>
      <c r="K65" s="35"/>
    </row>
    <row r="66" spans="1:14" ht="18.75" x14ac:dyDescent="0.3">
      <c r="A66" s="31">
        <f t="shared" si="10"/>
        <v>49</v>
      </c>
      <c r="B66" s="37" t="s">
        <v>87</v>
      </c>
      <c r="C66" s="50"/>
      <c r="D66" s="50"/>
      <c r="E66" s="50"/>
      <c r="F66" s="50"/>
      <c r="G66" s="50"/>
      <c r="H66" s="50">
        <f>96+30</f>
        <v>126</v>
      </c>
      <c r="I66" s="50"/>
      <c r="J66" s="39">
        <f t="shared" si="8"/>
        <v>126</v>
      </c>
      <c r="K66" s="35"/>
    </row>
    <row r="67" spans="1:14" ht="18.75" x14ac:dyDescent="0.3">
      <c r="A67" s="31">
        <f t="shared" si="10"/>
        <v>50</v>
      </c>
      <c r="B67" s="37" t="s">
        <v>49</v>
      </c>
      <c r="C67" s="50">
        <v>47</v>
      </c>
      <c r="D67" s="50"/>
      <c r="E67" s="50">
        <v>15</v>
      </c>
      <c r="F67" s="50">
        <v>10</v>
      </c>
      <c r="G67" s="50">
        <f>15+15</f>
        <v>30</v>
      </c>
      <c r="H67" s="50">
        <v>15</v>
      </c>
      <c r="I67" s="30"/>
      <c r="J67" s="39">
        <f t="shared" si="8"/>
        <v>117</v>
      </c>
      <c r="K67" s="19"/>
    </row>
    <row r="68" spans="1:14" ht="18.75" x14ac:dyDescent="0.3">
      <c r="G68" s="67"/>
      <c r="L68" s="16"/>
    </row>
    <row r="69" spans="1:14" ht="21" x14ac:dyDescent="0.35">
      <c r="B69" s="57" t="s">
        <v>54</v>
      </c>
      <c r="C69" s="58"/>
      <c r="D69" s="59"/>
      <c r="E69" s="60"/>
      <c r="F69" s="60"/>
      <c r="G69" s="60"/>
      <c r="H69" s="28"/>
      <c r="I69" s="29"/>
      <c r="J69" s="41">
        <f>SUM(J4:J68)</f>
        <v>7081</v>
      </c>
    </row>
    <row r="70" spans="1:14" x14ac:dyDescent="0.25">
      <c r="B70" s="61"/>
      <c r="C70" s="61"/>
      <c r="D70" s="61"/>
      <c r="E70" s="61"/>
      <c r="F70" s="61"/>
      <c r="G70" s="61"/>
    </row>
    <row r="71" spans="1:14" ht="15.75" x14ac:dyDescent="0.25">
      <c r="B71" s="61" t="s">
        <v>55</v>
      </c>
      <c r="C71" s="65">
        <f>SUM(C72:C76)</f>
        <v>58</v>
      </c>
      <c r="D71" s="63">
        <f>+C71*100</f>
        <v>5800</v>
      </c>
      <c r="E71" s="63">
        <f>+D71*0.1</f>
        <v>580</v>
      </c>
      <c r="F71" s="63">
        <f>+D71-E71</f>
        <v>5220</v>
      </c>
      <c r="G71" s="62"/>
      <c r="H71" s="16"/>
      <c r="N71" s="42"/>
    </row>
    <row r="72" spans="1:14" x14ac:dyDescent="0.25">
      <c r="B72" s="61" t="s">
        <v>89</v>
      </c>
      <c r="C72" s="62">
        <v>20</v>
      </c>
      <c r="D72" s="63"/>
      <c r="E72" s="63"/>
      <c r="F72" s="63"/>
      <c r="G72" s="62"/>
      <c r="H72" s="16"/>
      <c r="N72" s="42"/>
    </row>
    <row r="73" spans="1:14" x14ac:dyDescent="0.25">
      <c r="B73" s="61" t="s">
        <v>90</v>
      </c>
      <c r="C73" s="62">
        <v>15</v>
      </c>
      <c r="D73" s="63"/>
      <c r="E73" s="63"/>
      <c r="F73" s="63"/>
      <c r="G73" s="62"/>
      <c r="H73" s="16"/>
      <c r="N73" s="42"/>
    </row>
    <row r="74" spans="1:14" x14ac:dyDescent="0.25">
      <c r="B74" s="61" t="s">
        <v>91</v>
      </c>
      <c r="C74" s="62">
        <v>5</v>
      </c>
      <c r="D74" s="63"/>
      <c r="E74" s="63"/>
      <c r="F74" s="63"/>
      <c r="G74" s="62"/>
      <c r="H74" s="16"/>
      <c r="N74" s="42"/>
    </row>
    <row r="75" spans="1:14" x14ac:dyDescent="0.25">
      <c r="B75" s="61" t="s">
        <v>92</v>
      </c>
      <c r="C75" s="62">
        <v>8</v>
      </c>
      <c r="D75" s="63"/>
      <c r="E75" s="63"/>
      <c r="F75" s="63"/>
      <c r="G75" s="62"/>
      <c r="H75" s="16"/>
      <c r="N75" s="42"/>
    </row>
    <row r="76" spans="1:14" x14ac:dyDescent="0.25">
      <c r="B76" s="61" t="s">
        <v>93</v>
      </c>
      <c r="C76" s="62">
        <v>10</v>
      </c>
      <c r="D76" s="63"/>
      <c r="E76" s="63"/>
      <c r="F76" s="63"/>
      <c r="G76" s="62"/>
      <c r="H76" s="16"/>
      <c r="N76" s="42"/>
    </row>
    <row r="77" spans="1:14" x14ac:dyDescent="0.25">
      <c r="B77" s="61"/>
      <c r="C77" s="62"/>
      <c r="D77" s="63"/>
      <c r="E77" s="63"/>
      <c r="F77" s="63"/>
      <c r="G77" s="62"/>
      <c r="H77" s="16"/>
      <c r="N77" s="42"/>
    </row>
    <row r="78" spans="1:14" ht="15.75" x14ac:dyDescent="0.25">
      <c r="B78" s="61" t="s">
        <v>57</v>
      </c>
      <c r="C78" s="65">
        <f>SUM(C79:C81)</f>
        <v>40</v>
      </c>
      <c r="D78" s="63">
        <f t="shared" ref="D78:D95" si="11">+C78*100</f>
        <v>4000</v>
      </c>
      <c r="E78" s="63">
        <f t="shared" ref="E78:E95" si="12">+D78*0.1</f>
        <v>400</v>
      </c>
      <c r="F78" s="63">
        <f t="shared" ref="F78:F95" si="13">+D78-E78</f>
        <v>3600</v>
      </c>
      <c r="G78" s="61"/>
    </row>
    <row r="79" spans="1:14" x14ac:dyDescent="0.25">
      <c r="B79" s="61" t="s">
        <v>89</v>
      </c>
      <c r="C79" s="61">
        <v>20</v>
      </c>
      <c r="D79" s="63"/>
      <c r="E79" s="63"/>
      <c r="F79" s="63"/>
      <c r="G79" s="61"/>
    </row>
    <row r="80" spans="1:14" x14ac:dyDescent="0.25">
      <c r="B80" s="61" t="s">
        <v>91</v>
      </c>
      <c r="C80" s="61">
        <v>20</v>
      </c>
      <c r="D80" s="63"/>
      <c r="E80" s="63"/>
      <c r="F80" s="63"/>
      <c r="G80" s="61"/>
    </row>
    <row r="81" spans="2:13" x14ac:dyDescent="0.25">
      <c r="B81" s="61"/>
      <c r="C81" s="61"/>
      <c r="D81" s="63"/>
      <c r="E81" s="63"/>
      <c r="F81" s="63"/>
      <c r="G81" s="61"/>
    </row>
    <row r="82" spans="2:13" x14ac:dyDescent="0.25">
      <c r="B82" s="61"/>
      <c r="C82" s="61"/>
      <c r="D82" s="63"/>
      <c r="E82" s="63"/>
      <c r="F82" s="63"/>
      <c r="G82" s="61"/>
    </row>
    <row r="83" spans="2:13" x14ac:dyDescent="0.25">
      <c r="B83" s="61"/>
      <c r="C83" s="61"/>
      <c r="D83" s="63"/>
      <c r="E83" s="63"/>
      <c r="F83" s="63"/>
      <c r="G83" s="61"/>
    </row>
    <row r="84" spans="2:13" ht="15.75" x14ac:dyDescent="0.25">
      <c r="B84" s="61" t="s">
        <v>59</v>
      </c>
      <c r="C84" s="65">
        <f>SUM(C85:C87)</f>
        <v>15</v>
      </c>
      <c r="D84" s="63">
        <f t="shared" si="11"/>
        <v>1500</v>
      </c>
      <c r="E84" s="63">
        <f t="shared" si="12"/>
        <v>150</v>
      </c>
      <c r="F84" s="63">
        <f t="shared" si="13"/>
        <v>1350</v>
      </c>
      <c r="G84" s="61"/>
    </row>
    <row r="85" spans="2:13" x14ac:dyDescent="0.25">
      <c r="B85" s="61" t="s">
        <v>89</v>
      </c>
      <c r="C85" s="61">
        <v>15</v>
      </c>
      <c r="D85" s="63"/>
      <c r="E85" s="63"/>
      <c r="F85" s="63"/>
      <c r="G85" s="61"/>
    </row>
    <row r="86" spans="2:13" x14ac:dyDescent="0.25">
      <c r="B86" s="61"/>
      <c r="C86" s="61"/>
      <c r="D86" s="63"/>
      <c r="E86" s="63"/>
      <c r="F86" s="63"/>
      <c r="G86" s="61"/>
    </row>
    <row r="87" spans="2:13" x14ac:dyDescent="0.25">
      <c r="B87" s="61"/>
      <c r="C87" s="61"/>
      <c r="D87" s="63"/>
      <c r="E87" s="63"/>
      <c r="F87" s="63"/>
      <c r="G87" s="61"/>
    </row>
    <row r="88" spans="2:13" x14ac:dyDescent="0.25">
      <c r="B88" s="61"/>
      <c r="C88" s="61"/>
      <c r="D88" s="63"/>
      <c r="E88" s="63"/>
      <c r="F88" s="63"/>
      <c r="G88" s="61"/>
      <c r="I88" s="16"/>
    </row>
    <row r="89" spans="2:13" ht="15.75" x14ac:dyDescent="0.25">
      <c r="B89" s="61" t="s">
        <v>61</v>
      </c>
      <c r="C89" s="65">
        <f>SUM(C90:C93)</f>
        <v>18</v>
      </c>
      <c r="D89" s="63">
        <f t="shared" si="11"/>
        <v>1800</v>
      </c>
      <c r="E89" s="63">
        <f t="shared" si="12"/>
        <v>180</v>
      </c>
      <c r="F89" s="63">
        <f t="shared" si="13"/>
        <v>1620</v>
      </c>
      <c r="G89" s="61"/>
      <c r="I89" s="16"/>
      <c r="J89" s="16">
        <f>+C71+C78+C84+C89+C95</f>
        <v>146</v>
      </c>
      <c r="K89" s="1">
        <f>+J89*100</f>
        <v>14600</v>
      </c>
      <c r="L89" s="1">
        <f>+K89*0.1</f>
        <v>1460</v>
      </c>
      <c r="M89" s="1">
        <f>+K89-L89</f>
        <v>13140</v>
      </c>
    </row>
    <row r="90" spans="2:13" x14ac:dyDescent="0.25">
      <c r="B90" s="61" t="s">
        <v>89</v>
      </c>
      <c r="C90" s="61">
        <v>15</v>
      </c>
      <c r="D90" s="63"/>
      <c r="E90" s="63"/>
      <c r="F90" s="63"/>
      <c r="G90" s="61"/>
    </row>
    <row r="91" spans="2:13" x14ac:dyDescent="0.25">
      <c r="B91" s="61"/>
      <c r="C91" s="61"/>
      <c r="D91" s="63"/>
      <c r="E91" s="63"/>
      <c r="F91" s="63"/>
      <c r="G91" s="61"/>
      <c r="M91" s="13">
        <f>+J69+M89</f>
        <v>20221</v>
      </c>
    </row>
    <row r="92" spans="2:13" x14ac:dyDescent="0.25">
      <c r="B92" s="61" t="s">
        <v>122</v>
      </c>
      <c r="C92" s="61">
        <v>3</v>
      </c>
      <c r="D92" s="63"/>
      <c r="E92" s="63"/>
      <c r="F92" s="63"/>
      <c r="G92" s="61"/>
    </row>
    <row r="93" spans="2:13" x14ac:dyDescent="0.25">
      <c r="B93" s="61"/>
      <c r="C93" s="61"/>
      <c r="D93" s="63"/>
      <c r="E93" s="63"/>
      <c r="F93" s="63"/>
      <c r="G93" s="61"/>
    </row>
    <row r="94" spans="2:13" x14ac:dyDescent="0.25">
      <c r="B94" s="61"/>
      <c r="C94" s="61"/>
      <c r="D94" s="63"/>
      <c r="E94" s="63"/>
      <c r="F94" s="63"/>
      <c r="G94" s="61"/>
      <c r="J94" s="66"/>
    </row>
    <row r="95" spans="2:13" ht="15.75" x14ac:dyDescent="0.25">
      <c r="B95" s="61" t="s">
        <v>63</v>
      </c>
      <c r="C95" s="65">
        <f>SUM(C96:C98)</f>
        <v>15</v>
      </c>
      <c r="D95" s="63">
        <f t="shared" si="11"/>
        <v>1500</v>
      </c>
      <c r="E95" s="63">
        <f t="shared" si="12"/>
        <v>150</v>
      </c>
      <c r="F95" s="63">
        <f t="shared" si="13"/>
        <v>1350</v>
      </c>
      <c r="G95" s="61"/>
    </row>
    <row r="96" spans="2:13" x14ac:dyDescent="0.25">
      <c r="B96" s="61" t="s">
        <v>123</v>
      </c>
      <c r="C96" s="62">
        <v>9</v>
      </c>
      <c r="D96" s="64"/>
      <c r="E96" s="64"/>
      <c r="F96" s="64"/>
      <c r="G96" s="61"/>
      <c r="I96" s="16"/>
    </row>
    <row r="97" spans="2:7" x14ac:dyDescent="0.25">
      <c r="B97" s="61" t="s">
        <v>91</v>
      </c>
      <c r="C97" s="61">
        <v>6</v>
      </c>
      <c r="D97" s="61"/>
      <c r="E97" s="63"/>
      <c r="F97" s="63"/>
      <c r="G97" s="61"/>
    </row>
    <row r="98" spans="2:7" x14ac:dyDescent="0.25">
      <c r="B98" s="61"/>
      <c r="C98" s="61"/>
      <c r="D98" s="61"/>
      <c r="E98" s="61"/>
      <c r="F98" s="64"/>
      <c r="G98" s="61"/>
    </row>
    <row r="99" spans="2:7" ht="15.75" x14ac:dyDescent="0.25">
      <c r="B99" s="61" t="s">
        <v>126</v>
      </c>
      <c r="C99" s="65">
        <f>SUM(C100:C102)</f>
        <v>1</v>
      </c>
      <c r="D99" s="63">
        <f t="shared" ref="D99" si="14">+C99*100</f>
        <v>100</v>
      </c>
    </row>
    <row r="100" spans="2:7" x14ac:dyDescent="0.25">
      <c r="B100" s="61" t="s">
        <v>89</v>
      </c>
      <c r="C100" s="61">
        <v>1</v>
      </c>
    </row>
    <row r="101" spans="2:7" x14ac:dyDescent="0.25">
      <c r="B101" s="61"/>
      <c r="C101" s="61"/>
    </row>
    <row r="104" spans="2:7" ht="15.75" x14ac:dyDescent="0.25">
      <c r="B104" s="61" t="s">
        <v>106</v>
      </c>
      <c r="C104" s="65">
        <f>SUM(C105:C107)</f>
        <v>3</v>
      </c>
      <c r="D104" s="63">
        <f t="shared" ref="D104" si="15">+C104*100</f>
        <v>300</v>
      </c>
    </row>
    <row r="105" spans="2:7" x14ac:dyDescent="0.25">
      <c r="B105" s="61" t="s">
        <v>89</v>
      </c>
      <c r="C105" s="61">
        <v>1</v>
      </c>
    </row>
    <row r="106" spans="2:7" x14ac:dyDescent="0.25">
      <c r="B106" s="61" t="s">
        <v>90</v>
      </c>
      <c r="C106" s="61">
        <v>1</v>
      </c>
    </row>
    <row r="107" spans="2:7" x14ac:dyDescent="0.25">
      <c r="B107" s="61" t="s">
        <v>93</v>
      </c>
      <c r="C107" s="61">
        <v>1</v>
      </c>
    </row>
    <row r="109" spans="2:7" ht="15.75" x14ac:dyDescent="0.25">
      <c r="B109" s="61" t="s">
        <v>127</v>
      </c>
      <c r="C109" s="65">
        <f>SUM(C110:C113)</f>
        <v>3</v>
      </c>
      <c r="D109" s="63">
        <f t="shared" ref="D109" si="16">+C109*100</f>
        <v>300</v>
      </c>
    </row>
    <row r="110" spans="2:7" x14ac:dyDescent="0.25">
      <c r="B110" s="61" t="s">
        <v>89</v>
      </c>
      <c r="C110" s="61">
        <v>1</v>
      </c>
    </row>
    <row r="111" spans="2:7" x14ac:dyDescent="0.25">
      <c r="B111" s="61" t="s">
        <v>91</v>
      </c>
      <c r="C111" s="61">
        <v>1</v>
      </c>
    </row>
    <row r="112" spans="2:7" x14ac:dyDescent="0.25">
      <c r="B112" s="61" t="s">
        <v>92</v>
      </c>
      <c r="C112" s="61">
        <v>1</v>
      </c>
    </row>
    <row r="114" spans="2:4" ht="15.75" x14ac:dyDescent="0.25">
      <c r="B114" s="61" t="s">
        <v>128</v>
      </c>
      <c r="C114" s="65">
        <f>SUM(C115:C116)</f>
        <v>1</v>
      </c>
      <c r="D114" s="63">
        <f t="shared" ref="D114" si="17">+C114*100</f>
        <v>100</v>
      </c>
    </row>
    <row r="115" spans="2:4" x14ac:dyDescent="0.25">
      <c r="B115" s="61" t="s">
        <v>91</v>
      </c>
      <c r="C115" s="61">
        <v>1</v>
      </c>
    </row>
    <row r="117" spans="2:4" ht="15.75" x14ac:dyDescent="0.25">
      <c r="B117" s="61" t="s">
        <v>129</v>
      </c>
      <c r="C117" s="65">
        <f>SUM(C118:C121)</f>
        <v>2</v>
      </c>
      <c r="D117" s="63">
        <f t="shared" ref="D117" si="18">+C117*100</f>
        <v>200</v>
      </c>
    </row>
    <row r="118" spans="2:4" x14ac:dyDescent="0.25">
      <c r="B118" s="61" t="s">
        <v>91</v>
      </c>
      <c r="C118" s="61">
        <v>1</v>
      </c>
    </row>
    <row r="119" spans="2:4" x14ac:dyDescent="0.25">
      <c r="B119" s="61" t="s">
        <v>93</v>
      </c>
      <c r="C119" s="61">
        <v>1</v>
      </c>
    </row>
  </sheetData>
  <pageMargins left="0.33" right="0.7" top="0.32" bottom="0.3" header="0.31496062992125984" footer="0.31496062992125984"/>
  <pageSetup scale="56" fitToHeight="0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09"/>
  <sheetViews>
    <sheetView topLeftCell="A22" workbookViewId="0">
      <selection activeCell="I27" sqref="I27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9" width="10.7109375" customWidth="1"/>
    <col min="10" max="10" width="13.85546875" customWidth="1"/>
    <col min="11" max="11" width="16.5703125" customWidth="1"/>
  </cols>
  <sheetData>
    <row r="2" spans="1:11" ht="26.25" x14ac:dyDescent="0.4">
      <c r="B2" s="45" t="s">
        <v>68</v>
      </c>
    </row>
    <row r="3" spans="1:11" x14ac:dyDescent="0.25">
      <c r="A3" s="31" t="s">
        <v>1</v>
      </c>
      <c r="B3" s="32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3" t="s">
        <v>8</v>
      </c>
      <c r="I3" s="33" t="s">
        <v>9</v>
      </c>
      <c r="J3" s="33" t="s">
        <v>10</v>
      </c>
      <c r="K3" s="33" t="s">
        <v>11</v>
      </c>
    </row>
    <row r="4" spans="1:11" ht="18.75" x14ac:dyDescent="0.3">
      <c r="A4" s="31"/>
      <c r="B4" s="32"/>
      <c r="C4" s="46"/>
      <c r="D4" s="46"/>
      <c r="E4" s="46"/>
      <c r="F4" s="46"/>
      <c r="G4" s="46"/>
      <c r="H4" s="46"/>
      <c r="I4" s="46"/>
      <c r="J4" s="33"/>
      <c r="K4" s="34"/>
    </row>
    <row r="5" spans="1:11" ht="18.75" x14ac:dyDescent="0.3">
      <c r="A5" s="31">
        <v>1</v>
      </c>
      <c r="B5" s="37" t="s">
        <v>94</v>
      </c>
      <c r="C5" s="46"/>
      <c r="D5" s="46">
        <f>10+15+10</f>
        <v>35</v>
      </c>
      <c r="E5" s="46">
        <v>10</v>
      </c>
      <c r="F5" s="46">
        <v>15</v>
      </c>
      <c r="G5" s="46">
        <f>19+45+5</f>
        <v>69</v>
      </c>
      <c r="H5" s="46"/>
      <c r="I5" s="46"/>
      <c r="J5" s="39">
        <f>SUM(C5:I5)</f>
        <v>129</v>
      </c>
      <c r="K5" s="34" t="s">
        <v>130</v>
      </c>
    </row>
    <row r="6" spans="1:11" ht="18.75" x14ac:dyDescent="0.3">
      <c r="A6" s="31">
        <f>+A5+1</f>
        <v>2</v>
      </c>
      <c r="B6" s="37" t="s">
        <v>69</v>
      </c>
      <c r="C6" s="46">
        <f>12+5</f>
        <v>17</v>
      </c>
      <c r="D6" s="46">
        <f>15+12+10</f>
        <v>37</v>
      </c>
      <c r="E6" s="46">
        <f>12+12+10+5+20+15</f>
        <v>74</v>
      </c>
      <c r="F6" s="46">
        <f>12+10+2+12+10+10+35</f>
        <v>91</v>
      </c>
      <c r="G6" s="46">
        <f>39+10+10+10+10+2</f>
        <v>81</v>
      </c>
      <c r="H6" s="46"/>
      <c r="I6" s="46">
        <v>200</v>
      </c>
      <c r="J6" s="39">
        <f t="shared" ref="J6:J10" si="0">SUM(C6:I6)</f>
        <v>500</v>
      </c>
      <c r="K6" s="34"/>
    </row>
    <row r="7" spans="1:11" ht="18.75" x14ac:dyDescent="0.3">
      <c r="A7" s="31">
        <f t="shared" ref="A7:A10" si="1">+A6+1</f>
        <v>3</v>
      </c>
      <c r="B7" s="37" t="s">
        <v>70</v>
      </c>
      <c r="C7" s="46"/>
      <c r="D7" s="46"/>
      <c r="E7" s="46"/>
      <c r="F7" s="46"/>
      <c r="G7" s="46">
        <v>5</v>
      </c>
      <c r="H7" s="46"/>
      <c r="I7" s="46"/>
      <c r="J7" s="39">
        <f t="shared" si="0"/>
        <v>5</v>
      </c>
      <c r="K7" s="34"/>
    </row>
    <row r="8" spans="1:11" ht="18.75" x14ac:dyDescent="0.3">
      <c r="A8" s="31">
        <f t="shared" si="1"/>
        <v>4</v>
      </c>
      <c r="B8" s="37" t="s">
        <v>95</v>
      </c>
      <c r="C8" s="46"/>
      <c r="D8" s="46"/>
      <c r="E8" s="46"/>
      <c r="F8" s="46"/>
      <c r="G8" s="46">
        <f>35-18</f>
        <v>17</v>
      </c>
      <c r="H8" s="46"/>
      <c r="I8" s="46"/>
      <c r="J8" s="39">
        <f t="shared" si="0"/>
        <v>17</v>
      </c>
      <c r="K8" s="34"/>
    </row>
    <row r="9" spans="1:11" ht="18.75" x14ac:dyDescent="0.3">
      <c r="A9" s="31">
        <f t="shared" si="1"/>
        <v>5</v>
      </c>
      <c r="B9" s="37" t="s">
        <v>72</v>
      </c>
      <c r="C9" s="46"/>
      <c r="D9" s="46"/>
      <c r="E9" s="46"/>
      <c r="F9" s="46"/>
      <c r="G9" s="46">
        <f>40+5</f>
        <v>45</v>
      </c>
      <c r="H9" s="46"/>
      <c r="I9" s="46"/>
      <c r="J9" s="39">
        <f t="shared" si="0"/>
        <v>45</v>
      </c>
      <c r="K9" s="34"/>
    </row>
    <row r="10" spans="1:11" ht="18.75" x14ac:dyDescent="0.3">
      <c r="A10" s="31">
        <f t="shared" si="1"/>
        <v>6</v>
      </c>
      <c r="B10" s="37" t="s">
        <v>73</v>
      </c>
      <c r="C10" s="46"/>
      <c r="D10" s="46">
        <v>20</v>
      </c>
      <c r="E10" s="46"/>
      <c r="F10" s="46">
        <f>5+10</f>
        <v>15</v>
      </c>
      <c r="G10" s="46"/>
      <c r="H10" s="46"/>
      <c r="I10" s="46"/>
      <c r="J10" s="39">
        <f t="shared" si="0"/>
        <v>35</v>
      </c>
      <c r="K10" s="34"/>
    </row>
    <row r="11" spans="1:11" ht="18.75" x14ac:dyDescent="0.3">
      <c r="A11" s="31"/>
      <c r="B11" s="37"/>
      <c r="C11" s="46"/>
      <c r="D11" s="46"/>
      <c r="E11" s="46"/>
      <c r="F11" s="46"/>
      <c r="G11" s="46"/>
      <c r="H11" s="46"/>
      <c r="I11" s="46"/>
      <c r="J11" s="47"/>
      <c r="K11" s="34"/>
    </row>
    <row r="12" spans="1:11" ht="18.75" x14ac:dyDescent="0.3">
      <c r="A12" s="31"/>
      <c r="B12" s="37"/>
      <c r="C12" s="46"/>
      <c r="D12" s="46"/>
      <c r="E12" s="46"/>
      <c r="F12" s="46"/>
      <c r="G12" s="46"/>
      <c r="H12" s="46"/>
      <c r="I12" s="46"/>
      <c r="J12" s="39"/>
      <c r="K12" s="34"/>
    </row>
    <row r="13" spans="1:11" ht="26.25" x14ac:dyDescent="0.4">
      <c r="A13" s="31"/>
      <c r="B13" s="45" t="s">
        <v>74</v>
      </c>
      <c r="C13" s="46"/>
      <c r="D13" s="46"/>
      <c r="E13" s="46"/>
      <c r="F13" s="46"/>
      <c r="G13" s="46"/>
      <c r="H13" s="46"/>
      <c r="I13" s="46"/>
      <c r="J13" s="39"/>
      <c r="K13" s="34"/>
    </row>
    <row r="14" spans="1:11" ht="18.75" x14ac:dyDescent="0.3">
      <c r="A14" s="31"/>
      <c r="B14" s="37"/>
      <c r="C14" s="46"/>
      <c r="D14" s="46"/>
      <c r="E14" s="46"/>
      <c r="F14" s="46"/>
      <c r="G14" s="46"/>
      <c r="H14" s="46"/>
      <c r="I14" s="46"/>
      <c r="J14" s="39"/>
      <c r="K14" s="34"/>
    </row>
    <row r="15" spans="1:11" ht="18.75" x14ac:dyDescent="0.3">
      <c r="A15" s="31">
        <f>+A10+1</f>
        <v>7</v>
      </c>
      <c r="B15" s="37" t="s">
        <v>131</v>
      </c>
      <c r="C15" s="46"/>
      <c r="D15" s="46">
        <v>27</v>
      </c>
      <c r="E15" s="46">
        <v>27</v>
      </c>
      <c r="F15" s="46"/>
      <c r="G15" s="46"/>
      <c r="H15" s="46"/>
      <c r="I15" s="46"/>
      <c r="J15" s="39">
        <f t="shared" ref="J15:J46" si="2">SUM(C15:I15)</f>
        <v>54</v>
      </c>
      <c r="K15" s="34"/>
    </row>
    <row r="16" spans="1:11" ht="18.75" x14ac:dyDescent="0.3">
      <c r="A16" s="31">
        <f>+A15+1</f>
        <v>8</v>
      </c>
      <c r="B16" s="37" t="s">
        <v>132</v>
      </c>
      <c r="C16" s="46">
        <v>89</v>
      </c>
      <c r="D16" s="46"/>
      <c r="E16" s="46">
        <f>24+15+40</f>
        <v>79</v>
      </c>
      <c r="F16" s="46">
        <v>45</v>
      </c>
      <c r="G16" s="46"/>
      <c r="H16" s="46"/>
      <c r="I16" s="46">
        <v>183</v>
      </c>
      <c r="J16" s="39">
        <f t="shared" si="2"/>
        <v>396</v>
      </c>
      <c r="K16" s="34"/>
    </row>
    <row r="17" spans="1:11" ht="18.75" x14ac:dyDescent="0.3">
      <c r="A17" s="31">
        <f t="shared" ref="A17:A20" si="3">+A16+1</f>
        <v>9</v>
      </c>
      <c r="B17" s="37" t="s">
        <v>133</v>
      </c>
      <c r="C17" s="46"/>
      <c r="D17" s="46"/>
      <c r="E17" s="46"/>
      <c r="F17" s="46"/>
      <c r="G17" s="46"/>
      <c r="H17" s="46"/>
      <c r="I17" s="46">
        <v>24</v>
      </c>
      <c r="J17" s="39">
        <f t="shared" si="2"/>
        <v>24</v>
      </c>
      <c r="K17" s="34"/>
    </row>
    <row r="18" spans="1:11" ht="18.75" x14ac:dyDescent="0.3">
      <c r="A18" s="31">
        <f t="shared" si="3"/>
        <v>10</v>
      </c>
      <c r="B18" s="37" t="s">
        <v>22</v>
      </c>
      <c r="C18" s="46"/>
      <c r="D18" s="46"/>
      <c r="E18" s="46">
        <v>45</v>
      </c>
      <c r="F18" s="46"/>
      <c r="G18" s="46">
        <f>45+40</f>
        <v>85</v>
      </c>
      <c r="H18" s="46"/>
      <c r="I18" s="46"/>
      <c r="J18" s="39">
        <f t="shared" si="2"/>
        <v>130</v>
      </c>
      <c r="K18" s="34"/>
    </row>
    <row r="19" spans="1:11" ht="18.75" x14ac:dyDescent="0.3">
      <c r="A19" s="31">
        <f t="shared" si="3"/>
        <v>11</v>
      </c>
      <c r="B19" s="37" t="s">
        <v>134</v>
      </c>
      <c r="C19" s="46"/>
      <c r="D19" s="46">
        <v>15</v>
      </c>
      <c r="E19" s="46"/>
      <c r="F19" s="46"/>
      <c r="G19" s="46"/>
      <c r="H19" s="46"/>
      <c r="I19" s="46">
        <v>13</v>
      </c>
      <c r="J19" s="39">
        <f t="shared" si="2"/>
        <v>28</v>
      </c>
      <c r="K19" s="34"/>
    </row>
    <row r="20" spans="1:11" ht="18.75" x14ac:dyDescent="0.3">
      <c r="A20" s="31">
        <f t="shared" si="3"/>
        <v>12</v>
      </c>
      <c r="B20" s="37" t="s">
        <v>75</v>
      </c>
      <c r="C20" s="46"/>
      <c r="D20" s="46"/>
      <c r="E20" s="46"/>
      <c r="F20" s="46">
        <v>40</v>
      </c>
      <c r="G20" s="46"/>
      <c r="H20" s="46"/>
      <c r="I20" s="46"/>
      <c r="J20" s="39">
        <f t="shared" si="2"/>
        <v>40</v>
      </c>
      <c r="K20" s="34"/>
    </row>
    <row r="21" spans="1:11" ht="18.75" x14ac:dyDescent="0.3">
      <c r="A21" s="31"/>
      <c r="B21" s="37"/>
      <c r="C21" s="46"/>
      <c r="D21" s="46"/>
      <c r="E21" s="46"/>
      <c r="F21" s="46"/>
      <c r="G21" s="46"/>
      <c r="H21" s="46"/>
      <c r="I21" s="46"/>
      <c r="J21" s="39"/>
      <c r="K21" s="34"/>
    </row>
    <row r="22" spans="1:11" ht="26.25" x14ac:dyDescent="0.4">
      <c r="A22" s="31"/>
      <c r="B22" s="45" t="s">
        <v>77</v>
      </c>
      <c r="C22" s="46"/>
      <c r="D22" s="46"/>
      <c r="E22" s="46"/>
      <c r="F22" s="46"/>
      <c r="G22" s="46"/>
      <c r="H22" s="46"/>
      <c r="I22" s="46"/>
      <c r="J22" s="39"/>
      <c r="K22" s="34"/>
    </row>
    <row r="23" spans="1:11" ht="18.75" x14ac:dyDescent="0.3">
      <c r="A23" s="31">
        <f>+A20+1</f>
        <v>13</v>
      </c>
      <c r="B23" s="37"/>
      <c r="C23" s="46"/>
      <c r="D23" s="46"/>
      <c r="E23" s="46"/>
      <c r="F23" s="46"/>
      <c r="G23" s="46"/>
      <c r="H23" s="46"/>
      <c r="I23" s="46"/>
      <c r="J23" s="39"/>
      <c r="K23" s="35"/>
    </row>
    <row r="24" spans="1:11" ht="18.75" x14ac:dyDescent="0.3">
      <c r="A24" s="31">
        <f>+A23+1</f>
        <v>14</v>
      </c>
      <c r="B24" s="48" t="s">
        <v>135</v>
      </c>
      <c r="C24" s="46"/>
      <c r="D24" s="46"/>
      <c r="E24" s="46"/>
      <c r="F24" s="46"/>
      <c r="G24" s="46"/>
      <c r="H24" s="46"/>
      <c r="I24" s="46">
        <v>37</v>
      </c>
      <c r="J24" s="39">
        <f t="shared" si="2"/>
        <v>37</v>
      </c>
      <c r="K24" s="35"/>
    </row>
    <row r="25" spans="1:11" ht="18.75" x14ac:dyDescent="0.3">
      <c r="A25" s="31">
        <f t="shared" ref="A25:A33" si="4">+A24+1</f>
        <v>15</v>
      </c>
      <c r="B25" s="37" t="s">
        <v>136</v>
      </c>
      <c r="C25" s="46">
        <v>12</v>
      </c>
      <c r="D25" s="46" t="s">
        <v>137</v>
      </c>
      <c r="E25" s="46">
        <v>12</v>
      </c>
      <c r="F25" s="46"/>
      <c r="G25" s="46">
        <f>12+3+25</f>
        <v>40</v>
      </c>
      <c r="H25" s="46"/>
      <c r="I25" s="46">
        <v>95</v>
      </c>
      <c r="J25" s="39">
        <f t="shared" si="2"/>
        <v>159</v>
      </c>
      <c r="K25" s="35"/>
    </row>
    <row r="26" spans="1:11" ht="18.75" x14ac:dyDescent="0.3">
      <c r="A26" s="31">
        <f t="shared" si="4"/>
        <v>16</v>
      </c>
      <c r="B26" s="37" t="s">
        <v>138</v>
      </c>
      <c r="C26" s="46"/>
      <c r="D26" s="46"/>
      <c r="E26" s="46"/>
      <c r="F26" s="46"/>
      <c r="G26" s="46"/>
      <c r="H26" s="46"/>
      <c r="I26" s="46">
        <v>123</v>
      </c>
      <c r="J26" s="39">
        <f t="shared" si="2"/>
        <v>123</v>
      </c>
      <c r="K26" s="35"/>
    </row>
    <row r="27" spans="1:11" ht="18.75" x14ac:dyDescent="0.3">
      <c r="A27" s="31">
        <f t="shared" si="4"/>
        <v>17</v>
      </c>
      <c r="B27" s="48" t="s">
        <v>139</v>
      </c>
      <c r="C27" s="46"/>
      <c r="D27" s="46"/>
      <c r="E27" s="46"/>
      <c r="F27" s="46"/>
      <c r="G27" s="46"/>
      <c r="H27" s="46"/>
      <c r="I27" s="46">
        <v>10</v>
      </c>
      <c r="J27" s="39">
        <f t="shared" si="2"/>
        <v>10</v>
      </c>
      <c r="K27" s="35"/>
    </row>
    <row r="28" spans="1:11" ht="18.75" x14ac:dyDescent="0.3">
      <c r="A28" s="31">
        <f t="shared" si="4"/>
        <v>18</v>
      </c>
      <c r="B28" s="37" t="s">
        <v>140</v>
      </c>
      <c r="C28" s="46"/>
      <c r="D28" s="46"/>
      <c r="E28" s="46"/>
      <c r="F28" s="46"/>
      <c r="G28" s="46"/>
      <c r="H28" s="46"/>
      <c r="I28" s="46">
        <v>39</v>
      </c>
      <c r="J28" s="39">
        <f t="shared" si="2"/>
        <v>39</v>
      </c>
      <c r="K28" s="35"/>
    </row>
    <row r="29" spans="1:11" ht="18.75" x14ac:dyDescent="0.3">
      <c r="A29" s="31">
        <f t="shared" si="4"/>
        <v>19</v>
      </c>
      <c r="B29" s="37" t="s">
        <v>79</v>
      </c>
      <c r="C29" s="46">
        <v>2</v>
      </c>
      <c r="D29" s="46"/>
      <c r="E29" s="46">
        <v>10</v>
      </c>
      <c r="F29" s="46"/>
      <c r="G29" s="46">
        <v>12</v>
      </c>
      <c r="H29" s="46"/>
      <c r="I29" s="46"/>
      <c r="J29" s="39">
        <f t="shared" si="2"/>
        <v>24</v>
      </c>
      <c r="K29" s="35"/>
    </row>
    <row r="30" spans="1:11" ht="18.75" x14ac:dyDescent="0.3">
      <c r="A30" s="31">
        <f t="shared" si="4"/>
        <v>20</v>
      </c>
      <c r="B30" s="37" t="s">
        <v>78</v>
      </c>
      <c r="C30" s="46">
        <f>15+12</f>
        <v>27</v>
      </c>
      <c r="D30" s="46"/>
      <c r="E30" s="46">
        <v>2</v>
      </c>
      <c r="F30" s="46"/>
      <c r="G30" s="46">
        <f>12+20+45</f>
        <v>77</v>
      </c>
      <c r="H30" s="46"/>
      <c r="I30" s="46"/>
      <c r="J30" s="39">
        <f t="shared" si="2"/>
        <v>106</v>
      </c>
      <c r="K30" s="35"/>
    </row>
    <row r="31" spans="1:11" ht="18.75" x14ac:dyDescent="0.3">
      <c r="A31" s="31">
        <f t="shared" si="4"/>
        <v>21</v>
      </c>
      <c r="B31" s="37" t="s">
        <v>57</v>
      </c>
      <c r="C31" s="46"/>
      <c r="D31" s="46"/>
      <c r="E31" s="46"/>
      <c r="F31" s="46">
        <v>15</v>
      </c>
      <c r="G31" s="46"/>
      <c r="H31" s="46"/>
      <c r="I31" s="46"/>
      <c r="J31" s="39">
        <f t="shared" si="2"/>
        <v>15</v>
      </c>
      <c r="K31" s="35"/>
    </row>
    <row r="32" spans="1:11" ht="18.75" x14ac:dyDescent="0.3">
      <c r="A32" s="31">
        <f t="shared" si="4"/>
        <v>22</v>
      </c>
      <c r="B32" s="37" t="s">
        <v>55</v>
      </c>
      <c r="C32" s="46"/>
      <c r="D32" s="46"/>
      <c r="E32" s="46"/>
      <c r="F32" s="46">
        <f>279+5+2</f>
        <v>286</v>
      </c>
      <c r="G32" s="46">
        <f>24+15+30</f>
        <v>69</v>
      </c>
      <c r="H32" s="46"/>
      <c r="I32" s="46"/>
      <c r="J32" s="39">
        <f t="shared" si="2"/>
        <v>355</v>
      </c>
      <c r="K32" s="35"/>
    </row>
    <row r="33" spans="1:11" ht="18.75" x14ac:dyDescent="0.3">
      <c r="A33" s="31">
        <f t="shared" si="4"/>
        <v>23</v>
      </c>
      <c r="B33" s="37" t="s">
        <v>80</v>
      </c>
      <c r="C33" s="46"/>
      <c r="D33" s="46"/>
      <c r="E33" s="46"/>
      <c r="F33" s="46"/>
      <c r="G33" s="46">
        <v>7</v>
      </c>
      <c r="H33" s="46"/>
      <c r="I33" s="46"/>
      <c r="J33" s="39">
        <f t="shared" si="2"/>
        <v>7</v>
      </c>
      <c r="K33" s="35"/>
    </row>
    <row r="34" spans="1:11" ht="18.75" x14ac:dyDescent="0.3">
      <c r="A34" s="31"/>
      <c r="B34" s="15"/>
      <c r="C34" s="46"/>
      <c r="D34" s="46"/>
      <c r="E34" s="46"/>
      <c r="F34" s="46"/>
      <c r="G34" s="46"/>
      <c r="H34" s="46"/>
      <c r="I34" s="46"/>
      <c r="J34" s="39"/>
      <c r="K34" s="35"/>
    </row>
    <row r="35" spans="1:11" ht="26.25" x14ac:dyDescent="0.4">
      <c r="A35" s="31"/>
      <c r="B35" s="45" t="s">
        <v>36</v>
      </c>
      <c r="C35" s="46"/>
      <c r="D35" s="46"/>
      <c r="E35" s="46"/>
      <c r="F35" s="46"/>
      <c r="G35" s="46"/>
      <c r="H35" s="46"/>
      <c r="I35" s="46"/>
      <c r="J35" s="39"/>
      <c r="K35" s="35"/>
    </row>
    <row r="36" spans="1:11" ht="18.75" x14ac:dyDescent="0.3">
      <c r="A36" s="31"/>
      <c r="B36" s="15"/>
      <c r="C36" s="46"/>
      <c r="D36" s="46"/>
      <c r="E36" s="46"/>
      <c r="F36" s="46"/>
      <c r="G36" s="46"/>
      <c r="H36" s="46"/>
      <c r="I36" s="46"/>
      <c r="J36" s="39"/>
      <c r="K36" s="35"/>
    </row>
    <row r="37" spans="1:11" ht="18.75" x14ac:dyDescent="0.3">
      <c r="A37" s="31">
        <f>+A33+1</f>
        <v>24</v>
      </c>
      <c r="B37" s="37" t="s">
        <v>37</v>
      </c>
      <c r="C37" s="46">
        <v>4</v>
      </c>
      <c r="D37" s="46">
        <f>12+15</f>
        <v>27</v>
      </c>
      <c r="E37" s="46">
        <f>24+15+15</f>
        <v>54</v>
      </c>
      <c r="F37" s="46">
        <f>24+15+15</f>
        <v>54</v>
      </c>
      <c r="G37" s="46">
        <f>12+15+45</f>
        <v>72</v>
      </c>
      <c r="H37" s="46"/>
      <c r="I37" s="46"/>
      <c r="J37" s="39">
        <f t="shared" si="2"/>
        <v>211</v>
      </c>
      <c r="K37" s="35"/>
    </row>
    <row r="38" spans="1:11" ht="18.75" x14ac:dyDescent="0.3">
      <c r="A38" s="31">
        <f>+A37+1</f>
        <v>25</v>
      </c>
      <c r="B38" s="37" t="s">
        <v>141</v>
      </c>
      <c r="C38" s="46"/>
      <c r="D38" s="46"/>
      <c r="E38" s="46"/>
      <c r="F38" s="46"/>
      <c r="G38" s="46">
        <f>3*45+35</f>
        <v>170</v>
      </c>
      <c r="H38" s="46"/>
      <c r="I38" s="46"/>
      <c r="J38" s="39">
        <f t="shared" si="2"/>
        <v>170</v>
      </c>
      <c r="K38" s="35"/>
    </row>
    <row r="39" spans="1:11" ht="18.75" x14ac:dyDescent="0.3">
      <c r="A39" s="31">
        <f t="shared" ref="A39:A46" si="5">+A38+1</f>
        <v>26</v>
      </c>
      <c r="B39" s="37" t="s">
        <v>142</v>
      </c>
      <c r="C39" s="46"/>
      <c r="D39" s="46"/>
      <c r="E39" s="46"/>
      <c r="F39" s="46"/>
      <c r="G39" s="46">
        <f>12+15</f>
        <v>27</v>
      </c>
      <c r="H39" s="46"/>
      <c r="I39" s="46"/>
      <c r="J39" s="39">
        <f t="shared" si="2"/>
        <v>27</v>
      </c>
      <c r="K39" s="35"/>
    </row>
    <row r="40" spans="1:11" ht="18.75" x14ac:dyDescent="0.3">
      <c r="A40" s="31">
        <f t="shared" si="5"/>
        <v>27</v>
      </c>
      <c r="B40" s="37" t="s">
        <v>105</v>
      </c>
      <c r="C40" s="50"/>
      <c r="D40" s="50"/>
      <c r="E40" s="46"/>
      <c r="F40" s="46"/>
      <c r="G40" s="46">
        <f>40+15</f>
        <v>55</v>
      </c>
      <c r="H40" s="46"/>
      <c r="I40" s="46"/>
      <c r="J40" s="39">
        <f t="shared" si="2"/>
        <v>55</v>
      </c>
      <c r="K40" s="35"/>
    </row>
    <row r="41" spans="1:11" ht="18.75" x14ac:dyDescent="0.3">
      <c r="A41" s="31">
        <f t="shared" si="5"/>
        <v>28</v>
      </c>
      <c r="B41" s="37" t="s">
        <v>143</v>
      </c>
      <c r="C41" s="50"/>
      <c r="D41" s="50">
        <f>24+15</f>
        <v>39</v>
      </c>
      <c r="E41" s="51"/>
      <c r="F41" s="51">
        <f>24+15</f>
        <v>39</v>
      </c>
      <c r="G41" s="51"/>
      <c r="H41" s="51"/>
      <c r="I41" s="51"/>
      <c r="J41" s="39">
        <f t="shared" si="2"/>
        <v>78</v>
      </c>
      <c r="K41" s="35"/>
    </row>
    <row r="42" spans="1:11" ht="18.75" x14ac:dyDescent="0.3">
      <c r="A42" s="31">
        <f t="shared" si="5"/>
        <v>29</v>
      </c>
      <c r="B42" s="44" t="s">
        <v>144</v>
      </c>
      <c r="C42" s="51"/>
      <c r="D42" s="50"/>
      <c r="E42" s="50"/>
      <c r="F42" s="50"/>
      <c r="G42" s="51">
        <f>24+15</f>
        <v>39</v>
      </c>
      <c r="H42" s="51"/>
      <c r="I42" s="51"/>
      <c r="J42" s="39">
        <f t="shared" si="2"/>
        <v>39</v>
      </c>
      <c r="K42" s="35"/>
    </row>
    <row r="43" spans="1:11" ht="18.75" x14ac:dyDescent="0.3">
      <c r="A43" s="31">
        <f t="shared" si="5"/>
        <v>30</v>
      </c>
      <c r="B43" s="44" t="s">
        <v>145</v>
      </c>
      <c r="C43" s="51"/>
      <c r="D43" s="50"/>
      <c r="E43" s="50"/>
      <c r="F43" s="50"/>
      <c r="G43" s="51">
        <f>36+15+15</f>
        <v>66</v>
      </c>
      <c r="H43" s="51"/>
      <c r="I43" s="51"/>
      <c r="J43" s="39">
        <f t="shared" si="2"/>
        <v>66</v>
      </c>
      <c r="K43" s="35"/>
    </row>
    <row r="44" spans="1:11" ht="18.75" x14ac:dyDescent="0.3">
      <c r="A44" s="31">
        <f t="shared" si="5"/>
        <v>31</v>
      </c>
      <c r="B44" s="44" t="s">
        <v>146</v>
      </c>
      <c r="C44" s="51"/>
      <c r="D44" s="50"/>
      <c r="E44" s="50"/>
      <c r="F44" s="50"/>
      <c r="G44" s="51">
        <v>12</v>
      </c>
      <c r="H44" s="51"/>
      <c r="I44" s="51"/>
      <c r="J44" s="39">
        <f t="shared" si="2"/>
        <v>12</v>
      </c>
      <c r="K44" s="35"/>
    </row>
    <row r="45" spans="1:11" ht="18.75" x14ac:dyDescent="0.3">
      <c r="A45" s="31">
        <f t="shared" si="5"/>
        <v>32</v>
      </c>
      <c r="B45" s="44" t="s">
        <v>81</v>
      </c>
      <c r="C45" s="51"/>
      <c r="D45" s="50"/>
      <c r="E45" s="50"/>
      <c r="F45" s="50"/>
      <c r="G45" s="51">
        <v>35</v>
      </c>
      <c r="H45" s="51"/>
      <c r="I45" s="51"/>
      <c r="J45" s="39">
        <f t="shared" si="2"/>
        <v>35</v>
      </c>
      <c r="K45" s="35"/>
    </row>
    <row r="46" spans="1:11" ht="18.75" x14ac:dyDescent="0.3">
      <c r="A46" s="31">
        <f t="shared" si="5"/>
        <v>33</v>
      </c>
      <c r="B46" s="37" t="s">
        <v>102</v>
      </c>
      <c r="C46" s="51">
        <v>100</v>
      </c>
      <c r="D46" s="51"/>
      <c r="E46" s="51"/>
      <c r="F46" s="51">
        <v>100</v>
      </c>
      <c r="G46" s="51"/>
      <c r="H46" s="51"/>
      <c r="I46" s="51"/>
      <c r="J46" s="39">
        <f t="shared" si="2"/>
        <v>200</v>
      </c>
      <c r="K46" s="35"/>
    </row>
    <row r="47" spans="1:11" ht="18.75" x14ac:dyDescent="0.3">
      <c r="A47" s="31"/>
      <c r="B47" s="37"/>
      <c r="C47" s="51"/>
      <c r="D47" s="51"/>
      <c r="E47" s="51"/>
      <c r="F47" s="51"/>
      <c r="G47" s="51"/>
      <c r="H47" s="51"/>
      <c r="I47" s="51"/>
      <c r="J47" s="47"/>
      <c r="K47" s="35"/>
    </row>
    <row r="48" spans="1:11" ht="18.75" x14ac:dyDescent="0.3">
      <c r="A48" s="31"/>
      <c r="B48" s="37"/>
      <c r="C48" s="51"/>
      <c r="D48" s="51"/>
      <c r="E48" s="51"/>
      <c r="F48" s="51"/>
      <c r="G48" s="51"/>
      <c r="H48" s="51"/>
      <c r="I48" s="51"/>
      <c r="J48" s="47"/>
      <c r="K48" s="35"/>
    </row>
    <row r="49" spans="1:11" ht="18.75" x14ac:dyDescent="0.3">
      <c r="A49" s="31"/>
      <c r="B49" s="49" t="s">
        <v>40</v>
      </c>
      <c r="C49" s="51"/>
      <c r="D49" s="51"/>
      <c r="E49" s="51"/>
      <c r="F49" s="51"/>
      <c r="G49" s="51"/>
      <c r="H49" s="51"/>
      <c r="I49" s="51"/>
      <c r="J49" s="47"/>
      <c r="K49" s="35"/>
    </row>
    <row r="50" spans="1:11" ht="18.75" x14ac:dyDescent="0.3">
      <c r="A50" s="31"/>
      <c r="B50" s="49"/>
      <c r="C50" s="51"/>
      <c r="D50" s="51"/>
      <c r="E50" s="51"/>
      <c r="F50" s="51"/>
      <c r="G50" s="51"/>
      <c r="H50" s="51"/>
      <c r="I50" s="51"/>
      <c r="J50" s="47"/>
      <c r="K50" s="35"/>
    </row>
    <row r="51" spans="1:11" ht="18.75" x14ac:dyDescent="0.3">
      <c r="A51" s="31">
        <f>+A46+1</f>
        <v>34</v>
      </c>
      <c r="B51" s="37" t="s">
        <v>147</v>
      </c>
      <c r="C51" s="51"/>
      <c r="D51" s="51"/>
      <c r="E51" s="51"/>
      <c r="F51" s="51">
        <v>15</v>
      </c>
      <c r="G51" s="51">
        <v>15</v>
      </c>
      <c r="H51" s="51"/>
      <c r="I51" s="51"/>
      <c r="J51" s="39">
        <f>SUM(C51:I51)</f>
        <v>30</v>
      </c>
      <c r="K51" s="35"/>
    </row>
    <row r="52" spans="1:11" ht="18.75" x14ac:dyDescent="0.3">
      <c r="A52" s="31">
        <f>+A51+1</f>
        <v>35</v>
      </c>
      <c r="B52" s="37" t="s">
        <v>41</v>
      </c>
      <c r="C52" s="51"/>
      <c r="D52" s="51">
        <v>30</v>
      </c>
      <c r="E52" s="51">
        <f>15+15</f>
        <v>30</v>
      </c>
      <c r="F52" s="51">
        <f>12+15</f>
        <v>27</v>
      </c>
      <c r="G52" s="51"/>
      <c r="H52" s="51"/>
      <c r="I52" s="51">
        <v>15</v>
      </c>
      <c r="J52" s="39">
        <f t="shared" ref="J52:J72" si="6">SUM(C52:I52)</f>
        <v>102</v>
      </c>
      <c r="K52" s="35"/>
    </row>
    <row r="53" spans="1:11" ht="18.75" x14ac:dyDescent="0.3">
      <c r="A53" s="31">
        <f t="shared" ref="A53:A72" si="7">+A52+1</f>
        <v>36</v>
      </c>
      <c r="B53" s="37" t="s">
        <v>84</v>
      </c>
      <c r="C53" s="51"/>
      <c r="D53" s="51">
        <f>15+24+15</f>
        <v>54</v>
      </c>
      <c r="E53" s="51">
        <v>15</v>
      </c>
      <c r="F53" s="51">
        <f>10+10</f>
        <v>20</v>
      </c>
      <c r="G53" s="51"/>
      <c r="H53" s="51"/>
      <c r="I53" s="51">
        <v>271</v>
      </c>
      <c r="J53" s="39">
        <f t="shared" si="6"/>
        <v>360</v>
      </c>
      <c r="K53" s="35"/>
    </row>
    <row r="54" spans="1:11" ht="18.75" x14ac:dyDescent="0.3">
      <c r="A54" s="31">
        <f t="shared" si="7"/>
        <v>37</v>
      </c>
      <c r="B54" s="37" t="s">
        <v>148</v>
      </c>
      <c r="C54" s="51"/>
      <c r="D54" s="51">
        <v>90</v>
      </c>
      <c r="E54" s="51">
        <f>45*2</f>
        <v>90</v>
      </c>
      <c r="F54" s="51"/>
      <c r="G54" s="51">
        <v>30</v>
      </c>
      <c r="H54" s="51"/>
      <c r="I54" s="51">
        <v>90</v>
      </c>
      <c r="J54" s="39">
        <f t="shared" si="6"/>
        <v>300</v>
      </c>
      <c r="K54" s="35"/>
    </row>
    <row r="55" spans="1:11" ht="18.75" x14ac:dyDescent="0.3">
      <c r="A55" s="31">
        <f t="shared" si="7"/>
        <v>38</v>
      </c>
      <c r="B55" s="37" t="s">
        <v>44</v>
      </c>
      <c r="C55" s="51"/>
      <c r="D55" s="51">
        <v>15</v>
      </c>
      <c r="E55" s="51"/>
      <c r="F55" s="51"/>
      <c r="G55" s="51"/>
      <c r="H55" s="51"/>
      <c r="I55" s="51"/>
      <c r="J55" s="39">
        <f t="shared" si="6"/>
        <v>15</v>
      </c>
      <c r="K55" s="35"/>
    </row>
    <row r="56" spans="1:11" ht="18.75" x14ac:dyDescent="0.3">
      <c r="A56" s="31">
        <f t="shared" si="7"/>
        <v>39</v>
      </c>
      <c r="B56" s="37" t="s">
        <v>106</v>
      </c>
      <c r="C56" s="51">
        <f>15+12+15</f>
        <v>42</v>
      </c>
      <c r="D56" s="51">
        <f>15+5+15+15+12+5</f>
        <v>67</v>
      </c>
      <c r="E56" s="51">
        <f>12+15+15+47+15</f>
        <v>104</v>
      </c>
      <c r="F56" s="51">
        <f>15+45</f>
        <v>60</v>
      </c>
      <c r="G56" s="51"/>
      <c r="H56" s="51"/>
      <c r="I56" s="51"/>
      <c r="J56" s="39">
        <f t="shared" si="6"/>
        <v>273</v>
      </c>
      <c r="K56" s="35"/>
    </row>
    <row r="57" spans="1:11" ht="18.75" x14ac:dyDescent="0.3">
      <c r="A57" s="31">
        <f t="shared" si="7"/>
        <v>40</v>
      </c>
      <c r="B57" s="37" t="s">
        <v>107</v>
      </c>
      <c r="C57" s="51">
        <v>45</v>
      </c>
      <c r="D57" s="51">
        <v>45</v>
      </c>
      <c r="E57" s="51"/>
      <c r="F57" s="51">
        <f>45+10</f>
        <v>55</v>
      </c>
      <c r="G57" s="51">
        <v>45</v>
      </c>
      <c r="H57" s="51"/>
      <c r="I57" s="51"/>
      <c r="J57" s="39">
        <f t="shared" si="6"/>
        <v>190</v>
      </c>
      <c r="K57" s="35"/>
    </row>
    <row r="58" spans="1:11" ht="18.75" x14ac:dyDescent="0.3">
      <c r="A58" s="31">
        <f t="shared" si="7"/>
        <v>41</v>
      </c>
      <c r="B58" s="37" t="s">
        <v>108</v>
      </c>
      <c r="C58" s="51">
        <f>15+40</f>
        <v>55</v>
      </c>
      <c r="D58" s="51">
        <v>15</v>
      </c>
      <c r="E58" s="51"/>
      <c r="F58" s="51"/>
      <c r="G58" s="51"/>
      <c r="H58" s="51"/>
      <c r="I58" s="51"/>
      <c r="J58" s="39">
        <f t="shared" si="6"/>
        <v>70</v>
      </c>
      <c r="K58" s="35"/>
    </row>
    <row r="59" spans="1:11" ht="18.75" x14ac:dyDescent="0.3">
      <c r="A59" s="31">
        <f t="shared" si="7"/>
        <v>42</v>
      </c>
      <c r="B59" s="37" t="s">
        <v>149</v>
      </c>
      <c r="C59" s="51"/>
      <c r="D59" s="51">
        <v>24</v>
      </c>
      <c r="E59" s="51"/>
      <c r="F59" s="51">
        <v>24</v>
      </c>
      <c r="G59" s="51">
        <f>15+12</f>
        <v>27</v>
      </c>
      <c r="H59" s="51"/>
      <c r="I59" s="51"/>
      <c r="J59" s="39">
        <f t="shared" si="6"/>
        <v>75</v>
      </c>
      <c r="K59" s="35"/>
    </row>
    <row r="60" spans="1:11" ht="18.75" x14ac:dyDescent="0.3">
      <c r="A60" s="31">
        <f t="shared" si="7"/>
        <v>43</v>
      </c>
      <c r="B60" s="37" t="s">
        <v>150</v>
      </c>
      <c r="C60" s="52">
        <f>24+12+15</f>
        <v>51</v>
      </c>
      <c r="D60" s="50"/>
      <c r="E60" s="50"/>
      <c r="F60" s="50"/>
      <c r="G60" s="50"/>
      <c r="H60" s="50"/>
      <c r="I60" s="50"/>
      <c r="J60" s="39">
        <f t="shared" si="6"/>
        <v>51</v>
      </c>
      <c r="K60" s="35"/>
    </row>
    <row r="61" spans="1:11" ht="18.75" x14ac:dyDescent="0.3">
      <c r="A61" s="31">
        <f t="shared" si="7"/>
        <v>44</v>
      </c>
      <c r="B61" s="37" t="s">
        <v>110</v>
      </c>
      <c r="C61" s="51"/>
      <c r="D61" s="51"/>
      <c r="E61" s="51">
        <v>35</v>
      </c>
      <c r="F61" s="51">
        <f>15+12</f>
        <v>27</v>
      </c>
      <c r="G61" s="51"/>
      <c r="H61" s="51"/>
      <c r="I61" s="50"/>
      <c r="J61" s="39">
        <f t="shared" si="6"/>
        <v>62</v>
      </c>
      <c r="K61" s="35"/>
    </row>
    <row r="62" spans="1:11" ht="18.75" x14ac:dyDescent="0.3">
      <c r="A62" s="31">
        <f t="shared" si="7"/>
        <v>45</v>
      </c>
      <c r="B62" s="37" t="s">
        <v>45</v>
      </c>
      <c r="C62" s="51"/>
      <c r="D62" s="51"/>
      <c r="E62" s="51"/>
      <c r="F62" s="51">
        <v>100</v>
      </c>
      <c r="G62" s="51"/>
      <c r="H62" s="51"/>
      <c r="I62" s="50"/>
      <c r="J62" s="39">
        <f t="shared" si="6"/>
        <v>100</v>
      </c>
      <c r="K62" s="35"/>
    </row>
    <row r="63" spans="1:11" ht="18.75" x14ac:dyDescent="0.3">
      <c r="A63" s="31">
        <f t="shared" si="7"/>
        <v>46</v>
      </c>
      <c r="B63" s="37" t="s">
        <v>111</v>
      </c>
      <c r="C63" s="51">
        <f>15+12</f>
        <v>27</v>
      </c>
      <c r="D63" s="51">
        <f>5+45</f>
        <v>50</v>
      </c>
      <c r="E63" s="51"/>
      <c r="F63" s="51"/>
      <c r="G63" s="51"/>
      <c r="H63" s="51"/>
      <c r="I63" s="50"/>
      <c r="J63" s="39">
        <f t="shared" si="6"/>
        <v>77</v>
      </c>
      <c r="K63" s="35"/>
    </row>
    <row r="64" spans="1:11" ht="18.75" x14ac:dyDescent="0.3">
      <c r="A64" s="31">
        <f t="shared" si="7"/>
        <v>47</v>
      </c>
      <c r="B64" s="37" t="s">
        <v>86</v>
      </c>
      <c r="C64" s="52"/>
      <c r="D64" s="50"/>
      <c r="E64" s="50">
        <f>5+40</f>
        <v>45</v>
      </c>
      <c r="F64" s="50">
        <v>5</v>
      </c>
      <c r="G64" s="50"/>
      <c r="H64" s="50"/>
      <c r="I64" s="50">
        <v>150</v>
      </c>
      <c r="J64" s="39">
        <f>SUM(C64:I64)</f>
        <v>200</v>
      </c>
      <c r="K64" s="35"/>
    </row>
    <row r="65" spans="1:14" ht="18.75" x14ac:dyDescent="0.3">
      <c r="A65" s="31">
        <f t="shared" si="7"/>
        <v>48</v>
      </c>
      <c r="B65" s="37" t="s">
        <v>112</v>
      </c>
      <c r="C65" s="52"/>
      <c r="D65" s="50">
        <v>39</v>
      </c>
      <c r="E65" s="50"/>
      <c r="F65" s="50">
        <v>39</v>
      </c>
      <c r="G65" s="50">
        <v>50</v>
      </c>
      <c r="H65" s="50"/>
      <c r="I65" s="50"/>
      <c r="J65" s="39">
        <f t="shared" si="6"/>
        <v>128</v>
      </c>
      <c r="K65" s="35"/>
    </row>
    <row r="66" spans="1:14" ht="18.75" x14ac:dyDescent="0.3">
      <c r="A66" s="31">
        <f t="shared" si="7"/>
        <v>49</v>
      </c>
      <c r="B66" s="37" t="s">
        <v>47</v>
      </c>
      <c r="C66" s="52">
        <v>45</v>
      </c>
      <c r="D66" s="50"/>
      <c r="E66" s="50"/>
      <c r="F66" s="50">
        <v>45</v>
      </c>
      <c r="G66" s="50"/>
      <c r="H66" s="50"/>
      <c r="I66" s="50">
        <v>27</v>
      </c>
      <c r="J66" s="39">
        <f t="shared" si="6"/>
        <v>117</v>
      </c>
      <c r="K66" s="35"/>
    </row>
    <row r="67" spans="1:14" ht="18.75" x14ac:dyDescent="0.3">
      <c r="A67" s="31">
        <f t="shared" si="7"/>
        <v>50</v>
      </c>
      <c r="B67" s="37" t="s">
        <v>151</v>
      </c>
      <c r="C67" s="50"/>
      <c r="D67" s="50"/>
      <c r="E67" s="50"/>
      <c r="F67" s="50"/>
      <c r="G67" s="50"/>
      <c r="H67" s="50"/>
      <c r="I67" s="50">
        <v>35</v>
      </c>
      <c r="J67" s="39">
        <f t="shared" si="6"/>
        <v>35</v>
      </c>
      <c r="K67" s="35"/>
    </row>
    <row r="68" spans="1:14" ht="18.75" x14ac:dyDescent="0.3">
      <c r="A68" s="31">
        <f t="shared" si="7"/>
        <v>51</v>
      </c>
      <c r="B68" s="37" t="s">
        <v>152</v>
      </c>
      <c r="C68" s="50">
        <f>24+15+15</f>
        <v>54</v>
      </c>
      <c r="D68" s="50">
        <f>15+10</f>
        <v>25</v>
      </c>
      <c r="E68" s="50">
        <f>10+16+5+47+15+5+45+45+10+40+2+15+15+45</f>
        <v>315</v>
      </c>
      <c r="F68" s="56"/>
      <c r="G68" s="50"/>
      <c r="H68" s="50"/>
      <c r="I68" s="50"/>
      <c r="J68" s="39">
        <f t="shared" si="6"/>
        <v>394</v>
      </c>
      <c r="K68" s="35"/>
    </row>
    <row r="69" spans="1:14" ht="18.75" x14ac:dyDescent="0.3">
      <c r="A69" s="31">
        <f t="shared" si="7"/>
        <v>52</v>
      </c>
      <c r="B69" s="37" t="s">
        <v>48</v>
      </c>
      <c r="C69" s="50"/>
      <c r="D69" s="50"/>
      <c r="E69" s="50">
        <v>40</v>
      </c>
      <c r="F69" s="50">
        <v>40</v>
      </c>
      <c r="G69" s="50"/>
      <c r="H69" s="50"/>
      <c r="I69" s="50"/>
      <c r="J69" s="39">
        <f t="shared" si="6"/>
        <v>80</v>
      </c>
      <c r="K69" s="35"/>
    </row>
    <row r="70" spans="1:14" ht="18.75" x14ac:dyDescent="0.3">
      <c r="A70" s="31">
        <f t="shared" si="7"/>
        <v>53</v>
      </c>
      <c r="B70" s="37" t="s">
        <v>153</v>
      </c>
      <c r="C70" s="50"/>
      <c r="D70" s="50"/>
      <c r="E70" s="50"/>
      <c r="F70" s="50"/>
      <c r="G70" s="50"/>
      <c r="H70" s="50"/>
      <c r="I70" s="50">
        <v>52</v>
      </c>
      <c r="J70" s="39">
        <f t="shared" si="6"/>
        <v>52</v>
      </c>
      <c r="K70" s="35"/>
    </row>
    <row r="71" spans="1:14" ht="18.75" x14ac:dyDescent="0.3">
      <c r="A71" s="31">
        <f t="shared" si="7"/>
        <v>54</v>
      </c>
      <c r="B71" s="37" t="s">
        <v>57</v>
      </c>
      <c r="C71" s="50"/>
      <c r="D71" s="50"/>
      <c r="E71" s="50"/>
      <c r="F71" s="50">
        <v>15</v>
      </c>
      <c r="G71" s="50"/>
      <c r="H71" s="50"/>
      <c r="I71" s="50"/>
      <c r="J71" s="39">
        <f t="shared" si="6"/>
        <v>15</v>
      </c>
      <c r="K71" s="35"/>
    </row>
    <row r="72" spans="1:14" ht="18.75" x14ac:dyDescent="0.3">
      <c r="A72" s="31">
        <f t="shared" si="7"/>
        <v>55</v>
      </c>
      <c r="B72" s="37" t="s">
        <v>49</v>
      </c>
      <c r="C72" s="50">
        <v>47</v>
      </c>
      <c r="D72" s="50"/>
      <c r="E72" s="50"/>
      <c r="F72" s="50">
        <v>10</v>
      </c>
      <c r="G72" s="50"/>
      <c r="H72" s="50"/>
      <c r="I72" s="30"/>
      <c r="J72" s="39">
        <f t="shared" si="6"/>
        <v>57</v>
      </c>
      <c r="K72" s="19"/>
    </row>
    <row r="73" spans="1:14" x14ac:dyDescent="0.25">
      <c r="L73" s="16"/>
    </row>
    <row r="74" spans="1:14" ht="21" x14ac:dyDescent="0.35">
      <c r="B74" s="57" t="s">
        <v>54</v>
      </c>
      <c r="C74" s="58"/>
      <c r="D74" s="59"/>
      <c r="E74" s="60"/>
      <c r="F74" s="60"/>
      <c r="G74" s="60"/>
      <c r="H74" s="28"/>
      <c r="I74" s="29"/>
      <c r="J74" s="41"/>
    </row>
    <row r="75" spans="1:14" x14ac:dyDescent="0.25">
      <c r="B75" s="61"/>
      <c r="C75" s="61"/>
      <c r="D75" s="61"/>
      <c r="E75" s="61"/>
      <c r="F75" s="61"/>
      <c r="G75" s="61"/>
    </row>
    <row r="76" spans="1:14" ht="15.75" x14ac:dyDescent="0.25">
      <c r="B76" s="61" t="s">
        <v>55</v>
      </c>
      <c r="C76" s="65">
        <f>SUM(C77:C80)</f>
        <v>38</v>
      </c>
      <c r="D76" s="63">
        <f>+C76*100</f>
        <v>3800</v>
      </c>
      <c r="E76" s="63">
        <f>+D76*0.1</f>
        <v>380</v>
      </c>
      <c r="F76" s="63">
        <f>+D76-E76</f>
        <v>3420</v>
      </c>
      <c r="G76" s="62"/>
      <c r="H76" s="16"/>
      <c r="N76" s="42"/>
    </row>
    <row r="77" spans="1:14" x14ac:dyDescent="0.25">
      <c r="B77" s="61" t="s">
        <v>154</v>
      </c>
      <c r="C77" s="62">
        <v>15</v>
      </c>
      <c r="D77" s="63"/>
      <c r="E77" s="63"/>
      <c r="F77" s="63"/>
      <c r="G77" s="62"/>
      <c r="H77" s="16"/>
      <c r="N77" s="42"/>
    </row>
    <row r="78" spans="1:14" x14ac:dyDescent="0.25">
      <c r="B78" s="61" t="s">
        <v>155</v>
      </c>
      <c r="C78" s="62">
        <v>10</v>
      </c>
      <c r="D78" s="63"/>
      <c r="E78" s="63"/>
      <c r="F78" s="63"/>
      <c r="G78" s="62"/>
      <c r="H78" s="16"/>
      <c r="N78" s="42"/>
    </row>
    <row r="79" spans="1:14" x14ac:dyDescent="0.25">
      <c r="B79" s="61" t="s">
        <v>156</v>
      </c>
      <c r="C79" s="62">
        <v>5</v>
      </c>
      <c r="D79" s="63"/>
      <c r="E79" s="63"/>
      <c r="F79" s="63"/>
      <c r="G79" s="62"/>
      <c r="H79" s="16"/>
      <c r="N79" s="42"/>
    </row>
    <row r="80" spans="1:14" x14ac:dyDescent="0.25">
      <c r="B80" s="61" t="s">
        <v>157</v>
      </c>
      <c r="C80" s="62">
        <v>8</v>
      </c>
      <c r="D80" s="63"/>
      <c r="E80" s="63"/>
      <c r="F80" s="63"/>
      <c r="G80" s="62"/>
      <c r="H80" s="16"/>
      <c r="N80" s="42"/>
    </row>
    <row r="81" spans="2:14" x14ac:dyDescent="0.25">
      <c r="B81" s="61"/>
      <c r="C81" s="62"/>
      <c r="D81" s="63"/>
      <c r="E81" s="63"/>
      <c r="F81" s="63"/>
      <c r="G81" s="62"/>
      <c r="H81" s="16"/>
      <c r="N81" s="42"/>
    </row>
    <row r="82" spans="2:14" ht="15.75" x14ac:dyDescent="0.25">
      <c r="B82" s="61" t="s">
        <v>57</v>
      </c>
      <c r="C82" s="65">
        <f>SUM(C83:C85)</f>
        <v>35</v>
      </c>
      <c r="D82" s="63">
        <f t="shared" ref="D82:D99" si="8">+C82*100</f>
        <v>3500</v>
      </c>
      <c r="E82" s="63">
        <f t="shared" ref="E82:E99" si="9">+D82*0.1</f>
        <v>350</v>
      </c>
      <c r="F82" s="63">
        <f t="shared" ref="F82:F99" si="10">+D82-E82</f>
        <v>3150</v>
      </c>
      <c r="G82" s="61"/>
    </row>
    <row r="83" spans="2:14" x14ac:dyDescent="0.25">
      <c r="B83" s="61" t="s">
        <v>154</v>
      </c>
      <c r="C83" s="61">
        <v>15</v>
      </c>
      <c r="D83" s="63"/>
      <c r="E83" s="63"/>
      <c r="F83" s="63"/>
      <c r="G83" s="61"/>
    </row>
    <row r="84" spans="2:14" x14ac:dyDescent="0.25">
      <c r="B84" s="61" t="s">
        <v>158</v>
      </c>
      <c r="C84" s="61">
        <v>10</v>
      </c>
      <c r="D84" s="63"/>
      <c r="E84" s="63"/>
      <c r="F84" s="63"/>
      <c r="G84" s="61"/>
    </row>
    <row r="85" spans="2:14" x14ac:dyDescent="0.25">
      <c r="B85" s="61" t="s">
        <v>155</v>
      </c>
      <c r="C85" s="61">
        <v>10</v>
      </c>
      <c r="D85" s="63"/>
      <c r="E85" s="63"/>
      <c r="F85" s="63"/>
      <c r="G85" s="61"/>
    </row>
    <row r="86" spans="2:14" x14ac:dyDescent="0.25">
      <c r="B86" s="61"/>
      <c r="C86" s="61"/>
      <c r="D86" s="63"/>
      <c r="E86" s="63"/>
      <c r="F86" s="63"/>
      <c r="G86" s="61"/>
    </row>
    <row r="87" spans="2:14" x14ac:dyDescent="0.25">
      <c r="B87" s="61"/>
      <c r="C87" s="61"/>
      <c r="D87" s="63"/>
      <c r="E87" s="63"/>
      <c r="F87" s="63"/>
      <c r="G87" s="61"/>
    </row>
    <row r="88" spans="2:14" ht="15.75" x14ac:dyDescent="0.25">
      <c r="B88" s="61" t="s">
        <v>59</v>
      </c>
      <c r="C88" s="65">
        <f>SUM(C89:C91)</f>
        <v>20</v>
      </c>
      <c r="D88" s="63">
        <f t="shared" si="8"/>
        <v>2000</v>
      </c>
      <c r="E88" s="63">
        <f t="shared" si="9"/>
        <v>200</v>
      </c>
      <c r="F88" s="63">
        <f t="shared" si="10"/>
        <v>1800</v>
      </c>
      <c r="G88" s="61"/>
    </row>
    <row r="89" spans="2:14" x14ac:dyDescent="0.25">
      <c r="B89" s="61" t="s">
        <v>154</v>
      </c>
      <c r="C89" s="61">
        <v>10</v>
      </c>
      <c r="D89" s="63"/>
      <c r="E89" s="63"/>
      <c r="F89" s="63"/>
      <c r="G89" s="61"/>
    </row>
    <row r="90" spans="2:14" x14ac:dyDescent="0.25">
      <c r="B90" s="61" t="s">
        <v>155</v>
      </c>
      <c r="C90" s="61">
        <v>5</v>
      </c>
      <c r="D90" s="63"/>
      <c r="E90" s="63"/>
      <c r="F90" s="63"/>
      <c r="G90" s="61"/>
    </row>
    <row r="91" spans="2:14" x14ac:dyDescent="0.25">
      <c r="B91" s="61" t="s">
        <v>156</v>
      </c>
      <c r="C91" s="61">
        <v>5</v>
      </c>
      <c r="D91" s="63"/>
      <c r="E91" s="63"/>
      <c r="F91" s="63"/>
      <c r="G91" s="61"/>
    </row>
    <row r="92" spans="2:14" x14ac:dyDescent="0.25">
      <c r="B92" s="61"/>
      <c r="C92" s="61"/>
      <c r="D92" s="63"/>
      <c r="E92" s="63"/>
      <c r="F92" s="63"/>
      <c r="G92" s="61"/>
      <c r="I92" s="16">
        <f>+C76+C82+C88+C93+C99+C103+C108</f>
        <v>131</v>
      </c>
      <c r="J92">
        <f>+I92*100</f>
        <v>13100</v>
      </c>
    </row>
    <row r="93" spans="2:14" ht="15.75" x14ac:dyDescent="0.25">
      <c r="B93" s="61" t="s">
        <v>61</v>
      </c>
      <c r="C93" s="65">
        <f>SUM(C94:C97)</f>
        <v>15</v>
      </c>
      <c r="D93" s="63">
        <f t="shared" si="8"/>
        <v>1500</v>
      </c>
      <c r="E93" s="63">
        <f t="shared" si="9"/>
        <v>150</v>
      </c>
      <c r="F93" s="63">
        <f t="shared" si="10"/>
        <v>1350</v>
      </c>
      <c r="G93" s="61"/>
      <c r="I93" s="16">
        <f>+I92-3</f>
        <v>128</v>
      </c>
      <c r="J93">
        <f>+I93*100</f>
        <v>12800</v>
      </c>
      <c r="K93">
        <f>+J93*0.05</f>
        <v>640</v>
      </c>
      <c r="L93">
        <f>+J93-K93</f>
        <v>12160</v>
      </c>
    </row>
    <row r="94" spans="2:14" x14ac:dyDescent="0.25">
      <c r="B94" s="61" t="s">
        <v>159</v>
      </c>
      <c r="C94" s="61">
        <v>6</v>
      </c>
      <c r="D94" s="63"/>
      <c r="E94" s="63"/>
      <c r="F94" s="63"/>
      <c r="G94" s="61"/>
    </row>
    <row r="95" spans="2:14" x14ac:dyDescent="0.25">
      <c r="B95" s="61" t="s">
        <v>158</v>
      </c>
      <c r="C95" s="61">
        <v>4</v>
      </c>
      <c r="D95" s="63"/>
      <c r="E95" s="63"/>
      <c r="F95" s="63"/>
      <c r="G95" s="61"/>
    </row>
    <row r="96" spans="2:14" x14ac:dyDescent="0.25">
      <c r="B96" s="61" t="s">
        <v>155</v>
      </c>
      <c r="C96" s="61">
        <v>3</v>
      </c>
      <c r="D96" s="63"/>
      <c r="E96" s="63"/>
      <c r="F96" s="63"/>
      <c r="G96" s="61"/>
    </row>
    <row r="97" spans="2:10" x14ac:dyDescent="0.25">
      <c r="B97" s="61" t="s">
        <v>157</v>
      </c>
      <c r="C97" s="61">
        <v>2</v>
      </c>
      <c r="D97" s="63"/>
      <c r="E97" s="63"/>
      <c r="F97" s="63"/>
      <c r="G97" s="61"/>
    </row>
    <row r="98" spans="2:10" x14ac:dyDescent="0.25">
      <c r="B98" s="61"/>
      <c r="C98" s="61"/>
      <c r="D98" s="63"/>
      <c r="E98" s="63"/>
      <c r="F98" s="63"/>
      <c r="G98" s="61"/>
      <c r="J98" s="66"/>
    </row>
    <row r="99" spans="2:10" ht="15.75" x14ac:dyDescent="0.25">
      <c r="B99" s="61" t="s">
        <v>63</v>
      </c>
      <c r="C99" s="65">
        <f>SUM(C100:C102)</f>
        <v>20</v>
      </c>
      <c r="D99" s="63">
        <f t="shared" si="8"/>
        <v>2000</v>
      </c>
      <c r="E99" s="63">
        <f t="shared" si="9"/>
        <v>200</v>
      </c>
      <c r="F99" s="63">
        <f t="shared" si="10"/>
        <v>1800</v>
      </c>
      <c r="G99" s="61"/>
      <c r="J99">
        <v>9982435256</v>
      </c>
    </row>
    <row r="100" spans="2:10" x14ac:dyDescent="0.25">
      <c r="B100" s="61" t="s">
        <v>159</v>
      </c>
      <c r="C100" s="62">
        <v>20</v>
      </c>
      <c r="D100" s="64"/>
      <c r="E100" s="64"/>
      <c r="F100" s="64"/>
      <c r="G100" s="61"/>
      <c r="I100" s="16"/>
    </row>
    <row r="101" spans="2:10" x14ac:dyDescent="0.25">
      <c r="B101" s="61"/>
      <c r="C101" s="61"/>
      <c r="D101" s="61"/>
      <c r="E101" s="63"/>
      <c r="F101" s="63"/>
      <c r="G101" s="61"/>
    </row>
    <row r="102" spans="2:10" x14ac:dyDescent="0.25">
      <c r="B102" s="61"/>
      <c r="C102" s="61"/>
      <c r="D102" s="61"/>
      <c r="E102" s="61"/>
      <c r="F102" s="61"/>
      <c r="G102" s="61"/>
    </row>
    <row r="103" spans="2:10" ht="15.75" x14ac:dyDescent="0.25">
      <c r="B103" s="61" t="s">
        <v>126</v>
      </c>
      <c r="C103" s="65">
        <f>SUM(C104:C106)</f>
        <v>2</v>
      </c>
      <c r="D103" s="63">
        <f t="shared" ref="D103" si="11">+C103*100</f>
        <v>200</v>
      </c>
    </row>
    <row r="104" spans="2:10" x14ac:dyDescent="0.25">
      <c r="B104" s="61" t="s">
        <v>160</v>
      </c>
      <c r="C104" s="61">
        <v>1</v>
      </c>
    </row>
    <row r="105" spans="2:10" x14ac:dyDescent="0.25">
      <c r="B105" s="61" t="s">
        <v>156</v>
      </c>
      <c r="C105" s="61">
        <v>1</v>
      </c>
    </row>
    <row r="108" spans="2:10" ht="15.75" x14ac:dyDescent="0.25">
      <c r="B108" s="61" t="s">
        <v>45</v>
      </c>
      <c r="C108" s="65">
        <f>SUM(C109:C111)</f>
        <v>1</v>
      </c>
      <c r="D108" s="63">
        <f t="shared" ref="D108" si="12">+C108*100</f>
        <v>100</v>
      </c>
    </row>
    <row r="109" spans="2:10" x14ac:dyDescent="0.25">
      <c r="B109" s="61" t="s">
        <v>156</v>
      </c>
      <c r="C109" s="61">
        <v>1</v>
      </c>
    </row>
  </sheetData>
  <pageMargins left="0.33" right="0.7" top="0.32" bottom="0.3" header="0.31496062992125984" footer="0.31496062992125984"/>
  <pageSetup scale="66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90"/>
  <sheetViews>
    <sheetView topLeftCell="A56" workbookViewId="0">
      <selection activeCell="O88" sqref="O88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9" width="10.7109375" customWidth="1"/>
    <col min="10" max="10" width="10" customWidth="1"/>
    <col min="11" max="11" width="16" customWidth="1"/>
  </cols>
  <sheetData>
    <row r="2" spans="1:11" ht="26.25" x14ac:dyDescent="0.4">
      <c r="B2" s="45" t="s">
        <v>68</v>
      </c>
    </row>
    <row r="3" spans="1:11" x14ac:dyDescent="0.25">
      <c r="A3" s="31" t="s">
        <v>1</v>
      </c>
      <c r="B3" s="32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3" t="s">
        <v>8</v>
      </c>
      <c r="I3" s="33" t="s">
        <v>9</v>
      </c>
      <c r="J3" s="33" t="s">
        <v>10</v>
      </c>
      <c r="K3" s="33" t="s">
        <v>11</v>
      </c>
    </row>
    <row r="4" spans="1:11" ht="18.75" x14ac:dyDescent="0.3">
      <c r="A4" s="31"/>
      <c r="B4" s="32"/>
      <c r="C4" s="46"/>
      <c r="D4" s="46"/>
      <c r="E4" s="46"/>
      <c r="F4" s="46"/>
      <c r="G4" s="46"/>
      <c r="H4" s="46"/>
      <c r="I4" s="46"/>
      <c r="J4" s="33"/>
      <c r="K4" s="34"/>
    </row>
    <row r="5" spans="1:11" ht="18.75" x14ac:dyDescent="0.3">
      <c r="A5" s="31">
        <v>1</v>
      </c>
      <c r="B5" s="37" t="s">
        <v>161</v>
      </c>
      <c r="C5" s="46"/>
      <c r="D5" s="46"/>
      <c r="E5" s="46"/>
      <c r="F5" s="46"/>
      <c r="G5" s="46">
        <f>9+12+10</f>
        <v>31</v>
      </c>
      <c r="H5" s="46"/>
      <c r="I5" s="46"/>
      <c r="J5" s="39">
        <f>SUM(C5:I5)</f>
        <v>31</v>
      </c>
      <c r="K5" s="34"/>
    </row>
    <row r="6" spans="1:11" ht="18.75" x14ac:dyDescent="0.3">
      <c r="A6" s="31">
        <f>1+A5</f>
        <v>2</v>
      </c>
      <c r="B6" s="37" t="s">
        <v>162</v>
      </c>
      <c r="C6" s="46"/>
      <c r="D6" s="46"/>
      <c r="E6" s="46">
        <v>10</v>
      </c>
      <c r="F6" s="46">
        <v>25</v>
      </c>
      <c r="G6" s="46">
        <v>10</v>
      </c>
      <c r="H6" s="46"/>
      <c r="I6" s="46"/>
      <c r="J6" s="39">
        <f t="shared" ref="J6:J31" si="0">SUM(C6:I6)</f>
        <v>45</v>
      </c>
      <c r="K6" s="34"/>
    </row>
    <row r="7" spans="1:11" ht="18.75" x14ac:dyDescent="0.3">
      <c r="A7" s="31">
        <f t="shared" ref="A7:A12" si="1">1+A6</f>
        <v>3</v>
      </c>
      <c r="B7" s="37" t="s">
        <v>94</v>
      </c>
      <c r="C7" s="46">
        <v>15</v>
      </c>
      <c r="D7" s="46">
        <v>39</v>
      </c>
      <c r="E7" s="46"/>
      <c r="F7" s="46">
        <v>45</v>
      </c>
      <c r="G7" s="46">
        <f>39+45+5</f>
        <v>89</v>
      </c>
      <c r="H7" s="46"/>
      <c r="I7" s="46"/>
      <c r="J7" s="39">
        <f t="shared" si="0"/>
        <v>188</v>
      </c>
      <c r="K7" s="34"/>
    </row>
    <row r="8" spans="1:11" ht="18.75" x14ac:dyDescent="0.3">
      <c r="A8" s="31">
        <f t="shared" si="1"/>
        <v>4</v>
      </c>
      <c r="B8" s="37" t="s">
        <v>163</v>
      </c>
      <c r="C8" s="46"/>
      <c r="D8" s="46"/>
      <c r="E8" s="46">
        <f>15+10</f>
        <v>25</v>
      </c>
      <c r="F8" s="46">
        <v>31</v>
      </c>
      <c r="G8" s="46">
        <f>23+29</f>
        <v>52</v>
      </c>
      <c r="H8" s="46"/>
      <c r="I8" s="46"/>
      <c r="J8" s="39">
        <f t="shared" si="0"/>
        <v>108</v>
      </c>
      <c r="K8" s="34"/>
    </row>
    <row r="9" spans="1:11" ht="18.75" x14ac:dyDescent="0.3">
      <c r="A9" s="31">
        <f t="shared" si="1"/>
        <v>5</v>
      </c>
      <c r="B9" s="37" t="s">
        <v>69</v>
      </c>
      <c r="C9" s="46"/>
      <c r="D9" s="46"/>
      <c r="E9" s="46">
        <f>12+10+5</f>
        <v>27</v>
      </c>
      <c r="F9" s="46">
        <v>72</v>
      </c>
      <c r="G9" s="46">
        <f>12+12+5+12+5+12+15+10+10+5+12+5+10+10</f>
        <v>135</v>
      </c>
      <c r="H9" s="46"/>
      <c r="I9" s="46"/>
      <c r="J9" s="39">
        <f t="shared" si="0"/>
        <v>234</v>
      </c>
      <c r="K9" s="34"/>
    </row>
    <row r="10" spans="1:11" ht="18.75" x14ac:dyDescent="0.3">
      <c r="A10" s="31">
        <f t="shared" si="1"/>
        <v>6</v>
      </c>
      <c r="B10" s="37" t="s">
        <v>95</v>
      </c>
      <c r="C10" s="46">
        <v>15</v>
      </c>
      <c r="D10" s="46">
        <v>10</v>
      </c>
      <c r="E10" s="46">
        <f>15+30+5+15</f>
        <v>65</v>
      </c>
      <c r="F10" s="46">
        <v>20</v>
      </c>
      <c r="G10" s="46">
        <v>25</v>
      </c>
      <c r="H10" s="46"/>
      <c r="I10" s="46"/>
      <c r="J10" s="39">
        <f t="shared" si="0"/>
        <v>135</v>
      </c>
      <c r="K10" s="34"/>
    </row>
    <row r="11" spans="1:11" ht="18.75" x14ac:dyDescent="0.3">
      <c r="A11" s="31">
        <f t="shared" si="1"/>
        <v>7</v>
      </c>
      <c r="B11" s="37" t="s">
        <v>164</v>
      </c>
      <c r="C11" s="46"/>
      <c r="D11" s="46"/>
      <c r="E11" s="46"/>
      <c r="F11" s="46"/>
      <c r="G11" s="46">
        <f>10+12</f>
        <v>22</v>
      </c>
      <c r="H11" s="46"/>
      <c r="I11" s="46"/>
      <c r="J11" s="39">
        <f t="shared" si="0"/>
        <v>22</v>
      </c>
      <c r="K11" s="34"/>
    </row>
    <row r="12" spans="1:11" ht="18.75" x14ac:dyDescent="0.3">
      <c r="A12" s="31">
        <f t="shared" si="1"/>
        <v>8</v>
      </c>
      <c r="B12" s="37" t="s">
        <v>73</v>
      </c>
      <c r="C12" s="46">
        <v>47</v>
      </c>
      <c r="D12" s="46">
        <f>20+45</f>
        <v>65</v>
      </c>
      <c r="E12" s="46">
        <f>25+15+47</f>
        <v>87</v>
      </c>
      <c r="F12" s="46">
        <v>90</v>
      </c>
      <c r="G12" s="46">
        <f>15+47</f>
        <v>62</v>
      </c>
      <c r="H12" s="46"/>
      <c r="I12" s="46"/>
      <c r="J12" s="39">
        <f t="shared" si="0"/>
        <v>351</v>
      </c>
      <c r="K12" s="34"/>
    </row>
    <row r="13" spans="1:11" ht="18.75" x14ac:dyDescent="0.3">
      <c r="A13" s="31"/>
      <c r="B13" s="37"/>
      <c r="C13" s="46"/>
      <c r="D13" s="46"/>
      <c r="E13" s="46"/>
      <c r="F13" s="46"/>
      <c r="G13" s="46"/>
      <c r="H13" s="46"/>
      <c r="I13" s="46"/>
      <c r="J13" s="47"/>
      <c r="K13" s="34"/>
    </row>
    <row r="14" spans="1:11" ht="18.75" x14ac:dyDescent="0.3">
      <c r="A14" s="31"/>
      <c r="B14" s="37"/>
      <c r="C14" s="46"/>
      <c r="D14" s="46"/>
      <c r="E14" s="46"/>
      <c r="F14" s="46"/>
      <c r="G14" s="46"/>
      <c r="H14" s="46"/>
      <c r="I14" s="46"/>
      <c r="J14" s="39">
        <f t="shared" si="0"/>
        <v>0</v>
      </c>
      <c r="K14" s="34"/>
    </row>
    <row r="15" spans="1:11" ht="26.25" x14ac:dyDescent="0.4">
      <c r="A15" s="31"/>
      <c r="B15" s="45" t="s">
        <v>74</v>
      </c>
      <c r="C15" s="46"/>
      <c r="D15" s="46"/>
      <c r="E15" s="46"/>
      <c r="F15" s="46"/>
      <c r="G15" s="46"/>
      <c r="H15" s="46"/>
      <c r="I15" s="46"/>
      <c r="J15" s="39">
        <f t="shared" si="0"/>
        <v>0</v>
      </c>
      <c r="K15" s="34"/>
    </row>
    <row r="16" spans="1:11" ht="18.75" x14ac:dyDescent="0.3">
      <c r="A16" s="31"/>
      <c r="B16" s="37"/>
      <c r="C16" s="46"/>
      <c r="D16" s="46"/>
      <c r="E16" s="46"/>
      <c r="F16" s="46"/>
      <c r="G16" s="46"/>
      <c r="H16" s="46"/>
      <c r="I16" s="46"/>
      <c r="J16" s="39">
        <f t="shared" si="0"/>
        <v>0</v>
      </c>
      <c r="K16" s="34"/>
    </row>
    <row r="17" spans="1:11" ht="18.75" x14ac:dyDescent="0.3">
      <c r="A17" s="31">
        <f>+A12+1</f>
        <v>9</v>
      </c>
      <c r="B17" s="37" t="s">
        <v>131</v>
      </c>
      <c r="C17" s="46">
        <f>24+40+15</f>
        <v>79</v>
      </c>
      <c r="D17" s="46"/>
      <c r="E17" s="46"/>
      <c r="F17" s="46"/>
      <c r="G17" s="46"/>
      <c r="H17" s="46"/>
      <c r="I17" s="46"/>
      <c r="J17" s="39">
        <f t="shared" si="0"/>
        <v>79</v>
      </c>
      <c r="K17" s="34"/>
    </row>
    <row r="18" spans="1:11" ht="18.75" x14ac:dyDescent="0.3">
      <c r="A18" s="31">
        <f>+A17+1</f>
        <v>10</v>
      </c>
      <c r="B18" s="37" t="s">
        <v>132</v>
      </c>
      <c r="C18" s="46">
        <f>2+15+35+10+16</f>
        <v>78</v>
      </c>
      <c r="D18" s="46"/>
      <c r="E18" s="46"/>
      <c r="F18" s="46">
        <f>15+24+15</f>
        <v>54</v>
      </c>
      <c r="G18" s="46">
        <v>12</v>
      </c>
      <c r="H18" s="46"/>
      <c r="I18" s="46"/>
      <c r="J18" s="39">
        <f t="shared" si="0"/>
        <v>144</v>
      </c>
      <c r="K18" s="34"/>
    </row>
    <row r="19" spans="1:11" ht="18.75" x14ac:dyDescent="0.3">
      <c r="A19" s="31">
        <f t="shared" ref="A19:A21" si="2">+A18+1</f>
        <v>11</v>
      </c>
      <c r="B19" s="37" t="s">
        <v>133</v>
      </c>
      <c r="C19" s="46">
        <v>24</v>
      </c>
      <c r="D19" s="46"/>
      <c r="E19" s="46"/>
      <c r="F19" s="46"/>
      <c r="G19" s="46"/>
      <c r="H19" s="46"/>
      <c r="I19" s="46"/>
      <c r="J19" s="39">
        <f t="shared" si="0"/>
        <v>24</v>
      </c>
      <c r="K19" s="34"/>
    </row>
    <row r="20" spans="1:11" ht="18.75" x14ac:dyDescent="0.3">
      <c r="A20" s="31">
        <f t="shared" si="2"/>
        <v>12</v>
      </c>
      <c r="B20" s="37" t="s">
        <v>165</v>
      </c>
      <c r="C20" s="46">
        <v>45</v>
      </c>
      <c r="D20" s="46"/>
      <c r="E20" s="46"/>
      <c r="F20" s="46"/>
      <c r="G20" s="46"/>
      <c r="H20" s="46"/>
      <c r="I20" s="46"/>
      <c r="J20" s="39">
        <f t="shared" si="0"/>
        <v>45</v>
      </c>
      <c r="K20" s="34"/>
    </row>
    <row r="21" spans="1:11" ht="18.75" x14ac:dyDescent="0.3">
      <c r="A21" s="31">
        <f t="shared" si="2"/>
        <v>13</v>
      </c>
      <c r="B21" s="37" t="s">
        <v>134</v>
      </c>
      <c r="C21" s="46"/>
      <c r="D21" s="46"/>
      <c r="E21" s="46"/>
      <c r="F21" s="46">
        <v>30</v>
      </c>
      <c r="G21" s="46">
        <f>6+12</f>
        <v>18</v>
      </c>
      <c r="H21" s="46"/>
      <c r="I21" s="46"/>
      <c r="J21" s="39">
        <f t="shared" si="0"/>
        <v>48</v>
      </c>
      <c r="K21" s="34"/>
    </row>
    <row r="22" spans="1:11" ht="18.75" x14ac:dyDescent="0.3">
      <c r="A22" s="31"/>
      <c r="B22" s="37"/>
      <c r="C22" s="46"/>
      <c r="D22" s="46"/>
      <c r="E22" s="46"/>
      <c r="F22" s="46"/>
      <c r="G22" s="46"/>
      <c r="H22" s="46"/>
      <c r="I22" s="46"/>
      <c r="J22" s="39"/>
      <c r="K22" s="34"/>
    </row>
    <row r="23" spans="1:11" ht="26.25" x14ac:dyDescent="0.4">
      <c r="A23" s="31"/>
      <c r="B23" s="45" t="s">
        <v>77</v>
      </c>
      <c r="C23" s="46"/>
      <c r="D23" s="46"/>
      <c r="E23" s="46"/>
      <c r="F23" s="46"/>
      <c r="G23" s="46"/>
      <c r="H23" s="46"/>
      <c r="I23" s="46"/>
      <c r="J23" s="39"/>
      <c r="K23" s="34"/>
    </row>
    <row r="24" spans="1:11" ht="18.75" x14ac:dyDescent="0.3">
      <c r="A24" s="31"/>
      <c r="B24" s="37"/>
      <c r="C24" s="46"/>
      <c r="D24" s="46"/>
      <c r="E24" s="46"/>
      <c r="F24" s="46"/>
      <c r="G24" s="46"/>
      <c r="H24" s="46"/>
      <c r="I24" s="46"/>
      <c r="J24" s="39">
        <f t="shared" si="0"/>
        <v>0</v>
      </c>
      <c r="K24" s="35"/>
    </row>
    <row r="25" spans="1:11" ht="18.75" x14ac:dyDescent="0.3">
      <c r="A25" s="31">
        <f>+A21+1</f>
        <v>14</v>
      </c>
      <c r="B25" s="37" t="s">
        <v>166</v>
      </c>
      <c r="C25" s="46">
        <f>15+12+15</f>
        <v>42</v>
      </c>
      <c r="D25" s="46"/>
      <c r="E25" s="46"/>
      <c r="F25" s="46"/>
      <c r="G25" s="46"/>
      <c r="H25" s="46"/>
      <c r="I25" s="46"/>
      <c r="J25" s="39">
        <f>SUM(C25:I25)</f>
        <v>42</v>
      </c>
      <c r="K25" s="35"/>
    </row>
    <row r="26" spans="1:11" ht="18.75" x14ac:dyDescent="0.3">
      <c r="A26" s="31">
        <f>1+A25</f>
        <v>15</v>
      </c>
      <c r="B26" s="48" t="s">
        <v>135</v>
      </c>
      <c r="C26" s="46">
        <v>37</v>
      </c>
      <c r="D26" s="46"/>
      <c r="E26" s="46"/>
      <c r="F26" s="46"/>
      <c r="G26" s="46"/>
      <c r="H26" s="46"/>
      <c r="I26" s="46"/>
      <c r="J26" s="39">
        <f>SUM(C26:I26)</f>
        <v>37</v>
      </c>
      <c r="K26" s="35"/>
    </row>
    <row r="27" spans="1:11" ht="18.75" x14ac:dyDescent="0.3">
      <c r="A27" s="31">
        <f t="shared" ref="A27:A32" si="3">1+A26</f>
        <v>16</v>
      </c>
      <c r="B27" s="37" t="s">
        <v>136</v>
      </c>
      <c r="C27" s="46">
        <v>39</v>
      </c>
      <c r="D27" s="46"/>
      <c r="E27" s="46">
        <v>2</v>
      </c>
      <c r="F27" s="46"/>
      <c r="G27" s="46">
        <v>15</v>
      </c>
      <c r="H27" s="46"/>
      <c r="I27" s="46"/>
      <c r="J27" s="39">
        <f t="shared" si="0"/>
        <v>56</v>
      </c>
      <c r="K27" s="35"/>
    </row>
    <row r="28" spans="1:11" ht="18.75" x14ac:dyDescent="0.3">
      <c r="A28" s="31">
        <f t="shared" si="3"/>
        <v>17</v>
      </c>
      <c r="B28" s="37" t="s">
        <v>138</v>
      </c>
      <c r="C28" s="46">
        <v>18</v>
      </c>
      <c r="D28" s="46"/>
      <c r="E28" s="46"/>
      <c r="F28" s="46">
        <v>45</v>
      </c>
      <c r="G28" s="46">
        <v>45</v>
      </c>
      <c r="H28" s="46"/>
      <c r="I28" s="46"/>
      <c r="J28" s="39">
        <f t="shared" si="0"/>
        <v>108</v>
      </c>
      <c r="K28" s="35"/>
    </row>
    <row r="29" spans="1:11" ht="18.75" x14ac:dyDescent="0.3">
      <c r="A29" s="31">
        <f t="shared" si="3"/>
        <v>18</v>
      </c>
      <c r="B29" s="48" t="s">
        <v>139</v>
      </c>
      <c r="C29" s="46">
        <f>24+15+5+5+40</f>
        <v>89</v>
      </c>
      <c r="D29" s="46"/>
      <c r="E29" s="46"/>
      <c r="F29" s="46"/>
      <c r="G29" s="46"/>
      <c r="H29" s="46"/>
      <c r="I29" s="46"/>
      <c r="J29" s="39">
        <f t="shared" si="0"/>
        <v>89</v>
      </c>
      <c r="K29" s="35"/>
    </row>
    <row r="30" spans="1:11" ht="18.75" x14ac:dyDescent="0.3">
      <c r="A30" s="31">
        <f t="shared" si="3"/>
        <v>19</v>
      </c>
      <c r="B30" s="37" t="s">
        <v>167</v>
      </c>
      <c r="C30" s="46">
        <v>17</v>
      </c>
      <c r="D30" s="46"/>
      <c r="E30" s="46"/>
      <c r="F30" s="46">
        <v>19</v>
      </c>
      <c r="G30" s="46"/>
      <c r="H30" s="46"/>
      <c r="I30" s="46"/>
      <c r="J30" s="39">
        <f t="shared" si="0"/>
        <v>36</v>
      </c>
      <c r="K30" s="35"/>
    </row>
    <row r="31" spans="1:11" ht="18.75" x14ac:dyDescent="0.3">
      <c r="A31" s="31">
        <f t="shared" si="3"/>
        <v>20</v>
      </c>
      <c r="B31" s="37" t="s">
        <v>78</v>
      </c>
      <c r="C31" s="46">
        <f>12+15+28</f>
        <v>55</v>
      </c>
      <c r="D31" s="46"/>
      <c r="E31" s="46">
        <v>35</v>
      </c>
      <c r="F31" s="46">
        <v>35</v>
      </c>
      <c r="G31" s="46">
        <f>40+45</f>
        <v>85</v>
      </c>
      <c r="H31" s="46"/>
      <c r="I31" s="46"/>
      <c r="J31" s="39">
        <f t="shared" si="0"/>
        <v>210</v>
      </c>
      <c r="K31" s="35"/>
    </row>
    <row r="32" spans="1:11" ht="18.75" x14ac:dyDescent="0.3">
      <c r="A32" s="31">
        <f t="shared" si="3"/>
        <v>21</v>
      </c>
      <c r="B32" s="37" t="s">
        <v>57</v>
      </c>
      <c r="C32" s="46">
        <f>24+40+24+15+40</f>
        <v>143</v>
      </c>
      <c r="D32" s="46"/>
      <c r="E32" s="46"/>
      <c r="F32" s="46">
        <f>36+12+5</f>
        <v>53</v>
      </c>
      <c r="G32" s="46"/>
      <c r="H32" s="46"/>
      <c r="I32" s="46"/>
      <c r="J32" s="39">
        <f>SUM(C32:I32)</f>
        <v>196</v>
      </c>
      <c r="K32" s="35"/>
    </row>
    <row r="33" spans="1:11" ht="18.75" x14ac:dyDescent="0.3">
      <c r="A33" s="31"/>
      <c r="B33" s="15"/>
      <c r="C33" s="46"/>
      <c r="D33" s="46"/>
      <c r="E33" s="46"/>
      <c r="F33" s="46"/>
      <c r="G33" s="46"/>
      <c r="H33" s="46"/>
      <c r="I33" s="46"/>
      <c r="J33" s="47"/>
      <c r="K33" s="35"/>
    </row>
    <row r="34" spans="1:11" ht="18.75" x14ac:dyDescent="0.3">
      <c r="A34" s="31"/>
      <c r="B34" s="15"/>
      <c r="C34" s="46"/>
      <c r="D34" s="46"/>
      <c r="E34" s="46"/>
      <c r="F34" s="46"/>
      <c r="G34" s="46"/>
      <c r="H34" s="46"/>
      <c r="I34" s="46"/>
      <c r="J34" s="39"/>
      <c r="K34" s="35"/>
    </row>
    <row r="35" spans="1:11" ht="26.25" x14ac:dyDescent="0.4">
      <c r="A35" s="31"/>
      <c r="B35" s="45" t="s">
        <v>36</v>
      </c>
      <c r="C35" s="46"/>
      <c r="D35" s="46"/>
      <c r="E35" s="46"/>
      <c r="F35" s="46"/>
      <c r="G35" s="46"/>
      <c r="H35" s="46"/>
      <c r="I35" s="46"/>
      <c r="J35" s="39"/>
      <c r="K35" s="35"/>
    </row>
    <row r="36" spans="1:11" ht="18.75" x14ac:dyDescent="0.3">
      <c r="A36" s="31"/>
      <c r="B36" s="15"/>
      <c r="C36" s="46"/>
      <c r="D36" s="46"/>
      <c r="E36" s="46"/>
      <c r="F36" s="46"/>
      <c r="G36" s="46"/>
      <c r="H36" s="46"/>
      <c r="I36" s="46"/>
      <c r="J36" s="39"/>
      <c r="K36" s="35"/>
    </row>
    <row r="37" spans="1:11" ht="18.75" x14ac:dyDescent="0.3">
      <c r="A37" s="31">
        <f>+A32+1</f>
        <v>22</v>
      </c>
      <c r="B37" s="37" t="s">
        <v>37</v>
      </c>
      <c r="C37" s="46"/>
      <c r="D37" s="46">
        <v>40</v>
      </c>
      <c r="E37" s="46">
        <f>24+15</f>
        <v>39</v>
      </c>
      <c r="F37" s="46">
        <v>39</v>
      </c>
      <c r="G37" s="46">
        <f>15+24</f>
        <v>39</v>
      </c>
      <c r="H37" s="46"/>
      <c r="I37" s="46"/>
      <c r="J37" s="39">
        <f t="shared" ref="J37:J42" si="4">SUM(C37:I37)</f>
        <v>157</v>
      </c>
      <c r="K37" s="35"/>
    </row>
    <row r="38" spans="1:11" ht="18.75" x14ac:dyDescent="0.3">
      <c r="A38" s="31">
        <f>+A37+1</f>
        <v>23</v>
      </c>
      <c r="B38" s="37" t="s">
        <v>142</v>
      </c>
      <c r="C38" s="46">
        <v>25</v>
      </c>
      <c r="D38" s="46">
        <v>39</v>
      </c>
      <c r="E38" s="46">
        <f>15+30</f>
        <v>45</v>
      </c>
      <c r="F38" s="46"/>
      <c r="G38" s="46">
        <f>10+12</f>
        <v>22</v>
      </c>
      <c r="H38" s="46"/>
      <c r="I38" s="46"/>
      <c r="J38" s="39">
        <f t="shared" si="4"/>
        <v>131</v>
      </c>
      <c r="K38" s="35"/>
    </row>
    <row r="39" spans="1:11" ht="18.75" x14ac:dyDescent="0.3">
      <c r="A39" s="31">
        <f t="shared" ref="A39:A42" si="5">+A38+1</f>
        <v>24</v>
      </c>
      <c r="B39" s="37" t="s">
        <v>168</v>
      </c>
      <c r="C39" s="46">
        <v>54</v>
      </c>
      <c r="D39" s="46">
        <v>24</v>
      </c>
      <c r="E39" s="46">
        <v>9</v>
      </c>
      <c r="F39" s="46">
        <v>15</v>
      </c>
      <c r="G39" s="46"/>
      <c r="H39" s="46"/>
      <c r="I39" s="46"/>
      <c r="J39" s="39">
        <f t="shared" si="4"/>
        <v>102</v>
      </c>
      <c r="K39" s="35"/>
    </row>
    <row r="40" spans="1:11" ht="18.75" x14ac:dyDescent="0.3">
      <c r="A40" s="31">
        <f t="shared" si="5"/>
        <v>25</v>
      </c>
      <c r="B40" s="37" t="s">
        <v>169</v>
      </c>
      <c r="C40" s="51"/>
      <c r="D40" s="51"/>
      <c r="E40" s="51">
        <v>15</v>
      </c>
      <c r="F40" s="51">
        <v>15</v>
      </c>
      <c r="G40" s="51">
        <f>15+24</f>
        <v>39</v>
      </c>
      <c r="H40" s="51"/>
      <c r="I40" s="51"/>
      <c r="J40" s="39">
        <f t="shared" si="4"/>
        <v>69</v>
      </c>
      <c r="K40" s="35"/>
    </row>
    <row r="41" spans="1:11" ht="18.75" x14ac:dyDescent="0.3">
      <c r="A41" s="31">
        <f t="shared" si="5"/>
        <v>26</v>
      </c>
      <c r="B41" s="44" t="s">
        <v>144</v>
      </c>
      <c r="C41" s="51">
        <v>39</v>
      </c>
      <c r="D41" s="50"/>
      <c r="E41" s="50"/>
      <c r="F41" s="50"/>
      <c r="G41" s="51">
        <f>24+15+12</f>
        <v>51</v>
      </c>
      <c r="H41" s="51"/>
      <c r="I41" s="51"/>
      <c r="J41" s="39">
        <f t="shared" si="4"/>
        <v>90</v>
      </c>
      <c r="K41" s="35"/>
    </row>
    <row r="42" spans="1:11" ht="18.75" x14ac:dyDescent="0.3">
      <c r="A42" s="31">
        <f t="shared" si="5"/>
        <v>27</v>
      </c>
      <c r="B42" s="37" t="s">
        <v>102</v>
      </c>
      <c r="C42" s="51">
        <v>200</v>
      </c>
      <c r="D42" s="51"/>
      <c r="E42" s="51"/>
      <c r="F42" s="51"/>
      <c r="G42" s="51"/>
      <c r="H42" s="51"/>
      <c r="I42" s="51"/>
      <c r="J42" s="39">
        <f t="shared" si="4"/>
        <v>200</v>
      </c>
      <c r="K42" s="35"/>
    </row>
    <row r="43" spans="1:11" ht="18.75" x14ac:dyDescent="0.3">
      <c r="A43" s="31"/>
      <c r="B43" s="37"/>
      <c r="C43" s="51"/>
      <c r="D43" s="51"/>
      <c r="E43" s="51"/>
      <c r="F43" s="51"/>
      <c r="G43" s="51"/>
      <c r="H43" s="51"/>
      <c r="I43" s="51"/>
      <c r="J43" s="47"/>
      <c r="K43" s="35"/>
    </row>
    <row r="44" spans="1:11" ht="18.75" x14ac:dyDescent="0.3">
      <c r="A44" s="31"/>
      <c r="B44" s="37"/>
      <c r="C44" s="51"/>
      <c r="D44" s="51"/>
      <c r="E44" s="51"/>
      <c r="F44" s="51"/>
      <c r="G44" s="51"/>
      <c r="H44" s="51"/>
      <c r="I44" s="51"/>
      <c r="J44" s="47"/>
      <c r="K44" s="35"/>
    </row>
    <row r="45" spans="1:11" ht="18.75" x14ac:dyDescent="0.3">
      <c r="A45" s="31"/>
      <c r="B45" s="49" t="s">
        <v>40</v>
      </c>
      <c r="C45" s="51"/>
      <c r="D45" s="51"/>
      <c r="E45" s="51"/>
      <c r="F45" s="51"/>
      <c r="G45" s="51"/>
      <c r="H45" s="51"/>
      <c r="I45" s="51"/>
      <c r="J45" s="47"/>
      <c r="K45" s="35"/>
    </row>
    <row r="46" spans="1:11" ht="18.75" x14ac:dyDescent="0.3">
      <c r="A46" s="31"/>
      <c r="B46" s="49"/>
      <c r="C46" s="51"/>
      <c r="D46" s="51"/>
      <c r="E46" s="51"/>
      <c r="F46" s="51"/>
      <c r="G46" s="51"/>
      <c r="H46" s="51"/>
      <c r="I46" s="51"/>
      <c r="J46" s="47"/>
      <c r="K46" s="35"/>
    </row>
    <row r="47" spans="1:11" ht="18.75" x14ac:dyDescent="0.3">
      <c r="A47" s="31">
        <f>+A42+1</f>
        <v>28</v>
      </c>
      <c r="B47" s="37" t="s">
        <v>124</v>
      </c>
      <c r="C47" s="51"/>
      <c r="D47" s="51"/>
      <c r="E47" s="51"/>
      <c r="F47" s="51"/>
      <c r="G47" s="51">
        <f>24+15</f>
        <v>39</v>
      </c>
      <c r="H47" s="51"/>
      <c r="I47" s="51"/>
      <c r="J47" s="39">
        <f t="shared" ref="J47:J66" si="6">SUM(C47:I47)</f>
        <v>39</v>
      </c>
      <c r="K47" s="35"/>
    </row>
    <row r="48" spans="1:11" ht="18.75" x14ac:dyDescent="0.3">
      <c r="A48" s="31">
        <f>+A47+1</f>
        <v>29</v>
      </c>
      <c r="B48" s="37" t="s">
        <v>84</v>
      </c>
      <c r="C48" s="51">
        <f>15+12+15</f>
        <v>42</v>
      </c>
      <c r="D48" s="51">
        <f>15+15</f>
        <v>30</v>
      </c>
      <c r="E48" s="51">
        <f>20+12+10</f>
        <v>42</v>
      </c>
      <c r="F48" s="51"/>
      <c r="G48" s="51"/>
      <c r="H48" s="51"/>
      <c r="I48" s="51">
        <v>157</v>
      </c>
      <c r="J48" s="39">
        <f t="shared" si="6"/>
        <v>271</v>
      </c>
      <c r="K48" s="35"/>
    </row>
    <row r="49" spans="1:11" ht="18.75" x14ac:dyDescent="0.3">
      <c r="A49" s="31">
        <f t="shared" ref="A49:A66" si="7">+A48+1</f>
        <v>30</v>
      </c>
      <c r="B49" s="37" t="s">
        <v>148</v>
      </c>
      <c r="C49" s="51"/>
      <c r="D49" s="51"/>
      <c r="E49" s="51"/>
      <c r="F49" s="51">
        <f>45+45</f>
        <v>90</v>
      </c>
      <c r="G49" s="51"/>
      <c r="H49" s="51"/>
      <c r="I49" s="51"/>
      <c r="J49" s="39">
        <f t="shared" si="6"/>
        <v>90</v>
      </c>
      <c r="K49" s="35"/>
    </row>
    <row r="50" spans="1:11" ht="18.75" x14ac:dyDescent="0.3">
      <c r="A50" s="31">
        <f t="shared" si="7"/>
        <v>31</v>
      </c>
      <c r="B50" s="37" t="s">
        <v>170</v>
      </c>
      <c r="C50" s="51"/>
      <c r="D50" s="51"/>
      <c r="E50" s="51"/>
      <c r="F50" s="51">
        <v>30</v>
      </c>
      <c r="G50" s="51"/>
      <c r="H50" s="51"/>
      <c r="I50" s="51"/>
      <c r="J50" s="39">
        <f t="shared" si="6"/>
        <v>30</v>
      </c>
      <c r="K50" s="35"/>
    </row>
    <row r="51" spans="1:11" ht="18.75" x14ac:dyDescent="0.3">
      <c r="A51" s="31">
        <f t="shared" si="7"/>
        <v>32</v>
      </c>
      <c r="B51" s="37" t="s">
        <v>106</v>
      </c>
      <c r="C51" s="51">
        <v>27</v>
      </c>
      <c r="D51" s="51"/>
      <c r="E51" s="51">
        <v>45</v>
      </c>
      <c r="F51" s="51"/>
      <c r="G51" s="51"/>
      <c r="H51" s="51"/>
      <c r="I51" s="51"/>
      <c r="J51" s="39">
        <f t="shared" si="6"/>
        <v>72</v>
      </c>
      <c r="K51" s="35"/>
    </row>
    <row r="52" spans="1:11" ht="18.75" x14ac:dyDescent="0.3">
      <c r="A52" s="31">
        <f t="shared" si="7"/>
        <v>33</v>
      </c>
      <c r="B52" s="37" t="s">
        <v>42</v>
      </c>
      <c r="C52" s="50"/>
      <c r="D52" s="50"/>
      <c r="E52" s="50"/>
      <c r="F52" s="50">
        <f>39+20</f>
        <v>59</v>
      </c>
      <c r="G52" s="50">
        <f>15+40</f>
        <v>55</v>
      </c>
      <c r="H52" s="50"/>
      <c r="I52" s="51"/>
      <c r="J52" s="39">
        <f t="shared" si="6"/>
        <v>114</v>
      </c>
      <c r="K52" s="35"/>
    </row>
    <row r="53" spans="1:11" ht="18.75" x14ac:dyDescent="0.3">
      <c r="A53" s="31">
        <f t="shared" si="7"/>
        <v>34</v>
      </c>
      <c r="B53" s="37" t="s">
        <v>105</v>
      </c>
      <c r="C53" s="50"/>
      <c r="D53" s="50"/>
      <c r="E53" s="50"/>
      <c r="F53" s="50"/>
      <c r="G53" s="50">
        <f>40+12</f>
        <v>52</v>
      </c>
      <c r="H53" s="50"/>
      <c r="I53" s="51"/>
      <c r="J53" s="39">
        <f t="shared" si="6"/>
        <v>52</v>
      </c>
      <c r="K53" s="35"/>
    </row>
    <row r="54" spans="1:11" ht="18.75" x14ac:dyDescent="0.3">
      <c r="A54" s="31">
        <f t="shared" si="7"/>
        <v>35</v>
      </c>
      <c r="B54" s="37" t="s">
        <v>171</v>
      </c>
      <c r="C54" s="51">
        <f>15+1+6</f>
        <v>22</v>
      </c>
      <c r="D54" s="51"/>
      <c r="E54" s="51"/>
      <c r="F54" s="51"/>
      <c r="G54" s="51"/>
      <c r="H54" s="51"/>
      <c r="I54" s="51"/>
      <c r="J54" s="39">
        <f t="shared" si="6"/>
        <v>22</v>
      </c>
      <c r="K54" s="35"/>
    </row>
    <row r="55" spans="1:11" ht="18.75" x14ac:dyDescent="0.3">
      <c r="A55" s="31">
        <f t="shared" si="7"/>
        <v>36</v>
      </c>
      <c r="B55" s="37" t="s">
        <v>107</v>
      </c>
      <c r="C55" s="51"/>
      <c r="D55" s="51">
        <f>45+45</f>
        <v>90</v>
      </c>
      <c r="E55" s="51">
        <v>45</v>
      </c>
      <c r="F55" s="51"/>
      <c r="G55" s="51">
        <v>45</v>
      </c>
      <c r="H55" s="51"/>
      <c r="I55" s="51"/>
      <c r="J55" s="39">
        <f t="shared" si="6"/>
        <v>180</v>
      </c>
      <c r="K55" s="35"/>
    </row>
    <row r="56" spans="1:11" ht="18.75" x14ac:dyDescent="0.3">
      <c r="A56" s="31">
        <f t="shared" si="7"/>
        <v>37</v>
      </c>
      <c r="B56" s="37" t="s">
        <v>108</v>
      </c>
      <c r="C56" s="51">
        <v>30</v>
      </c>
      <c r="D56" s="51"/>
      <c r="E56" s="51"/>
      <c r="F56" s="51"/>
      <c r="G56" s="51"/>
      <c r="H56" s="51"/>
      <c r="I56" s="51">
        <v>324</v>
      </c>
      <c r="J56" s="39">
        <f t="shared" si="6"/>
        <v>354</v>
      </c>
      <c r="K56" s="35"/>
    </row>
    <row r="57" spans="1:11" ht="18.75" x14ac:dyDescent="0.3">
      <c r="A57" s="31">
        <f t="shared" si="7"/>
        <v>38</v>
      </c>
      <c r="B57" s="37" t="s">
        <v>149</v>
      </c>
      <c r="C57" s="51"/>
      <c r="D57" s="51"/>
      <c r="E57" s="51"/>
      <c r="F57" s="51"/>
      <c r="G57" s="51">
        <f>36+15</f>
        <v>51</v>
      </c>
      <c r="H57" s="51"/>
      <c r="I57" s="51"/>
      <c r="J57" s="39">
        <f t="shared" si="6"/>
        <v>51</v>
      </c>
      <c r="K57" s="35"/>
    </row>
    <row r="58" spans="1:11" ht="18.75" x14ac:dyDescent="0.3">
      <c r="A58" s="31">
        <f t="shared" si="7"/>
        <v>39</v>
      </c>
      <c r="B58" s="37" t="s">
        <v>150</v>
      </c>
      <c r="C58" s="52"/>
      <c r="D58" s="50"/>
      <c r="E58" s="50"/>
      <c r="F58" s="50"/>
      <c r="G58" s="50">
        <f>24+12</f>
        <v>36</v>
      </c>
      <c r="H58" s="50"/>
      <c r="I58" s="50"/>
      <c r="J58" s="39">
        <f t="shared" si="6"/>
        <v>36</v>
      </c>
      <c r="K58" s="35"/>
    </row>
    <row r="59" spans="1:11" ht="18.75" x14ac:dyDescent="0.3">
      <c r="A59" s="31">
        <f t="shared" si="7"/>
        <v>40</v>
      </c>
      <c r="B59" s="37" t="s">
        <v>110</v>
      </c>
      <c r="C59" s="51"/>
      <c r="D59" s="51"/>
      <c r="E59" s="51">
        <v>15</v>
      </c>
      <c r="F59" s="51"/>
      <c r="G59" s="51"/>
      <c r="H59" s="51"/>
      <c r="I59" s="50"/>
      <c r="J59" s="39">
        <f t="shared" si="6"/>
        <v>15</v>
      </c>
      <c r="K59" s="35"/>
    </row>
    <row r="60" spans="1:11" ht="18.75" x14ac:dyDescent="0.3">
      <c r="A60" s="31">
        <f t="shared" si="7"/>
        <v>41</v>
      </c>
      <c r="B60" s="37" t="s">
        <v>172</v>
      </c>
      <c r="C60" s="51"/>
      <c r="D60" s="51"/>
      <c r="E60" s="51">
        <v>15</v>
      </c>
      <c r="F60" s="51">
        <f>15+30</f>
        <v>45</v>
      </c>
      <c r="G60" s="51"/>
      <c r="H60" s="51"/>
      <c r="I60" s="50"/>
      <c r="J60" s="39">
        <f t="shared" si="6"/>
        <v>60</v>
      </c>
      <c r="K60" s="35"/>
    </row>
    <row r="61" spans="1:11" ht="18.75" x14ac:dyDescent="0.3">
      <c r="A61" s="31">
        <f t="shared" si="7"/>
        <v>42</v>
      </c>
      <c r="B61" s="37" t="s">
        <v>111</v>
      </c>
      <c r="C61" s="51">
        <v>30</v>
      </c>
      <c r="D61" s="51">
        <f>12+15</f>
        <v>27</v>
      </c>
      <c r="E61" s="51"/>
      <c r="F61" s="51">
        <f>15+12</f>
        <v>27</v>
      </c>
      <c r="G61" s="51"/>
      <c r="H61" s="51"/>
      <c r="I61" s="53"/>
      <c r="J61" s="39">
        <f t="shared" si="6"/>
        <v>84</v>
      </c>
      <c r="K61" s="35"/>
    </row>
    <row r="62" spans="1:11" ht="18.75" x14ac:dyDescent="0.3">
      <c r="A62" s="31">
        <f t="shared" si="7"/>
        <v>43</v>
      </c>
      <c r="B62" s="37" t="s">
        <v>86</v>
      </c>
      <c r="C62" s="52">
        <v>100</v>
      </c>
      <c r="D62" s="50"/>
      <c r="E62" s="50">
        <f>15+5+15+5</f>
        <v>40</v>
      </c>
      <c r="F62" s="50"/>
      <c r="G62" s="50">
        <v>5</v>
      </c>
      <c r="H62" s="50"/>
      <c r="I62" s="50"/>
      <c r="J62" s="39">
        <f t="shared" si="6"/>
        <v>145</v>
      </c>
      <c r="K62" s="35"/>
    </row>
    <row r="63" spans="1:11" ht="18.75" x14ac:dyDescent="0.3">
      <c r="A63" s="31">
        <f t="shared" si="7"/>
        <v>44</v>
      </c>
      <c r="B63" s="37" t="s">
        <v>47</v>
      </c>
      <c r="C63" s="52"/>
      <c r="D63" s="50"/>
      <c r="E63" s="50"/>
      <c r="F63" s="50"/>
      <c r="G63" s="50"/>
      <c r="H63" s="50"/>
      <c r="I63" s="50">
        <v>27</v>
      </c>
      <c r="J63" s="39">
        <f t="shared" si="6"/>
        <v>27</v>
      </c>
      <c r="K63" s="35"/>
    </row>
    <row r="64" spans="1:11" ht="18.75" x14ac:dyDescent="0.3">
      <c r="A64" s="31">
        <f t="shared" si="7"/>
        <v>45</v>
      </c>
      <c r="B64" s="37" t="s">
        <v>143</v>
      </c>
      <c r="C64" s="50"/>
      <c r="D64" s="50"/>
      <c r="E64" s="50"/>
      <c r="F64" s="50">
        <v>35</v>
      </c>
      <c r="G64" s="50"/>
      <c r="H64" s="50"/>
      <c r="I64" s="50"/>
      <c r="J64" s="39">
        <f t="shared" si="6"/>
        <v>35</v>
      </c>
      <c r="K64" s="35"/>
    </row>
    <row r="65" spans="1:14" ht="18.75" x14ac:dyDescent="0.3">
      <c r="A65" s="31">
        <f t="shared" si="7"/>
        <v>46</v>
      </c>
      <c r="B65" s="37" t="s">
        <v>151</v>
      </c>
      <c r="C65" s="50"/>
      <c r="D65" s="50"/>
      <c r="E65" s="50"/>
      <c r="F65" s="50"/>
      <c r="G65" s="50">
        <v>35</v>
      </c>
      <c r="H65" s="50"/>
      <c r="I65" s="50"/>
      <c r="J65" s="39">
        <f t="shared" si="6"/>
        <v>35</v>
      </c>
      <c r="K65" s="35"/>
    </row>
    <row r="66" spans="1:14" ht="18.75" x14ac:dyDescent="0.3">
      <c r="A66" s="31">
        <f t="shared" si="7"/>
        <v>47</v>
      </c>
      <c r="B66" s="37" t="s">
        <v>173</v>
      </c>
      <c r="C66" s="54"/>
      <c r="D66" s="54"/>
      <c r="E66" s="54"/>
      <c r="F66" s="55"/>
      <c r="G66" s="54">
        <v>24</v>
      </c>
      <c r="H66" s="54"/>
      <c r="I66" s="54"/>
      <c r="J66" s="39">
        <f t="shared" si="6"/>
        <v>24</v>
      </c>
      <c r="K66" s="35"/>
    </row>
    <row r="67" spans="1:14" ht="18.75" x14ac:dyDescent="0.3">
      <c r="A67" s="31"/>
      <c r="B67" s="37"/>
      <c r="C67" s="50"/>
      <c r="D67" s="50"/>
      <c r="E67" s="50"/>
      <c r="F67" s="56"/>
      <c r="G67" s="50"/>
      <c r="H67" s="50"/>
      <c r="I67" s="50"/>
      <c r="J67" s="47"/>
      <c r="K67" s="35"/>
    </row>
    <row r="68" spans="1:14" ht="18.75" x14ac:dyDescent="0.3">
      <c r="A68" s="15"/>
      <c r="B68" s="17"/>
      <c r="C68" s="30"/>
      <c r="D68" s="30"/>
      <c r="E68" s="30"/>
      <c r="F68" s="30"/>
      <c r="G68" s="30"/>
      <c r="H68" s="30"/>
      <c r="I68" s="30"/>
      <c r="J68" s="30"/>
      <c r="K68" s="19"/>
    </row>
    <row r="69" spans="1:14" x14ac:dyDescent="0.25">
      <c r="L69" s="16"/>
    </row>
    <row r="70" spans="1:14" ht="21" x14ac:dyDescent="0.35">
      <c r="B70" s="57" t="s">
        <v>54</v>
      </c>
      <c r="C70" s="58"/>
      <c r="D70" s="59"/>
      <c r="E70" s="60"/>
      <c r="F70" s="60"/>
      <c r="G70" s="60"/>
      <c r="H70" s="28"/>
      <c r="I70" s="29"/>
      <c r="J70" s="41"/>
    </row>
    <row r="71" spans="1:14" x14ac:dyDescent="0.25">
      <c r="B71" s="61"/>
      <c r="C71" s="61"/>
      <c r="D71" s="61"/>
      <c r="E71" s="61"/>
      <c r="F71" s="61"/>
      <c r="G71" s="61"/>
    </row>
    <row r="72" spans="1:14" x14ac:dyDescent="0.25">
      <c r="B72" s="61" t="s">
        <v>174</v>
      </c>
      <c r="C72" s="62">
        <f>11+9+3</f>
        <v>23</v>
      </c>
      <c r="D72" s="63">
        <f>+C72*100</f>
        <v>2300</v>
      </c>
      <c r="E72" s="63">
        <f>+D72*0.1</f>
        <v>230</v>
      </c>
      <c r="F72" s="63">
        <f>+D72-E72</f>
        <v>2070</v>
      </c>
      <c r="G72" s="62"/>
      <c r="H72" s="16"/>
      <c r="N72" s="42"/>
    </row>
    <row r="73" spans="1:14" x14ac:dyDescent="0.25">
      <c r="B73" s="61"/>
      <c r="C73" s="62"/>
      <c r="D73" s="63"/>
      <c r="E73" s="63"/>
      <c r="F73" s="63"/>
      <c r="G73" s="62"/>
      <c r="H73" s="16"/>
      <c r="N73" s="42"/>
    </row>
    <row r="74" spans="1:14" x14ac:dyDescent="0.25">
      <c r="B74" s="61" t="s">
        <v>57</v>
      </c>
      <c r="C74" s="61">
        <f>10+10+10+2</f>
        <v>32</v>
      </c>
      <c r="D74" s="63">
        <f t="shared" ref="D74:D80" si="8">+C74*100</f>
        <v>3200</v>
      </c>
      <c r="E74" s="63">
        <f t="shared" ref="E74:E80" si="9">+D74*0.1</f>
        <v>320</v>
      </c>
      <c r="F74" s="63">
        <f t="shared" ref="F74:F80" si="10">+D74-E74</f>
        <v>2880</v>
      </c>
      <c r="G74" s="61"/>
    </row>
    <row r="75" spans="1:14" x14ac:dyDescent="0.25">
      <c r="B75" s="61"/>
      <c r="C75" s="61"/>
      <c r="D75" s="63"/>
      <c r="E75" s="63"/>
      <c r="F75" s="63"/>
      <c r="G75" s="61"/>
    </row>
    <row r="76" spans="1:14" x14ac:dyDescent="0.25">
      <c r="B76" s="61" t="s">
        <v>59</v>
      </c>
      <c r="C76" s="61">
        <f>4+2+2+1+1</f>
        <v>10</v>
      </c>
      <c r="D76" s="63">
        <f t="shared" si="8"/>
        <v>1000</v>
      </c>
      <c r="E76" s="63">
        <f t="shared" si="9"/>
        <v>100</v>
      </c>
      <c r="F76" s="63">
        <f t="shared" si="10"/>
        <v>900</v>
      </c>
      <c r="G76" s="61"/>
    </row>
    <row r="77" spans="1:14" x14ac:dyDescent="0.25">
      <c r="B77" s="61"/>
      <c r="C77" s="61"/>
      <c r="D77" s="63"/>
      <c r="E77" s="63"/>
      <c r="F77" s="63"/>
      <c r="G77" s="61"/>
    </row>
    <row r="78" spans="1:14" x14ac:dyDescent="0.25">
      <c r="B78" s="61" t="s">
        <v>61</v>
      </c>
      <c r="C78" s="61">
        <v>9</v>
      </c>
      <c r="D78" s="63">
        <f t="shared" si="8"/>
        <v>900</v>
      </c>
      <c r="E78" s="63">
        <f t="shared" si="9"/>
        <v>90</v>
      </c>
      <c r="F78" s="63">
        <f t="shared" si="10"/>
        <v>810</v>
      </c>
      <c r="G78" s="61"/>
    </row>
    <row r="79" spans="1:14" x14ac:dyDescent="0.25">
      <c r="B79" s="61"/>
      <c r="C79" s="61"/>
      <c r="D79" s="63"/>
      <c r="E79" s="63"/>
      <c r="F79" s="63"/>
      <c r="G79" s="61"/>
    </row>
    <row r="80" spans="1:14" x14ac:dyDescent="0.25">
      <c r="B80" s="61" t="s">
        <v>63</v>
      </c>
      <c r="C80" s="61">
        <v>20</v>
      </c>
      <c r="D80" s="63">
        <f t="shared" si="8"/>
        <v>2000</v>
      </c>
      <c r="E80" s="63">
        <f t="shared" si="9"/>
        <v>200</v>
      </c>
      <c r="F80" s="63">
        <f t="shared" si="10"/>
        <v>1800</v>
      </c>
      <c r="G80" s="61"/>
    </row>
    <row r="81" spans="2:15" x14ac:dyDescent="0.25">
      <c r="B81" s="61"/>
      <c r="C81" s="62">
        <f>SUM(C72:C80)</f>
        <v>94</v>
      </c>
      <c r="D81" s="64">
        <f>SUM(D72:D80)</f>
        <v>9400</v>
      </c>
      <c r="E81" s="64">
        <f>SUM(E72:E80)</f>
        <v>940</v>
      </c>
      <c r="F81" s="64">
        <f>SUM(F72:F80)</f>
        <v>8460</v>
      </c>
      <c r="G81" s="61"/>
      <c r="I81" s="16"/>
    </row>
    <row r="82" spans="2:15" x14ac:dyDescent="0.25">
      <c r="B82" s="61"/>
      <c r="C82" s="61"/>
      <c r="D82" s="61"/>
      <c r="E82" s="63"/>
      <c r="F82" s="63"/>
      <c r="G82" s="61"/>
    </row>
    <row r="83" spans="2:15" x14ac:dyDescent="0.25">
      <c r="B83" s="61"/>
      <c r="C83" s="61"/>
      <c r="D83" s="61"/>
      <c r="E83" s="61"/>
      <c r="F83" s="61"/>
      <c r="G83" s="61"/>
    </row>
    <row r="87" spans="2:15" x14ac:dyDescent="0.25">
      <c r="M87" t="s">
        <v>175</v>
      </c>
      <c r="N87" t="s">
        <v>176</v>
      </c>
      <c r="O87" t="s">
        <v>177</v>
      </c>
    </row>
    <row r="88" spans="2:15" x14ac:dyDescent="0.25">
      <c r="M88" t="s">
        <v>178</v>
      </c>
      <c r="N88" t="s">
        <v>178</v>
      </c>
      <c r="O88" t="s">
        <v>179</v>
      </c>
    </row>
    <row r="89" spans="2:15" x14ac:dyDescent="0.25">
      <c r="M89" t="s">
        <v>179</v>
      </c>
      <c r="N89" t="s">
        <v>179</v>
      </c>
      <c r="O89" t="s">
        <v>180</v>
      </c>
    </row>
    <row r="90" spans="2:15" x14ac:dyDescent="0.25">
      <c r="M90" t="s">
        <v>181</v>
      </c>
    </row>
  </sheetData>
  <sortState ref="B48:H66">
    <sortCondition ref="B48:B66"/>
  </sortState>
  <pageMargins left="0.33" right="0.7" top="0.32" bottom="0.3" header="0.31496062992125984" footer="0.31496062992125984"/>
  <pageSetup scale="66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9"/>
  <sheetViews>
    <sheetView topLeftCell="A61" workbookViewId="0">
      <selection activeCell="J3" sqref="J3"/>
    </sheetView>
  </sheetViews>
  <sheetFormatPr baseColWidth="10" defaultColWidth="11.42578125" defaultRowHeight="15" x14ac:dyDescent="0.25"/>
  <cols>
    <col min="1" max="1" width="3.42578125" customWidth="1"/>
    <col min="2" max="2" width="31.28515625" customWidth="1"/>
    <col min="3" max="9" width="10.7109375" customWidth="1"/>
    <col min="10" max="10" width="12.28515625" customWidth="1"/>
    <col min="11" max="11" width="16" customWidth="1"/>
  </cols>
  <sheetData>
    <row r="2" spans="1:11" x14ac:dyDescent="0.25">
      <c r="A2" s="31" t="s">
        <v>1</v>
      </c>
      <c r="B2" s="32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3" t="s">
        <v>8</v>
      </c>
      <c r="I2" s="33" t="s">
        <v>9</v>
      </c>
      <c r="J2" s="33" t="s">
        <v>10</v>
      </c>
      <c r="K2" s="33" t="s">
        <v>11</v>
      </c>
    </row>
    <row r="3" spans="1:11" ht="18.75" x14ac:dyDescent="0.3">
      <c r="A3" s="31">
        <v>1</v>
      </c>
      <c r="B3" s="37" t="s">
        <v>182</v>
      </c>
      <c r="C3" s="38"/>
      <c r="D3" s="38"/>
      <c r="E3" s="38">
        <f>40+24</f>
        <v>64</v>
      </c>
      <c r="F3" s="38"/>
      <c r="G3" s="38"/>
      <c r="H3" s="38"/>
      <c r="I3" s="39"/>
      <c r="J3" s="39">
        <f>SUM(C3:I3)</f>
        <v>64</v>
      </c>
      <c r="K3" s="35"/>
    </row>
    <row r="4" spans="1:11" ht="18.75" x14ac:dyDescent="0.3">
      <c r="A4" s="31">
        <f>+A3+1</f>
        <v>2</v>
      </c>
      <c r="B4" s="37" t="s">
        <v>183</v>
      </c>
      <c r="C4" s="38"/>
      <c r="D4" s="38"/>
      <c r="E4" s="38"/>
      <c r="F4" s="38"/>
      <c r="G4" s="38">
        <v>40</v>
      </c>
      <c r="H4" s="38"/>
      <c r="I4" s="39"/>
      <c r="J4" s="39">
        <f t="shared" ref="J4:J65" si="0">SUM(C4:I4)</f>
        <v>40</v>
      </c>
      <c r="K4" s="35"/>
    </row>
    <row r="5" spans="1:11" ht="18.75" x14ac:dyDescent="0.3">
      <c r="A5" s="31">
        <f t="shared" ref="A5:A65" si="1">+A4+1</f>
        <v>3</v>
      </c>
      <c r="B5" s="37" t="s">
        <v>184</v>
      </c>
      <c r="C5" s="38"/>
      <c r="D5" s="38"/>
      <c r="E5" s="38"/>
      <c r="F5" s="38">
        <v>27</v>
      </c>
      <c r="G5" s="38">
        <f>15+27</f>
        <v>42</v>
      </c>
      <c r="H5" s="38"/>
      <c r="I5" s="39"/>
      <c r="J5" s="39">
        <f t="shared" si="0"/>
        <v>69</v>
      </c>
      <c r="K5" s="35"/>
    </row>
    <row r="6" spans="1:11" ht="18.75" x14ac:dyDescent="0.3">
      <c r="A6" s="31">
        <f t="shared" si="1"/>
        <v>4</v>
      </c>
      <c r="B6" s="37" t="s">
        <v>185</v>
      </c>
      <c r="C6" s="38">
        <v>15</v>
      </c>
      <c r="D6" s="38">
        <v>45</v>
      </c>
      <c r="E6" s="38">
        <v>15</v>
      </c>
      <c r="F6" s="38">
        <f>35+12</f>
        <v>47</v>
      </c>
      <c r="G6" s="38">
        <v>45</v>
      </c>
      <c r="H6" s="38"/>
      <c r="I6" s="39"/>
      <c r="J6" s="39">
        <f t="shared" si="0"/>
        <v>167</v>
      </c>
      <c r="K6" s="35"/>
    </row>
    <row r="7" spans="1:11" ht="18.75" x14ac:dyDescent="0.3">
      <c r="A7" s="31">
        <f t="shared" si="1"/>
        <v>5</v>
      </c>
      <c r="B7" s="37" t="s">
        <v>186</v>
      </c>
      <c r="C7" s="38"/>
      <c r="D7" s="38">
        <v>35</v>
      </c>
      <c r="E7" s="38">
        <f>15+45</f>
        <v>60</v>
      </c>
      <c r="F7" s="38">
        <f>45+40</f>
        <v>85</v>
      </c>
      <c r="G7" s="38">
        <f>24+45</f>
        <v>69</v>
      </c>
      <c r="H7" s="38"/>
      <c r="I7" s="39"/>
      <c r="J7" s="39">
        <f t="shared" si="0"/>
        <v>249</v>
      </c>
      <c r="K7" s="35"/>
    </row>
    <row r="8" spans="1:11" ht="18.75" x14ac:dyDescent="0.3">
      <c r="A8" s="31">
        <f t="shared" si="1"/>
        <v>6</v>
      </c>
      <c r="B8" s="37" t="s">
        <v>187</v>
      </c>
      <c r="C8" s="38"/>
      <c r="D8" s="38"/>
      <c r="E8" s="38"/>
      <c r="F8" s="38"/>
      <c r="G8" s="38">
        <v>47</v>
      </c>
      <c r="H8" s="38"/>
      <c r="I8" s="39"/>
      <c r="J8" s="39">
        <f t="shared" si="0"/>
        <v>47</v>
      </c>
      <c r="K8" s="35"/>
    </row>
    <row r="9" spans="1:11" ht="18.75" x14ac:dyDescent="0.3">
      <c r="A9" s="31">
        <f t="shared" si="1"/>
        <v>7</v>
      </c>
      <c r="B9" s="37" t="s">
        <v>84</v>
      </c>
      <c r="C9" s="39"/>
      <c r="D9" s="39">
        <f>15+5</f>
        <v>20</v>
      </c>
      <c r="E9" s="39">
        <f>15+12+5+40+5</f>
        <v>77</v>
      </c>
      <c r="F9" s="39">
        <v>15</v>
      </c>
      <c r="G9" s="39"/>
      <c r="H9" s="39"/>
      <c r="I9" s="39">
        <v>345</v>
      </c>
      <c r="J9" s="39">
        <f t="shared" si="0"/>
        <v>457</v>
      </c>
      <c r="K9" s="35"/>
    </row>
    <row r="10" spans="1:11" ht="18.75" x14ac:dyDescent="0.3">
      <c r="A10" s="31">
        <f t="shared" si="1"/>
        <v>8</v>
      </c>
      <c r="B10" s="37" t="s">
        <v>188</v>
      </c>
      <c r="C10" s="39"/>
      <c r="D10" s="39"/>
      <c r="E10" s="39">
        <v>47</v>
      </c>
      <c r="F10" s="39">
        <f>47+15+40+12</f>
        <v>114</v>
      </c>
      <c r="G10" s="39">
        <f>12+6+15</f>
        <v>33</v>
      </c>
      <c r="H10" s="39"/>
      <c r="I10" s="39"/>
      <c r="J10" s="39">
        <f t="shared" si="0"/>
        <v>194</v>
      </c>
      <c r="K10" s="35"/>
    </row>
    <row r="11" spans="1:11" ht="18.75" x14ac:dyDescent="0.3">
      <c r="A11" s="31">
        <f t="shared" si="1"/>
        <v>9</v>
      </c>
      <c r="B11" s="37" t="s">
        <v>189</v>
      </c>
      <c r="C11" s="39"/>
      <c r="D11" s="39">
        <v>47</v>
      </c>
      <c r="E11" s="39">
        <f>40+45</f>
        <v>85</v>
      </c>
      <c r="F11" s="39">
        <f>45+36+15</f>
        <v>96</v>
      </c>
      <c r="G11" s="39">
        <f>24+15</f>
        <v>39</v>
      </c>
      <c r="H11" s="39"/>
      <c r="I11" s="39"/>
      <c r="J11" s="39">
        <f t="shared" si="0"/>
        <v>267</v>
      </c>
      <c r="K11" s="35"/>
    </row>
    <row r="12" spans="1:11" ht="18.75" x14ac:dyDescent="0.3">
      <c r="A12" s="31">
        <f t="shared" si="1"/>
        <v>10</v>
      </c>
      <c r="B12" s="37" t="s">
        <v>190</v>
      </c>
      <c r="C12" s="39"/>
      <c r="D12" s="39"/>
      <c r="E12" s="39"/>
      <c r="F12" s="39">
        <v>45</v>
      </c>
      <c r="G12" s="39"/>
      <c r="H12" s="39"/>
      <c r="I12" s="39"/>
      <c r="J12" s="39">
        <f t="shared" si="0"/>
        <v>45</v>
      </c>
      <c r="K12" s="35"/>
    </row>
    <row r="13" spans="1:11" ht="18.75" x14ac:dyDescent="0.3">
      <c r="A13" s="31">
        <f t="shared" si="1"/>
        <v>11</v>
      </c>
      <c r="B13" s="37" t="s">
        <v>37</v>
      </c>
      <c r="C13" s="39">
        <v>45</v>
      </c>
      <c r="D13" s="39">
        <f>36+15</f>
        <v>51</v>
      </c>
      <c r="E13" s="39">
        <v>40</v>
      </c>
      <c r="F13" s="39">
        <f>24+15</f>
        <v>39</v>
      </c>
      <c r="G13" s="39">
        <f>15+12</f>
        <v>27</v>
      </c>
      <c r="H13" s="39"/>
      <c r="I13" s="39"/>
      <c r="J13" s="39">
        <f t="shared" si="0"/>
        <v>202</v>
      </c>
      <c r="K13" s="35"/>
    </row>
    <row r="14" spans="1:11" ht="18.75" x14ac:dyDescent="0.3">
      <c r="A14" s="31">
        <f t="shared" si="1"/>
        <v>12</v>
      </c>
      <c r="B14" s="37" t="s">
        <v>191</v>
      </c>
      <c r="C14" s="39"/>
      <c r="D14" s="39">
        <f>24+15</f>
        <v>39</v>
      </c>
      <c r="E14" s="39"/>
      <c r="F14" s="39">
        <f>12+15</f>
        <v>27</v>
      </c>
      <c r="G14" s="39">
        <f>15+12</f>
        <v>27</v>
      </c>
      <c r="H14" s="39"/>
      <c r="I14" s="39"/>
      <c r="J14" s="39">
        <f t="shared" si="0"/>
        <v>93</v>
      </c>
      <c r="K14" s="35"/>
    </row>
    <row r="15" spans="1:11" ht="18.75" x14ac:dyDescent="0.3">
      <c r="A15" s="31">
        <f t="shared" si="1"/>
        <v>13</v>
      </c>
      <c r="B15" s="37" t="s">
        <v>192</v>
      </c>
      <c r="C15" s="39"/>
      <c r="D15" s="39">
        <v>45</v>
      </c>
      <c r="E15" s="39">
        <f>48+15+45</f>
        <v>108</v>
      </c>
      <c r="F15" s="39">
        <v>45</v>
      </c>
      <c r="G15" s="39">
        <v>40</v>
      </c>
      <c r="H15" s="39"/>
      <c r="I15" s="39"/>
      <c r="J15" s="39">
        <f t="shared" si="0"/>
        <v>238</v>
      </c>
      <c r="K15" s="35"/>
    </row>
    <row r="16" spans="1:11" ht="18.75" x14ac:dyDescent="0.3">
      <c r="A16" s="31">
        <f t="shared" si="1"/>
        <v>14</v>
      </c>
      <c r="B16" s="37" t="s">
        <v>148</v>
      </c>
      <c r="C16" s="39"/>
      <c r="D16" s="39"/>
      <c r="E16" s="39">
        <f>47+47+45</f>
        <v>139</v>
      </c>
      <c r="F16" s="39">
        <f>94+45</f>
        <v>139</v>
      </c>
      <c r="G16" s="39"/>
      <c r="H16" s="39"/>
      <c r="I16" s="39"/>
      <c r="J16" s="39">
        <f t="shared" si="0"/>
        <v>278</v>
      </c>
      <c r="K16" s="35"/>
    </row>
    <row r="17" spans="1:11" ht="18.75" x14ac:dyDescent="0.3">
      <c r="A17" s="31">
        <f t="shared" si="1"/>
        <v>15</v>
      </c>
      <c r="B17" s="37" t="s">
        <v>134</v>
      </c>
      <c r="C17" s="39"/>
      <c r="D17" s="39">
        <f>15+12+45</f>
        <v>72</v>
      </c>
      <c r="E17" s="39">
        <f>15+40+15</f>
        <v>70</v>
      </c>
      <c r="F17" s="39"/>
      <c r="G17" s="39">
        <v>10</v>
      </c>
      <c r="H17" s="39"/>
      <c r="I17" s="39"/>
      <c r="J17" s="39">
        <f t="shared" si="0"/>
        <v>152</v>
      </c>
      <c r="K17" s="35"/>
    </row>
    <row r="18" spans="1:11" ht="18.75" x14ac:dyDescent="0.3">
      <c r="A18" s="31">
        <f t="shared" si="1"/>
        <v>16</v>
      </c>
      <c r="B18" s="37" t="s">
        <v>193</v>
      </c>
      <c r="C18" s="39"/>
      <c r="D18" s="39"/>
      <c r="E18" s="39"/>
      <c r="F18" s="39">
        <v>27</v>
      </c>
      <c r="G18" s="39"/>
      <c r="H18" s="39"/>
      <c r="I18" s="39"/>
      <c r="J18" s="39">
        <f t="shared" si="0"/>
        <v>27</v>
      </c>
      <c r="K18" s="35"/>
    </row>
    <row r="19" spans="1:11" ht="18.75" x14ac:dyDescent="0.3">
      <c r="A19" s="31">
        <f t="shared" si="1"/>
        <v>17</v>
      </c>
      <c r="B19" s="37" t="s">
        <v>194</v>
      </c>
      <c r="C19" s="39">
        <f>24+15+5+47+10+5+2+10</f>
        <v>118</v>
      </c>
      <c r="D19" s="39">
        <f>5+35+10</f>
        <v>50</v>
      </c>
      <c r="E19" s="39">
        <f>40+2+12+15+15+5</f>
        <v>89</v>
      </c>
      <c r="F19" s="39">
        <f>15+5+5+30+12+5</f>
        <v>72</v>
      </c>
      <c r="G19" s="39">
        <f>5+15+45+10</f>
        <v>75</v>
      </c>
      <c r="H19" s="39"/>
      <c r="I19" s="39"/>
      <c r="J19" s="39">
        <f t="shared" si="0"/>
        <v>404</v>
      </c>
      <c r="K19" s="35"/>
    </row>
    <row r="20" spans="1:11" ht="18.75" x14ac:dyDescent="0.3">
      <c r="A20" s="31">
        <f t="shared" si="1"/>
        <v>18</v>
      </c>
      <c r="B20" s="37" t="s">
        <v>106</v>
      </c>
      <c r="C20" s="38">
        <v>35</v>
      </c>
      <c r="D20" s="39">
        <f>35+40</f>
        <v>75</v>
      </c>
      <c r="E20" s="39">
        <v>5</v>
      </c>
      <c r="F20" s="39">
        <v>15</v>
      </c>
      <c r="G20" s="39">
        <f>15+24+15+10</f>
        <v>64</v>
      </c>
      <c r="H20" s="39"/>
      <c r="J20" s="39">
        <f t="shared" si="0"/>
        <v>194</v>
      </c>
      <c r="K20" s="35"/>
    </row>
    <row r="21" spans="1:11" ht="18.75" x14ac:dyDescent="0.3">
      <c r="A21" s="31">
        <f t="shared" si="1"/>
        <v>19</v>
      </c>
      <c r="B21" s="37" t="s">
        <v>135</v>
      </c>
      <c r="C21" s="39"/>
      <c r="D21" s="39">
        <v>47</v>
      </c>
      <c r="E21" s="39">
        <v>15</v>
      </c>
      <c r="F21" s="39"/>
      <c r="G21" s="39">
        <v>45</v>
      </c>
      <c r="H21" s="39"/>
      <c r="I21" s="39"/>
      <c r="J21" s="39">
        <f t="shared" si="0"/>
        <v>107</v>
      </c>
      <c r="K21" s="35"/>
    </row>
    <row r="22" spans="1:11" ht="18.75" x14ac:dyDescent="0.3">
      <c r="A22" s="31">
        <f t="shared" si="1"/>
        <v>20</v>
      </c>
      <c r="B22" s="37" t="s">
        <v>42</v>
      </c>
      <c r="C22" s="38"/>
      <c r="D22" s="39">
        <v>45</v>
      </c>
      <c r="E22" s="39"/>
      <c r="F22" s="39"/>
      <c r="G22" s="39">
        <v>15</v>
      </c>
      <c r="H22" s="39"/>
      <c r="I22" s="39"/>
      <c r="J22" s="39">
        <f t="shared" si="0"/>
        <v>60</v>
      </c>
      <c r="K22" s="35"/>
    </row>
    <row r="23" spans="1:11" ht="18.75" x14ac:dyDescent="0.3">
      <c r="A23" s="31">
        <f t="shared" si="1"/>
        <v>21</v>
      </c>
      <c r="B23" s="37" t="s">
        <v>94</v>
      </c>
      <c r="C23" s="39">
        <f>24+15+5+35</f>
        <v>79</v>
      </c>
      <c r="D23" s="39">
        <f>40+35</f>
        <v>75</v>
      </c>
      <c r="E23" s="39"/>
      <c r="F23" s="39">
        <f>15+24+15</f>
        <v>54</v>
      </c>
      <c r="G23" s="39">
        <f>15+24+15</f>
        <v>54</v>
      </c>
      <c r="H23" s="39"/>
      <c r="I23" s="39"/>
      <c r="J23" s="39">
        <f t="shared" si="0"/>
        <v>262</v>
      </c>
      <c r="K23" s="35"/>
    </row>
    <row r="24" spans="1:11" ht="18.75" x14ac:dyDescent="0.3">
      <c r="A24" s="31">
        <f t="shared" si="1"/>
        <v>22</v>
      </c>
      <c r="B24" s="37" t="s">
        <v>195</v>
      </c>
      <c r="C24" s="38">
        <v>36</v>
      </c>
      <c r="D24" s="39">
        <v>15</v>
      </c>
      <c r="E24" s="39"/>
      <c r="F24" s="39"/>
      <c r="G24" s="39"/>
      <c r="H24" s="39"/>
      <c r="I24" s="39">
        <v>84</v>
      </c>
      <c r="J24" s="39">
        <f t="shared" si="0"/>
        <v>135</v>
      </c>
      <c r="K24" s="35"/>
    </row>
    <row r="25" spans="1:11" ht="18.75" x14ac:dyDescent="0.3">
      <c r="A25" s="31">
        <f t="shared" si="1"/>
        <v>23</v>
      </c>
      <c r="B25" s="37" t="s">
        <v>142</v>
      </c>
      <c r="C25" s="38">
        <v>35</v>
      </c>
      <c r="D25" s="39"/>
      <c r="E25" s="39"/>
      <c r="F25" s="39"/>
      <c r="G25" s="39"/>
      <c r="H25" s="39"/>
      <c r="I25" s="39"/>
      <c r="J25" s="39">
        <f t="shared" si="0"/>
        <v>35</v>
      </c>
      <c r="K25" s="35"/>
    </row>
    <row r="26" spans="1:11" ht="18.75" x14ac:dyDescent="0.3">
      <c r="A26" s="31">
        <f t="shared" si="1"/>
        <v>24</v>
      </c>
      <c r="B26" s="37" t="s">
        <v>171</v>
      </c>
      <c r="C26" s="39">
        <f>15+10</f>
        <v>25</v>
      </c>
      <c r="D26" s="39"/>
      <c r="E26" s="39"/>
      <c r="F26" s="39"/>
      <c r="G26" s="39"/>
      <c r="H26" s="39"/>
      <c r="I26" s="39"/>
      <c r="J26" s="39">
        <f t="shared" si="0"/>
        <v>25</v>
      </c>
      <c r="K26" s="35"/>
    </row>
    <row r="27" spans="1:11" ht="18.75" x14ac:dyDescent="0.3">
      <c r="A27" s="31">
        <f t="shared" si="1"/>
        <v>25</v>
      </c>
      <c r="B27" s="37" t="s">
        <v>196</v>
      </c>
      <c r="C27" s="39">
        <f>40+36</f>
        <v>76</v>
      </c>
      <c r="D27" s="39">
        <f>35+35</f>
        <v>70</v>
      </c>
      <c r="E27" s="39">
        <f>4+15+40</f>
        <v>59</v>
      </c>
      <c r="F27" s="39">
        <f>15+12+15+12</f>
        <v>54</v>
      </c>
      <c r="G27" s="39">
        <f>12+15+47</f>
        <v>74</v>
      </c>
      <c r="H27" s="39"/>
      <c r="I27" s="39"/>
      <c r="J27" s="39">
        <f t="shared" si="0"/>
        <v>333</v>
      </c>
      <c r="K27" s="35"/>
    </row>
    <row r="28" spans="1:11" ht="18.75" x14ac:dyDescent="0.3">
      <c r="A28" s="31">
        <f>+A27+1</f>
        <v>26</v>
      </c>
      <c r="B28" s="37" t="s">
        <v>197</v>
      </c>
      <c r="C28" s="39">
        <v>45</v>
      </c>
      <c r="D28" s="39">
        <f>36+45</f>
        <v>81</v>
      </c>
      <c r="E28" s="39">
        <f>48+45</f>
        <v>93</v>
      </c>
      <c r="F28" s="39">
        <v>15</v>
      </c>
      <c r="G28" s="39">
        <v>45</v>
      </c>
      <c r="H28" s="39"/>
      <c r="I28" s="39"/>
      <c r="J28" s="39">
        <f t="shared" si="0"/>
        <v>279</v>
      </c>
      <c r="K28" s="35"/>
    </row>
    <row r="29" spans="1:11" ht="18.75" x14ac:dyDescent="0.3">
      <c r="A29" s="31">
        <f t="shared" si="1"/>
        <v>27</v>
      </c>
      <c r="B29" s="37" t="s">
        <v>198</v>
      </c>
      <c r="C29" s="39">
        <v>45</v>
      </c>
      <c r="D29" s="39">
        <f>15+5+45</f>
        <v>65</v>
      </c>
      <c r="E29" s="39">
        <f>24+40+45</f>
        <v>109</v>
      </c>
      <c r="F29" s="39">
        <f>45+5+72+12+5</f>
        <v>139</v>
      </c>
      <c r="G29" s="39">
        <f>15+24+10+45+15</f>
        <v>109</v>
      </c>
      <c r="H29" s="39"/>
      <c r="I29" s="39"/>
      <c r="J29" s="39">
        <f t="shared" si="0"/>
        <v>467</v>
      </c>
      <c r="K29" s="35"/>
    </row>
    <row r="30" spans="1:11" ht="18.75" x14ac:dyDescent="0.3">
      <c r="A30" s="31">
        <f t="shared" si="1"/>
        <v>28</v>
      </c>
      <c r="B30" s="37" t="s">
        <v>107</v>
      </c>
      <c r="C30" s="39">
        <v>47</v>
      </c>
      <c r="D30" s="39">
        <f>36+15+24+47+15</f>
        <v>137</v>
      </c>
      <c r="E30" s="39">
        <v>45</v>
      </c>
      <c r="F30" s="39">
        <f>47+15+12+15+30+7</f>
        <v>126</v>
      </c>
      <c r="G30" s="39">
        <f>45+15</f>
        <v>60</v>
      </c>
      <c r="H30" s="39"/>
      <c r="I30" s="39"/>
      <c r="J30" s="39">
        <f t="shared" si="0"/>
        <v>415</v>
      </c>
      <c r="K30" s="35"/>
    </row>
    <row r="31" spans="1:11" ht="18.75" x14ac:dyDescent="0.3">
      <c r="A31" s="31">
        <f t="shared" si="1"/>
        <v>29</v>
      </c>
      <c r="B31" s="37" t="s">
        <v>199</v>
      </c>
      <c r="C31" s="38"/>
      <c r="D31" s="38"/>
      <c r="E31" s="38"/>
      <c r="F31" s="39">
        <f>45+15</f>
        <v>60</v>
      </c>
      <c r="G31" s="39">
        <f>15+35</f>
        <v>50</v>
      </c>
      <c r="H31" s="39"/>
      <c r="I31" s="39"/>
      <c r="J31" s="39">
        <f t="shared" si="0"/>
        <v>110</v>
      </c>
      <c r="K31" s="35"/>
    </row>
    <row r="32" spans="1:11" ht="18.75" x14ac:dyDescent="0.3">
      <c r="A32" s="31">
        <f t="shared" si="1"/>
        <v>30</v>
      </c>
      <c r="B32" s="37" t="s">
        <v>102</v>
      </c>
      <c r="C32" s="38"/>
      <c r="D32" s="38"/>
      <c r="E32" s="38"/>
      <c r="F32" s="39"/>
      <c r="G32" s="39"/>
      <c r="H32" s="39"/>
      <c r="I32" s="39">
        <v>13</v>
      </c>
      <c r="J32" s="39">
        <f t="shared" si="0"/>
        <v>13</v>
      </c>
      <c r="K32" s="35"/>
    </row>
    <row r="33" spans="1:11" ht="18.75" x14ac:dyDescent="0.3">
      <c r="A33" s="31">
        <f t="shared" si="1"/>
        <v>31</v>
      </c>
      <c r="B33" s="37" t="s">
        <v>200</v>
      </c>
      <c r="C33" s="38">
        <f>40+12+15</f>
        <v>67</v>
      </c>
      <c r="D33" s="38">
        <f>15+45</f>
        <v>60</v>
      </c>
      <c r="E33" s="38">
        <f>15+36+40</f>
        <v>91</v>
      </c>
      <c r="F33" s="39"/>
      <c r="G33" s="39">
        <f>40+2+15</f>
        <v>57</v>
      </c>
      <c r="H33" s="39"/>
      <c r="I33" s="39">
        <v>10</v>
      </c>
      <c r="J33" s="39">
        <f t="shared" si="0"/>
        <v>285</v>
      </c>
      <c r="K33" s="35"/>
    </row>
    <row r="34" spans="1:11" ht="18.75" x14ac:dyDescent="0.3">
      <c r="A34" s="31">
        <f t="shared" si="1"/>
        <v>32</v>
      </c>
      <c r="B34" s="37" t="s">
        <v>201</v>
      </c>
      <c r="C34" s="38"/>
      <c r="D34" s="38"/>
      <c r="E34" s="38"/>
      <c r="F34" s="39"/>
      <c r="G34" s="39">
        <f>15+12</f>
        <v>27</v>
      </c>
      <c r="H34" s="39"/>
      <c r="I34" s="39">
        <v>82</v>
      </c>
      <c r="J34" s="39">
        <f t="shared" si="0"/>
        <v>109</v>
      </c>
      <c r="K34" s="35"/>
    </row>
    <row r="35" spans="1:11" ht="18.75" x14ac:dyDescent="0.3">
      <c r="A35" s="31">
        <f t="shared" si="1"/>
        <v>33</v>
      </c>
      <c r="B35" s="37" t="s">
        <v>139</v>
      </c>
      <c r="C35" s="39"/>
      <c r="D35" s="39">
        <f>24+15+35</f>
        <v>74</v>
      </c>
      <c r="E35" s="39">
        <f>24+15+45+5</f>
        <v>89</v>
      </c>
      <c r="F35" s="39">
        <f>45+5+24+15+5</f>
        <v>94</v>
      </c>
      <c r="G35" s="39">
        <f>15+24+5+45+5+15</f>
        <v>109</v>
      </c>
      <c r="H35" s="39"/>
      <c r="I35" s="39"/>
      <c r="J35" s="39">
        <f t="shared" si="0"/>
        <v>366</v>
      </c>
      <c r="K35" s="35"/>
    </row>
    <row r="36" spans="1:11" ht="18.75" x14ac:dyDescent="0.3">
      <c r="A36" s="31">
        <f t="shared" si="1"/>
        <v>34</v>
      </c>
      <c r="B36" s="37" t="s">
        <v>131</v>
      </c>
      <c r="C36" s="39">
        <v>40</v>
      </c>
      <c r="D36" s="39">
        <f>40+10+15+40+15+35</f>
        <v>155</v>
      </c>
      <c r="E36" s="39">
        <f>15+15</f>
        <v>30</v>
      </c>
      <c r="F36" s="39">
        <v>15</v>
      </c>
      <c r="G36" s="39">
        <v>40</v>
      </c>
      <c r="H36" s="39"/>
      <c r="I36" s="39"/>
      <c r="J36" s="39">
        <f t="shared" si="0"/>
        <v>280</v>
      </c>
      <c r="K36" s="35"/>
    </row>
    <row r="37" spans="1:11" ht="18.75" x14ac:dyDescent="0.3">
      <c r="A37" s="31">
        <f t="shared" si="1"/>
        <v>35</v>
      </c>
      <c r="B37" s="37" t="s">
        <v>202</v>
      </c>
      <c r="C37" s="39"/>
      <c r="D37" s="39"/>
      <c r="E37" s="39"/>
      <c r="F37" s="39"/>
      <c r="G37" s="39">
        <v>45</v>
      </c>
      <c r="H37" s="39"/>
      <c r="I37" s="39"/>
      <c r="J37" s="39">
        <f t="shared" si="0"/>
        <v>45</v>
      </c>
      <c r="K37" s="35"/>
    </row>
    <row r="38" spans="1:11" ht="18.75" x14ac:dyDescent="0.3">
      <c r="A38" s="31">
        <f t="shared" si="1"/>
        <v>36</v>
      </c>
      <c r="B38" s="37" t="s">
        <v>138</v>
      </c>
      <c r="C38" s="39"/>
      <c r="D38" s="39">
        <f>15+45</f>
        <v>60</v>
      </c>
      <c r="E38" s="39">
        <v>47</v>
      </c>
      <c r="F38" s="39">
        <f>45+15</f>
        <v>60</v>
      </c>
      <c r="G38" s="39">
        <f>40+45</f>
        <v>85</v>
      </c>
      <c r="H38" s="39"/>
      <c r="I38" s="39"/>
      <c r="J38" s="39">
        <f t="shared" si="0"/>
        <v>252</v>
      </c>
      <c r="K38" s="35"/>
    </row>
    <row r="39" spans="1:11" ht="18.75" x14ac:dyDescent="0.3">
      <c r="A39" s="31">
        <f t="shared" si="1"/>
        <v>37</v>
      </c>
      <c r="B39" s="37" t="s">
        <v>136</v>
      </c>
      <c r="C39" s="39"/>
      <c r="D39" s="39">
        <v>35</v>
      </c>
      <c r="E39" s="39">
        <v>35</v>
      </c>
      <c r="F39" s="39">
        <f>35+5+5+40+5+10+12</f>
        <v>112</v>
      </c>
      <c r="G39" s="39">
        <f>5+45+5</f>
        <v>55</v>
      </c>
      <c r="H39" s="39"/>
      <c r="I39" s="39"/>
      <c r="J39" s="39">
        <f t="shared" si="0"/>
        <v>237</v>
      </c>
      <c r="K39" s="35"/>
    </row>
    <row r="40" spans="1:11" ht="18.75" x14ac:dyDescent="0.3">
      <c r="A40" s="31">
        <f t="shared" si="1"/>
        <v>38</v>
      </c>
      <c r="B40" s="37" t="s">
        <v>203</v>
      </c>
      <c r="C40" s="39">
        <v>35</v>
      </c>
      <c r="D40" s="39"/>
      <c r="E40" s="39"/>
      <c r="F40" s="39"/>
      <c r="G40" s="39">
        <v>4</v>
      </c>
      <c r="H40" s="39"/>
      <c r="I40" s="39"/>
      <c r="J40" s="39">
        <f t="shared" si="0"/>
        <v>39</v>
      </c>
      <c r="K40" s="35"/>
    </row>
    <row r="41" spans="1:11" ht="18.75" x14ac:dyDescent="0.3">
      <c r="A41" s="31">
        <f t="shared" si="1"/>
        <v>39</v>
      </c>
      <c r="B41" s="37" t="s">
        <v>204</v>
      </c>
      <c r="C41" s="38">
        <v>35</v>
      </c>
      <c r="D41" s="39"/>
      <c r="E41" s="39"/>
      <c r="F41" s="39"/>
      <c r="G41" s="39">
        <v>24</v>
      </c>
      <c r="H41" s="39"/>
      <c r="I41" s="39"/>
      <c r="J41" s="39">
        <f t="shared" si="0"/>
        <v>59</v>
      </c>
      <c r="K41" s="35"/>
    </row>
    <row r="42" spans="1:11" ht="18.75" x14ac:dyDescent="0.3">
      <c r="A42" s="31">
        <f t="shared" si="1"/>
        <v>40</v>
      </c>
      <c r="B42" s="37" t="s">
        <v>205</v>
      </c>
      <c r="C42" s="38"/>
      <c r="D42" s="39">
        <v>35</v>
      </c>
      <c r="E42" s="39"/>
      <c r="F42" s="39">
        <v>40</v>
      </c>
      <c r="G42" s="39"/>
      <c r="H42" s="39"/>
      <c r="I42" s="39"/>
      <c r="J42" s="39">
        <f t="shared" si="0"/>
        <v>75</v>
      </c>
      <c r="K42" s="35"/>
    </row>
    <row r="43" spans="1:11" ht="18.75" x14ac:dyDescent="0.3">
      <c r="A43" s="31">
        <f t="shared" si="1"/>
        <v>41</v>
      </c>
      <c r="B43" s="37" t="s">
        <v>206</v>
      </c>
      <c r="C43" s="38"/>
      <c r="D43" s="39"/>
      <c r="E43" s="39"/>
      <c r="F43" s="39">
        <f>47+15</f>
        <v>62</v>
      </c>
      <c r="G43" s="39">
        <f>24+12+40+1+45+15</f>
        <v>137</v>
      </c>
      <c r="H43" s="39"/>
      <c r="I43" s="39"/>
      <c r="J43" s="39">
        <f t="shared" si="0"/>
        <v>199</v>
      </c>
      <c r="K43" s="35"/>
    </row>
    <row r="44" spans="1:11" ht="18.75" x14ac:dyDescent="0.3">
      <c r="A44" s="31">
        <f t="shared" si="1"/>
        <v>42</v>
      </c>
      <c r="B44" s="37" t="s">
        <v>207</v>
      </c>
      <c r="C44" s="38"/>
      <c r="D44" s="39"/>
      <c r="E44" s="39">
        <f>24+15+45</f>
        <v>84</v>
      </c>
      <c r="F44" s="39">
        <f>24+10</f>
        <v>34</v>
      </c>
      <c r="G44" s="39"/>
      <c r="H44" s="39"/>
      <c r="I44" s="39"/>
      <c r="J44" s="39">
        <f t="shared" si="0"/>
        <v>118</v>
      </c>
      <c r="K44" s="35"/>
    </row>
    <row r="45" spans="1:11" ht="18.75" x14ac:dyDescent="0.3">
      <c r="A45" s="31">
        <f t="shared" si="1"/>
        <v>43</v>
      </c>
      <c r="B45" s="37" t="s">
        <v>208</v>
      </c>
      <c r="C45" s="39">
        <f>10+15+36+40+47</f>
        <v>148</v>
      </c>
      <c r="D45" s="39">
        <f>15+12+47+40</f>
        <v>114</v>
      </c>
      <c r="E45" s="39">
        <f>5+3</f>
        <v>8</v>
      </c>
      <c r="F45" s="39">
        <v>47</v>
      </c>
      <c r="G45" s="39">
        <f>40+2</f>
        <v>42</v>
      </c>
      <c r="H45" s="39"/>
      <c r="I45" s="39">
        <v>28</v>
      </c>
      <c r="J45" s="39">
        <f t="shared" si="0"/>
        <v>387</v>
      </c>
      <c r="K45" s="35"/>
    </row>
    <row r="46" spans="1:11" ht="18.75" x14ac:dyDescent="0.3">
      <c r="A46" s="31">
        <f>+A45+1</f>
        <v>44</v>
      </c>
      <c r="B46" s="37" t="s">
        <v>209</v>
      </c>
      <c r="C46" s="39"/>
      <c r="D46" s="39"/>
      <c r="E46" s="39"/>
      <c r="F46" s="39">
        <v>15</v>
      </c>
      <c r="G46" s="39">
        <f>30+25</f>
        <v>55</v>
      </c>
      <c r="H46" s="39"/>
      <c r="I46" s="39"/>
      <c r="J46" s="39">
        <f t="shared" si="0"/>
        <v>70</v>
      </c>
      <c r="K46" s="35"/>
    </row>
    <row r="47" spans="1:11" ht="18.75" x14ac:dyDescent="0.3">
      <c r="A47" s="31">
        <f t="shared" si="1"/>
        <v>45</v>
      </c>
      <c r="B47" s="37" t="s">
        <v>150</v>
      </c>
      <c r="C47" s="39"/>
      <c r="D47" s="39"/>
      <c r="E47" s="39"/>
      <c r="F47" s="39">
        <f>24+15</f>
        <v>39</v>
      </c>
      <c r="G47" s="39">
        <v>24</v>
      </c>
      <c r="H47" s="39"/>
      <c r="I47" s="39"/>
      <c r="J47" s="39">
        <f t="shared" si="0"/>
        <v>63</v>
      </c>
      <c r="K47" s="35"/>
    </row>
    <row r="48" spans="1:11" ht="18.75" x14ac:dyDescent="0.3">
      <c r="A48" s="31">
        <f t="shared" si="1"/>
        <v>46</v>
      </c>
      <c r="B48" s="37" t="s">
        <v>210</v>
      </c>
      <c r="C48" s="39"/>
      <c r="D48" s="39"/>
      <c r="E48" s="39"/>
      <c r="F48" s="39">
        <f>15+5</f>
        <v>20</v>
      </c>
      <c r="G48" s="39">
        <f>24+10</f>
        <v>34</v>
      </c>
      <c r="H48" s="39"/>
      <c r="I48" s="39"/>
      <c r="J48" s="39">
        <f t="shared" si="0"/>
        <v>54</v>
      </c>
      <c r="K48" s="35"/>
    </row>
    <row r="49" spans="1:11" ht="18.75" x14ac:dyDescent="0.3">
      <c r="A49" s="31">
        <f t="shared" si="1"/>
        <v>47</v>
      </c>
      <c r="B49" s="37" t="s">
        <v>211</v>
      </c>
      <c r="C49" s="38">
        <v>47</v>
      </c>
      <c r="D49" s="38">
        <v>47</v>
      </c>
      <c r="E49" s="38">
        <v>47</v>
      </c>
      <c r="F49" s="38"/>
      <c r="G49" s="39">
        <f>52+24+35</f>
        <v>111</v>
      </c>
      <c r="H49" s="39"/>
      <c r="I49" s="39"/>
      <c r="J49" s="39">
        <f t="shared" si="0"/>
        <v>252</v>
      </c>
      <c r="K49" s="35"/>
    </row>
    <row r="50" spans="1:11" ht="18.75" x14ac:dyDescent="0.3">
      <c r="A50" s="31">
        <f t="shared" si="1"/>
        <v>48</v>
      </c>
      <c r="B50" s="37" t="s">
        <v>167</v>
      </c>
      <c r="C50" s="38">
        <v>45</v>
      </c>
      <c r="D50" s="38"/>
      <c r="E50" s="38">
        <v>45</v>
      </c>
      <c r="F50" s="38">
        <f>45+12</f>
        <v>57</v>
      </c>
      <c r="G50" s="39">
        <f>45+40</f>
        <v>85</v>
      </c>
      <c r="H50" s="39"/>
      <c r="I50" s="39"/>
      <c r="J50" s="39">
        <f t="shared" si="0"/>
        <v>232</v>
      </c>
      <c r="K50" s="35"/>
    </row>
    <row r="51" spans="1:11" ht="18.75" x14ac:dyDescent="0.3">
      <c r="A51" s="31">
        <f t="shared" si="1"/>
        <v>49</v>
      </c>
      <c r="B51" s="37" t="s">
        <v>168</v>
      </c>
      <c r="C51" s="38">
        <v>35</v>
      </c>
      <c r="D51" s="38"/>
      <c r="E51" s="38"/>
      <c r="F51" s="38">
        <v>25</v>
      </c>
      <c r="G51" s="39">
        <v>36</v>
      </c>
      <c r="H51" s="39"/>
      <c r="I51" s="39"/>
      <c r="J51" s="39">
        <f t="shared" si="0"/>
        <v>96</v>
      </c>
      <c r="K51" s="35"/>
    </row>
    <row r="52" spans="1:11" ht="18.75" x14ac:dyDescent="0.3">
      <c r="A52" s="31">
        <f t="shared" si="1"/>
        <v>50</v>
      </c>
      <c r="B52" s="37" t="s">
        <v>212</v>
      </c>
      <c r="C52" s="39">
        <f>45+12</f>
        <v>57</v>
      </c>
      <c r="D52" s="39">
        <f>15+12</f>
        <v>27</v>
      </c>
      <c r="E52" s="39">
        <f>40+15+12</f>
        <v>67</v>
      </c>
      <c r="F52" s="39">
        <f>40+12+40</f>
        <v>92</v>
      </c>
      <c r="G52" s="39">
        <f>12+15+80+12+15</f>
        <v>134</v>
      </c>
      <c r="H52" s="39"/>
      <c r="I52" s="39"/>
      <c r="J52" s="39">
        <f t="shared" si="0"/>
        <v>377</v>
      </c>
      <c r="K52" s="35"/>
    </row>
    <row r="53" spans="1:11" ht="18.75" x14ac:dyDescent="0.3">
      <c r="A53" s="31">
        <f t="shared" si="1"/>
        <v>51</v>
      </c>
      <c r="B53" s="37" t="s">
        <v>152</v>
      </c>
      <c r="C53" s="39">
        <f>15+30+12+47+40+35+4+40</f>
        <v>223</v>
      </c>
      <c r="D53" s="39">
        <f>15+24+15+10+35+40+10+4</f>
        <v>153</v>
      </c>
      <c r="E53" s="39">
        <f>15+24+12+10+10+30+10+10+4+35+10</f>
        <v>170</v>
      </c>
      <c r="F53" s="39">
        <f>47+5+5+15+36+15+20+15+15+4</f>
        <v>177</v>
      </c>
      <c r="G53" s="39">
        <f>15+36+10+15+10+15+45+47+10+15</f>
        <v>218</v>
      </c>
      <c r="H53" s="39"/>
      <c r="I53" s="39"/>
      <c r="J53" s="39">
        <f t="shared" si="0"/>
        <v>941</v>
      </c>
      <c r="K53" s="35"/>
    </row>
    <row r="54" spans="1:11" ht="18.75" x14ac:dyDescent="0.3">
      <c r="A54" s="31">
        <f t="shared" si="1"/>
        <v>52</v>
      </c>
      <c r="B54" s="37" t="s">
        <v>110</v>
      </c>
      <c r="C54" s="39"/>
      <c r="D54" s="39"/>
      <c r="E54" s="39"/>
      <c r="F54" s="39"/>
      <c r="G54" s="39">
        <v>15</v>
      </c>
      <c r="H54" s="39"/>
      <c r="I54" s="39"/>
      <c r="J54" s="39">
        <f t="shared" si="0"/>
        <v>15</v>
      </c>
      <c r="K54" s="35"/>
    </row>
    <row r="55" spans="1:11" ht="18.75" x14ac:dyDescent="0.3">
      <c r="A55" s="31">
        <f t="shared" si="1"/>
        <v>53</v>
      </c>
      <c r="B55" s="37" t="s">
        <v>213</v>
      </c>
      <c r="C55" s="39"/>
      <c r="D55" s="39">
        <f>24+15</f>
        <v>39</v>
      </c>
      <c r="E55" s="39"/>
      <c r="F55" s="39">
        <f>24+30</f>
        <v>54</v>
      </c>
      <c r="G55" s="39"/>
      <c r="H55" s="39"/>
      <c r="I55" s="39"/>
      <c r="J55" s="39">
        <f t="shared" si="0"/>
        <v>93</v>
      </c>
      <c r="K55" s="35"/>
    </row>
    <row r="56" spans="1:11" ht="18.75" x14ac:dyDescent="0.3">
      <c r="A56" s="31">
        <f t="shared" si="1"/>
        <v>54</v>
      </c>
      <c r="B56" s="37" t="s">
        <v>111</v>
      </c>
      <c r="C56" s="39"/>
      <c r="D56" s="39"/>
      <c r="E56" s="39"/>
      <c r="F56" s="39"/>
      <c r="G56" s="39">
        <v>27</v>
      </c>
      <c r="H56" s="39"/>
      <c r="I56" s="39"/>
      <c r="J56" s="39">
        <f t="shared" si="0"/>
        <v>27</v>
      </c>
      <c r="K56" s="35"/>
    </row>
    <row r="57" spans="1:11" ht="18.75" x14ac:dyDescent="0.3">
      <c r="A57" s="31">
        <f t="shared" si="1"/>
        <v>55</v>
      </c>
      <c r="B57" s="37" t="s">
        <v>78</v>
      </c>
      <c r="C57" s="39">
        <f>12+5</f>
        <v>17</v>
      </c>
      <c r="D57" s="39">
        <v>45</v>
      </c>
      <c r="E57" s="39">
        <f>45+15</f>
        <v>60</v>
      </c>
      <c r="F57" s="39">
        <f>45+15+12</f>
        <v>72</v>
      </c>
      <c r="G57" s="39">
        <v>45</v>
      </c>
      <c r="H57" s="39"/>
      <c r="I57" s="39"/>
      <c r="J57" s="39">
        <f t="shared" si="0"/>
        <v>239</v>
      </c>
      <c r="K57" s="35"/>
    </row>
    <row r="58" spans="1:11" ht="18.75" x14ac:dyDescent="0.3">
      <c r="A58" s="31">
        <f t="shared" si="1"/>
        <v>56</v>
      </c>
      <c r="B58" s="37" t="s">
        <v>214</v>
      </c>
      <c r="C58" s="39"/>
      <c r="D58" s="39"/>
      <c r="E58" s="39">
        <f>96+30+10+45+15</f>
        <v>196</v>
      </c>
      <c r="F58" s="39">
        <f>45+5+10+15+5</f>
        <v>80</v>
      </c>
      <c r="G58" s="39">
        <f>24+40+45+5</f>
        <v>114</v>
      </c>
      <c r="H58" s="39"/>
      <c r="I58" s="39"/>
      <c r="J58" s="39">
        <f t="shared" si="0"/>
        <v>390</v>
      </c>
      <c r="K58" s="35"/>
    </row>
    <row r="59" spans="1:11" ht="18.75" x14ac:dyDescent="0.3">
      <c r="A59" s="31">
        <f t="shared" si="1"/>
        <v>57</v>
      </c>
      <c r="B59" s="37" t="s">
        <v>215</v>
      </c>
      <c r="C59" s="39"/>
      <c r="D59" s="39">
        <f>15+5+2+35</f>
        <v>57</v>
      </c>
      <c r="E59" s="39">
        <f>15+15+15+5</f>
        <v>50</v>
      </c>
      <c r="F59" s="39"/>
      <c r="G59" s="39"/>
      <c r="H59" s="39"/>
      <c r="I59" s="39">
        <v>14</v>
      </c>
      <c r="J59" s="39">
        <f t="shared" si="0"/>
        <v>121</v>
      </c>
      <c r="K59" s="35"/>
    </row>
    <row r="60" spans="1:11" ht="18.75" x14ac:dyDescent="0.3">
      <c r="A60" s="31">
        <f t="shared" si="1"/>
        <v>58</v>
      </c>
      <c r="B60" s="37" t="s">
        <v>169</v>
      </c>
      <c r="C60" s="39">
        <f>36+15+35</f>
        <v>86</v>
      </c>
      <c r="D60" s="39"/>
      <c r="E60" s="39">
        <v>10</v>
      </c>
      <c r="F60" s="39">
        <v>10</v>
      </c>
      <c r="G60" s="39">
        <f>10+12</f>
        <v>22</v>
      </c>
      <c r="H60" s="39"/>
      <c r="I60" s="39"/>
      <c r="J60" s="39">
        <f t="shared" si="0"/>
        <v>128</v>
      </c>
      <c r="K60" s="35"/>
    </row>
    <row r="61" spans="1:11" ht="18.75" x14ac:dyDescent="0.3">
      <c r="A61" s="31">
        <f t="shared" si="1"/>
        <v>59</v>
      </c>
      <c r="B61" s="37" t="s">
        <v>86</v>
      </c>
      <c r="C61" s="39">
        <f>24+12+15+15+2</f>
        <v>68</v>
      </c>
      <c r="D61" s="39">
        <f>10+15+5</f>
        <v>30</v>
      </c>
      <c r="E61" s="39">
        <v>5</v>
      </c>
      <c r="F61" s="39">
        <f>5+5+5+10+5</f>
        <v>30</v>
      </c>
      <c r="G61" s="39">
        <v>5</v>
      </c>
      <c r="H61" s="39"/>
      <c r="I61" s="39"/>
      <c r="J61" s="39">
        <f t="shared" si="0"/>
        <v>138</v>
      </c>
      <c r="K61" s="35"/>
    </row>
    <row r="62" spans="1:11" ht="18.75" x14ac:dyDescent="0.3">
      <c r="A62" s="31">
        <f t="shared" si="1"/>
        <v>60</v>
      </c>
      <c r="B62" s="37" t="s">
        <v>47</v>
      </c>
      <c r="C62" s="39"/>
      <c r="D62" s="39"/>
      <c r="E62" s="39"/>
      <c r="F62" s="39">
        <v>45</v>
      </c>
      <c r="G62" s="39">
        <v>45</v>
      </c>
      <c r="H62" s="39"/>
      <c r="I62" s="39">
        <v>137</v>
      </c>
      <c r="J62" s="39">
        <f t="shared" si="0"/>
        <v>227</v>
      </c>
      <c r="K62" s="35"/>
    </row>
    <row r="63" spans="1:11" ht="18.75" x14ac:dyDescent="0.3">
      <c r="A63" s="31">
        <f t="shared" si="1"/>
        <v>61</v>
      </c>
      <c r="B63" s="44" t="s">
        <v>144</v>
      </c>
      <c r="C63" s="39">
        <v>35</v>
      </c>
      <c r="D63" s="39"/>
      <c r="E63" s="39"/>
      <c r="F63" s="39"/>
      <c r="G63" s="39"/>
      <c r="H63" s="39"/>
      <c r="I63" s="39"/>
      <c r="J63" s="39">
        <f t="shared" si="0"/>
        <v>35</v>
      </c>
      <c r="K63" s="35"/>
    </row>
    <row r="64" spans="1:11" ht="18.75" x14ac:dyDescent="0.3">
      <c r="A64" s="31">
        <f t="shared" si="1"/>
        <v>62</v>
      </c>
      <c r="B64" s="44" t="s">
        <v>49</v>
      </c>
      <c r="C64" s="39">
        <v>47</v>
      </c>
      <c r="D64" s="39">
        <v>15</v>
      </c>
      <c r="E64" s="39">
        <v>15</v>
      </c>
      <c r="F64" s="39"/>
      <c r="G64" s="39"/>
      <c r="H64" s="39"/>
      <c r="I64" s="39"/>
      <c r="J64" s="39">
        <f t="shared" si="0"/>
        <v>77</v>
      </c>
      <c r="K64" s="35"/>
    </row>
    <row r="65" spans="1:14" ht="18.75" x14ac:dyDescent="0.3">
      <c r="A65" s="31">
        <f t="shared" si="1"/>
        <v>63</v>
      </c>
      <c r="B65" s="37" t="s">
        <v>57</v>
      </c>
      <c r="C65" s="39">
        <f>15+36+15+47+5+5</f>
        <v>123</v>
      </c>
      <c r="D65" s="39">
        <f>48+12+15+40+47+5+15+5</f>
        <v>187</v>
      </c>
      <c r="E65" s="39">
        <f>12+30+5+24</f>
        <v>71</v>
      </c>
      <c r="F65" s="39">
        <f>45+30+15+36+30+15+40</f>
        <v>211</v>
      </c>
      <c r="G65" s="39">
        <f>15+24+15+40+45+30</f>
        <v>169</v>
      </c>
      <c r="H65" s="39"/>
      <c r="I65" s="39"/>
      <c r="J65" s="39">
        <f t="shared" si="0"/>
        <v>761</v>
      </c>
      <c r="K65" s="35"/>
    </row>
    <row r="66" spans="1:14" ht="18.75" x14ac:dyDescent="0.3">
      <c r="A66" s="15"/>
      <c r="B66" s="17"/>
      <c r="C66" s="30">
        <f t="shared" ref="C66:I66" si="2">SUM(C3:C65)</f>
        <v>1709</v>
      </c>
      <c r="D66" s="30">
        <f t="shared" si="2"/>
        <v>2147</v>
      </c>
      <c r="E66" s="30">
        <f t="shared" si="2"/>
        <v>2240</v>
      </c>
      <c r="F66" s="30">
        <f t="shared" si="2"/>
        <v>2632</v>
      </c>
      <c r="G66" s="30">
        <f t="shared" si="2"/>
        <v>2774</v>
      </c>
      <c r="H66" s="30">
        <f t="shared" si="2"/>
        <v>0</v>
      </c>
      <c r="I66" s="30">
        <f t="shared" si="2"/>
        <v>713</v>
      </c>
      <c r="J66" s="30">
        <f>SUM(C66:I66)</f>
        <v>12215</v>
      </c>
      <c r="K66" s="19"/>
    </row>
    <row r="67" spans="1:14" x14ac:dyDescent="0.25">
      <c r="L67" s="16"/>
    </row>
    <row r="68" spans="1:14" ht="21" x14ac:dyDescent="0.35">
      <c r="B68" s="26" t="s">
        <v>216</v>
      </c>
      <c r="C68" s="27">
        <v>515.5</v>
      </c>
      <c r="D68" s="43">
        <v>993.5</v>
      </c>
      <c r="E68" s="28">
        <f>400+27</f>
        <v>427</v>
      </c>
      <c r="F68" s="28">
        <v>800</v>
      </c>
      <c r="G68" s="28">
        <v>509.5</v>
      </c>
      <c r="H68" s="28"/>
      <c r="I68" s="29">
        <f>+C68+D68+E68+F68+G68+H68</f>
        <v>3245.5</v>
      </c>
      <c r="J68" s="41">
        <f>+I68+J66</f>
        <v>15460.5</v>
      </c>
    </row>
    <row r="70" spans="1:14" x14ac:dyDescent="0.25">
      <c r="C70" s="16">
        <f>+C66+C68</f>
        <v>2224.5</v>
      </c>
      <c r="D70" s="16">
        <f t="shared" ref="D70:H70" si="3">+D66+D68</f>
        <v>3140.5</v>
      </c>
      <c r="E70" s="16">
        <f t="shared" si="3"/>
        <v>2667</v>
      </c>
      <c r="F70" s="16">
        <f t="shared" si="3"/>
        <v>3432</v>
      </c>
      <c r="G70" s="16">
        <f t="shared" si="3"/>
        <v>3283.5</v>
      </c>
      <c r="H70" s="16">
        <f t="shared" si="3"/>
        <v>0</v>
      </c>
      <c r="N70" s="42"/>
    </row>
    <row r="73" spans="1:14" ht="18.75" x14ac:dyDescent="0.3">
      <c r="A73" s="31">
        <v>1</v>
      </c>
      <c r="B73" s="37" t="s">
        <v>217</v>
      </c>
      <c r="C73" s="38"/>
      <c r="D73" s="38"/>
      <c r="E73" s="38"/>
      <c r="F73" s="39"/>
      <c r="G73" s="39"/>
      <c r="H73" s="39"/>
      <c r="I73" s="39">
        <f>35+22</f>
        <v>57</v>
      </c>
      <c r="J73" s="39">
        <f t="shared" ref="J73:J78" si="4">SUM(C73:I73)</f>
        <v>57</v>
      </c>
      <c r="K73" s="35"/>
    </row>
    <row r="74" spans="1:14" ht="18.75" x14ac:dyDescent="0.3">
      <c r="A74" s="31">
        <f>1+A73</f>
        <v>2</v>
      </c>
      <c r="B74" s="37" t="s">
        <v>218</v>
      </c>
      <c r="C74" s="38"/>
      <c r="D74" s="39"/>
      <c r="E74" s="39"/>
      <c r="F74" s="39"/>
      <c r="G74" s="39"/>
      <c r="H74" s="39"/>
      <c r="I74" s="39">
        <v>240</v>
      </c>
      <c r="J74" s="39">
        <f t="shared" si="4"/>
        <v>240</v>
      </c>
      <c r="K74" s="35"/>
    </row>
    <row r="75" spans="1:14" ht="18.75" x14ac:dyDescent="0.3">
      <c r="A75" s="31">
        <f t="shared" ref="A75:A78" si="5">1+A74</f>
        <v>3</v>
      </c>
      <c r="B75" s="37" t="s">
        <v>219</v>
      </c>
      <c r="C75" s="39"/>
      <c r="D75" s="39"/>
      <c r="E75" s="39"/>
      <c r="F75" s="39"/>
      <c r="G75" s="39"/>
      <c r="H75" s="39"/>
      <c r="I75" s="39">
        <v>54</v>
      </c>
      <c r="J75" s="39">
        <f t="shared" si="4"/>
        <v>54</v>
      </c>
      <c r="K75" s="35"/>
    </row>
    <row r="76" spans="1:14" ht="18.75" x14ac:dyDescent="0.3">
      <c r="A76" s="31">
        <f t="shared" si="5"/>
        <v>4</v>
      </c>
      <c r="B76" s="37" t="s">
        <v>220</v>
      </c>
      <c r="C76" s="38"/>
      <c r="D76" s="38"/>
      <c r="E76" s="38"/>
      <c r="F76" s="38"/>
      <c r="G76" s="38"/>
      <c r="H76" s="38"/>
      <c r="I76" s="39">
        <v>125</v>
      </c>
      <c r="J76" s="39">
        <f t="shared" si="4"/>
        <v>125</v>
      </c>
      <c r="K76" s="35"/>
    </row>
    <row r="77" spans="1:14" ht="18.75" x14ac:dyDescent="0.3">
      <c r="A77" s="31">
        <f t="shared" si="5"/>
        <v>5</v>
      </c>
      <c r="B77" s="37" t="s">
        <v>221</v>
      </c>
      <c r="C77" s="39"/>
      <c r="D77" s="39"/>
      <c r="E77" s="39"/>
      <c r="F77" s="39"/>
      <c r="G77" s="39"/>
      <c r="H77" s="39"/>
      <c r="I77" s="39">
        <v>142</v>
      </c>
      <c r="J77" s="39">
        <f t="shared" si="4"/>
        <v>142</v>
      </c>
      <c r="K77" s="35"/>
    </row>
    <row r="78" spans="1:14" ht="18.75" x14ac:dyDescent="0.3">
      <c r="A78" s="31">
        <f t="shared" si="5"/>
        <v>6</v>
      </c>
      <c r="B78" s="37" t="s">
        <v>222</v>
      </c>
      <c r="C78" s="38"/>
      <c r="D78" s="39"/>
      <c r="E78" s="39"/>
      <c r="F78" s="39"/>
      <c r="G78" s="39"/>
      <c r="H78" s="39"/>
      <c r="I78" s="39">
        <v>50</v>
      </c>
      <c r="J78" s="39">
        <f t="shared" si="4"/>
        <v>50</v>
      </c>
    </row>
    <row r="79" spans="1:14" x14ac:dyDescent="0.25">
      <c r="I79" s="41">
        <f>SUM(I73:I78)</f>
        <v>668</v>
      </c>
      <c r="J79" s="41">
        <f>SUM(J73:J78)</f>
        <v>668</v>
      </c>
    </row>
  </sheetData>
  <pageMargins left="0.11811023622047245" right="0.7" top="0.38" bottom="0.3" header="0.31496062992125984" footer="0.31496062992125984"/>
  <pageSetup scale="94" fitToHeight="0" orientation="landscape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"/>
  <sheetViews>
    <sheetView topLeftCell="A28" workbookViewId="0">
      <selection activeCell="B39" sqref="B39"/>
    </sheetView>
  </sheetViews>
  <sheetFormatPr baseColWidth="10" defaultColWidth="11.42578125" defaultRowHeight="15" x14ac:dyDescent="0.25"/>
  <cols>
    <col min="1" max="1" width="3.42578125" customWidth="1"/>
    <col min="2" max="2" width="30.5703125" customWidth="1"/>
    <col min="3" max="3" width="9.28515625" customWidth="1"/>
    <col min="4" max="4" width="9.140625" customWidth="1"/>
    <col min="5" max="5" width="10.7109375" customWidth="1"/>
    <col min="6" max="6" width="9.7109375" customWidth="1"/>
    <col min="7" max="7" width="10.28515625" customWidth="1"/>
    <col min="8" max="8" width="10.7109375" customWidth="1"/>
    <col min="9" max="9" width="8.42578125" customWidth="1"/>
    <col min="10" max="10" width="12.28515625" customWidth="1"/>
    <col min="11" max="11" width="16" customWidth="1"/>
  </cols>
  <sheetData>
    <row r="2" spans="1:11" x14ac:dyDescent="0.25">
      <c r="A2" s="31" t="s">
        <v>1</v>
      </c>
      <c r="B2" s="32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3" t="s">
        <v>8</v>
      </c>
      <c r="I2" s="33" t="s">
        <v>9</v>
      </c>
      <c r="J2" s="33" t="s">
        <v>10</v>
      </c>
      <c r="K2" s="33" t="s">
        <v>11</v>
      </c>
    </row>
    <row r="3" spans="1:11" ht="18.75" x14ac:dyDescent="0.3">
      <c r="A3" s="31">
        <v>1</v>
      </c>
      <c r="B3" s="37" t="s">
        <v>182</v>
      </c>
      <c r="C3" s="38"/>
      <c r="D3" s="38">
        <v>15</v>
      </c>
      <c r="E3" s="38">
        <f>15+15</f>
        <v>30</v>
      </c>
      <c r="F3" s="38"/>
      <c r="G3" s="38"/>
      <c r="H3" s="38"/>
      <c r="I3" s="39"/>
      <c r="J3" s="39">
        <f>SUM(C3:I3)</f>
        <v>45</v>
      </c>
      <c r="K3" s="35"/>
    </row>
    <row r="4" spans="1:11" ht="18.75" x14ac:dyDescent="0.3">
      <c r="A4" s="31">
        <f>+A3+1</f>
        <v>2</v>
      </c>
      <c r="B4" s="37" t="s">
        <v>41</v>
      </c>
      <c r="C4" s="38"/>
      <c r="D4" s="38">
        <v>40</v>
      </c>
      <c r="E4" s="38"/>
      <c r="F4" s="38"/>
      <c r="G4" s="38"/>
      <c r="H4" s="38"/>
      <c r="I4" s="39">
        <v>3</v>
      </c>
      <c r="J4" s="39">
        <f t="shared" ref="J4:J52" si="0">SUM(C4:I4)</f>
        <v>43</v>
      </c>
      <c r="K4" s="35"/>
    </row>
    <row r="5" spans="1:11" ht="18.75" x14ac:dyDescent="0.3">
      <c r="A5" s="31">
        <f t="shared" ref="A5:A52" si="1">+A4+1</f>
        <v>3</v>
      </c>
      <c r="B5" s="37" t="s">
        <v>84</v>
      </c>
      <c r="C5" s="39">
        <f>5+12</f>
        <v>17</v>
      </c>
      <c r="D5" s="39">
        <f>10+12+15+5+12+5</f>
        <v>59</v>
      </c>
      <c r="E5" s="39">
        <f>5+15+12+5+15+5</f>
        <v>57</v>
      </c>
      <c r="F5" s="39">
        <f>10+10+15+5+12</f>
        <v>52</v>
      </c>
      <c r="G5" s="39">
        <v>5</v>
      </c>
      <c r="H5" s="39"/>
      <c r="I5" s="39">
        <v>140</v>
      </c>
      <c r="J5" s="39">
        <f t="shared" si="0"/>
        <v>330</v>
      </c>
      <c r="K5" s="35"/>
    </row>
    <row r="6" spans="1:11" ht="18.75" x14ac:dyDescent="0.3">
      <c r="A6" s="31">
        <f t="shared" si="1"/>
        <v>4</v>
      </c>
      <c r="B6" s="37" t="s">
        <v>223</v>
      </c>
      <c r="C6" s="39"/>
      <c r="D6" s="39">
        <f>24+15</f>
        <v>39</v>
      </c>
      <c r="E6" s="39">
        <f>24+15</f>
        <v>39</v>
      </c>
      <c r="F6" s="39">
        <f>15+24</f>
        <v>39</v>
      </c>
      <c r="G6" s="39">
        <f>15+10</f>
        <v>25</v>
      </c>
      <c r="H6" s="39"/>
      <c r="I6" s="39"/>
      <c r="J6" s="39">
        <f t="shared" si="0"/>
        <v>142</v>
      </c>
      <c r="K6" s="35"/>
    </row>
    <row r="7" spans="1:11" ht="18.75" x14ac:dyDescent="0.3">
      <c r="A7" s="31">
        <f t="shared" si="1"/>
        <v>5</v>
      </c>
      <c r="B7" s="37" t="s">
        <v>224</v>
      </c>
      <c r="C7" s="39"/>
      <c r="D7" s="39"/>
      <c r="E7" s="39"/>
      <c r="F7" s="39"/>
      <c r="G7" s="39">
        <v>24</v>
      </c>
      <c r="H7" s="39"/>
      <c r="I7" s="39"/>
      <c r="J7" s="39">
        <f t="shared" si="0"/>
        <v>24</v>
      </c>
      <c r="K7" s="35"/>
    </row>
    <row r="8" spans="1:11" ht="18.75" x14ac:dyDescent="0.3">
      <c r="A8" s="31">
        <f t="shared" si="1"/>
        <v>6</v>
      </c>
      <c r="B8" s="37" t="s">
        <v>194</v>
      </c>
      <c r="C8" s="39"/>
      <c r="D8" s="39">
        <f>40+1+24+12</f>
        <v>77</v>
      </c>
      <c r="E8" s="39">
        <f>15+5</f>
        <v>20</v>
      </c>
      <c r="F8" s="39">
        <f>15+10+10+4</f>
        <v>39</v>
      </c>
      <c r="G8" s="39">
        <f>10+5+5+2</f>
        <v>22</v>
      </c>
      <c r="H8" s="39"/>
      <c r="I8" s="39"/>
      <c r="J8" s="39">
        <f t="shared" si="0"/>
        <v>158</v>
      </c>
      <c r="K8" s="35"/>
    </row>
    <row r="9" spans="1:11" ht="18.75" x14ac:dyDescent="0.3">
      <c r="A9" s="31">
        <f t="shared" si="1"/>
        <v>7</v>
      </c>
      <c r="B9" s="37" t="s">
        <v>134</v>
      </c>
      <c r="C9" s="39"/>
      <c r="D9" s="39"/>
      <c r="E9" s="39"/>
      <c r="F9" s="39">
        <v>40</v>
      </c>
      <c r="G9" s="39">
        <f>24+15+15+15</f>
        <v>69</v>
      </c>
      <c r="H9" s="39"/>
      <c r="I9" s="39"/>
      <c r="J9" s="39">
        <f t="shared" si="0"/>
        <v>109</v>
      </c>
      <c r="K9" s="35"/>
    </row>
    <row r="10" spans="1:11" ht="18.75" x14ac:dyDescent="0.3">
      <c r="A10" s="31">
        <f t="shared" si="1"/>
        <v>8</v>
      </c>
      <c r="B10" s="37" t="s">
        <v>193</v>
      </c>
      <c r="C10" s="39"/>
      <c r="D10" s="39"/>
      <c r="E10" s="39"/>
      <c r="F10" s="39"/>
      <c r="G10" s="39">
        <f>45+15</f>
        <v>60</v>
      </c>
      <c r="H10" s="39"/>
      <c r="I10" s="39"/>
      <c r="J10" s="39">
        <f t="shared" si="0"/>
        <v>60</v>
      </c>
      <c r="K10" s="35"/>
    </row>
    <row r="11" spans="1:11" ht="18.75" x14ac:dyDescent="0.3">
      <c r="A11" s="31">
        <f t="shared" si="1"/>
        <v>9</v>
      </c>
      <c r="B11" s="37" t="s">
        <v>106</v>
      </c>
      <c r="C11" s="38">
        <f>30+12+15</f>
        <v>57</v>
      </c>
      <c r="D11" s="39">
        <f>30+15</f>
        <v>45</v>
      </c>
      <c r="E11" s="39">
        <f>15+12+40+10+15</f>
        <v>92</v>
      </c>
      <c r="F11" s="39">
        <f>15+12+15</f>
        <v>42</v>
      </c>
      <c r="G11" s="39">
        <f>15+12+15+15</f>
        <v>57</v>
      </c>
      <c r="H11" s="39"/>
      <c r="I11" s="39"/>
      <c r="J11" s="39">
        <f t="shared" si="0"/>
        <v>293</v>
      </c>
      <c r="K11" s="35"/>
    </row>
    <row r="12" spans="1:11" ht="18.75" x14ac:dyDescent="0.3">
      <c r="A12" s="31">
        <f t="shared" si="1"/>
        <v>10</v>
      </c>
      <c r="B12" s="37" t="s">
        <v>217</v>
      </c>
      <c r="C12" s="38">
        <f>48+15+15+15+40+40+35</f>
        <v>208</v>
      </c>
      <c r="D12" s="38">
        <f>36+15+10+35+40</f>
        <v>136</v>
      </c>
      <c r="E12" s="38">
        <f>36+15+5+40+45+20</f>
        <v>161</v>
      </c>
      <c r="F12" s="39"/>
      <c r="G12" s="39">
        <f>36+15+25+15+35+20+5+15</f>
        <v>166</v>
      </c>
      <c r="H12" s="39"/>
      <c r="I12" s="39"/>
      <c r="J12" s="39">
        <f t="shared" si="0"/>
        <v>671</v>
      </c>
      <c r="K12" s="35"/>
    </row>
    <row r="13" spans="1:11" ht="18.75" x14ac:dyDescent="0.3">
      <c r="A13" s="31">
        <f t="shared" si="1"/>
        <v>11</v>
      </c>
      <c r="B13" s="37" t="s">
        <v>135</v>
      </c>
      <c r="C13" s="39"/>
      <c r="D13" s="39">
        <f>15+47</f>
        <v>62</v>
      </c>
      <c r="E13" s="39"/>
      <c r="F13" s="39">
        <f>36+45</f>
        <v>81</v>
      </c>
      <c r="G13" s="39"/>
      <c r="H13" s="39"/>
      <c r="I13" s="39"/>
      <c r="J13" s="39">
        <f t="shared" si="0"/>
        <v>143</v>
      </c>
      <c r="K13" s="35"/>
    </row>
    <row r="14" spans="1:11" ht="18.75" x14ac:dyDescent="0.3">
      <c r="A14" s="31">
        <f t="shared" si="1"/>
        <v>12</v>
      </c>
      <c r="B14" s="37" t="s">
        <v>42</v>
      </c>
      <c r="C14" s="38">
        <f>24+15</f>
        <v>39</v>
      </c>
      <c r="D14" s="39">
        <f>15+40</f>
        <v>55</v>
      </c>
      <c r="E14" s="39">
        <f>24+15+20</f>
        <v>59</v>
      </c>
      <c r="F14" s="39">
        <v>15</v>
      </c>
      <c r="G14" s="39">
        <f>35+20</f>
        <v>55</v>
      </c>
      <c r="H14" s="39"/>
      <c r="I14" s="39"/>
      <c r="J14" s="39">
        <f t="shared" si="0"/>
        <v>223</v>
      </c>
      <c r="K14" s="35"/>
    </row>
    <row r="15" spans="1:11" ht="18.75" x14ac:dyDescent="0.3">
      <c r="A15" s="31">
        <f t="shared" si="1"/>
        <v>13</v>
      </c>
      <c r="B15" s="37" t="s">
        <v>94</v>
      </c>
      <c r="C15" s="39"/>
      <c r="D15" s="39">
        <f>24+15</f>
        <v>39</v>
      </c>
      <c r="E15" s="39"/>
      <c r="F15" s="39"/>
      <c r="G15" s="39">
        <f>15+15</f>
        <v>30</v>
      </c>
      <c r="H15" s="39"/>
      <c r="I15" s="39"/>
      <c r="J15" s="39">
        <f t="shared" si="0"/>
        <v>69</v>
      </c>
      <c r="K15" s="35"/>
    </row>
    <row r="16" spans="1:11" ht="18.75" x14ac:dyDescent="0.3">
      <c r="A16" s="31">
        <f t="shared" si="1"/>
        <v>14</v>
      </c>
      <c r="B16" s="37" t="s">
        <v>195</v>
      </c>
      <c r="C16" s="38">
        <v>15</v>
      </c>
      <c r="D16" s="39"/>
      <c r="E16" s="39">
        <v>15</v>
      </c>
      <c r="F16" s="39">
        <f>15+12+15</f>
        <v>42</v>
      </c>
      <c r="G16" s="39"/>
      <c r="H16" s="39"/>
      <c r="I16" s="39"/>
      <c r="J16" s="39">
        <f t="shared" si="0"/>
        <v>72</v>
      </c>
      <c r="K16" s="35"/>
    </row>
    <row r="17" spans="1:11" ht="18.75" x14ac:dyDescent="0.3">
      <c r="A17" s="31">
        <f t="shared" si="1"/>
        <v>15</v>
      </c>
      <c r="B17" s="37" t="s">
        <v>218</v>
      </c>
      <c r="C17" s="38">
        <f>15+15</f>
        <v>30</v>
      </c>
      <c r="D17" s="39">
        <f>40+5+15</f>
        <v>60</v>
      </c>
      <c r="E17" s="39">
        <f>15+5</f>
        <v>20</v>
      </c>
      <c r="F17" s="39">
        <f>5+15+15+10+40</f>
        <v>85</v>
      </c>
      <c r="G17" s="39"/>
      <c r="H17" s="39"/>
      <c r="I17" s="39"/>
      <c r="J17" s="39">
        <f t="shared" si="0"/>
        <v>195</v>
      </c>
      <c r="K17" s="35"/>
    </row>
    <row r="18" spans="1:11" ht="18.75" x14ac:dyDescent="0.3">
      <c r="A18" s="31">
        <f t="shared" si="1"/>
        <v>16</v>
      </c>
      <c r="B18" s="37" t="s">
        <v>171</v>
      </c>
      <c r="C18" s="39">
        <f>15+12</f>
        <v>27</v>
      </c>
      <c r="D18" s="39"/>
      <c r="E18" s="39"/>
      <c r="F18" s="39">
        <v>15</v>
      </c>
      <c r="G18" s="39"/>
      <c r="H18" s="39"/>
      <c r="I18" s="39"/>
      <c r="J18" s="39">
        <f t="shared" si="0"/>
        <v>42</v>
      </c>
      <c r="K18" s="35"/>
    </row>
    <row r="19" spans="1:11" ht="18.75" x14ac:dyDescent="0.3">
      <c r="A19" s="31">
        <f t="shared" si="1"/>
        <v>17</v>
      </c>
      <c r="B19" s="37" t="s">
        <v>196</v>
      </c>
      <c r="C19" s="39">
        <f>24+47</f>
        <v>71</v>
      </c>
      <c r="D19" s="39">
        <v>40</v>
      </c>
      <c r="E19" s="39">
        <v>15</v>
      </c>
      <c r="F19" s="39">
        <f>24+15+10</f>
        <v>49</v>
      </c>
      <c r="G19" s="39">
        <v>24</v>
      </c>
      <c r="H19" s="39"/>
      <c r="I19" s="39"/>
      <c r="J19" s="39">
        <f t="shared" si="0"/>
        <v>199</v>
      </c>
      <c r="K19" s="35"/>
    </row>
    <row r="20" spans="1:11" ht="18.75" x14ac:dyDescent="0.3">
      <c r="A20" s="31">
        <f t="shared" si="1"/>
        <v>18</v>
      </c>
      <c r="B20" s="37" t="s">
        <v>219</v>
      </c>
      <c r="C20" s="39"/>
      <c r="D20" s="39"/>
      <c r="E20" s="39"/>
      <c r="F20" s="39"/>
      <c r="G20" s="39"/>
      <c r="H20" s="39"/>
      <c r="I20" s="39">
        <v>54</v>
      </c>
      <c r="J20" s="39">
        <f t="shared" si="0"/>
        <v>54</v>
      </c>
      <c r="K20" s="35"/>
    </row>
    <row r="21" spans="1:11" ht="18.75" x14ac:dyDescent="0.3">
      <c r="A21" s="31">
        <f t="shared" si="1"/>
        <v>19</v>
      </c>
      <c r="B21" s="37" t="s">
        <v>225</v>
      </c>
      <c r="C21" s="39">
        <v>45</v>
      </c>
      <c r="D21" s="39">
        <v>45</v>
      </c>
      <c r="E21" s="39">
        <v>45</v>
      </c>
      <c r="F21" s="39">
        <v>45</v>
      </c>
      <c r="G21" s="39">
        <v>45</v>
      </c>
      <c r="H21" s="39"/>
      <c r="I21" s="39"/>
      <c r="J21" s="39">
        <f t="shared" si="0"/>
        <v>225</v>
      </c>
      <c r="K21" s="35"/>
    </row>
    <row r="22" spans="1:11" ht="18.75" x14ac:dyDescent="0.3">
      <c r="A22" s="31">
        <f t="shared" si="1"/>
        <v>20</v>
      </c>
      <c r="B22" s="37" t="s">
        <v>198</v>
      </c>
      <c r="C22" s="39">
        <v>45</v>
      </c>
      <c r="D22" s="39">
        <v>45</v>
      </c>
      <c r="E22" s="39">
        <v>47</v>
      </c>
      <c r="F22" s="39">
        <v>45</v>
      </c>
      <c r="G22" s="39">
        <f>40+10+45</f>
        <v>95</v>
      </c>
      <c r="H22" s="39"/>
      <c r="I22" s="39"/>
      <c r="J22" s="39">
        <f t="shared" si="0"/>
        <v>277</v>
      </c>
      <c r="K22" s="35"/>
    </row>
    <row r="23" spans="1:11" ht="18.75" x14ac:dyDescent="0.3">
      <c r="A23" s="31">
        <f t="shared" si="1"/>
        <v>21</v>
      </c>
      <c r="B23" s="37" t="s">
        <v>107</v>
      </c>
      <c r="C23" s="39"/>
      <c r="D23" s="39"/>
      <c r="E23" s="39"/>
      <c r="F23" s="39"/>
      <c r="G23" s="39">
        <f>36+15+47</f>
        <v>98</v>
      </c>
      <c r="H23" s="39"/>
      <c r="I23" s="39"/>
      <c r="J23" s="39">
        <f t="shared" si="0"/>
        <v>98</v>
      </c>
      <c r="K23" s="35"/>
    </row>
    <row r="24" spans="1:11" ht="18.75" x14ac:dyDescent="0.3">
      <c r="A24" s="31">
        <f t="shared" si="1"/>
        <v>22</v>
      </c>
      <c r="B24" s="37" t="s">
        <v>199</v>
      </c>
      <c r="C24" s="38">
        <v>45</v>
      </c>
      <c r="D24" s="38">
        <v>47</v>
      </c>
      <c r="E24" s="38">
        <v>47</v>
      </c>
      <c r="F24" s="39">
        <v>47</v>
      </c>
      <c r="G24" s="39">
        <f>15+47+15</f>
        <v>77</v>
      </c>
      <c r="H24" s="39"/>
      <c r="I24" s="39"/>
      <c r="J24" s="39">
        <f t="shared" si="0"/>
        <v>263</v>
      </c>
      <c r="K24" s="35"/>
    </row>
    <row r="25" spans="1:11" ht="18.75" x14ac:dyDescent="0.3">
      <c r="A25" s="31">
        <f t="shared" si="1"/>
        <v>23</v>
      </c>
      <c r="B25" s="37" t="s">
        <v>102</v>
      </c>
      <c r="C25" s="38"/>
      <c r="D25" s="38">
        <v>15</v>
      </c>
      <c r="E25" s="38">
        <v>15</v>
      </c>
      <c r="F25" s="39">
        <v>15</v>
      </c>
      <c r="G25" s="39">
        <f>15+15+12</f>
        <v>42</v>
      </c>
      <c r="H25" s="39"/>
      <c r="I25" s="39"/>
      <c r="J25" s="39">
        <f t="shared" si="0"/>
        <v>87</v>
      </c>
      <c r="K25" s="35"/>
    </row>
    <row r="26" spans="1:11" ht="18.75" x14ac:dyDescent="0.3">
      <c r="A26" s="31">
        <f t="shared" si="1"/>
        <v>24</v>
      </c>
      <c r="B26" s="37" t="s">
        <v>200</v>
      </c>
      <c r="C26" s="38"/>
      <c r="D26" s="38">
        <v>47</v>
      </c>
      <c r="E26" s="38">
        <v>47</v>
      </c>
      <c r="F26" s="39">
        <v>47</v>
      </c>
      <c r="G26" s="39">
        <f>15+12+47</f>
        <v>74</v>
      </c>
      <c r="H26" s="39"/>
      <c r="I26" s="39"/>
      <c r="J26" s="39">
        <f t="shared" si="0"/>
        <v>215</v>
      </c>
      <c r="K26" s="35"/>
    </row>
    <row r="27" spans="1:11" ht="18.75" x14ac:dyDescent="0.3">
      <c r="A27" s="31">
        <f t="shared" si="1"/>
        <v>25</v>
      </c>
      <c r="B27" s="37" t="s">
        <v>201</v>
      </c>
      <c r="C27" s="38"/>
      <c r="D27" s="38"/>
      <c r="E27" s="38"/>
      <c r="F27" s="39">
        <f>45+5</f>
        <v>50</v>
      </c>
      <c r="G27" s="39">
        <f>5+12+15</f>
        <v>32</v>
      </c>
      <c r="H27" s="39"/>
      <c r="I27" s="39"/>
      <c r="J27" s="39">
        <f t="shared" si="0"/>
        <v>82</v>
      </c>
      <c r="K27" s="35"/>
    </row>
    <row r="28" spans="1:11" ht="18.75" x14ac:dyDescent="0.3">
      <c r="A28" s="31">
        <f t="shared" si="1"/>
        <v>26</v>
      </c>
      <c r="B28" s="37" t="s">
        <v>220</v>
      </c>
      <c r="C28" s="38"/>
      <c r="D28" s="38"/>
      <c r="E28" s="38"/>
      <c r="F28" s="38"/>
      <c r="G28" s="38"/>
      <c r="H28" s="38"/>
      <c r="I28" s="39">
        <v>125</v>
      </c>
      <c r="J28" s="39">
        <f t="shared" si="0"/>
        <v>125</v>
      </c>
      <c r="K28" s="35"/>
    </row>
    <row r="29" spans="1:11" ht="18.75" x14ac:dyDescent="0.3">
      <c r="A29" s="31">
        <f t="shared" si="1"/>
        <v>27</v>
      </c>
      <c r="B29" s="37" t="s">
        <v>226</v>
      </c>
      <c r="C29" s="38"/>
      <c r="D29" s="38">
        <f>15+15</f>
        <v>30</v>
      </c>
      <c r="E29" s="38">
        <v>15</v>
      </c>
      <c r="F29" s="38"/>
      <c r="G29" s="38">
        <f>24+15</f>
        <v>39</v>
      </c>
      <c r="H29" s="38"/>
      <c r="I29" s="39"/>
      <c r="J29" s="39">
        <f t="shared" si="0"/>
        <v>84</v>
      </c>
      <c r="K29" s="35"/>
    </row>
    <row r="30" spans="1:11" ht="18.75" x14ac:dyDescent="0.3">
      <c r="A30" s="31">
        <f t="shared" si="1"/>
        <v>28</v>
      </c>
      <c r="B30" s="37" t="s">
        <v>221</v>
      </c>
      <c r="C30" s="39"/>
      <c r="D30" s="39">
        <f>15+40</f>
        <v>55</v>
      </c>
      <c r="E30" s="39">
        <v>15</v>
      </c>
      <c r="F30" s="39"/>
      <c r="G30" s="39">
        <v>30</v>
      </c>
      <c r="H30" s="39"/>
      <c r="I30" s="39"/>
      <c r="J30" s="39">
        <f t="shared" si="0"/>
        <v>100</v>
      </c>
      <c r="K30" s="35"/>
    </row>
    <row r="31" spans="1:11" ht="18.75" x14ac:dyDescent="0.3">
      <c r="A31" s="31">
        <f t="shared" si="1"/>
        <v>29</v>
      </c>
      <c r="B31" s="37" t="s">
        <v>139</v>
      </c>
      <c r="C31" s="39"/>
      <c r="D31" s="39"/>
      <c r="E31" s="39">
        <v>35</v>
      </c>
      <c r="F31" s="39">
        <f>24+15+12</f>
        <v>51</v>
      </c>
      <c r="G31" s="39">
        <f>12+15+15</f>
        <v>42</v>
      </c>
      <c r="H31" s="39"/>
      <c r="I31" s="39"/>
      <c r="J31" s="39">
        <f t="shared" si="0"/>
        <v>128</v>
      </c>
      <c r="K31" s="35"/>
    </row>
    <row r="32" spans="1:11" ht="18.75" x14ac:dyDescent="0.3">
      <c r="A32" s="31">
        <f t="shared" si="1"/>
        <v>30</v>
      </c>
      <c r="B32" s="37" t="s">
        <v>131</v>
      </c>
      <c r="C32" s="39">
        <f>40+24</f>
        <v>64</v>
      </c>
      <c r="D32" s="39">
        <f>40+12</f>
        <v>52</v>
      </c>
      <c r="E32" s="39">
        <f>40+15+40</f>
        <v>95</v>
      </c>
      <c r="F32" s="39">
        <f>40+15</f>
        <v>55</v>
      </c>
      <c r="G32" s="39">
        <f>40+24</f>
        <v>64</v>
      </c>
      <c r="H32" s="39"/>
      <c r="I32" s="39"/>
      <c r="J32" s="39">
        <f t="shared" si="0"/>
        <v>330</v>
      </c>
      <c r="K32" s="35"/>
    </row>
    <row r="33" spans="1:11" ht="18.75" x14ac:dyDescent="0.3">
      <c r="A33" s="31">
        <f t="shared" si="1"/>
        <v>31</v>
      </c>
      <c r="B33" s="37" t="s">
        <v>138</v>
      </c>
      <c r="C33" s="39">
        <v>45</v>
      </c>
      <c r="D33" s="39">
        <v>45</v>
      </c>
      <c r="E33" s="39">
        <v>45</v>
      </c>
      <c r="F33" s="39">
        <v>47</v>
      </c>
      <c r="G33" s="39">
        <v>47</v>
      </c>
      <c r="H33" s="39"/>
      <c r="I33" s="39"/>
      <c r="J33" s="39">
        <f t="shared" si="0"/>
        <v>229</v>
      </c>
      <c r="K33" s="35"/>
    </row>
    <row r="34" spans="1:11" ht="18.75" x14ac:dyDescent="0.3">
      <c r="A34" s="31">
        <f t="shared" si="1"/>
        <v>32</v>
      </c>
      <c r="B34" s="37" t="s">
        <v>222</v>
      </c>
      <c r="C34" s="38"/>
      <c r="D34" s="39"/>
      <c r="E34" s="39"/>
      <c r="F34" s="39"/>
      <c r="G34" s="39"/>
      <c r="H34" s="39"/>
      <c r="I34" s="39">
        <v>50</v>
      </c>
      <c r="J34" s="39">
        <f t="shared" si="0"/>
        <v>50</v>
      </c>
      <c r="K34" s="35"/>
    </row>
    <row r="35" spans="1:11" ht="18.75" x14ac:dyDescent="0.3">
      <c r="A35" s="31">
        <f t="shared" si="1"/>
        <v>33</v>
      </c>
      <c r="B35" s="37" t="s">
        <v>227</v>
      </c>
      <c r="C35" s="38"/>
      <c r="D35" s="39"/>
      <c r="E35" s="39"/>
      <c r="F35" s="39"/>
      <c r="G35" s="39">
        <v>45</v>
      </c>
      <c r="H35" s="39"/>
      <c r="I35" s="39"/>
      <c r="J35" s="39">
        <f t="shared" si="0"/>
        <v>45</v>
      </c>
      <c r="K35" s="35"/>
    </row>
    <row r="36" spans="1:11" ht="18.75" x14ac:dyDescent="0.3">
      <c r="A36" s="31">
        <f t="shared" si="1"/>
        <v>34</v>
      </c>
      <c r="B36" s="37" t="s">
        <v>208</v>
      </c>
      <c r="C36" s="39">
        <f>24+15+15+5+47</f>
        <v>106</v>
      </c>
      <c r="D36" s="39">
        <f>15+5+47</f>
        <v>67</v>
      </c>
      <c r="E36" s="39">
        <f>24+15+15+47+5</f>
        <v>106</v>
      </c>
      <c r="F36" s="39">
        <f>24+15+5+47</f>
        <v>91</v>
      </c>
      <c r="G36" s="39">
        <f>24+40+47</f>
        <v>111</v>
      </c>
      <c r="H36" s="39"/>
      <c r="I36" s="39"/>
      <c r="J36" s="39">
        <f t="shared" si="0"/>
        <v>481</v>
      </c>
      <c r="K36" s="35"/>
    </row>
    <row r="37" spans="1:11" ht="18.75" x14ac:dyDescent="0.3">
      <c r="A37" s="31">
        <f t="shared" si="1"/>
        <v>35</v>
      </c>
      <c r="B37" s="37" t="s">
        <v>210</v>
      </c>
      <c r="C37" s="39">
        <f>50+30+5</f>
        <v>85</v>
      </c>
      <c r="D37" s="39"/>
      <c r="E37" s="39">
        <f>15+5+48+30+12+5+15+15+15+15+12+5</f>
        <v>192</v>
      </c>
      <c r="F37" s="39"/>
      <c r="G37" s="39">
        <f>36+15</f>
        <v>51</v>
      </c>
      <c r="H37" s="39"/>
      <c r="I37" s="39">
        <v>32</v>
      </c>
      <c r="J37" s="39">
        <f t="shared" si="0"/>
        <v>360</v>
      </c>
      <c r="K37" s="35"/>
    </row>
    <row r="38" spans="1:11" ht="18.75" x14ac:dyDescent="0.3">
      <c r="A38" s="31">
        <f t="shared" si="1"/>
        <v>36</v>
      </c>
      <c r="B38" s="37" t="s">
        <v>228</v>
      </c>
      <c r="C38" s="38"/>
      <c r="D38" s="38"/>
      <c r="E38" s="38"/>
      <c r="F38" s="38"/>
      <c r="G38" s="39"/>
      <c r="H38" s="39"/>
      <c r="I38" s="39">
        <v>269</v>
      </c>
      <c r="J38" s="39">
        <f t="shared" si="0"/>
        <v>269</v>
      </c>
      <c r="K38" s="35"/>
    </row>
    <row r="39" spans="1:11" ht="18.75" x14ac:dyDescent="0.3">
      <c r="A39" s="31">
        <f t="shared" si="1"/>
        <v>37</v>
      </c>
      <c r="B39" s="37" t="s">
        <v>167</v>
      </c>
      <c r="C39" s="38">
        <v>47</v>
      </c>
      <c r="D39" s="38">
        <v>45</v>
      </c>
      <c r="E39" s="38">
        <f>15+45+15</f>
        <v>75</v>
      </c>
      <c r="F39" s="38">
        <v>45</v>
      </c>
      <c r="G39" s="39">
        <f>15+45</f>
        <v>60</v>
      </c>
      <c r="H39" s="39"/>
      <c r="I39" s="39"/>
      <c r="J39" s="39">
        <f t="shared" si="0"/>
        <v>272</v>
      </c>
      <c r="K39" s="35"/>
    </row>
    <row r="40" spans="1:11" ht="18.75" x14ac:dyDescent="0.3">
      <c r="A40" s="31">
        <f t="shared" si="1"/>
        <v>38</v>
      </c>
      <c r="B40" s="37" t="s">
        <v>229</v>
      </c>
      <c r="C40" s="38"/>
      <c r="D40" s="38"/>
      <c r="E40" s="38"/>
      <c r="F40" s="38"/>
      <c r="G40" s="39">
        <f>36+10</f>
        <v>46</v>
      </c>
      <c r="H40" s="39"/>
      <c r="I40" s="39"/>
      <c r="J40" s="39">
        <f t="shared" si="0"/>
        <v>46</v>
      </c>
      <c r="K40" s="35"/>
    </row>
    <row r="41" spans="1:11" ht="18.75" x14ac:dyDescent="0.3">
      <c r="A41" s="31">
        <f t="shared" si="1"/>
        <v>39</v>
      </c>
      <c r="B41" s="37" t="s">
        <v>230</v>
      </c>
      <c r="C41" s="39">
        <f>24+15+70+1</f>
        <v>110</v>
      </c>
      <c r="D41" s="39">
        <v>70</v>
      </c>
      <c r="E41" s="39">
        <f>24+15+70</f>
        <v>109</v>
      </c>
      <c r="F41" s="39">
        <f>24+45+35+1</f>
        <v>105</v>
      </c>
      <c r="G41" s="39"/>
      <c r="H41" s="39"/>
      <c r="I41" s="39"/>
      <c r="J41" s="39">
        <f t="shared" si="0"/>
        <v>394</v>
      </c>
      <c r="K41" s="35"/>
    </row>
    <row r="42" spans="1:11" ht="18.75" x14ac:dyDescent="0.3">
      <c r="A42" s="31">
        <f t="shared" si="1"/>
        <v>40</v>
      </c>
      <c r="B42" s="37" t="s">
        <v>212</v>
      </c>
      <c r="C42" s="39">
        <f>40+15+40+15</f>
        <v>110</v>
      </c>
      <c r="D42" s="39">
        <v>12</v>
      </c>
      <c r="E42" s="39">
        <f>12+40</f>
        <v>52</v>
      </c>
      <c r="F42" s="39">
        <f>40+10+15+10+15</f>
        <v>90</v>
      </c>
      <c r="G42" s="39">
        <f>25+15+40+40+12+15</f>
        <v>147</v>
      </c>
      <c r="H42" s="39"/>
      <c r="I42" s="39"/>
      <c r="J42" s="39">
        <f t="shared" si="0"/>
        <v>411</v>
      </c>
      <c r="K42" s="35"/>
    </row>
    <row r="43" spans="1:11" ht="18.75" x14ac:dyDescent="0.3">
      <c r="A43" s="31">
        <f t="shared" si="1"/>
        <v>41</v>
      </c>
      <c r="B43" s="37" t="s">
        <v>152</v>
      </c>
      <c r="C43" s="39">
        <f>40+15+4+15+40+47+15</f>
        <v>176</v>
      </c>
      <c r="D43" s="39">
        <f>15+10</f>
        <v>25</v>
      </c>
      <c r="E43" s="39">
        <f>15+30+10+15+15+35+40+10+40+5+15+15+2</f>
        <v>247</v>
      </c>
      <c r="F43" s="39">
        <f>48+15+15+40+10+40+15</f>
        <v>183</v>
      </c>
      <c r="G43" s="39">
        <f>15+10+15+10+2+47+15</f>
        <v>114</v>
      </c>
      <c r="H43" s="39"/>
      <c r="I43" s="39"/>
      <c r="J43" s="39">
        <f t="shared" si="0"/>
        <v>745</v>
      </c>
      <c r="K43" s="35"/>
    </row>
    <row r="44" spans="1:11" ht="18.75" x14ac:dyDescent="0.3">
      <c r="A44" s="31">
        <f t="shared" si="1"/>
        <v>42</v>
      </c>
      <c r="B44" s="37" t="s">
        <v>213</v>
      </c>
      <c r="C44" s="39"/>
      <c r="D44" s="39">
        <v>39</v>
      </c>
      <c r="E44" s="39">
        <f>24+15</f>
        <v>39</v>
      </c>
      <c r="F44" s="39"/>
      <c r="G44" s="39">
        <f>10+5</f>
        <v>15</v>
      </c>
      <c r="H44" s="39"/>
      <c r="I44" s="39"/>
      <c r="J44" s="39">
        <f t="shared" si="0"/>
        <v>93</v>
      </c>
      <c r="K44" s="35"/>
    </row>
    <row r="45" spans="1:11" ht="18.75" x14ac:dyDescent="0.3">
      <c r="A45" s="31">
        <f t="shared" si="1"/>
        <v>43</v>
      </c>
      <c r="B45" s="37" t="s">
        <v>129</v>
      </c>
      <c r="C45" s="39"/>
      <c r="D45" s="39"/>
      <c r="E45" s="39"/>
      <c r="F45" s="39"/>
      <c r="G45" s="39">
        <f>24+15+12</f>
        <v>51</v>
      </c>
      <c r="H45" s="39"/>
      <c r="I45" s="39"/>
      <c r="J45" s="39">
        <f t="shared" si="0"/>
        <v>51</v>
      </c>
      <c r="K45" s="35"/>
    </row>
    <row r="46" spans="1:11" ht="18.75" x14ac:dyDescent="0.3">
      <c r="A46" s="31">
        <f t="shared" si="1"/>
        <v>44</v>
      </c>
      <c r="B46" s="37" t="s">
        <v>231</v>
      </c>
      <c r="C46" s="39"/>
      <c r="D46" s="39">
        <v>12</v>
      </c>
      <c r="E46" s="39"/>
      <c r="F46" s="39"/>
      <c r="G46" s="39"/>
      <c r="H46" s="39"/>
      <c r="I46" s="39"/>
      <c r="J46" s="39">
        <f t="shared" si="0"/>
        <v>12</v>
      </c>
      <c r="K46" s="35"/>
    </row>
    <row r="47" spans="1:11" ht="18.75" x14ac:dyDescent="0.3">
      <c r="A47" s="31">
        <f t="shared" si="1"/>
        <v>45</v>
      </c>
      <c r="B47" s="37" t="s">
        <v>78</v>
      </c>
      <c r="C47" s="39">
        <v>45</v>
      </c>
      <c r="D47" s="39">
        <f>40+45</f>
        <v>85</v>
      </c>
      <c r="E47" s="39">
        <v>47</v>
      </c>
      <c r="F47" s="39">
        <v>45</v>
      </c>
      <c r="G47" s="39">
        <v>45</v>
      </c>
      <c r="H47" s="39"/>
      <c r="I47" s="39"/>
      <c r="J47" s="39">
        <f t="shared" si="0"/>
        <v>267</v>
      </c>
      <c r="K47" s="35"/>
    </row>
    <row r="48" spans="1:11" ht="18.75" x14ac:dyDescent="0.3">
      <c r="A48" s="31">
        <f t="shared" si="1"/>
        <v>46</v>
      </c>
      <c r="B48" s="37" t="s">
        <v>232</v>
      </c>
      <c r="C48" s="39">
        <v>10</v>
      </c>
      <c r="D48" s="39"/>
      <c r="E48" s="39"/>
      <c r="F48" s="39"/>
      <c r="G48" s="39"/>
      <c r="H48" s="39"/>
      <c r="I48" s="39">
        <v>130</v>
      </c>
      <c r="J48" s="39">
        <f t="shared" si="0"/>
        <v>140</v>
      </c>
      <c r="K48" s="35"/>
    </row>
    <row r="49" spans="1:12" ht="18.75" x14ac:dyDescent="0.3">
      <c r="A49" s="31">
        <f t="shared" si="1"/>
        <v>47</v>
      </c>
      <c r="B49" s="37" t="s">
        <v>86</v>
      </c>
      <c r="C49" s="39">
        <v>10</v>
      </c>
      <c r="D49" s="39">
        <f>48+47+5</f>
        <v>100</v>
      </c>
      <c r="E49" s="39">
        <f>15+15</f>
        <v>30</v>
      </c>
      <c r="F49" s="39">
        <f>5+15+15</f>
        <v>35</v>
      </c>
      <c r="G49" s="39">
        <v>5</v>
      </c>
      <c r="H49" s="39"/>
      <c r="I49" s="39"/>
      <c r="J49" s="39">
        <f t="shared" si="0"/>
        <v>180</v>
      </c>
      <c r="K49" s="35"/>
    </row>
    <row r="50" spans="1:12" ht="18.75" x14ac:dyDescent="0.3">
      <c r="A50" s="31">
        <f t="shared" si="1"/>
        <v>48</v>
      </c>
      <c r="B50" s="37" t="s">
        <v>47</v>
      </c>
      <c r="C50" s="39">
        <v>45</v>
      </c>
      <c r="D50" s="39"/>
      <c r="E50" s="39"/>
      <c r="F50" s="39"/>
      <c r="G50" s="39"/>
      <c r="H50" s="39"/>
      <c r="I50" s="39">
        <v>92</v>
      </c>
      <c r="J50" s="39">
        <f t="shared" si="0"/>
        <v>137</v>
      </c>
      <c r="K50" s="35"/>
    </row>
    <row r="51" spans="1:12" ht="18.75" x14ac:dyDescent="0.3">
      <c r="A51" s="31">
        <f t="shared" si="1"/>
        <v>49</v>
      </c>
      <c r="B51" s="37" t="s">
        <v>215</v>
      </c>
      <c r="C51" s="39"/>
      <c r="D51" s="39">
        <f>15+15+10</f>
        <v>40</v>
      </c>
      <c r="E51" s="39">
        <f>40+15</f>
        <v>55</v>
      </c>
      <c r="F51" s="39">
        <f>40+10</f>
        <v>50</v>
      </c>
      <c r="G51" s="39">
        <f>24+30</f>
        <v>54</v>
      </c>
      <c r="H51" s="39"/>
      <c r="I51" s="39"/>
      <c r="J51" s="39">
        <f t="shared" si="0"/>
        <v>199</v>
      </c>
      <c r="K51" s="35"/>
    </row>
    <row r="52" spans="1:12" ht="18.75" x14ac:dyDescent="0.3">
      <c r="A52" s="31">
        <f t="shared" si="1"/>
        <v>50</v>
      </c>
      <c r="B52" s="37" t="s">
        <v>57</v>
      </c>
      <c r="C52" s="39">
        <f>15+15+40+25+15+45+15+40</f>
        <v>210</v>
      </c>
      <c r="D52" s="39">
        <f>30+15+45+40</f>
        <v>130</v>
      </c>
      <c r="E52" s="39">
        <f>30+15+35+5</f>
        <v>85</v>
      </c>
      <c r="F52" s="39">
        <f>45+15+15+5+45+5</f>
        <v>130</v>
      </c>
      <c r="G52" s="39">
        <f>15+24+30+15+5+40</f>
        <v>129</v>
      </c>
      <c r="H52" s="39"/>
      <c r="I52" s="39"/>
      <c r="J52" s="39">
        <f t="shared" si="0"/>
        <v>684</v>
      </c>
      <c r="K52" s="35"/>
    </row>
    <row r="53" spans="1:12" ht="18.75" x14ac:dyDescent="0.3">
      <c r="A53" s="15"/>
      <c r="B53" s="17"/>
      <c r="C53" s="30">
        <f t="shared" ref="C53:J53" si="2">SUM(C3:C52)</f>
        <v>1662</v>
      </c>
      <c r="D53" s="30">
        <f t="shared" si="2"/>
        <v>1673</v>
      </c>
      <c r="E53" s="30">
        <f t="shared" si="2"/>
        <v>1951</v>
      </c>
      <c r="F53" s="30">
        <f t="shared" si="2"/>
        <v>1675</v>
      </c>
      <c r="G53" s="30">
        <f t="shared" si="2"/>
        <v>2095</v>
      </c>
      <c r="H53" s="30">
        <f t="shared" si="2"/>
        <v>0</v>
      </c>
      <c r="I53" s="30">
        <f t="shared" si="2"/>
        <v>895</v>
      </c>
      <c r="J53" s="30">
        <f t="shared" si="2"/>
        <v>9951</v>
      </c>
      <c r="K53" s="19"/>
    </row>
    <row r="54" spans="1:12" x14ac:dyDescent="0.25">
      <c r="L54" s="16"/>
    </row>
    <row r="55" spans="1:12" ht="21" x14ac:dyDescent="0.35">
      <c r="B55" s="26" t="s">
        <v>216</v>
      </c>
      <c r="C55" s="27">
        <v>360</v>
      </c>
      <c r="D55" s="28">
        <v>435</v>
      </c>
      <c r="E55" s="28">
        <v>370</v>
      </c>
      <c r="F55" s="28">
        <v>400</v>
      </c>
      <c r="G55" s="28">
        <v>440</v>
      </c>
      <c r="H55" s="28"/>
      <c r="I55" s="27"/>
      <c r="J55" s="29">
        <f>+C55+D55+E55+F55+G55+H55</f>
        <v>2005</v>
      </c>
    </row>
    <row r="57" spans="1:12" x14ac:dyDescent="0.25">
      <c r="C57" s="16">
        <f>+C53+C55</f>
        <v>2022</v>
      </c>
      <c r="D57" s="16">
        <f t="shared" ref="D57:H57" si="3">+D53+D55</f>
        <v>2108</v>
      </c>
      <c r="E57" s="16">
        <f t="shared" si="3"/>
        <v>2321</v>
      </c>
      <c r="F57" s="16">
        <f t="shared" si="3"/>
        <v>2075</v>
      </c>
      <c r="G57" s="16">
        <f t="shared" si="3"/>
        <v>2535</v>
      </c>
      <c r="H57" s="16">
        <f t="shared" si="3"/>
        <v>0</v>
      </c>
    </row>
  </sheetData>
  <pageMargins left="0.11811023622047245" right="0.7" top="0.38" bottom="0.3" header="0.31496062992125984" footer="0.31496062992125984"/>
  <pageSetup scale="95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7" workbookViewId="0">
      <selection activeCell="B33" sqref="B33"/>
    </sheetView>
  </sheetViews>
  <sheetFormatPr baseColWidth="10" defaultColWidth="11.42578125" defaultRowHeight="15" x14ac:dyDescent="0.25"/>
  <cols>
    <col min="1" max="1" width="3.42578125" customWidth="1"/>
    <col min="2" max="2" width="28" customWidth="1"/>
    <col min="3" max="3" width="8.7109375" customWidth="1"/>
    <col min="4" max="4" width="7.5703125" customWidth="1"/>
    <col min="5" max="5" width="8.28515625" customWidth="1"/>
    <col min="6" max="6" width="7.42578125" customWidth="1"/>
    <col min="7" max="7" width="8" customWidth="1"/>
    <col min="8" max="8" width="9.140625" customWidth="1"/>
    <col min="9" max="9" width="7.140625" customWidth="1"/>
    <col min="10" max="12" width="9.7109375" customWidth="1"/>
    <col min="13" max="13" width="11.42578125" customWidth="1"/>
  </cols>
  <sheetData>
    <row r="2" spans="1:13" x14ac:dyDescent="0.25">
      <c r="A2" s="31" t="s">
        <v>1</v>
      </c>
      <c r="B2" s="32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3" t="s">
        <v>8</v>
      </c>
      <c r="I2" s="33" t="s">
        <v>9</v>
      </c>
      <c r="J2" s="33" t="s">
        <v>10</v>
      </c>
      <c r="K2" s="34" t="s">
        <v>233</v>
      </c>
      <c r="L2" s="34" t="s">
        <v>9</v>
      </c>
      <c r="M2" s="35"/>
    </row>
    <row r="3" spans="1:13" ht="18.75" x14ac:dyDescent="0.3">
      <c r="A3" s="36">
        <v>1</v>
      </c>
      <c r="B3" s="37" t="s">
        <v>41</v>
      </c>
      <c r="C3" s="38"/>
      <c r="D3" s="38"/>
      <c r="E3" s="38"/>
      <c r="F3" s="38">
        <f>15+3+15+6+15+12</f>
        <v>66</v>
      </c>
      <c r="G3" s="38">
        <v>15</v>
      </c>
      <c r="H3" s="38"/>
      <c r="I3" s="39"/>
      <c r="J3" s="39"/>
      <c r="K3" s="40"/>
      <c r="L3" s="40"/>
      <c r="M3" s="35"/>
    </row>
    <row r="4" spans="1:13" ht="18.75" x14ac:dyDescent="0.3">
      <c r="A4" s="36">
        <f>+A3+1</f>
        <v>2</v>
      </c>
      <c r="B4" s="37" t="s">
        <v>84</v>
      </c>
      <c r="C4" s="39">
        <f>10+25+12+4+5</f>
        <v>56</v>
      </c>
      <c r="D4" s="39"/>
      <c r="E4" s="39">
        <f>15+12+12</f>
        <v>39</v>
      </c>
      <c r="F4" s="39">
        <v>20</v>
      </c>
      <c r="G4" s="39"/>
      <c r="H4" s="39"/>
      <c r="I4" s="39"/>
      <c r="J4" s="39">
        <f>SUM(C4:I4)</f>
        <v>115</v>
      </c>
      <c r="K4" s="40"/>
      <c r="L4" s="40">
        <f>+J4-K4</f>
        <v>115</v>
      </c>
      <c r="M4" s="35"/>
    </row>
    <row r="5" spans="1:13" ht="18.75" x14ac:dyDescent="0.3">
      <c r="A5" s="36">
        <f t="shared" ref="A5:A39" si="0">+A4+1</f>
        <v>3</v>
      </c>
      <c r="B5" s="37" t="s">
        <v>234</v>
      </c>
      <c r="C5" s="39"/>
      <c r="D5" s="39"/>
      <c r="E5" s="39">
        <v>45</v>
      </c>
      <c r="F5" s="39">
        <v>15</v>
      </c>
      <c r="G5" s="39">
        <v>10</v>
      </c>
      <c r="H5" s="39"/>
      <c r="I5" s="39"/>
      <c r="J5" s="39"/>
      <c r="K5" s="40"/>
      <c r="L5" s="40"/>
      <c r="M5" s="35"/>
    </row>
    <row r="6" spans="1:13" ht="18.75" x14ac:dyDescent="0.3">
      <c r="A6" s="36">
        <f t="shared" si="0"/>
        <v>4</v>
      </c>
      <c r="B6" s="37" t="s">
        <v>170</v>
      </c>
      <c r="C6" s="39"/>
      <c r="D6" s="39"/>
      <c r="E6" s="39"/>
      <c r="F6" s="39">
        <v>24</v>
      </c>
      <c r="G6" s="39"/>
      <c r="H6" s="39"/>
      <c r="I6" s="39">
        <v>11</v>
      </c>
      <c r="J6" s="39">
        <f>SUM(C6:I6)</f>
        <v>35</v>
      </c>
      <c r="K6" s="40"/>
      <c r="L6" s="40">
        <f>+J6-K6</f>
        <v>35</v>
      </c>
      <c r="M6" s="35"/>
    </row>
    <row r="7" spans="1:13" ht="18.75" x14ac:dyDescent="0.3">
      <c r="A7" s="36">
        <f t="shared" si="0"/>
        <v>5</v>
      </c>
      <c r="B7" s="37" t="s">
        <v>106</v>
      </c>
      <c r="C7" s="38">
        <f>30+15+40</f>
        <v>85</v>
      </c>
      <c r="D7" s="39"/>
      <c r="E7" s="39">
        <f>30+24+35+15</f>
        <v>104</v>
      </c>
      <c r="F7" s="39">
        <f>15+45+4+15</f>
        <v>79</v>
      </c>
      <c r="G7" s="39">
        <f>24+15+15+40</f>
        <v>94</v>
      </c>
      <c r="H7" s="39"/>
      <c r="I7" s="39"/>
      <c r="J7" s="39">
        <f t="shared" ref="J7:J39" si="1">SUM(C7:I7)</f>
        <v>362</v>
      </c>
      <c r="K7" s="40"/>
      <c r="L7" s="40">
        <f t="shared" ref="L7:L39" si="2">+J7-K7</f>
        <v>362</v>
      </c>
      <c r="M7" s="35"/>
    </row>
    <row r="8" spans="1:13" ht="18.75" x14ac:dyDescent="0.3">
      <c r="A8" s="36">
        <f t="shared" si="0"/>
        <v>6</v>
      </c>
      <c r="B8" s="37" t="s">
        <v>217</v>
      </c>
      <c r="C8" s="38"/>
      <c r="D8" s="38"/>
      <c r="E8" s="38">
        <f>15+36+35+5+35</f>
        <v>126</v>
      </c>
      <c r="F8" s="39">
        <f>5+40+20+47+35+40</f>
        <v>187</v>
      </c>
      <c r="G8" s="39">
        <f>15+35+40</f>
        <v>90</v>
      </c>
      <c r="H8" s="39"/>
      <c r="I8" s="39"/>
      <c r="J8" s="39">
        <f t="shared" si="1"/>
        <v>403</v>
      </c>
      <c r="K8" s="40"/>
      <c r="L8" s="40">
        <f t="shared" si="2"/>
        <v>403</v>
      </c>
      <c r="M8" s="35"/>
    </row>
    <row r="9" spans="1:13" ht="18.75" x14ac:dyDescent="0.3">
      <c r="A9" s="36">
        <f t="shared" si="0"/>
        <v>7</v>
      </c>
      <c r="B9" s="37" t="s">
        <v>235</v>
      </c>
      <c r="C9" s="39"/>
      <c r="D9" s="39"/>
      <c r="E9" s="39"/>
      <c r="F9" s="39"/>
      <c r="G9" s="39"/>
      <c r="H9" s="39"/>
      <c r="I9" s="39">
        <v>203</v>
      </c>
      <c r="J9" s="39">
        <f t="shared" si="1"/>
        <v>203</v>
      </c>
      <c r="K9" s="40"/>
      <c r="L9" s="40">
        <f t="shared" si="2"/>
        <v>203</v>
      </c>
      <c r="M9" s="35"/>
    </row>
    <row r="10" spans="1:13" ht="18.75" x14ac:dyDescent="0.3">
      <c r="A10" s="36">
        <f t="shared" si="0"/>
        <v>8</v>
      </c>
      <c r="B10" s="37" t="s">
        <v>236</v>
      </c>
      <c r="C10" s="39"/>
      <c r="D10" s="39"/>
      <c r="E10" s="39">
        <f>15+35</f>
        <v>50</v>
      </c>
      <c r="F10" s="39">
        <f>15+35</f>
        <v>50</v>
      </c>
      <c r="G10" s="39">
        <v>70</v>
      </c>
      <c r="H10" s="39"/>
      <c r="I10" s="39"/>
      <c r="J10" s="39">
        <f t="shared" ref="J10" si="3">SUM(C10:I10)</f>
        <v>170</v>
      </c>
      <c r="K10" s="40"/>
      <c r="L10" s="40">
        <f t="shared" ref="L10" si="4">+J10-K10</f>
        <v>170</v>
      </c>
      <c r="M10" s="35"/>
    </row>
    <row r="11" spans="1:13" ht="18.75" x14ac:dyDescent="0.3">
      <c r="A11" s="36">
        <f t="shared" si="0"/>
        <v>9</v>
      </c>
      <c r="B11" s="37" t="s">
        <v>42</v>
      </c>
      <c r="C11" s="38">
        <v>24</v>
      </c>
      <c r="D11" s="39"/>
      <c r="E11" s="39">
        <f>15+24</f>
        <v>39</v>
      </c>
      <c r="F11" s="39">
        <f>24+20</f>
        <v>44</v>
      </c>
      <c r="G11" s="39"/>
      <c r="H11" s="39"/>
      <c r="I11" s="39"/>
      <c r="J11" s="39">
        <f t="shared" si="1"/>
        <v>107</v>
      </c>
      <c r="K11" s="40"/>
      <c r="L11" s="40">
        <f t="shared" si="2"/>
        <v>107</v>
      </c>
      <c r="M11" s="35"/>
    </row>
    <row r="12" spans="1:13" ht="18.75" x14ac:dyDescent="0.3">
      <c r="A12" s="36">
        <f t="shared" si="0"/>
        <v>10</v>
      </c>
      <c r="B12" s="37" t="s">
        <v>94</v>
      </c>
      <c r="C12" s="39">
        <f>15+40</f>
        <v>55</v>
      </c>
      <c r="D12" s="39"/>
      <c r="E12" s="39"/>
      <c r="F12" s="39">
        <f>45+15</f>
        <v>60</v>
      </c>
      <c r="G12" s="39">
        <f>24+15+15</f>
        <v>54</v>
      </c>
      <c r="H12" s="39"/>
      <c r="I12" s="39"/>
      <c r="J12" s="39">
        <f t="shared" si="1"/>
        <v>169</v>
      </c>
      <c r="K12" s="40"/>
      <c r="L12" s="40">
        <f t="shared" si="2"/>
        <v>169</v>
      </c>
      <c r="M12" s="35"/>
    </row>
    <row r="13" spans="1:13" ht="18.75" x14ac:dyDescent="0.3">
      <c r="A13" s="36">
        <f t="shared" si="0"/>
        <v>11</v>
      </c>
      <c r="B13" s="37" t="s">
        <v>195</v>
      </c>
      <c r="C13" s="38">
        <v>24</v>
      </c>
      <c r="D13" s="39"/>
      <c r="E13" s="39">
        <f>12+24</f>
        <v>36</v>
      </c>
      <c r="F13" s="39">
        <v>12</v>
      </c>
      <c r="G13" s="39">
        <f>12+15</f>
        <v>27</v>
      </c>
      <c r="H13" s="39"/>
      <c r="I13" s="39"/>
      <c r="J13" s="39">
        <f t="shared" ref="J13:J14" si="5">SUM(C13:I13)</f>
        <v>99</v>
      </c>
      <c r="K13" s="40"/>
      <c r="L13" s="40">
        <f t="shared" ref="L13:L14" si="6">+J13-K13</f>
        <v>99</v>
      </c>
      <c r="M13" s="35"/>
    </row>
    <row r="14" spans="1:13" ht="18.75" x14ac:dyDescent="0.3">
      <c r="A14" s="36">
        <f t="shared" si="0"/>
        <v>12</v>
      </c>
      <c r="B14" s="37" t="s">
        <v>237</v>
      </c>
      <c r="C14" s="38">
        <f>15+35</f>
        <v>50</v>
      </c>
      <c r="D14" s="39"/>
      <c r="E14" s="39">
        <f>40+35</f>
        <v>75</v>
      </c>
      <c r="F14" s="39">
        <v>45</v>
      </c>
      <c r="G14" s="39">
        <f>15+15+10</f>
        <v>40</v>
      </c>
      <c r="H14" s="39"/>
      <c r="I14" s="39"/>
      <c r="J14" s="39">
        <f t="shared" si="5"/>
        <v>210</v>
      </c>
      <c r="K14" s="40"/>
      <c r="L14" s="40">
        <f t="shared" si="6"/>
        <v>210</v>
      </c>
      <c r="M14" s="35"/>
    </row>
    <row r="15" spans="1:13" ht="18.75" x14ac:dyDescent="0.3">
      <c r="A15" s="36">
        <f t="shared" si="0"/>
        <v>13</v>
      </c>
      <c r="B15" s="37" t="s">
        <v>171</v>
      </c>
      <c r="C15" s="39">
        <v>5</v>
      </c>
      <c r="D15" s="39"/>
      <c r="E15" s="39">
        <v>5</v>
      </c>
      <c r="F15" s="39">
        <v>12</v>
      </c>
      <c r="G15" s="39"/>
      <c r="H15" s="39"/>
      <c r="I15" s="39"/>
      <c r="J15" s="39">
        <f t="shared" si="1"/>
        <v>22</v>
      </c>
      <c r="K15" s="40"/>
      <c r="L15" s="40">
        <f t="shared" si="2"/>
        <v>22</v>
      </c>
      <c r="M15" s="35"/>
    </row>
    <row r="16" spans="1:13" ht="18.75" x14ac:dyDescent="0.3">
      <c r="A16" s="36">
        <f t="shared" si="0"/>
        <v>14</v>
      </c>
      <c r="B16" s="37" t="s">
        <v>196</v>
      </c>
      <c r="C16" s="39">
        <f>24+15</f>
        <v>39</v>
      </c>
      <c r="D16" s="39"/>
      <c r="E16" s="39"/>
      <c r="F16" s="39">
        <f>40+40+12</f>
        <v>92</v>
      </c>
      <c r="G16" s="39">
        <v>40</v>
      </c>
      <c r="H16" s="39"/>
      <c r="I16" s="39"/>
      <c r="J16" s="39">
        <f t="shared" si="1"/>
        <v>171</v>
      </c>
      <c r="K16" s="40"/>
      <c r="L16" s="40">
        <f t="shared" si="2"/>
        <v>171</v>
      </c>
      <c r="M16" s="35"/>
    </row>
    <row r="17" spans="1:13" ht="18.75" x14ac:dyDescent="0.3">
      <c r="A17" s="36">
        <f t="shared" si="0"/>
        <v>15</v>
      </c>
      <c r="B17" s="37" t="s">
        <v>219</v>
      </c>
      <c r="C17" s="39"/>
      <c r="D17" s="39"/>
      <c r="E17" s="39"/>
      <c r="F17" s="39">
        <f>15+12+27</f>
        <v>54</v>
      </c>
      <c r="G17" s="39"/>
      <c r="H17" s="39"/>
      <c r="I17" s="39"/>
      <c r="J17" s="39">
        <f t="shared" si="1"/>
        <v>54</v>
      </c>
      <c r="K17" s="40"/>
      <c r="L17" s="40">
        <f t="shared" si="2"/>
        <v>54</v>
      </c>
      <c r="M17" s="35"/>
    </row>
    <row r="18" spans="1:13" ht="18.75" x14ac:dyDescent="0.3">
      <c r="A18" s="36">
        <f t="shared" si="0"/>
        <v>16</v>
      </c>
      <c r="B18" s="37" t="s">
        <v>238</v>
      </c>
      <c r="C18" s="38">
        <f>45+15</f>
        <v>60</v>
      </c>
      <c r="D18" s="38"/>
      <c r="E18" s="38"/>
      <c r="F18" s="39">
        <v>40</v>
      </c>
      <c r="G18" s="39">
        <f>36+15+47+5+15</f>
        <v>118</v>
      </c>
      <c r="H18" s="39"/>
      <c r="I18" s="39"/>
      <c r="J18" s="39">
        <f t="shared" si="1"/>
        <v>218</v>
      </c>
      <c r="K18" s="40"/>
      <c r="L18" s="40">
        <f t="shared" si="2"/>
        <v>218</v>
      </c>
      <c r="M18" s="35"/>
    </row>
    <row r="19" spans="1:13" ht="18.75" x14ac:dyDescent="0.3">
      <c r="A19" s="36">
        <f t="shared" si="0"/>
        <v>17</v>
      </c>
      <c r="B19" s="37" t="s">
        <v>220</v>
      </c>
      <c r="C19" s="38">
        <f>36+15+15+47+12</f>
        <v>125</v>
      </c>
      <c r="D19" s="38"/>
      <c r="E19" s="38"/>
      <c r="F19" s="38"/>
      <c r="G19" s="38"/>
      <c r="H19" s="38"/>
      <c r="I19" s="39"/>
      <c r="J19" s="39">
        <f t="shared" si="1"/>
        <v>125</v>
      </c>
      <c r="K19" s="40"/>
      <c r="L19" s="40">
        <f t="shared" si="2"/>
        <v>125</v>
      </c>
      <c r="M19" s="35"/>
    </row>
    <row r="20" spans="1:13" ht="18.75" x14ac:dyDescent="0.3">
      <c r="A20" s="36">
        <f t="shared" si="0"/>
        <v>18</v>
      </c>
      <c r="B20" s="37" t="s">
        <v>226</v>
      </c>
      <c r="C20" s="38"/>
      <c r="D20" s="38"/>
      <c r="E20" s="38">
        <v>35</v>
      </c>
      <c r="F20" s="38"/>
      <c r="G20" s="38"/>
      <c r="H20" s="38"/>
      <c r="I20" s="39"/>
      <c r="J20" s="39">
        <f t="shared" si="1"/>
        <v>35</v>
      </c>
      <c r="K20" s="40"/>
      <c r="L20" s="40">
        <f t="shared" si="2"/>
        <v>35</v>
      </c>
      <c r="M20" s="35"/>
    </row>
    <row r="21" spans="1:13" ht="18.75" x14ac:dyDescent="0.3">
      <c r="A21" s="36">
        <f t="shared" si="0"/>
        <v>19</v>
      </c>
      <c r="B21" s="37" t="s">
        <v>221</v>
      </c>
      <c r="C21" s="39"/>
      <c r="D21" s="39"/>
      <c r="E21" s="39"/>
      <c r="F21" s="39"/>
      <c r="G21" s="39"/>
      <c r="H21" s="39"/>
      <c r="I21" s="39">
        <v>205</v>
      </c>
      <c r="J21" s="39">
        <v>205</v>
      </c>
      <c r="K21" s="40"/>
      <c r="L21" s="40">
        <f t="shared" si="2"/>
        <v>205</v>
      </c>
      <c r="M21" s="35"/>
    </row>
    <row r="22" spans="1:13" ht="18.75" x14ac:dyDescent="0.3">
      <c r="A22" s="36">
        <f t="shared" si="0"/>
        <v>20</v>
      </c>
      <c r="B22" s="37" t="s">
        <v>131</v>
      </c>
      <c r="C22" s="39">
        <f>48+30</f>
        <v>78</v>
      </c>
      <c r="D22" s="39"/>
      <c r="E22" s="39"/>
      <c r="F22" s="39"/>
      <c r="G22" s="39"/>
      <c r="H22" s="39"/>
      <c r="I22" s="39"/>
      <c r="J22" s="39">
        <f t="shared" ref="J22" si="7">SUM(C22:I22)</f>
        <v>78</v>
      </c>
      <c r="K22" s="40"/>
      <c r="L22" s="40">
        <f t="shared" ref="L22" si="8">+J22-K22</f>
        <v>78</v>
      </c>
      <c r="M22" s="35"/>
    </row>
    <row r="23" spans="1:13" ht="18.75" x14ac:dyDescent="0.3">
      <c r="A23" s="36">
        <f t="shared" si="0"/>
        <v>21</v>
      </c>
      <c r="B23" s="37" t="s">
        <v>48</v>
      </c>
      <c r="C23" s="38"/>
      <c r="D23" s="39"/>
      <c r="E23" s="39">
        <f>24+45</f>
        <v>69</v>
      </c>
      <c r="F23" s="39"/>
      <c r="G23" s="39"/>
      <c r="H23" s="39"/>
      <c r="I23" s="39"/>
      <c r="J23" s="39">
        <f t="shared" si="1"/>
        <v>69</v>
      </c>
      <c r="K23" s="40"/>
      <c r="L23" s="40">
        <f t="shared" si="2"/>
        <v>69</v>
      </c>
      <c r="M23" s="35"/>
    </row>
    <row r="24" spans="1:13" ht="18.75" x14ac:dyDescent="0.3">
      <c r="A24" s="36">
        <f t="shared" si="0"/>
        <v>22</v>
      </c>
      <c r="B24" s="37" t="s">
        <v>222</v>
      </c>
      <c r="C24" s="38"/>
      <c r="D24" s="39"/>
      <c r="E24" s="39">
        <f>35+15</f>
        <v>50</v>
      </c>
      <c r="F24" s="39"/>
      <c r="G24" s="39"/>
      <c r="H24" s="39"/>
      <c r="I24" s="39"/>
      <c r="J24" s="39">
        <f t="shared" ref="J24" si="9">SUM(C24:I24)</f>
        <v>50</v>
      </c>
      <c r="K24" s="40"/>
      <c r="L24" s="40">
        <f t="shared" ref="L24" si="10">+J24-K24</f>
        <v>50</v>
      </c>
      <c r="M24" s="35"/>
    </row>
    <row r="25" spans="1:13" ht="18.75" x14ac:dyDescent="0.3">
      <c r="A25" s="36">
        <f t="shared" si="0"/>
        <v>23</v>
      </c>
      <c r="B25" s="37" t="s">
        <v>208</v>
      </c>
      <c r="C25" s="39"/>
      <c r="D25" s="39"/>
      <c r="E25" s="39">
        <f>15+15+47+15+5</f>
        <v>97</v>
      </c>
      <c r="F25" s="39">
        <f>12+15+5+15+12+5+47</f>
        <v>111</v>
      </c>
      <c r="G25" s="39">
        <f>15+10+24+47</f>
        <v>96</v>
      </c>
      <c r="H25" s="39"/>
      <c r="I25" s="39"/>
      <c r="J25" s="39">
        <f t="shared" si="1"/>
        <v>304</v>
      </c>
      <c r="K25" s="40"/>
      <c r="L25" s="40">
        <f t="shared" si="2"/>
        <v>304</v>
      </c>
      <c r="M25" s="35"/>
    </row>
    <row r="26" spans="1:13" ht="18.75" x14ac:dyDescent="0.3">
      <c r="A26" s="36">
        <f t="shared" si="0"/>
        <v>24</v>
      </c>
      <c r="B26" s="37" t="s">
        <v>239</v>
      </c>
      <c r="C26" s="39"/>
      <c r="D26" s="39"/>
      <c r="E26" s="39"/>
      <c r="F26" s="39">
        <v>32</v>
      </c>
      <c r="G26" s="39"/>
      <c r="H26" s="39"/>
      <c r="I26" s="39"/>
      <c r="J26" s="39">
        <f t="shared" ref="J26" si="11">SUM(C26:I26)</f>
        <v>32</v>
      </c>
      <c r="K26" s="40"/>
      <c r="L26" s="40">
        <f t="shared" ref="L26" si="12">+J26-K26</f>
        <v>32</v>
      </c>
      <c r="M26" s="35"/>
    </row>
    <row r="27" spans="1:13" ht="18.75" x14ac:dyDescent="0.3">
      <c r="A27" s="36">
        <f t="shared" si="0"/>
        <v>25</v>
      </c>
      <c r="B27" s="37" t="s">
        <v>228</v>
      </c>
      <c r="C27" s="38"/>
      <c r="D27" s="38"/>
      <c r="E27" s="38"/>
      <c r="F27" s="38"/>
      <c r="G27" s="39"/>
      <c r="H27" s="39"/>
      <c r="I27" s="39"/>
      <c r="J27" s="39">
        <v>269</v>
      </c>
      <c r="K27" s="40"/>
      <c r="L27" s="40">
        <f t="shared" si="2"/>
        <v>269</v>
      </c>
      <c r="M27" s="35"/>
    </row>
    <row r="28" spans="1:13" ht="18.75" x14ac:dyDescent="0.3">
      <c r="A28" s="36">
        <f t="shared" si="0"/>
        <v>26</v>
      </c>
      <c r="B28" s="37" t="s">
        <v>230</v>
      </c>
      <c r="C28" s="39">
        <f>24+40+70</f>
        <v>134</v>
      </c>
      <c r="D28" s="39"/>
      <c r="E28" s="39">
        <v>70</v>
      </c>
      <c r="F28" s="39">
        <f>24+15+70+40</f>
        <v>149</v>
      </c>
      <c r="G28" s="39">
        <f>70+40+1</f>
        <v>111</v>
      </c>
      <c r="H28" s="39"/>
      <c r="I28" s="39"/>
      <c r="J28" s="39">
        <f t="shared" si="1"/>
        <v>464</v>
      </c>
      <c r="K28" s="40"/>
      <c r="L28" s="40">
        <f t="shared" si="2"/>
        <v>464</v>
      </c>
      <c r="M28" s="35"/>
    </row>
    <row r="29" spans="1:13" ht="18.75" x14ac:dyDescent="0.3">
      <c r="A29" s="36">
        <f t="shared" si="0"/>
        <v>27</v>
      </c>
      <c r="B29" s="37" t="s">
        <v>240</v>
      </c>
      <c r="C29" s="39"/>
      <c r="D29" s="39"/>
      <c r="E29" s="39">
        <f>15+40+12</f>
        <v>67</v>
      </c>
      <c r="F29" s="39">
        <f>12+40+12</f>
        <v>64</v>
      </c>
      <c r="G29" s="39">
        <f>40+12</f>
        <v>52</v>
      </c>
      <c r="H29" s="39"/>
      <c r="I29" s="39"/>
      <c r="J29" s="39">
        <f t="shared" ref="J29" si="13">SUM(C29:I29)</f>
        <v>183</v>
      </c>
      <c r="K29" s="40"/>
      <c r="L29" s="40">
        <f t="shared" ref="L29" si="14">+J29-K29</f>
        <v>183</v>
      </c>
      <c r="M29" s="35"/>
    </row>
    <row r="30" spans="1:13" ht="18.75" x14ac:dyDescent="0.3">
      <c r="A30" s="36">
        <f>+A29+1</f>
        <v>28</v>
      </c>
      <c r="B30" s="37" t="s">
        <v>152</v>
      </c>
      <c r="C30" s="39"/>
      <c r="D30" s="39"/>
      <c r="E30" s="39">
        <f>15+10+40+15+40+10+10+35</f>
        <v>175</v>
      </c>
      <c r="F30" s="39">
        <f>47+15+40+5+30</f>
        <v>137</v>
      </c>
      <c r="G30" s="39">
        <f>15+47+10</f>
        <v>72</v>
      </c>
      <c r="H30" s="39"/>
      <c r="I30" s="39"/>
      <c r="J30" s="39">
        <f t="shared" si="1"/>
        <v>384</v>
      </c>
      <c r="K30" s="40"/>
      <c r="L30" s="40">
        <f t="shared" si="2"/>
        <v>384</v>
      </c>
      <c r="M30" s="35"/>
    </row>
    <row r="31" spans="1:13" ht="18.75" x14ac:dyDescent="0.3">
      <c r="A31" s="36">
        <f t="shared" si="0"/>
        <v>29</v>
      </c>
      <c r="B31" s="37" t="s">
        <v>73</v>
      </c>
      <c r="C31" s="39"/>
      <c r="D31" s="39"/>
      <c r="E31" s="39"/>
      <c r="F31" s="39"/>
      <c r="G31" s="39">
        <v>47</v>
      </c>
      <c r="H31" s="39"/>
      <c r="I31" s="39"/>
      <c r="J31" s="39">
        <f t="shared" si="1"/>
        <v>47</v>
      </c>
      <c r="K31" s="40"/>
      <c r="L31" s="40">
        <f t="shared" si="2"/>
        <v>47</v>
      </c>
      <c r="M31" s="35"/>
    </row>
    <row r="32" spans="1:13" ht="18.75" x14ac:dyDescent="0.3">
      <c r="A32" s="36">
        <f t="shared" si="0"/>
        <v>30</v>
      </c>
      <c r="B32" s="37" t="s">
        <v>129</v>
      </c>
      <c r="C32" s="39">
        <f>10+15</f>
        <v>25</v>
      </c>
      <c r="D32" s="39"/>
      <c r="E32" s="39"/>
      <c r="F32" s="39">
        <f>40+15+15+10</f>
        <v>80</v>
      </c>
      <c r="G32" s="39">
        <v>15</v>
      </c>
      <c r="H32" s="39"/>
      <c r="I32" s="39"/>
      <c r="J32" s="39">
        <f t="shared" si="1"/>
        <v>120</v>
      </c>
      <c r="K32" s="40"/>
      <c r="L32" s="40">
        <f t="shared" si="2"/>
        <v>120</v>
      </c>
      <c r="M32" s="35"/>
    </row>
    <row r="33" spans="1:13" ht="18.75" x14ac:dyDescent="0.3">
      <c r="A33" s="36">
        <f t="shared" si="0"/>
        <v>31</v>
      </c>
      <c r="B33" s="37" t="s">
        <v>241</v>
      </c>
      <c r="C33" s="39">
        <v>15</v>
      </c>
      <c r="D33" s="39"/>
      <c r="E33" s="39"/>
      <c r="F33" s="39"/>
      <c r="G33" s="39"/>
      <c r="H33" s="39"/>
      <c r="I33" s="39"/>
      <c r="J33" s="39">
        <f t="shared" ref="J33" si="15">SUM(C33:I33)</f>
        <v>15</v>
      </c>
      <c r="K33" s="40"/>
      <c r="L33" s="40">
        <f t="shared" ref="L33" si="16">+J33-K33</f>
        <v>15</v>
      </c>
      <c r="M33" s="35"/>
    </row>
    <row r="34" spans="1:13" ht="18.75" x14ac:dyDescent="0.3">
      <c r="A34" s="36">
        <f t="shared" si="0"/>
        <v>32</v>
      </c>
      <c r="B34" s="37" t="s">
        <v>242</v>
      </c>
      <c r="C34" s="39"/>
      <c r="D34" s="39"/>
      <c r="E34" s="39">
        <f>47+12</f>
        <v>59</v>
      </c>
      <c r="F34" s="39">
        <f>15+12</f>
        <v>27</v>
      </c>
      <c r="G34" s="39">
        <v>15</v>
      </c>
      <c r="H34" s="39"/>
      <c r="I34" s="39"/>
      <c r="J34" s="39">
        <f t="shared" si="1"/>
        <v>101</v>
      </c>
      <c r="K34" s="40"/>
      <c r="L34" s="40">
        <f t="shared" si="2"/>
        <v>101</v>
      </c>
      <c r="M34" s="35"/>
    </row>
    <row r="35" spans="1:13" ht="18.75" x14ac:dyDescent="0.3">
      <c r="A35" s="36">
        <f t="shared" si="0"/>
        <v>33</v>
      </c>
      <c r="B35" s="37" t="s">
        <v>243</v>
      </c>
      <c r="C35" s="39">
        <f>39+10+15+12+4+35</f>
        <v>115</v>
      </c>
      <c r="D35" s="39"/>
      <c r="E35" s="39"/>
      <c r="F35" s="39"/>
      <c r="G35" s="39">
        <v>15</v>
      </c>
      <c r="H35" s="39"/>
      <c r="I35" s="39"/>
      <c r="J35" s="39">
        <f t="shared" si="1"/>
        <v>130</v>
      </c>
      <c r="K35" s="40"/>
      <c r="L35" s="40">
        <f t="shared" si="2"/>
        <v>130</v>
      </c>
      <c r="M35" s="35"/>
    </row>
    <row r="36" spans="1:13" ht="18.75" x14ac:dyDescent="0.3">
      <c r="A36" s="36">
        <f t="shared" si="0"/>
        <v>34</v>
      </c>
      <c r="B36" s="37" t="s">
        <v>86</v>
      </c>
      <c r="C36" s="39">
        <f>24+35+5</f>
        <v>64</v>
      </c>
      <c r="D36" s="39"/>
      <c r="E36" s="39">
        <f>15+5</f>
        <v>20</v>
      </c>
      <c r="F36" s="39">
        <f>5+5+5+35</f>
        <v>50</v>
      </c>
      <c r="G36" s="39">
        <f>5+15+5</f>
        <v>25</v>
      </c>
      <c r="H36" s="39"/>
      <c r="I36" s="39"/>
      <c r="J36" s="39">
        <f t="shared" si="1"/>
        <v>159</v>
      </c>
      <c r="K36" s="40"/>
      <c r="L36" s="40">
        <f t="shared" si="2"/>
        <v>159</v>
      </c>
      <c r="M36" s="35"/>
    </row>
    <row r="37" spans="1:13" ht="18.75" x14ac:dyDescent="0.3">
      <c r="A37" s="36">
        <f t="shared" si="0"/>
        <v>35</v>
      </c>
      <c r="B37" s="37" t="s">
        <v>47</v>
      </c>
      <c r="C37" s="39"/>
      <c r="D37" s="39"/>
      <c r="E37" s="39">
        <v>45</v>
      </c>
      <c r="F37" s="39"/>
      <c r="G37" s="39">
        <v>47</v>
      </c>
      <c r="H37" s="39"/>
      <c r="I37" s="39"/>
      <c r="J37" s="39">
        <f t="shared" si="1"/>
        <v>92</v>
      </c>
      <c r="K37" s="40"/>
      <c r="L37" s="40">
        <f t="shared" si="2"/>
        <v>92</v>
      </c>
      <c r="M37" s="35"/>
    </row>
    <row r="38" spans="1:13" ht="18.75" x14ac:dyDescent="0.3">
      <c r="A38" s="36">
        <f t="shared" si="0"/>
        <v>36</v>
      </c>
      <c r="B38" s="37" t="s">
        <v>215</v>
      </c>
      <c r="C38" s="39"/>
      <c r="D38" s="39"/>
      <c r="E38" s="39">
        <f>40+12</f>
        <v>52</v>
      </c>
      <c r="F38" s="39"/>
      <c r="G38" s="39">
        <v>50</v>
      </c>
      <c r="H38" s="39"/>
      <c r="I38" s="39"/>
      <c r="J38" s="39">
        <f t="shared" si="1"/>
        <v>102</v>
      </c>
      <c r="K38" s="40"/>
      <c r="L38" s="40">
        <f t="shared" si="2"/>
        <v>102</v>
      </c>
      <c r="M38" s="35"/>
    </row>
    <row r="39" spans="1:13" ht="18.75" x14ac:dyDescent="0.3">
      <c r="A39" s="36">
        <f t="shared" si="0"/>
        <v>37</v>
      </c>
      <c r="B39" s="37" t="s">
        <v>57</v>
      </c>
      <c r="C39" s="39">
        <v>40</v>
      </c>
      <c r="D39" s="39"/>
      <c r="E39" s="39">
        <v>40</v>
      </c>
      <c r="F39" s="39">
        <v>47</v>
      </c>
      <c r="G39" s="39">
        <f>40+30</f>
        <v>70</v>
      </c>
      <c r="H39" s="39"/>
      <c r="I39" s="39"/>
      <c r="J39" s="39">
        <f t="shared" si="1"/>
        <v>197</v>
      </c>
      <c r="K39" s="40"/>
      <c r="L39" s="40">
        <f t="shared" si="2"/>
        <v>197</v>
      </c>
      <c r="M39" s="35"/>
    </row>
    <row r="40" spans="1:13" ht="18.75" x14ac:dyDescent="0.3">
      <c r="A40" s="15"/>
      <c r="B40" s="17"/>
      <c r="C40" s="30">
        <f t="shared" ref="C40:L40" si="17">SUM(C3:C39)</f>
        <v>994</v>
      </c>
      <c r="D40" s="30">
        <f t="shared" si="17"/>
        <v>0</v>
      </c>
      <c r="E40" s="30">
        <f t="shared" si="17"/>
        <v>1298</v>
      </c>
      <c r="F40" s="30">
        <f t="shared" si="17"/>
        <v>1497</v>
      </c>
      <c r="G40" s="30">
        <f t="shared" si="17"/>
        <v>1173</v>
      </c>
      <c r="H40" s="30">
        <f t="shared" si="17"/>
        <v>0</v>
      </c>
      <c r="I40" s="30">
        <f t="shared" si="17"/>
        <v>419</v>
      </c>
      <c r="J40" s="30">
        <f t="shared" si="17"/>
        <v>5499</v>
      </c>
      <c r="K40" s="30">
        <f t="shared" si="17"/>
        <v>0</v>
      </c>
      <c r="L40" s="30">
        <f t="shared" si="17"/>
        <v>5499</v>
      </c>
      <c r="M40" s="19"/>
    </row>
    <row r="42" spans="1:13" ht="21" x14ac:dyDescent="0.35">
      <c r="B42" s="26" t="s">
        <v>216</v>
      </c>
      <c r="C42" s="27">
        <f>50+70</f>
        <v>120</v>
      </c>
      <c r="D42" s="28"/>
      <c r="E42" s="28"/>
      <c r="F42" s="28">
        <v>110</v>
      </c>
      <c r="G42" s="28">
        <v>214</v>
      </c>
      <c r="H42" s="28"/>
      <c r="I42" s="27"/>
      <c r="J42" s="29">
        <f>+C42+D42+E42+F42+G42+H42</f>
        <v>444</v>
      </c>
      <c r="K42" s="29"/>
      <c r="L42" s="29">
        <f>+L40+J42</f>
        <v>5943</v>
      </c>
    </row>
    <row r="43" spans="1:13" x14ac:dyDescent="0.25">
      <c r="K43" s="16"/>
    </row>
  </sheetData>
  <pageMargins left="0.11" right="0.56999999999999995" top="0.75" bottom="0.75" header="0.3" footer="0.3"/>
  <pageSetup orientation="landscape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topLeftCell="A19" workbookViewId="0">
      <selection activeCell="P31" sqref="P31"/>
    </sheetView>
  </sheetViews>
  <sheetFormatPr baseColWidth="10" defaultColWidth="11.42578125" defaultRowHeight="15" x14ac:dyDescent="0.25"/>
  <cols>
    <col min="1" max="1" width="4.28515625" customWidth="1"/>
    <col min="2" max="2" width="25.42578125" customWidth="1"/>
    <col min="3" max="12" width="9.7109375" customWidth="1"/>
    <col min="13" max="13" width="11.42578125" customWidth="1"/>
    <col min="14" max="14" width="9.5703125" hidden="1" customWidth="1"/>
  </cols>
  <sheetData>
    <row r="2" spans="1:14" x14ac:dyDescent="0.25">
      <c r="A2" s="14" t="s">
        <v>1</v>
      </c>
      <c r="B2" s="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21" t="s">
        <v>8</v>
      </c>
      <c r="I2" s="21" t="s">
        <v>9</v>
      </c>
      <c r="J2" s="21" t="s">
        <v>10</v>
      </c>
      <c r="K2" s="24" t="s">
        <v>233</v>
      </c>
      <c r="L2" s="24" t="s">
        <v>9</v>
      </c>
      <c r="M2" s="19"/>
      <c r="N2" s="20"/>
    </row>
    <row r="3" spans="1:14" ht="18.75" x14ac:dyDescent="0.3">
      <c r="A3" s="15">
        <v>1</v>
      </c>
      <c r="B3" s="17" t="s">
        <v>244</v>
      </c>
      <c r="C3" s="23"/>
      <c r="D3" s="23"/>
      <c r="E3" s="23"/>
      <c r="F3" s="23"/>
      <c r="G3" s="23"/>
      <c r="H3" s="23"/>
      <c r="I3" s="18">
        <v>39</v>
      </c>
      <c r="J3" s="18">
        <f>SUM(C3:I3)</f>
        <v>39</v>
      </c>
      <c r="K3" s="25"/>
      <c r="L3" s="25">
        <f>+J3-K3</f>
        <v>39</v>
      </c>
      <c r="M3" s="19"/>
      <c r="N3" s="20"/>
    </row>
    <row r="4" spans="1:14" ht="18.75" x14ac:dyDescent="0.3">
      <c r="A4" s="15">
        <f>+A3+1</f>
        <v>2</v>
      </c>
      <c r="B4" s="17" t="s">
        <v>84</v>
      </c>
      <c r="C4" s="18">
        <v>45</v>
      </c>
      <c r="D4" s="18">
        <f>15+12+5</f>
        <v>32</v>
      </c>
      <c r="E4" s="18">
        <v>15</v>
      </c>
      <c r="F4" s="18">
        <f>15+12+5+12+5</f>
        <v>49</v>
      </c>
      <c r="G4" s="18">
        <f>15+20</f>
        <v>35</v>
      </c>
      <c r="H4" s="18"/>
      <c r="I4" s="18">
        <v>86</v>
      </c>
      <c r="J4" s="18">
        <f>SUM(C4:I4)</f>
        <v>262</v>
      </c>
      <c r="K4" s="25"/>
      <c r="L4" s="25">
        <f>+J4-K4</f>
        <v>262</v>
      </c>
      <c r="M4" s="19"/>
      <c r="N4" s="20"/>
    </row>
    <row r="5" spans="1:14" ht="18.75" x14ac:dyDescent="0.3">
      <c r="A5" s="15">
        <f t="shared" ref="A5:A7" si="0">+A4+1</f>
        <v>3</v>
      </c>
      <c r="B5" s="17" t="s">
        <v>170</v>
      </c>
      <c r="C5" s="18"/>
      <c r="D5" s="18">
        <f>24+15</f>
        <v>39</v>
      </c>
      <c r="E5" s="18">
        <v>24</v>
      </c>
      <c r="F5" s="18">
        <v>24</v>
      </c>
      <c r="G5" s="18">
        <v>24</v>
      </c>
      <c r="H5" s="18"/>
      <c r="I5" s="18"/>
      <c r="J5" s="18">
        <f>SUM(C5:I5)</f>
        <v>111</v>
      </c>
      <c r="K5" s="25"/>
      <c r="L5" s="25">
        <f>+J5-K5</f>
        <v>111</v>
      </c>
      <c r="M5" s="19"/>
      <c r="N5" s="20"/>
    </row>
    <row r="6" spans="1:14" ht="18.75" x14ac:dyDescent="0.3">
      <c r="A6" s="15">
        <f t="shared" si="0"/>
        <v>4</v>
      </c>
      <c r="B6" s="17" t="s">
        <v>106</v>
      </c>
      <c r="C6" s="23">
        <f>24+15+45+12+15</f>
        <v>111</v>
      </c>
      <c r="D6" s="18">
        <v>15</v>
      </c>
      <c r="E6" s="18">
        <f>15+12</f>
        <v>27</v>
      </c>
      <c r="F6" s="18">
        <f>15+5+35</f>
        <v>55</v>
      </c>
      <c r="G6" s="18">
        <f>24+15+47</f>
        <v>86</v>
      </c>
      <c r="H6" s="18"/>
      <c r="I6" s="18"/>
      <c r="J6" s="18">
        <f t="shared" ref="J6:J38" si="1">SUM(C6:I6)</f>
        <v>294</v>
      </c>
      <c r="K6" s="25"/>
      <c r="L6" s="25">
        <f t="shared" ref="L6:L38" si="2">+J6-K6</f>
        <v>294</v>
      </c>
      <c r="M6" s="19"/>
      <c r="N6" s="20"/>
    </row>
    <row r="7" spans="1:14" ht="18.75" x14ac:dyDescent="0.3">
      <c r="A7" s="15">
        <f t="shared" si="0"/>
        <v>5</v>
      </c>
      <c r="B7" s="17" t="s">
        <v>217</v>
      </c>
      <c r="C7" s="23">
        <f>5+20+47</f>
        <v>72</v>
      </c>
      <c r="D7" s="23">
        <f>15+24+40+47</f>
        <v>126</v>
      </c>
      <c r="E7" s="23">
        <f>15+36+10+35+40+35</f>
        <v>171</v>
      </c>
      <c r="F7" s="18">
        <f>36+35+40</f>
        <v>111</v>
      </c>
      <c r="G7" s="18">
        <f>36+5+20+35+40+35+10</f>
        <v>181</v>
      </c>
      <c r="H7" s="18"/>
      <c r="I7" s="18"/>
      <c r="J7" s="18">
        <f t="shared" si="1"/>
        <v>661</v>
      </c>
      <c r="K7" s="25"/>
      <c r="L7" s="25">
        <f t="shared" si="2"/>
        <v>661</v>
      </c>
      <c r="M7" s="19"/>
      <c r="N7" s="20"/>
    </row>
    <row r="8" spans="1:14" ht="18.75" x14ac:dyDescent="0.3">
      <c r="A8" s="15">
        <f t="shared" ref="A8:A20" si="3">+A7+1</f>
        <v>6</v>
      </c>
      <c r="B8" s="17" t="s">
        <v>235</v>
      </c>
      <c r="C8" s="18"/>
      <c r="D8" s="18"/>
      <c r="E8" s="18"/>
      <c r="F8" s="18"/>
      <c r="G8" s="18"/>
      <c r="H8" s="18"/>
      <c r="I8" s="18">
        <f>20+40+15+25+17+86</f>
        <v>203</v>
      </c>
      <c r="J8" s="18">
        <f t="shared" si="1"/>
        <v>203</v>
      </c>
      <c r="K8" s="25"/>
      <c r="L8" s="25">
        <f t="shared" si="2"/>
        <v>203</v>
      </c>
      <c r="M8" s="19"/>
      <c r="N8" s="20"/>
    </row>
    <row r="9" spans="1:14" ht="18.75" x14ac:dyDescent="0.3">
      <c r="A9" s="15">
        <f t="shared" si="3"/>
        <v>7</v>
      </c>
      <c r="B9" s="17" t="s">
        <v>70</v>
      </c>
      <c r="C9" s="18">
        <f>40+22+5+47+5</f>
        <v>119</v>
      </c>
      <c r="D9" s="18">
        <f>24+15+47+15</f>
        <v>101</v>
      </c>
      <c r="E9" s="18">
        <f>47+10</f>
        <v>57</v>
      </c>
      <c r="F9" s="18">
        <f>24+5+15+5</f>
        <v>49</v>
      </c>
      <c r="G9" s="18"/>
      <c r="H9" s="18"/>
      <c r="I9" s="18">
        <v>41</v>
      </c>
      <c r="J9" s="18">
        <f t="shared" si="1"/>
        <v>367</v>
      </c>
      <c r="K9" s="25"/>
      <c r="L9" s="25">
        <f t="shared" si="2"/>
        <v>367</v>
      </c>
      <c r="M9" s="19"/>
      <c r="N9" s="20"/>
    </row>
    <row r="10" spans="1:14" ht="18.75" x14ac:dyDescent="0.3">
      <c r="A10" s="15">
        <f t="shared" si="3"/>
        <v>8</v>
      </c>
      <c r="B10" s="17" t="s">
        <v>245</v>
      </c>
      <c r="C10" s="18"/>
      <c r="D10" s="18"/>
      <c r="E10" s="18"/>
      <c r="F10" s="18"/>
      <c r="G10" s="18">
        <f>3*15</f>
        <v>45</v>
      </c>
      <c r="H10" s="18"/>
      <c r="I10" s="18"/>
      <c r="J10" s="18">
        <f t="shared" si="1"/>
        <v>45</v>
      </c>
      <c r="K10" s="25"/>
      <c r="L10" s="25">
        <f t="shared" si="2"/>
        <v>45</v>
      </c>
      <c r="M10" s="19"/>
      <c r="N10" s="20"/>
    </row>
    <row r="11" spans="1:14" ht="18.75" x14ac:dyDescent="0.3">
      <c r="A11" s="15">
        <f t="shared" si="3"/>
        <v>9</v>
      </c>
      <c r="B11" s="17" t="s">
        <v>42</v>
      </c>
      <c r="C11" s="23"/>
      <c r="D11" s="18"/>
      <c r="E11" s="18"/>
      <c r="F11" s="18"/>
      <c r="G11" s="18">
        <v>20</v>
      </c>
      <c r="H11" s="18"/>
      <c r="I11" s="18"/>
      <c r="J11" s="18">
        <f t="shared" si="1"/>
        <v>20</v>
      </c>
      <c r="K11" s="25"/>
      <c r="L11" s="25">
        <f t="shared" si="2"/>
        <v>20</v>
      </c>
      <c r="M11" s="19"/>
      <c r="N11" s="20"/>
    </row>
    <row r="12" spans="1:14" ht="18.75" x14ac:dyDescent="0.3">
      <c r="A12" s="15">
        <f t="shared" si="3"/>
        <v>10</v>
      </c>
      <c r="B12" s="17" t="s">
        <v>94</v>
      </c>
      <c r="C12" s="18">
        <f>36+15+47+12</f>
        <v>110</v>
      </c>
      <c r="D12" s="18">
        <v>15</v>
      </c>
      <c r="E12" s="18"/>
      <c r="F12" s="18">
        <f>15+40+5</f>
        <v>60</v>
      </c>
      <c r="G12" s="18">
        <f>24+15+45</f>
        <v>84</v>
      </c>
      <c r="H12" s="18"/>
      <c r="I12" s="18"/>
      <c r="J12" s="18">
        <f t="shared" si="1"/>
        <v>269</v>
      </c>
      <c r="K12" s="25"/>
      <c r="L12" s="25">
        <f t="shared" si="2"/>
        <v>269</v>
      </c>
      <c r="M12" s="19"/>
      <c r="N12" s="20"/>
    </row>
    <row r="13" spans="1:14" ht="18.75" x14ac:dyDescent="0.3">
      <c r="A13" s="15">
        <f t="shared" si="3"/>
        <v>11</v>
      </c>
      <c r="B13" s="17" t="s">
        <v>246</v>
      </c>
      <c r="C13" s="23"/>
      <c r="D13" s="18"/>
      <c r="E13" s="18"/>
      <c r="F13" s="18"/>
      <c r="G13" s="18"/>
      <c r="H13" s="18"/>
      <c r="I13" s="18"/>
      <c r="J13" s="18">
        <f t="shared" si="1"/>
        <v>0</v>
      </c>
      <c r="K13" s="25"/>
      <c r="L13" s="25">
        <f t="shared" si="2"/>
        <v>0</v>
      </c>
      <c r="M13" s="19"/>
      <c r="N13" s="20"/>
    </row>
    <row r="14" spans="1:14" ht="18.75" x14ac:dyDescent="0.3">
      <c r="A14" s="15">
        <f t="shared" si="3"/>
        <v>12</v>
      </c>
      <c r="B14" s="17" t="s">
        <v>171</v>
      </c>
      <c r="C14" s="18">
        <v>15</v>
      </c>
      <c r="D14" s="18"/>
      <c r="E14" s="18"/>
      <c r="F14" s="18"/>
      <c r="G14" s="18"/>
      <c r="H14" s="18"/>
      <c r="I14" s="18"/>
      <c r="J14" s="18">
        <f t="shared" si="1"/>
        <v>15</v>
      </c>
      <c r="K14" s="25"/>
      <c r="L14" s="25">
        <f t="shared" si="2"/>
        <v>15</v>
      </c>
      <c r="M14" s="19"/>
      <c r="N14" s="20"/>
    </row>
    <row r="15" spans="1:14" ht="18.75" x14ac:dyDescent="0.3">
      <c r="A15" s="15">
        <f t="shared" si="3"/>
        <v>13</v>
      </c>
      <c r="B15" s="17" t="s">
        <v>196</v>
      </c>
      <c r="C15" s="18"/>
      <c r="D15" s="18">
        <v>45</v>
      </c>
      <c r="E15" s="18">
        <v>40</v>
      </c>
      <c r="F15" s="18">
        <v>40</v>
      </c>
      <c r="G15" s="18"/>
      <c r="H15" s="18"/>
      <c r="I15" s="18">
        <v>84</v>
      </c>
      <c r="J15" s="18">
        <f t="shared" si="1"/>
        <v>209</v>
      </c>
      <c r="K15" s="25"/>
      <c r="L15" s="25">
        <f t="shared" si="2"/>
        <v>209</v>
      </c>
      <c r="M15" s="19"/>
      <c r="N15" s="20"/>
    </row>
    <row r="16" spans="1:14" ht="18.75" x14ac:dyDescent="0.3">
      <c r="A16" s="15">
        <f t="shared" si="3"/>
        <v>14</v>
      </c>
      <c r="B16" s="17" t="s">
        <v>219</v>
      </c>
      <c r="C16" s="18"/>
      <c r="D16" s="18"/>
      <c r="E16" s="18"/>
      <c r="F16" s="18"/>
      <c r="G16" s="18"/>
      <c r="H16" s="18"/>
      <c r="I16" s="18"/>
      <c r="J16" s="18">
        <f t="shared" si="1"/>
        <v>0</v>
      </c>
      <c r="K16" s="25"/>
      <c r="L16" s="25">
        <f t="shared" si="2"/>
        <v>0</v>
      </c>
      <c r="M16" s="19"/>
      <c r="N16" s="20"/>
    </row>
    <row r="17" spans="1:14" ht="18.75" x14ac:dyDescent="0.3">
      <c r="A17" s="15">
        <f t="shared" si="3"/>
        <v>15</v>
      </c>
      <c r="B17" s="17" t="s">
        <v>238</v>
      </c>
      <c r="C17" s="23">
        <f>15+8+47</f>
        <v>70</v>
      </c>
      <c r="D17" s="23">
        <v>47</v>
      </c>
      <c r="E17" s="23">
        <f>48+15+47</f>
        <v>110</v>
      </c>
      <c r="F17" s="18"/>
      <c r="G17" s="18">
        <f>48+15+40+47+15</f>
        <v>165</v>
      </c>
      <c r="H17" s="18"/>
      <c r="I17" s="18"/>
      <c r="J17" s="18">
        <f t="shared" si="1"/>
        <v>392</v>
      </c>
      <c r="K17" s="25"/>
      <c r="L17" s="25">
        <f t="shared" si="2"/>
        <v>392</v>
      </c>
      <c r="M17" s="19"/>
      <c r="N17" s="20"/>
    </row>
    <row r="18" spans="1:14" ht="18.75" x14ac:dyDescent="0.3">
      <c r="A18" s="15">
        <f t="shared" si="3"/>
        <v>16</v>
      </c>
      <c r="B18" s="17" t="s">
        <v>247</v>
      </c>
      <c r="C18" s="18"/>
      <c r="D18" s="18"/>
      <c r="E18" s="18"/>
      <c r="F18" s="18"/>
      <c r="G18" s="18"/>
      <c r="H18" s="18"/>
      <c r="I18" s="18"/>
      <c r="J18" s="18">
        <f t="shared" si="1"/>
        <v>0</v>
      </c>
      <c r="K18" s="25"/>
      <c r="L18" s="25">
        <f t="shared" si="2"/>
        <v>0</v>
      </c>
      <c r="M18" s="19"/>
      <c r="N18" s="20"/>
    </row>
    <row r="19" spans="1:14" ht="18.75" x14ac:dyDescent="0.3">
      <c r="A19" s="15">
        <f t="shared" si="3"/>
        <v>17</v>
      </c>
      <c r="B19" s="17" t="s">
        <v>248</v>
      </c>
      <c r="C19" s="23"/>
      <c r="D19" s="18"/>
      <c r="E19" s="18"/>
      <c r="F19" s="18"/>
      <c r="G19" s="18">
        <f>40+3</f>
        <v>43</v>
      </c>
      <c r="H19" s="18"/>
      <c r="I19" s="18"/>
      <c r="J19" s="18">
        <f t="shared" si="1"/>
        <v>43</v>
      </c>
      <c r="K19" s="25"/>
      <c r="L19" s="25">
        <f t="shared" si="2"/>
        <v>43</v>
      </c>
      <c r="M19" s="19"/>
      <c r="N19" s="20"/>
    </row>
    <row r="20" spans="1:14" ht="18.75" x14ac:dyDescent="0.3">
      <c r="A20" s="15">
        <f t="shared" si="3"/>
        <v>18</v>
      </c>
      <c r="B20" s="17" t="s">
        <v>220</v>
      </c>
      <c r="C20" s="23"/>
      <c r="D20" s="23"/>
      <c r="E20" s="23"/>
      <c r="F20" s="23">
        <f>15+15+15</f>
        <v>45</v>
      </c>
      <c r="G20" s="23">
        <f>24+15+47</f>
        <v>86</v>
      </c>
      <c r="H20" s="23"/>
      <c r="I20" s="18"/>
      <c r="J20" s="18">
        <f t="shared" si="1"/>
        <v>131</v>
      </c>
      <c r="K20" s="25">
        <v>100</v>
      </c>
      <c r="L20" s="25">
        <f t="shared" si="2"/>
        <v>31</v>
      </c>
      <c r="M20" s="19"/>
      <c r="N20" s="20"/>
    </row>
    <row r="21" spans="1:14" ht="18.75" x14ac:dyDescent="0.3">
      <c r="A21" s="15">
        <f t="shared" ref="A21:A41" si="4">+A20+1</f>
        <v>19</v>
      </c>
      <c r="B21" s="17" t="s">
        <v>226</v>
      </c>
      <c r="C21" s="23"/>
      <c r="D21" s="23">
        <v>47</v>
      </c>
      <c r="E21" s="23">
        <v>45</v>
      </c>
      <c r="F21" s="23"/>
      <c r="G21" s="23"/>
      <c r="H21" s="23"/>
      <c r="I21" s="18"/>
      <c r="J21" s="18">
        <f t="shared" si="1"/>
        <v>92</v>
      </c>
      <c r="K21" s="25"/>
      <c r="L21" s="25">
        <f t="shared" si="2"/>
        <v>92</v>
      </c>
      <c r="M21" s="19"/>
      <c r="N21" s="20"/>
    </row>
    <row r="22" spans="1:14" ht="18.75" x14ac:dyDescent="0.3">
      <c r="A22" s="15">
        <f t="shared" si="4"/>
        <v>20</v>
      </c>
      <c r="B22" s="17" t="s">
        <v>221</v>
      </c>
      <c r="C22" s="18"/>
      <c r="D22" s="18"/>
      <c r="E22" s="18">
        <f>15+5</f>
        <v>20</v>
      </c>
      <c r="F22" s="18">
        <f>11+15+12</f>
        <v>38</v>
      </c>
      <c r="G22" s="18"/>
      <c r="H22" s="18"/>
      <c r="I22" s="18">
        <f>29+30+45+29+14</f>
        <v>147</v>
      </c>
      <c r="J22" s="18">
        <f t="shared" si="1"/>
        <v>205</v>
      </c>
      <c r="K22" s="25"/>
      <c r="L22" s="25">
        <f t="shared" si="2"/>
        <v>205</v>
      </c>
      <c r="M22" s="19"/>
      <c r="N22" s="20"/>
    </row>
    <row r="23" spans="1:14" ht="18.75" x14ac:dyDescent="0.3">
      <c r="A23" s="15">
        <f t="shared" si="4"/>
        <v>21</v>
      </c>
      <c r="B23" s="17" t="s">
        <v>48</v>
      </c>
      <c r="C23" s="23">
        <f>15+24+15</f>
        <v>54</v>
      </c>
      <c r="D23" s="18"/>
      <c r="E23" s="18">
        <f>15+30</f>
        <v>45</v>
      </c>
      <c r="F23" s="18">
        <f>45+40</f>
        <v>85</v>
      </c>
      <c r="G23" s="18">
        <v>45</v>
      </c>
      <c r="H23" s="18"/>
      <c r="I23" s="18"/>
      <c r="J23" s="18">
        <f t="shared" si="1"/>
        <v>229</v>
      </c>
      <c r="K23" s="25"/>
      <c r="L23" s="25">
        <f t="shared" si="2"/>
        <v>229</v>
      </c>
      <c r="M23" s="19"/>
      <c r="N23" s="20"/>
    </row>
    <row r="24" spans="1:14" ht="18.75" x14ac:dyDescent="0.3">
      <c r="A24" s="15">
        <f t="shared" si="4"/>
        <v>22</v>
      </c>
      <c r="B24" s="17" t="s">
        <v>208</v>
      </c>
      <c r="C24" s="18">
        <f>15+24+20+12+47</f>
        <v>118</v>
      </c>
      <c r="D24" s="18">
        <f>15+24+47</f>
        <v>86</v>
      </c>
      <c r="E24" s="18">
        <f>15+24+10+15+47</f>
        <v>111</v>
      </c>
      <c r="F24" s="18">
        <f>24+15+15+40+45</f>
        <v>139</v>
      </c>
      <c r="G24" s="18">
        <f>15+5+45</f>
        <v>65</v>
      </c>
      <c r="H24" s="18"/>
      <c r="I24" s="18"/>
      <c r="J24" s="18">
        <f t="shared" si="1"/>
        <v>519</v>
      </c>
      <c r="K24" s="25"/>
      <c r="L24" s="25">
        <f t="shared" si="2"/>
        <v>519</v>
      </c>
      <c r="M24" s="19"/>
      <c r="N24" s="20"/>
    </row>
    <row r="25" spans="1:14" ht="18.75" x14ac:dyDescent="0.3">
      <c r="A25" s="15">
        <f t="shared" si="4"/>
        <v>23</v>
      </c>
      <c r="B25" s="17" t="s">
        <v>228</v>
      </c>
      <c r="C25" s="23">
        <f>24+15+47</f>
        <v>86</v>
      </c>
      <c r="D25" s="23">
        <f>36+15+12+40+45+35</f>
        <v>183</v>
      </c>
      <c r="E25" s="23"/>
      <c r="F25" s="23"/>
      <c r="G25" s="18"/>
      <c r="H25" s="18"/>
      <c r="I25" s="18"/>
      <c r="J25" s="18">
        <f t="shared" si="1"/>
        <v>269</v>
      </c>
      <c r="K25" s="25"/>
      <c r="L25" s="25">
        <f t="shared" si="2"/>
        <v>269</v>
      </c>
      <c r="M25" s="19"/>
      <c r="N25" s="20"/>
    </row>
    <row r="26" spans="1:14" ht="18.75" x14ac:dyDescent="0.3">
      <c r="A26" s="15">
        <f t="shared" si="4"/>
        <v>24</v>
      </c>
      <c r="B26" s="17" t="s">
        <v>230</v>
      </c>
      <c r="C26" s="18">
        <f>15+70</f>
        <v>85</v>
      </c>
      <c r="D26" s="18">
        <v>70</v>
      </c>
      <c r="E26" s="18">
        <f>36+70+40</f>
        <v>146</v>
      </c>
      <c r="F26" s="18">
        <f>36+70+40</f>
        <v>146</v>
      </c>
      <c r="G26" s="18">
        <f>36+45+35</f>
        <v>116</v>
      </c>
      <c r="H26" s="18"/>
      <c r="I26" s="18"/>
      <c r="J26" s="18">
        <f t="shared" si="1"/>
        <v>563</v>
      </c>
      <c r="K26" s="25"/>
      <c r="L26" s="25">
        <f t="shared" si="2"/>
        <v>563</v>
      </c>
      <c r="M26" s="19"/>
      <c r="N26" s="20"/>
    </row>
    <row r="27" spans="1:14" ht="18.75" x14ac:dyDescent="0.3">
      <c r="A27" s="15">
        <f t="shared" si="4"/>
        <v>25</v>
      </c>
      <c r="B27" s="17" t="s">
        <v>152</v>
      </c>
      <c r="C27" s="18"/>
      <c r="D27" s="18">
        <f>24+15+12+40+47+5+40</f>
        <v>183</v>
      </c>
      <c r="E27" s="18">
        <f>24+15+10+47+35+10+50</f>
        <v>191</v>
      </c>
      <c r="F27" s="18">
        <f>12+10+47+15+10</f>
        <v>94</v>
      </c>
      <c r="G27" s="18">
        <f>12+15+40+5+47+10</f>
        <v>129</v>
      </c>
      <c r="H27" s="18"/>
      <c r="I27" s="18">
        <v>56</v>
      </c>
      <c r="J27" s="18">
        <f t="shared" si="1"/>
        <v>653</v>
      </c>
      <c r="K27" s="25"/>
      <c r="L27" s="25">
        <f t="shared" si="2"/>
        <v>653</v>
      </c>
      <c r="M27" s="19"/>
      <c r="N27" s="20"/>
    </row>
    <row r="28" spans="1:14" ht="18.75" x14ac:dyDescent="0.3">
      <c r="A28" s="15">
        <f t="shared" si="4"/>
        <v>26</v>
      </c>
      <c r="B28" s="17" t="s">
        <v>73</v>
      </c>
      <c r="C28" s="18">
        <f>15+15</f>
        <v>30</v>
      </c>
      <c r="D28" s="18">
        <f>15+15</f>
        <v>30</v>
      </c>
      <c r="E28" s="18">
        <v>47</v>
      </c>
      <c r="F28" s="18">
        <f>15+35+15+15</f>
        <v>80</v>
      </c>
      <c r="G28" s="18">
        <f>24+47+15</f>
        <v>86</v>
      </c>
      <c r="H28" s="18"/>
      <c r="I28" s="18"/>
      <c r="J28" s="18">
        <f t="shared" si="1"/>
        <v>273</v>
      </c>
      <c r="K28" s="25"/>
      <c r="L28" s="25">
        <f t="shared" si="2"/>
        <v>273</v>
      </c>
      <c r="M28" s="19"/>
      <c r="N28" s="20"/>
    </row>
    <row r="29" spans="1:14" ht="18.75" x14ac:dyDescent="0.3">
      <c r="A29" s="15">
        <f t="shared" si="4"/>
        <v>27</v>
      </c>
      <c r="B29" s="17" t="s">
        <v>129</v>
      </c>
      <c r="C29" s="18">
        <f>15+12+47+40</f>
        <v>114</v>
      </c>
      <c r="D29" s="18">
        <f>24+15</f>
        <v>39</v>
      </c>
      <c r="E29" s="18">
        <f>15+24</f>
        <v>39</v>
      </c>
      <c r="F29" s="18">
        <v>47</v>
      </c>
      <c r="G29" s="18">
        <f>10+12+47</f>
        <v>69</v>
      </c>
      <c r="H29" s="18"/>
      <c r="I29" s="18"/>
      <c r="J29" s="18">
        <f t="shared" si="1"/>
        <v>308</v>
      </c>
      <c r="K29" s="25"/>
      <c r="L29" s="25">
        <f t="shared" si="2"/>
        <v>308</v>
      </c>
      <c r="M29" s="19"/>
      <c r="N29" s="20"/>
    </row>
    <row r="30" spans="1:14" ht="18.75" x14ac:dyDescent="0.3">
      <c r="A30" s="15">
        <f t="shared" si="4"/>
        <v>28</v>
      </c>
      <c r="B30" s="17" t="s">
        <v>242</v>
      </c>
      <c r="C30" s="18"/>
      <c r="D30" s="18">
        <v>47</v>
      </c>
      <c r="E30" s="18">
        <f>15+12</f>
        <v>27</v>
      </c>
      <c r="F30" s="18">
        <f>12+15</f>
        <v>27</v>
      </c>
      <c r="G30" s="18">
        <v>47</v>
      </c>
      <c r="H30" s="18"/>
      <c r="I30" s="18"/>
      <c r="J30" s="18">
        <f t="shared" si="1"/>
        <v>148</v>
      </c>
      <c r="K30" s="25"/>
      <c r="L30" s="25">
        <f t="shared" si="2"/>
        <v>148</v>
      </c>
      <c r="M30" s="19"/>
      <c r="N30" s="20"/>
    </row>
    <row r="31" spans="1:14" ht="18.75" x14ac:dyDescent="0.3">
      <c r="A31" s="15">
        <f t="shared" si="4"/>
        <v>29</v>
      </c>
      <c r="B31" s="17" t="s">
        <v>249</v>
      </c>
      <c r="C31" s="23"/>
      <c r="D31" s="23"/>
      <c r="E31" s="23"/>
      <c r="F31" s="23"/>
      <c r="G31" s="23"/>
      <c r="H31" s="23"/>
      <c r="I31" s="18">
        <v>12</v>
      </c>
      <c r="J31" s="18">
        <f t="shared" si="1"/>
        <v>12</v>
      </c>
      <c r="K31" s="25"/>
      <c r="L31" s="25">
        <f t="shared" si="2"/>
        <v>12</v>
      </c>
      <c r="M31" s="19"/>
      <c r="N31" s="20"/>
    </row>
    <row r="32" spans="1:14" ht="18.75" x14ac:dyDescent="0.3">
      <c r="A32" s="15">
        <f t="shared" si="4"/>
        <v>30</v>
      </c>
      <c r="B32" s="17" t="s">
        <v>250</v>
      </c>
      <c r="C32" s="23"/>
      <c r="D32" s="23"/>
      <c r="E32" s="23"/>
      <c r="F32" s="23"/>
      <c r="G32" s="23"/>
      <c r="H32" s="23"/>
      <c r="I32" s="18"/>
      <c r="J32" s="18">
        <f t="shared" si="1"/>
        <v>0</v>
      </c>
      <c r="K32" s="25"/>
      <c r="L32" s="25">
        <f t="shared" si="2"/>
        <v>0</v>
      </c>
      <c r="M32" s="19"/>
      <c r="N32" s="20"/>
    </row>
    <row r="33" spans="1:14" ht="18.75" x14ac:dyDescent="0.3">
      <c r="A33" s="15">
        <f t="shared" si="4"/>
        <v>31</v>
      </c>
      <c r="B33" s="17" t="s">
        <v>243</v>
      </c>
      <c r="C33" s="18"/>
      <c r="D33" s="18">
        <f>24+15+47</f>
        <v>86</v>
      </c>
      <c r="E33" s="18">
        <f>15+18+47</f>
        <v>80</v>
      </c>
      <c r="F33" s="18">
        <v>47</v>
      </c>
      <c r="G33" s="18">
        <v>47</v>
      </c>
      <c r="H33" s="18"/>
      <c r="I33" s="18"/>
      <c r="J33" s="18">
        <f t="shared" si="1"/>
        <v>260</v>
      </c>
      <c r="K33" s="25"/>
      <c r="L33" s="25">
        <f t="shared" si="2"/>
        <v>260</v>
      </c>
      <c r="M33" s="19"/>
      <c r="N33" s="20"/>
    </row>
    <row r="34" spans="1:14" ht="18.75" x14ac:dyDescent="0.3">
      <c r="A34" s="15">
        <f t="shared" si="4"/>
        <v>32</v>
      </c>
      <c r="B34" s="17" t="s">
        <v>86</v>
      </c>
      <c r="C34" s="18">
        <f>48+15+5+3</f>
        <v>71</v>
      </c>
      <c r="D34" s="18"/>
      <c r="E34" s="18">
        <f>24+5</f>
        <v>29</v>
      </c>
      <c r="F34" s="18">
        <f>15+15+15+15+5+15</f>
        <v>80</v>
      </c>
      <c r="G34" s="18">
        <f>4+15</f>
        <v>19</v>
      </c>
      <c r="H34" s="18"/>
      <c r="I34" s="18"/>
      <c r="J34" s="18">
        <f t="shared" si="1"/>
        <v>199</v>
      </c>
      <c r="K34" s="25"/>
      <c r="L34" s="25">
        <f t="shared" si="2"/>
        <v>199</v>
      </c>
      <c r="M34" s="19"/>
      <c r="N34" s="20"/>
    </row>
    <row r="35" spans="1:14" ht="18.75" x14ac:dyDescent="0.3">
      <c r="A35" s="15">
        <f t="shared" si="4"/>
        <v>33</v>
      </c>
      <c r="B35" s="17" t="s">
        <v>47</v>
      </c>
      <c r="C35" s="18">
        <v>45</v>
      </c>
      <c r="D35" s="18"/>
      <c r="E35" s="18"/>
      <c r="F35" s="18"/>
      <c r="G35" s="18"/>
      <c r="H35" s="18"/>
      <c r="I35" s="18">
        <v>95</v>
      </c>
      <c r="J35" s="18">
        <f t="shared" si="1"/>
        <v>140</v>
      </c>
      <c r="K35" s="25"/>
      <c r="L35" s="25">
        <f t="shared" si="2"/>
        <v>140</v>
      </c>
      <c r="M35" s="19"/>
      <c r="N35" s="20"/>
    </row>
    <row r="36" spans="1:14" ht="18.75" x14ac:dyDescent="0.3">
      <c r="A36" s="15">
        <f t="shared" si="4"/>
        <v>34</v>
      </c>
      <c r="B36" s="17" t="s">
        <v>215</v>
      </c>
      <c r="C36" s="18"/>
      <c r="D36" s="18">
        <v>45</v>
      </c>
      <c r="E36" s="18"/>
      <c r="F36" s="18"/>
      <c r="G36" s="18"/>
      <c r="H36" s="18"/>
      <c r="I36" s="18"/>
      <c r="J36" s="18">
        <f t="shared" si="1"/>
        <v>45</v>
      </c>
      <c r="K36" s="25"/>
      <c r="L36" s="25">
        <f t="shared" si="2"/>
        <v>45</v>
      </c>
      <c r="M36" s="19"/>
      <c r="N36" s="20"/>
    </row>
    <row r="37" spans="1:14" ht="18.75" x14ac:dyDescent="0.3">
      <c r="A37" s="15">
        <f t="shared" si="4"/>
        <v>35</v>
      </c>
      <c r="B37" s="17" t="s">
        <v>151</v>
      </c>
      <c r="C37" s="18"/>
      <c r="D37" s="18"/>
      <c r="E37" s="18"/>
      <c r="F37" s="18"/>
      <c r="G37" s="18"/>
      <c r="H37" s="18"/>
      <c r="I37" s="18"/>
      <c r="J37" s="18">
        <f t="shared" si="1"/>
        <v>0</v>
      </c>
      <c r="K37" s="25"/>
      <c r="L37" s="25">
        <f t="shared" si="2"/>
        <v>0</v>
      </c>
      <c r="M37" s="19"/>
      <c r="N37" s="20"/>
    </row>
    <row r="38" spans="1:14" ht="18.75" x14ac:dyDescent="0.3">
      <c r="A38" s="15">
        <f t="shared" si="4"/>
        <v>36</v>
      </c>
      <c r="B38" s="17" t="s">
        <v>57</v>
      </c>
      <c r="C38" s="18">
        <f>15+40+47</f>
        <v>102</v>
      </c>
      <c r="D38" s="18">
        <f>24+15+45</f>
        <v>84</v>
      </c>
      <c r="E38" s="18">
        <f>18+15+40+47</f>
        <v>120</v>
      </c>
      <c r="F38" s="18">
        <v>47</v>
      </c>
      <c r="G38" s="18">
        <v>45</v>
      </c>
      <c r="H38" s="18"/>
      <c r="I38" s="18">
        <v>15</v>
      </c>
      <c r="J38" s="18">
        <f t="shared" si="1"/>
        <v>413</v>
      </c>
      <c r="K38" s="25"/>
      <c r="L38" s="25">
        <f t="shared" si="2"/>
        <v>413</v>
      </c>
      <c r="M38" s="19"/>
      <c r="N38" s="20"/>
    </row>
    <row r="39" spans="1:14" ht="18.75" x14ac:dyDescent="0.3">
      <c r="A39" s="15">
        <f t="shared" si="4"/>
        <v>37</v>
      </c>
      <c r="B39" s="17" t="s">
        <v>251</v>
      </c>
      <c r="C39" s="18"/>
      <c r="D39" s="18">
        <v>45</v>
      </c>
      <c r="E39" s="18"/>
      <c r="F39" s="18"/>
      <c r="G39" s="18"/>
      <c r="H39" s="18"/>
      <c r="I39" s="18"/>
      <c r="J39" s="18">
        <f t="shared" ref="J39:J41" si="5">SUM(C39:I39)</f>
        <v>45</v>
      </c>
      <c r="K39" s="25"/>
      <c r="L39" s="25">
        <f t="shared" ref="L39:L41" si="6">+J39-K39</f>
        <v>45</v>
      </c>
      <c r="M39" s="19"/>
      <c r="N39" s="20"/>
    </row>
    <row r="40" spans="1:14" ht="18.75" x14ac:dyDescent="0.3">
      <c r="A40" s="15">
        <f t="shared" si="4"/>
        <v>38</v>
      </c>
      <c r="B40" s="17" t="s">
        <v>252</v>
      </c>
      <c r="C40" s="18"/>
      <c r="D40" s="18">
        <v>45</v>
      </c>
      <c r="E40" s="18"/>
      <c r="F40" s="18"/>
      <c r="G40" s="18"/>
      <c r="H40" s="18"/>
      <c r="I40" s="18"/>
      <c r="J40" s="18">
        <f t="shared" si="5"/>
        <v>45</v>
      </c>
      <c r="K40" s="25"/>
      <c r="L40" s="25">
        <f t="shared" si="6"/>
        <v>45</v>
      </c>
      <c r="M40" s="19"/>
      <c r="N40" s="20"/>
    </row>
    <row r="41" spans="1:14" ht="18.75" x14ac:dyDescent="0.3">
      <c r="A41" s="15">
        <f t="shared" si="4"/>
        <v>39</v>
      </c>
      <c r="B41" s="17" t="s">
        <v>253</v>
      </c>
      <c r="C41" s="18"/>
      <c r="D41" s="18">
        <v>45</v>
      </c>
      <c r="E41" s="18"/>
      <c r="F41" s="18"/>
      <c r="G41" s="18"/>
      <c r="H41" s="18"/>
      <c r="I41" s="18"/>
      <c r="J41" s="18">
        <f t="shared" si="5"/>
        <v>45</v>
      </c>
      <c r="K41" s="25"/>
      <c r="L41" s="25">
        <f t="shared" si="6"/>
        <v>45</v>
      </c>
      <c r="M41" s="19"/>
      <c r="N41" s="20"/>
    </row>
    <row r="42" spans="1:14" ht="18.75" x14ac:dyDescent="0.3">
      <c r="A42" s="15"/>
      <c r="B42" s="17"/>
      <c r="C42" s="30">
        <f t="shared" ref="C42:H42" si="7">SUM(C3:C38)</f>
        <v>1247</v>
      </c>
      <c r="D42" s="30">
        <f t="shared" si="7"/>
        <v>1320</v>
      </c>
      <c r="E42" s="30">
        <f t="shared" si="7"/>
        <v>1344</v>
      </c>
      <c r="F42" s="30">
        <f t="shared" si="7"/>
        <v>1263</v>
      </c>
      <c r="G42" s="30">
        <f t="shared" si="7"/>
        <v>1437</v>
      </c>
      <c r="H42" s="30">
        <f t="shared" si="7"/>
        <v>0</v>
      </c>
      <c r="I42" s="30">
        <f>SUM(I3:I41)</f>
        <v>778</v>
      </c>
      <c r="J42" s="30">
        <f>SUM(J3:J41)</f>
        <v>7524</v>
      </c>
      <c r="K42" s="30">
        <f>SUM(K3:K41)</f>
        <v>100</v>
      </c>
      <c r="L42" s="30">
        <f>SUM(L3:L41)</f>
        <v>7424</v>
      </c>
      <c r="M42" s="19"/>
      <c r="N42" s="20"/>
    </row>
    <row r="44" spans="1:14" ht="21" x14ac:dyDescent="0.35">
      <c r="B44" s="26" t="s">
        <v>216</v>
      </c>
      <c r="C44" s="27">
        <v>508</v>
      </c>
      <c r="D44" s="28">
        <v>512</v>
      </c>
      <c r="E44" s="28">
        <v>770</v>
      </c>
      <c r="F44" s="28">
        <v>165</v>
      </c>
      <c r="G44" s="28">
        <f>400+103.7+70</f>
        <v>573.70000000000005</v>
      </c>
      <c r="H44" s="28"/>
      <c r="I44" s="27"/>
      <c r="J44" s="29">
        <f>+C44+D44+E44+F44+G44+H44</f>
        <v>2528.6999999999998</v>
      </c>
      <c r="K44" s="29"/>
      <c r="L44" s="29">
        <f>+L42+J44</f>
        <v>9952.7000000000007</v>
      </c>
    </row>
    <row r="45" spans="1:14" x14ac:dyDescent="0.25">
      <c r="K45" s="16"/>
    </row>
  </sheetData>
  <sortState ref="A3:L37">
    <sortCondition ref="B3:B37"/>
  </sortState>
  <pageMargins left="0.11" right="0.56999999999999995" top="0.75" bottom="0.75" header="0.3" footer="0.3"/>
  <pageSetup orientation="landscape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topLeftCell="A13" workbookViewId="0">
      <selection activeCell="H17" sqref="H17"/>
    </sheetView>
  </sheetViews>
  <sheetFormatPr baseColWidth="10" defaultColWidth="11.42578125" defaultRowHeight="15" x14ac:dyDescent="0.25"/>
  <cols>
    <col min="1" max="1" width="4.28515625" customWidth="1"/>
    <col min="2" max="2" width="25.5703125" customWidth="1"/>
    <col min="3" max="12" width="9.7109375" customWidth="1"/>
    <col min="14" max="14" width="9.5703125" customWidth="1"/>
  </cols>
  <sheetData>
    <row r="2" spans="1:14" x14ac:dyDescent="0.25">
      <c r="A2" s="14" t="s">
        <v>1</v>
      </c>
      <c r="B2" s="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21" t="s">
        <v>8</v>
      </c>
      <c r="I2" s="21" t="s">
        <v>9</v>
      </c>
      <c r="J2" s="21" t="s">
        <v>10</v>
      </c>
      <c r="K2" s="24" t="s">
        <v>233</v>
      </c>
      <c r="L2" s="24" t="s">
        <v>9</v>
      </c>
      <c r="M2" s="19"/>
      <c r="N2" s="20"/>
    </row>
    <row r="3" spans="1:14" ht="18.75" x14ac:dyDescent="0.3">
      <c r="A3" s="15">
        <v>1</v>
      </c>
      <c r="B3" s="17" t="s">
        <v>152</v>
      </c>
      <c r="C3" s="18">
        <f>15+2+15+5+4+35+7+60</f>
        <v>143</v>
      </c>
      <c r="D3" s="18">
        <f>40+15+15+35+40+5</f>
        <v>150</v>
      </c>
      <c r="E3" s="18">
        <f>15+5+47+5+15</f>
        <v>87</v>
      </c>
      <c r="F3" s="18">
        <f>40+30+40+10</f>
        <v>120</v>
      </c>
      <c r="G3" s="18">
        <f>36+15+15+35+10</f>
        <v>111</v>
      </c>
      <c r="H3" s="18">
        <v>45</v>
      </c>
      <c r="I3" s="18"/>
      <c r="J3" s="18">
        <f>SUM(C3:I3)</f>
        <v>656</v>
      </c>
      <c r="K3" s="25">
        <v>600</v>
      </c>
      <c r="L3" s="25">
        <f>+J3-K3</f>
        <v>56</v>
      </c>
      <c r="M3" s="19"/>
      <c r="N3" s="20"/>
    </row>
    <row r="4" spans="1:14" ht="18.75" x14ac:dyDescent="0.3">
      <c r="A4" s="15">
        <f>+A3+1</f>
        <v>2</v>
      </c>
      <c r="B4" s="17" t="s">
        <v>57</v>
      </c>
      <c r="C4" s="18">
        <f>24+15+2+47</f>
        <v>88</v>
      </c>
      <c r="D4" s="18">
        <f>24+15+20+35+15</f>
        <v>109</v>
      </c>
      <c r="E4" s="18">
        <f>15+24+30+35+15</f>
        <v>119</v>
      </c>
      <c r="F4" s="18">
        <f>15+24</f>
        <v>39</v>
      </c>
      <c r="G4" s="18">
        <f>35+40</f>
        <v>75</v>
      </c>
      <c r="H4" s="18">
        <f>15+12</f>
        <v>27</v>
      </c>
      <c r="I4" s="18"/>
      <c r="J4" s="18">
        <f t="shared" ref="J4:J36" si="0">SUM(C4:I4)</f>
        <v>457</v>
      </c>
      <c r="K4" s="25">
        <v>442</v>
      </c>
      <c r="L4" s="25">
        <f t="shared" ref="L4:L36" si="1">+J4-K4</f>
        <v>15</v>
      </c>
      <c r="M4" s="19"/>
      <c r="N4" s="20"/>
    </row>
    <row r="5" spans="1:14" ht="18.75" x14ac:dyDescent="0.3">
      <c r="A5" s="15">
        <f t="shared" ref="A5:A36" si="2">+A4+1</f>
        <v>3</v>
      </c>
      <c r="B5" s="17" t="s">
        <v>208</v>
      </c>
      <c r="C5" s="18">
        <f>24+15+45+15</f>
        <v>99</v>
      </c>
      <c r="D5" s="18">
        <f>15+45+5+15+20+15</f>
        <v>115</v>
      </c>
      <c r="E5" s="18">
        <v>20</v>
      </c>
      <c r="F5" s="18">
        <f>15+5+15+5+15+5</f>
        <v>60</v>
      </c>
      <c r="G5" s="18">
        <f>15+20+10</f>
        <v>45</v>
      </c>
      <c r="H5" s="18"/>
      <c r="I5" s="18"/>
      <c r="J5" s="18">
        <f t="shared" si="0"/>
        <v>339</v>
      </c>
      <c r="K5" s="25">
        <v>339</v>
      </c>
      <c r="L5" s="25">
        <f t="shared" si="1"/>
        <v>0</v>
      </c>
      <c r="M5" s="19"/>
      <c r="N5" s="20"/>
    </row>
    <row r="6" spans="1:14" ht="18.75" x14ac:dyDescent="0.3">
      <c r="A6" s="15">
        <f t="shared" si="2"/>
        <v>4</v>
      </c>
      <c r="B6" s="17" t="s">
        <v>84</v>
      </c>
      <c r="C6" s="18">
        <f>24+15+41+45</f>
        <v>125</v>
      </c>
      <c r="D6" s="18">
        <f>24+15+45+15</f>
        <v>99</v>
      </c>
      <c r="E6" s="18">
        <f>15+5+15+15+10+12</f>
        <v>72</v>
      </c>
      <c r="F6" s="18"/>
      <c r="G6" s="18"/>
      <c r="H6" s="18"/>
      <c r="I6" s="18"/>
      <c r="J6" s="18">
        <f t="shared" si="0"/>
        <v>296</v>
      </c>
      <c r="K6" s="25">
        <v>210</v>
      </c>
      <c r="L6" s="25">
        <f t="shared" si="1"/>
        <v>86</v>
      </c>
      <c r="M6" s="19"/>
      <c r="N6" s="20"/>
    </row>
    <row r="7" spans="1:14" ht="18.75" x14ac:dyDescent="0.3">
      <c r="A7" s="15">
        <f t="shared" si="2"/>
        <v>5</v>
      </c>
      <c r="B7" s="17" t="s">
        <v>242</v>
      </c>
      <c r="C7" s="18">
        <f>12</f>
        <v>12</v>
      </c>
      <c r="D7" s="18">
        <f>12+15</f>
        <v>27</v>
      </c>
      <c r="E7" s="18">
        <v>12</v>
      </c>
      <c r="F7" s="18"/>
      <c r="G7" s="18"/>
      <c r="H7" s="18"/>
      <c r="I7" s="18"/>
      <c r="J7" s="18">
        <f t="shared" si="0"/>
        <v>51</v>
      </c>
      <c r="K7" s="25">
        <v>51</v>
      </c>
      <c r="L7" s="25">
        <f t="shared" si="1"/>
        <v>0</v>
      </c>
      <c r="M7" s="19"/>
      <c r="N7" s="20"/>
    </row>
    <row r="8" spans="1:14" ht="18.75" x14ac:dyDescent="0.3">
      <c r="A8" s="15">
        <f t="shared" si="2"/>
        <v>6</v>
      </c>
      <c r="B8" s="17" t="s">
        <v>171</v>
      </c>
      <c r="C8" s="18">
        <f>25+10</f>
        <v>35</v>
      </c>
      <c r="D8" s="18"/>
      <c r="E8" s="18"/>
      <c r="F8" s="18"/>
      <c r="G8" s="18"/>
      <c r="H8" s="18"/>
      <c r="I8" s="18">
        <v>15</v>
      </c>
      <c r="J8" s="18">
        <f t="shared" si="0"/>
        <v>50</v>
      </c>
      <c r="K8" s="25">
        <v>50</v>
      </c>
      <c r="L8" s="25">
        <f t="shared" si="1"/>
        <v>0</v>
      </c>
      <c r="M8" s="19"/>
      <c r="N8" s="20"/>
    </row>
    <row r="9" spans="1:14" ht="18.75" x14ac:dyDescent="0.3">
      <c r="A9" s="15">
        <f t="shared" si="2"/>
        <v>7</v>
      </c>
      <c r="B9" s="17" t="s">
        <v>243</v>
      </c>
      <c r="C9" s="18">
        <f>35+40</f>
        <v>75</v>
      </c>
      <c r="D9" s="18">
        <v>35</v>
      </c>
      <c r="E9" s="18">
        <v>35</v>
      </c>
      <c r="F9" s="18">
        <f>40+35</f>
        <v>75</v>
      </c>
      <c r="G9" s="18">
        <v>35</v>
      </c>
      <c r="H9" s="18">
        <v>30</v>
      </c>
      <c r="I9" s="18"/>
      <c r="J9" s="18">
        <f t="shared" si="0"/>
        <v>285</v>
      </c>
      <c r="K9" s="25">
        <v>285</v>
      </c>
      <c r="L9" s="25">
        <v>-15</v>
      </c>
      <c r="M9" s="19"/>
      <c r="N9" s="20"/>
    </row>
    <row r="10" spans="1:14" ht="18.75" x14ac:dyDescent="0.3">
      <c r="A10" s="15">
        <f t="shared" si="2"/>
        <v>8</v>
      </c>
      <c r="B10" s="17" t="s">
        <v>47</v>
      </c>
      <c r="C10" s="18">
        <v>35</v>
      </c>
      <c r="D10" s="18">
        <v>15</v>
      </c>
      <c r="E10" s="18">
        <v>45</v>
      </c>
      <c r="F10" s="18"/>
      <c r="G10" s="18"/>
      <c r="H10" s="18"/>
      <c r="I10" s="18"/>
      <c r="J10" s="18">
        <f t="shared" si="0"/>
        <v>95</v>
      </c>
      <c r="K10" s="25"/>
      <c r="L10" s="25">
        <f t="shared" si="1"/>
        <v>95</v>
      </c>
      <c r="M10" s="19"/>
      <c r="N10" s="20"/>
    </row>
    <row r="11" spans="1:14" ht="18.75" x14ac:dyDescent="0.3">
      <c r="A11" s="15">
        <f t="shared" si="2"/>
        <v>9</v>
      </c>
      <c r="B11" s="17" t="s">
        <v>235</v>
      </c>
      <c r="C11" s="18">
        <v>20</v>
      </c>
      <c r="D11" s="18">
        <v>40</v>
      </c>
      <c r="E11" s="18">
        <v>15</v>
      </c>
      <c r="F11" s="18">
        <v>25</v>
      </c>
      <c r="G11" s="18">
        <f>10+5+2</f>
        <v>17</v>
      </c>
      <c r="H11" s="18"/>
      <c r="I11" s="18">
        <v>86</v>
      </c>
      <c r="J11" s="18">
        <f t="shared" si="0"/>
        <v>203</v>
      </c>
      <c r="K11" s="25"/>
      <c r="L11" s="25">
        <f t="shared" si="1"/>
        <v>203</v>
      </c>
      <c r="M11" s="19"/>
      <c r="N11" s="20"/>
    </row>
    <row r="12" spans="1:14" ht="18.75" x14ac:dyDescent="0.3">
      <c r="A12" s="15">
        <f t="shared" si="2"/>
        <v>10</v>
      </c>
      <c r="B12" s="17" t="s">
        <v>254</v>
      </c>
      <c r="C12" s="18">
        <f>36+70</f>
        <v>106</v>
      </c>
      <c r="D12" s="18">
        <f>36+15</f>
        <v>51</v>
      </c>
      <c r="E12" s="18">
        <v>70</v>
      </c>
      <c r="F12" s="18">
        <v>70</v>
      </c>
      <c r="G12" s="18">
        <v>70</v>
      </c>
      <c r="H12" s="18"/>
      <c r="I12" s="18"/>
      <c r="J12" s="18">
        <f t="shared" si="0"/>
        <v>367</v>
      </c>
      <c r="K12" s="25">
        <v>367</v>
      </c>
      <c r="L12" s="25">
        <f t="shared" si="1"/>
        <v>0</v>
      </c>
      <c r="M12" s="19"/>
      <c r="N12" s="20"/>
    </row>
    <row r="13" spans="1:14" ht="18.75" x14ac:dyDescent="0.3">
      <c r="A13" s="15">
        <f t="shared" si="2"/>
        <v>11</v>
      </c>
      <c r="B13" s="17" t="s">
        <v>255</v>
      </c>
      <c r="C13" s="18">
        <f>60+40+30+12+10</f>
        <v>152</v>
      </c>
      <c r="D13" s="18"/>
      <c r="E13" s="18">
        <f>40+15</f>
        <v>55</v>
      </c>
      <c r="F13" s="18">
        <f>40+2</f>
        <v>42</v>
      </c>
      <c r="G13" s="18">
        <v>35</v>
      </c>
      <c r="H13" s="18"/>
      <c r="I13" s="18"/>
      <c r="J13" s="18">
        <f t="shared" si="0"/>
        <v>284</v>
      </c>
      <c r="K13" s="25"/>
      <c r="L13" s="25">
        <f t="shared" si="1"/>
        <v>284</v>
      </c>
      <c r="M13" s="19"/>
      <c r="N13" s="20"/>
    </row>
    <row r="14" spans="1:14" ht="18.75" x14ac:dyDescent="0.3">
      <c r="A14" s="15">
        <f t="shared" si="2"/>
        <v>12</v>
      </c>
      <c r="B14" s="17" t="s">
        <v>129</v>
      </c>
      <c r="C14" s="18">
        <f>24+15+40+35</f>
        <v>114</v>
      </c>
      <c r="D14" s="18">
        <f>20+35</f>
        <v>55</v>
      </c>
      <c r="E14" s="18">
        <f>15+35+30</f>
        <v>80</v>
      </c>
      <c r="F14" s="18">
        <v>70</v>
      </c>
      <c r="G14" s="18">
        <f>15+10+35</f>
        <v>60</v>
      </c>
      <c r="H14" s="18">
        <v>15</v>
      </c>
      <c r="I14" s="18"/>
      <c r="J14" s="18">
        <f t="shared" si="0"/>
        <v>394</v>
      </c>
      <c r="K14" s="25">
        <v>394</v>
      </c>
      <c r="L14" s="25">
        <f t="shared" si="1"/>
        <v>0</v>
      </c>
      <c r="M14" s="19"/>
      <c r="N14" s="20"/>
    </row>
    <row r="15" spans="1:14" ht="18.75" x14ac:dyDescent="0.3">
      <c r="A15" s="15">
        <f t="shared" si="2"/>
        <v>13</v>
      </c>
      <c r="B15" s="17" t="s">
        <v>70</v>
      </c>
      <c r="C15" s="18">
        <f>24+15+10+35</f>
        <v>84</v>
      </c>
      <c r="D15" s="18">
        <v>125</v>
      </c>
      <c r="E15" s="18">
        <v>115</v>
      </c>
      <c r="F15" s="18">
        <f>12+40+24</f>
        <v>76</v>
      </c>
      <c r="G15" s="18">
        <v>141</v>
      </c>
      <c r="H15" s="18"/>
      <c r="I15" s="18"/>
      <c r="J15" s="18">
        <f t="shared" si="0"/>
        <v>541</v>
      </c>
      <c r="K15" s="25">
        <v>500</v>
      </c>
      <c r="L15" s="25">
        <f t="shared" si="1"/>
        <v>41</v>
      </c>
      <c r="M15" s="19"/>
      <c r="N15" s="20"/>
    </row>
    <row r="16" spans="1:14" ht="18.75" x14ac:dyDescent="0.3">
      <c r="A16" s="15">
        <f t="shared" si="2"/>
        <v>14</v>
      </c>
      <c r="B16" s="17" t="s">
        <v>221</v>
      </c>
      <c r="C16" s="18">
        <v>29</v>
      </c>
      <c r="D16" s="18">
        <f>15+15</f>
        <v>30</v>
      </c>
      <c r="E16" s="18">
        <v>45</v>
      </c>
      <c r="F16" s="18">
        <f>15+14</f>
        <v>29</v>
      </c>
      <c r="G16" s="18"/>
      <c r="H16" s="18"/>
      <c r="I16" s="18">
        <v>14</v>
      </c>
      <c r="J16" s="18">
        <f t="shared" si="0"/>
        <v>147</v>
      </c>
      <c r="K16" s="25"/>
      <c r="L16" s="25">
        <f t="shared" si="1"/>
        <v>147</v>
      </c>
      <c r="M16" s="19"/>
      <c r="N16" s="20"/>
    </row>
    <row r="17" spans="1:14" ht="18.75" x14ac:dyDescent="0.3">
      <c r="A17" s="15">
        <f t="shared" si="2"/>
        <v>15</v>
      </c>
      <c r="B17" s="17" t="s">
        <v>94</v>
      </c>
      <c r="C17" s="18">
        <f>24+15</f>
        <v>39</v>
      </c>
      <c r="D17" s="18">
        <v>55</v>
      </c>
      <c r="E17" s="18"/>
      <c r="F17" s="18">
        <f>24+3+35</f>
        <v>62</v>
      </c>
      <c r="G17" s="18">
        <f>24+15+12+47</f>
        <v>98</v>
      </c>
      <c r="H17" s="18">
        <v>15</v>
      </c>
      <c r="I17" s="18"/>
      <c r="J17" s="18">
        <f t="shared" si="0"/>
        <v>269</v>
      </c>
      <c r="K17" s="25">
        <v>269</v>
      </c>
      <c r="L17" s="25">
        <f t="shared" si="1"/>
        <v>0</v>
      </c>
      <c r="M17" s="19"/>
      <c r="N17" s="20"/>
    </row>
    <row r="18" spans="1:14" ht="18.75" x14ac:dyDescent="0.3">
      <c r="A18" s="15">
        <f t="shared" si="2"/>
        <v>16</v>
      </c>
      <c r="B18" s="17" t="s">
        <v>247</v>
      </c>
      <c r="C18" s="18">
        <v>39</v>
      </c>
      <c r="D18" s="18"/>
      <c r="E18" s="18"/>
      <c r="F18" s="18">
        <v>5</v>
      </c>
      <c r="G18" s="18">
        <v>12</v>
      </c>
      <c r="H18" s="18"/>
      <c r="I18" s="18"/>
      <c r="J18" s="18">
        <f t="shared" si="0"/>
        <v>56</v>
      </c>
      <c r="K18" s="25">
        <v>56</v>
      </c>
      <c r="L18" s="25">
        <f t="shared" si="1"/>
        <v>0</v>
      </c>
      <c r="M18" s="19"/>
      <c r="N18" s="20"/>
    </row>
    <row r="19" spans="1:14" ht="18.75" x14ac:dyDescent="0.3">
      <c r="A19" s="15">
        <f t="shared" si="2"/>
        <v>17</v>
      </c>
      <c r="B19" s="17" t="s">
        <v>219</v>
      </c>
      <c r="C19" s="18"/>
      <c r="D19" s="18"/>
      <c r="E19" s="18">
        <v>24</v>
      </c>
      <c r="F19" s="18">
        <f>20+16</f>
        <v>36</v>
      </c>
      <c r="G19" s="18">
        <f>5+5</f>
        <v>10</v>
      </c>
      <c r="H19" s="18"/>
      <c r="I19" s="18">
        <v>37</v>
      </c>
      <c r="J19" s="18">
        <f t="shared" si="0"/>
        <v>107</v>
      </c>
      <c r="K19" s="25"/>
      <c r="L19" s="25">
        <f t="shared" si="1"/>
        <v>107</v>
      </c>
      <c r="M19" s="19"/>
      <c r="N19" s="20"/>
    </row>
    <row r="20" spans="1:14" ht="18.75" x14ac:dyDescent="0.3">
      <c r="A20" s="15">
        <f t="shared" si="2"/>
        <v>18</v>
      </c>
      <c r="B20" s="17" t="s">
        <v>151</v>
      </c>
      <c r="C20" s="18"/>
      <c r="D20" s="18"/>
      <c r="E20" s="18"/>
      <c r="F20" s="18"/>
      <c r="G20" s="18"/>
      <c r="H20" s="18"/>
      <c r="I20" s="18"/>
      <c r="J20" s="18"/>
      <c r="K20" s="25"/>
      <c r="L20" s="25">
        <f t="shared" si="1"/>
        <v>0</v>
      </c>
      <c r="M20" s="19"/>
      <c r="N20" s="20"/>
    </row>
    <row r="21" spans="1:14" ht="18.75" x14ac:dyDescent="0.3">
      <c r="A21" s="15">
        <f t="shared" si="2"/>
        <v>19</v>
      </c>
      <c r="B21" s="17" t="s">
        <v>73</v>
      </c>
      <c r="C21" s="18">
        <f>15+15+15</f>
        <v>45</v>
      </c>
      <c r="D21" s="18">
        <f>15+15+15</f>
        <v>45</v>
      </c>
      <c r="E21" s="18">
        <f>15+15+15</f>
        <v>45</v>
      </c>
      <c r="F21" s="18">
        <f>15+24+12+15</f>
        <v>66</v>
      </c>
      <c r="G21" s="18"/>
      <c r="H21" s="18"/>
      <c r="I21" s="18"/>
      <c r="J21" s="18">
        <f t="shared" si="0"/>
        <v>201</v>
      </c>
      <c r="K21" s="25">
        <v>201</v>
      </c>
      <c r="L21" s="25">
        <f t="shared" si="1"/>
        <v>0</v>
      </c>
      <c r="M21" s="19"/>
      <c r="N21" s="20"/>
    </row>
    <row r="22" spans="1:14" ht="18.75" x14ac:dyDescent="0.3">
      <c r="A22" s="15">
        <f t="shared" si="2"/>
        <v>20</v>
      </c>
      <c r="B22" s="17" t="s">
        <v>86</v>
      </c>
      <c r="C22" s="18">
        <f>15+12+2</f>
        <v>29</v>
      </c>
      <c r="D22" s="18">
        <f>24+5+10</f>
        <v>39</v>
      </c>
      <c r="E22" s="18">
        <f>15+5+25+35</f>
        <v>80</v>
      </c>
      <c r="F22" s="18">
        <f>48+5+15+15</f>
        <v>83</v>
      </c>
      <c r="G22" s="18">
        <f>5+35+5</f>
        <v>45</v>
      </c>
      <c r="H22" s="18"/>
      <c r="I22" s="18"/>
      <c r="J22" s="18">
        <f t="shared" si="0"/>
        <v>276</v>
      </c>
      <c r="K22" s="25">
        <v>276</v>
      </c>
      <c r="L22" s="25">
        <f t="shared" si="1"/>
        <v>0</v>
      </c>
      <c r="M22" s="19"/>
      <c r="N22" s="20"/>
    </row>
    <row r="23" spans="1:14" ht="18.75" x14ac:dyDescent="0.3">
      <c r="A23" s="15">
        <f t="shared" si="2"/>
        <v>21</v>
      </c>
      <c r="B23" s="17" t="s">
        <v>48</v>
      </c>
      <c r="C23" s="23" t="s">
        <v>256</v>
      </c>
      <c r="D23" s="18">
        <v>45</v>
      </c>
      <c r="E23" s="18">
        <v>45</v>
      </c>
      <c r="F23" s="18"/>
      <c r="G23" s="18"/>
      <c r="H23" s="18"/>
      <c r="I23" s="18"/>
      <c r="J23" s="18">
        <f t="shared" si="0"/>
        <v>90</v>
      </c>
      <c r="K23" s="25">
        <v>90</v>
      </c>
      <c r="L23" s="25">
        <f t="shared" si="1"/>
        <v>0</v>
      </c>
      <c r="M23" s="19"/>
      <c r="N23" s="20"/>
    </row>
    <row r="24" spans="1:14" ht="18.75" x14ac:dyDescent="0.3">
      <c r="A24" s="15">
        <f t="shared" si="2"/>
        <v>22</v>
      </c>
      <c r="B24" s="17" t="s">
        <v>257</v>
      </c>
      <c r="C24" s="23" t="s">
        <v>256</v>
      </c>
      <c r="D24" s="18">
        <v>45</v>
      </c>
      <c r="E24" s="18">
        <f>52+20+5</f>
        <v>77</v>
      </c>
      <c r="F24" s="18">
        <v>35</v>
      </c>
      <c r="G24" s="18">
        <f>15+12+35</f>
        <v>62</v>
      </c>
      <c r="H24" s="18">
        <v>15</v>
      </c>
      <c r="I24" s="18"/>
      <c r="J24" s="18">
        <f t="shared" si="0"/>
        <v>234</v>
      </c>
      <c r="K24" s="25">
        <v>234</v>
      </c>
      <c r="L24" s="25">
        <f t="shared" si="1"/>
        <v>0</v>
      </c>
      <c r="M24" s="19"/>
      <c r="N24" s="20"/>
    </row>
    <row r="25" spans="1:14" ht="18.75" x14ac:dyDescent="0.3">
      <c r="A25" s="15">
        <f t="shared" si="2"/>
        <v>23</v>
      </c>
      <c r="B25" s="17" t="s">
        <v>246</v>
      </c>
      <c r="C25" s="23" t="s">
        <v>256</v>
      </c>
      <c r="D25" s="18">
        <v>45</v>
      </c>
      <c r="E25" s="18"/>
      <c r="F25" s="18">
        <v>15</v>
      </c>
      <c r="G25" s="18">
        <f>20+5</f>
        <v>25</v>
      </c>
      <c r="H25" s="18"/>
      <c r="I25" s="18"/>
      <c r="J25" s="18">
        <f t="shared" si="0"/>
        <v>85</v>
      </c>
      <c r="K25" s="25">
        <v>85</v>
      </c>
      <c r="L25" s="25">
        <f t="shared" si="1"/>
        <v>0</v>
      </c>
      <c r="M25" s="19"/>
      <c r="N25" s="20"/>
    </row>
    <row r="26" spans="1:14" ht="18.75" x14ac:dyDescent="0.3">
      <c r="A26" s="15">
        <f t="shared" si="2"/>
        <v>24</v>
      </c>
      <c r="B26" s="17" t="s">
        <v>258</v>
      </c>
      <c r="C26" s="23" t="s">
        <v>256</v>
      </c>
      <c r="D26" s="18">
        <v>15</v>
      </c>
      <c r="E26" s="18">
        <v>65</v>
      </c>
      <c r="F26" s="18">
        <f>24+2+35+15</f>
        <v>76</v>
      </c>
      <c r="G26" s="18">
        <f>15+12+12+47</f>
        <v>86</v>
      </c>
      <c r="H26" s="18">
        <v>15</v>
      </c>
      <c r="I26" s="18"/>
      <c r="J26" s="18">
        <f t="shared" si="0"/>
        <v>257</v>
      </c>
      <c r="K26" s="25">
        <v>257</v>
      </c>
      <c r="L26" s="25">
        <f t="shared" si="1"/>
        <v>0</v>
      </c>
      <c r="M26" s="19"/>
      <c r="N26" s="20"/>
    </row>
    <row r="27" spans="1:14" ht="18.75" x14ac:dyDescent="0.3">
      <c r="A27" s="15">
        <f t="shared" si="2"/>
        <v>25</v>
      </c>
      <c r="B27" s="17" t="s">
        <v>259</v>
      </c>
      <c r="C27" s="23" t="s">
        <v>256</v>
      </c>
      <c r="D27" s="18">
        <f>15+40</f>
        <v>55</v>
      </c>
      <c r="E27" s="18"/>
      <c r="F27" s="18"/>
      <c r="G27" s="18"/>
      <c r="H27" s="18"/>
      <c r="I27" s="18">
        <v>15</v>
      </c>
      <c r="J27" s="18">
        <f t="shared" si="0"/>
        <v>70</v>
      </c>
      <c r="K27" s="25"/>
      <c r="L27" s="25">
        <f t="shared" si="1"/>
        <v>70</v>
      </c>
      <c r="M27" s="19"/>
      <c r="N27" s="20"/>
    </row>
    <row r="28" spans="1:14" ht="18.75" x14ac:dyDescent="0.3">
      <c r="A28" s="15">
        <f t="shared" si="2"/>
        <v>26</v>
      </c>
      <c r="B28" s="17" t="s">
        <v>42</v>
      </c>
      <c r="C28" s="23" t="s">
        <v>256</v>
      </c>
      <c r="D28" s="18">
        <v>35</v>
      </c>
      <c r="E28" s="18"/>
      <c r="F28" s="18"/>
      <c r="G28" s="18"/>
      <c r="H28" s="18"/>
      <c r="I28" s="18"/>
      <c r="J28" s="18">
        <f t="shared" si="0"/>
        <v>35</v>
      </c>
      <c r="K28" s="25">
        <v>35</v>
      </c>
      <c r="L28" s="25">
        <f t="shared" si="1"/>
        <v>0</v>
      </c>
      <c r="M28" s="19"/>
      <c r="N28" s="20"/>
    </row>
    <row r="29" spans="1:14" ht="18.75" x14ac:dyDescent="0.3">
      <c r="A29" s="15">
        <f t="shared" si="2"/>
        <v>27</v>
      </c>
      <c r="B29" s="17" t="s">
        <v>248</v>
      </c>
      <c r="C29" s="23" t="s">
        <v>256</v>
      </c>
      <c r="D29" s="18">
        <v>35</v>
      </c>
      <c r="E29" s="18"/>
      <c r="F29" s="18">
        <f>36+45</f>
        <v>81</v>
      </c>
      <c r="G29" s="18">
        <v>36</v>
      </c>
      <c r="H29" s="18"/>
      <c r="I29" s="18"/>
      <c r="J29" s="18">
        <f t="shared" si="0"/>
        <v>152</v>
      </c>
      <c r="K29" s="25">
        <v>152</v>
      </c>
      <c r="L29" s="25">
        <f t="shared" si="1"/>
        <v>0</v>
      </c>
      <c r="M29" s="19"/>
      <c r="N29" s="20"/>
    </row>
    <row r="30" spans="1:14" ht="18.75" x14ac:dyDescent="0.3">
      <c r="A30" s="15">
        <f t="shared" si="2"/>
        <v>28</v>
      </c>
      <c r="B30" s="17" t="s">
        <v>238</v>
      </c>
      <c r="C30" s="23" t="s">
        <v>256</v>
      </c>
      <c r="D30" s="23" t="s">
        <v>256</v>
      </c>
      <c r="E30" s="23" t="s">
        <v>256</v>
      </c>
      <c r="F30" s="18">
        <f>45+10</f>
        <v>55</v>
      </c>
      <c r="G30" s="18"/>
      <c r="H30" s="18"/>
      <c r="I30" s="18"/>
      <c r="J30" s="18">
        <f t="shared" si="0"/>
        <v>55</v>
      </c>
      <c r="K30" s="25"/>
      <c r="L30" s="25">
        <f t="shared" si="1"/>
        <v>55</v>
      </c>
      <c r="M30" s="19"/>
      <c r="N30" s="20"/>
    </row>
    <row r="31" spans="1:14" ht="18.75" x14ac:dyDescent="0.3">
      <c r="A31" s="15">
        <f t="shared" si="2"/>
        <v>29</v>
      </c>
      <c r="B31" s="17" t="s">
        <v>217</v>
      </c>
      <c r="C31" s="23">
        <v>45</v>
      </c>
      <c r="D31" s="23">
        <v>60</v>
      </c>
      <c r="E31" s="23">
        <v>100</v>
      </c>
      <c r="F31" s="18">
        <f>24+15+15+5+15</f>
        <v>74</v>
      </c>
      <c r="G31" s="18">
        <f>24+15+20+47+35+15+5</f>
        <v>161</v>
      </c>
      <c r="H31" s="18">
        <v>30</v>
      </c>
      <c r="I31" s="18"/>
      <c r="J31" s="18">
        <f t="shared" si="0"/>
        <v>470</v>
      </c>
      <c r="K31" s="25">
        <v>470</v>
      </c>
      <c r="L31" s="25">
        <f t="shared" si="1"/>
        <v>0</v>
      </c>
      <c r="M31" s="19"/>
      <c r="N31" s="20"/>
    </row>
    <row r="32" spans="1:14" ht="18.75" x14ac:dyDescent="0.3">
      <c r="A32" s="15">
        <f t="shared" si="2"/>
        <v>30</v>
      </c>
      <c r="B32" s="17" t="s">
        <v>228</v>
      </c>
      <c r="C32" s="23" t="s">
        <v>256</v>
      </c>
      <c r="D32" s="23" t="s">
        <v>256</v>
      </c>
      <c r="E32" s="23" t="s">
        <v>256</v>
      </c>
      <c r="F32" s="23" t="s">
        <v>256</v>
      </c>
      <c r="G32" s="18">
        <f>35+10</f>
        <v>45</v>
      </c>
      <c r="H32" s="18"/>
      <c r="I32" s="18">
        <v>15</v>
      </c>
      <c r="J32" s="18">
        <f t="shared" si="0"/>
        <v>60</v>
      </c>
      <c r="K32" s="25">
        <v>60</v>
      </c>
      <c r="L32" s="25">
        <f t="shared" si="1"/>
        <v>0</v>
      </c>
      <c r="M32" s="19"/>
      <c r="N32" s="20"/>
    </row>
    <row r="33" spans="1:14" ht="18.75" x14ac:dyDescent="0.3">
      <c r="A33" s="15">
        <f t="shared" si="2"/>
        <v>31</v>
      </c>
      <c r="B33" s="17" t="s">
        <v>249</v>
      </c>
      <c r="C33" s="23" t="s">
        <v>256</v>
      </c>
      <c r="D33" s="23" t="s">
        <v>256</v>
      </c>
      <c r="E33" s="23" t="s">
        <v>256</v>
      </c>
      <c r="F33" s="23" t="s">
        <v>256</v>
      </c>
      <c r="G33" s="23" t="s">
        <v>256</v>
      </c>
      <c r="H33" s="23" t="s">
        <v>256</v>
      </c>
      <c r="I33" s="18">
        <v>12</v>
      </c>
      <c r="J33" s="18">
        <f t="shared" si="0"/>
        <v>12</v>
      </c>
      <c r="K33" s="25"/>
      <c r="L33" s="25">
        <f t="shared" si="1"/>
        <v>12</v>
      </c>
      <c r="M33" s="19"/>
      <c r="N33" s="20"/>
    </row>
    <row r="34" spans="1:14" ht="18.75" x14ac:dyDescent="0.3">
      <c r="A34" s="15">
        <f t="shared" si="2"/>
        <v>32</v>
      </c>
      <c r="B34" s="17" t="s">
        <v>220</v>
      </c>
      <c r="C34" s="23" t="s">
        <v>256</v>
      </c>
      <c r="D34" s="23" t="s">
        <v>256</v>
      </c>
      <c r="E34" s="23" t="s">
        <v>256</v>
      </c>
      <c r="F34" s="23" t="s">
        <v>256</v>
      </c>
      <c r="G34" s="23" t="s">
        <v>256</v>
      </c>
      <c r="H34" s="23" t="s">
        <v>256</v>
      </c>
      <c r="I34" s="18">
        <v>30</v>
      </c>
      <c r="J34" s="18">
        <f t="shared" si="0"/>
        <v>30</v>
      </c>
      <c r="K34" s="25"/>
      <c r="L34" s="25">
        <f t="shared" si="1"/>
        <v>30</v>
      </c>
      <c r="M34" s="19"/>
      <c r="N34" s="20"/>
    </row>
    <row r="35" spans="1:14" ht="18.75" x14ac:dyDescent="0.3">
      <c r="A35" s="15">
        <f t="shared" si="2"/>
        <v>33</v>
      </c>
      <c r="B35" s="17" t="s">
        <v>250</v>
      </c>
      <c r="C35" s="23" t="s">
        <v>256</v>
      </c>
      <c r="D35" s="23" t="s">
        <v>256</v>
      </c>
      <c r="E35" s="23" t="s">
        <v>256</v>
      </c>
      <c r="F35" s="23" t="s">
        <v>256</v>
      </c>
      <c r="G35" s="23" t="s">
        <v>256</v>
      </c>
      <c r="H35" s="23" t="s">
        <v>256</v>
      </c>
      <c r="I35" s="18">
        <v>39</v>
      </c>
      <c r="J35" s="18">
        <f t="shared" si="0"/>
        <v>39</v>
      </c>
      <c r="K35" s="25">
        <v>39</v>
      </c>
      <c r="L35" s="25">
        <f t="shared" si="1"/>
        <v>0</v>
      </c>
      <c r="M35" s="19"/>
      <c r="N35" s="20"/>
    </row>
    <row r="36" spans="1:14" ht="18.75" x14ac:dyDescent="0.3">
      <c r="A36" s="15">
        <f t="shared" si="2"/>
        <v>34</v>
      </c>
      <c r="B36" s="17" t="s">
        <v>244</v>
      </c>
      <c r="C36" s="23" t="s">
        <v>256</v>
      </c>
      <c r="D36" s="23" t="s">
        <v>256</v>
      </c>
      <c r="E36" s="23" t="s">
        <v>256</v>
      </c>
      <c r="F36" s="23" t="s">
        <v>256</v>
      </c>
      <c r="G36" s="23" t="s">
        <v>256</v>
      </c>
      <c r="H36" s="23" t="s">
        <v>256</v>
      </c>
      <c r="I36" s="18">
        <v>39</v>
      </c>
      <c r="J36" s="18">
        <f t="shared" si="0"/>
        <v>39</v>
      </c>
      <c r="K36" s="25"/>
      <c r="L36" s="25">
        <f t="shared" si="1"/>
        <v>39</v>
      </c>
      <c r="M36" s="19"/>
      <c r="N36" s="20"/>
    </row>
    <row r="37" spans="1:14" ht="18.75" x14ac:dyDescent="0.3">
      <c r="A37" s="15"/>
      <c r="B37" s="17"/>
      <c r="C37" s="23">
        <f t="shared" ref="C37:L37" si="3">SUM(C3:C36)</f>
        <v>1314</v>
      </c>
      <c r="D37" s="23">
        <f t="shared" si="3"/>
        <v>1325</v>
      </c>
      <c r="E37" s="23">
        <f t="shared" si="3"/>
        <v>1206</v>
      </c>
      <c r="F37" s="23">
        <f t="shared" si="3"/>
        <v>1194</v>
      </c>
      <c r="G37" s="23">
        <f t="shared" si="3"/>
        <v>1169</v>
      </c>
      <c r="H37" s="23">
        <f t="shared" si="3"/>
        <v>192</v>
      </c>
      <c r="I37" s="23">
        <f t="shared" si="3"/>
        <v>302</v>
      </c>
      <c r="J37" s="23">
        <f t="shared" si="3"/>
        <v>6702</v>
      </c>
      <c r="K37" s="23">
        <f t="shared" si="3"/>
        <v>5462</v>
      </c>
      <c r="L37" s="25">
        <f t="shared" si="3"/>
        <v>1225</v>
      </c>
      <c r="M37" s="19"/>
      <c r="N37" s="20"/>
    </row>
    <row r="39" spans="1:14" x14ac:dyDescent="0.25">
      <c r="K39" s="16"/>
    </row>
    <row r="40" spans="1:14" x14ac:dyDescent="0.25">
      <c r="K40" s="16"/>
    </row>
  </sheetData>
  <pageMargins left="0.34" right="0.56999999999999995" top="0.75" bottom="0.75" header="0.3" footer="0.3"/>
  <pageSetup orientation="landscape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topLeftCell="A9" workbookViewId="0">
      <selection activeCell="Q9" sqref="Q9"/>
    </sheetView>
  </sheetViews>
  <sheetFormatPr baseColWidth="10" defaultColWidth="11.42578125" defaultRowHeight="15" x14ac:dyDescent="0.25"/>
  <cols>
    <col min="1" max="1" width="4.28515625" customWidth="1"/>
    <col min="2" max="2" width="25.5703125" customWidth="1"/>
    <col min="3" max="8" width="10.7109375" customWidth="1"/>
  </cols>
  <sheetData>
    <row r="2" spans="1:11" x14ac:dyDescent="0.25">
      <c r="A2" s="14" t="s">
        <v>1</v>
      </c>
      <c r="B2" s="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21" t="s">
        <v>8</v>
      </c>
      <c r="I2" s="21" t="s">
        <v>10</v>
      </c>
      <c r="J2" s="19"/>
      <c r="K2" s="20"/>
    </row>
    <row r="3" spans="1:11" ht="18.75" x14ac:dyDescent="0.3">
      <c r="A3" s="15">
        <v>1</v>
      </c>
      <c r="B3" s="17" t="s">
        <v>48</v>
      </c>
      <c r="C3" s="18">
        <v>30</v>
      </c>
      <c r="D3" s="18">
        <v>30</v>
      </c>
      <c r="E3" s="18">
        <v>45</v>
      </c>
      <c r="F3" s="18">
        <v>45</v>
      </c>
      <c r="G3" s="18"/>
      <c r="H3" s="18"/>
      <c r="I3" s="18">
        <f>SUM(C3:H3)</f>
        <v>150</v>
      </c>
      <c r="J3" s="19"/>
      <c r="K3" s="20"/>
    </row>
    <row r="4" spans="1:11" ht="18.75" x14ac:dyDescent="0.3">
      <c r="A4" s="15">
        <f>+A3+1</f>
        <v>2</v>
      </c>
      <c r="B4" s="17" t="s">
        <v>260</v>
      </c>
      <c r="C4" s="18">
        <f>30+40</f>
        <v>70</v>
      </c>
      <c r="D4" s="18">
        <v>30</v>
      </c>
      <c r="E4" s="18">
        <f>15+30+8</f>
        <v>53</v>
      </c>
      <c r="F4" s="18">
        <v>30</v>
      </c>
      <c r="G4" s="18">
        <v>45</v>
      </c>
      <c r="H4" s="18">
        <f>24+15</f>
        <v>39</v>
      </c>
      <c r="I4" s="18">
        <f t="shared" ref="I4:I27" si="0">SUM(C4:H4)</f>
        <v>267</v>
      </c>
      <c r="J4" s="19"/>
      <c r="K4" s="20"/>
    </row>
    <row r="5" spans="1:11" ht="18.75" x14ac:dyDescent="0.3">
      <c r="A5" s="15">
        <f t="shared" ref="A5:A27" si="1">+A4+1</f>
        <v>3</v>
      </c>
      <c r="B5" s="17" t="s">
        <v>261</v>
      </c>
      <c r="C5" s="18">
        <f>45+10</f>
        <v>55</v>
      </c>
      <c r="D5" s="18">
        <f>47+15</f>
        <v>62</v>
      </c>
      <c r="E5" s="18">
        <f>47+15</f>
        <v>62</v>
      </c>
      <c r="F5" s="18">
        <v>45</v>
      </c>
      <c r="G5" s="18">
        <f>45+40+30</f>
        <v>115</v>
      </c>
      <c r="H5" s="18"/>
      <c r="I5" s="18">
        <f t="shared" si="0"/>
        <v>339</v>
      </c>
      <c r="J5" s="19"/>
      <c r="K5" s="20"/>
    </row>
    <row r="6" spans="1:11" ht="18.75" x14ac:dyDescent="0.3">
      <c r="A6" s="15">
        <f t="shared" si="1"/>
        <v>4</v>
      </c>
      <c r="B6" s="17" t="s">
        <v>262</v>
      </c>
      <c r="C6" s="18">
        <f>15+12+30</f>
        <v>57</v>
      </c>
      <c r="D6" s="18">
        <f>15+10+12</f>
        <v>37</v>
      </c>
      <c r="E6" s="18">
        <f>15+40+30</f>
        <v>85</v>
      </c>
      <c r="F6" s="18"/>
      <c r="G6" s="18">
        <v>15</v>
      </c>
      <c r="H6" s="18">
        <f>24+15</f>
        <v>39</v>
      </c>
      <c r="I6" s="18">
        <f t="shared" si="0"/>
        <v>233</v>
      </c>
      <c r="J6" s="19"/>
      <c r="K6" s="20"/>
    </row>
    <row r="7" spans="1:11" ht="18.75" x14ac:dyDescent="0.3">
      <c r="A7" s="15">
        <f t="shared" si="1"/>
        <v>5</v>
      </c>
      <c r="B7" s="17" t="s">
        <v>152</v>
      </c>
      <c r="C7" s="18">
        <f>24+15+35+10+30</f>
        <v>114</v>
      </c>
      <c r="D7" s="18">
        <f>24+15+27+45+12+5+30</f>
        <v>158</v>
      </c>
      <c r="E7" s="18">
        <f>15+10+30</f>
        <v>55</v>
      </c>
      <c r="F7" s="18">
        <f>36+40+5+8+30+40</f>
        <v>159</v>
      </c>
      <c r="G7" s="18">
        <f>36+30+2+45+5+45</f>
        <v>163</v>
      </c>
      <c r="H7" s="18">
        <f>45+36</f>
        <v>81</v>
      </c>
      <c r="I7" s="18">
        <f t="shared" si="0"/>
        <v>730</v>
      </c>
      <c r="J7" s="19"/>
      <c r="K7" s="20"/>
    </row>
    <row r="8" spans="1:11" ht="18.75" x14ac:dyDescent="0.3">
      <c r="A8" s="15">
        <f t="shared" si="1"/>
        <v>6</v>
      </c>
      <c r="B8" s="17" t="s">
        <v>258</v>
      </c>
      <c r="C8" s="18">
        <f>24+15</f>
        <v>39</v>
      </c>
      <c r="D8" s="18">
        <v>39</v>
      </c>
      <c r="E8" s="18">
        <f>30+25+27+5</f>
        <v>87</v>
      </c>
      <c r="F8" s="18">
        <f>15+15+12</f>
        <v>42</v>
      </c>
      <c r="G8" s="18">
        <f>15+15+24+45</f>
        <v>99</v>
      </c>
      <c r="H8" s="18">
        <f>24+15</f>
        <v>39</v>
      </c>
      <c r="I8" s="18">
        <f t="shared" si="0"/>
        <v>345</v>
      </c>
      <c r="J8" s="19"/>
      <c r="K8" s="20"/>
    </row>
    <row r="9" spans="1:11" ht="18.75" x14ac:dyDescent="0.3">
      <c r="A9" s="15">
        <f t="shared" si="1"/>
        <v>7</v>
      </c>
      <c r="B9" s="17" t="s">
        <v>263</v>
      </c>
      <c r="C9" s="18">
        <f>24+15</f>
        <v>39</v>
      </c>
      <c r="D9" s="18">
        <f>25+15+20</f>
        <v>60</v>
      </c>
      <c r="E9" s="18"/>
      <c r="F9" s="18">
        <v>100</v>
      </c>
      <c r="G9" s="18">
        <f>39+45</f>
        <v>84</v>
      </c>
      <c r="H9" s="18">
        <f>24+15</f>
        <v>39</v>
      </c>
      <c r="I9" s="18">
        <f t="shared" si="0"/>
        <v>322</v>
      </c>
      <c r="J9" s="19"/>
      <c r="K9" s="20"/>
    </row>
    <row r="10" spans="1:11" ht="18.75" x14ac:dyDescent="0.3">
      <c r="A10" s="15">
        <f t="shared" si="1"/>
        <v>8</v>
      </c>
      <c r="B10" s="17" t="s">
        <v>264</v>
      </c>
      <c r="C10" s="18">
        <f>48+15+47+15</f>
        <v>125</v>
      </c>
      <c r="D10" s="18">
        <v>151</v>
      </c>
      <c r="E10" s="18">
        <f>15+25+47</f>
        <v>87</v>
      </c>
      <c r="F10" s="18">
        <f>36+15+30+20</f>
        <v>101</v>
      </c>
      <c r="G10" s="18"/>
      <c r="H10" s="18">
        <v>15</v>
      </c>
      <c r="I10" s="18">
        <f t="shared" si="0"/>
        <v>479</v>
      </c>
      <c r="J10" s="19"/>
      <c r="K10" s="20"/>
    </row>
    <row r="11" spans="1:11" ht="18.75" x14ac:dyDescent="0.3">
      <c r="A11" s="15">
        <f t="shared" si="1"/>
        <v>9</v>
      </c>
      <c r="B11" s="17" t="s">
        <v>208</v>
      </c>
      <c r="C11" s="18">
        <f>24+15+5+15+5+47+15</f>
        <v>126</v>
      </c>
      <c r="D11" s="18">
        <f>15+5+15+15</f>
        <v>50</v>
      </c>
      <c r="E11" s="18">
        <f>15+15+5</f>
        <v>35</v>
      </c>
      <c r="F11" s="18">
        <f>15+15+15+15</f>
        <v>60</v>
      </c>
      <c r="G11" s="18">
        <f>15+14+2+15+15</f>
        <v>61</v>
      </c>
      <c r="H11" s="18">
        <f>15+12</f>
        <v>27</v>
      </c>
      <c r="I11" s="18">
        <f t="shared" si="0"/>
        <v>359</v>
      </c>
      <c r="J11" s="19"/>
      <c r="K11" s="20"/>
    </row>
    <row r="12" spans="1:11" ht="18.75" x14ac:dyDescent="0.3">
      <c r="A12" s="15">
        <f t="shared" si="1"/>
        <v>10</v>
      </c>
      <c r="B12" s="17" t="s">
        <v>41</v>
      </c>
      <c r="C12" s="18">
        <f>15+12+45+12</f>
        <v>84</v>
      </c>
      <c r="D12" s="18">
        <v>15</v>
      </c>
      <c r="E12" s="18">
        <f>24+15</f>
        <v>39</v>
      </c>
      <c r="F12" s="18">
        <v>15</v>
      </c>
      <c r="G12" s="18">
        <v>15</v>
      </c>
      <c r="H12" s="18"/>
      <c r="I12" s="18">
        <f t="shared" si="0"/>
        <v>168</v>
      </c>
      <c r="J12" s="19"/>
      <c r="K12" s="20"/>
    </row>
    <row r="13" spans="1:11" ht="18.75" x14ac:dyDescent="0.3">
      <c r="A13" s="15">
        <f t="shared" si="1"/>
        <v>11</v>
      </c>
      <c r="B13" s="17" t="s">
        <v>86</v>
      </c>
      <c r="C13" s="18">
        <f>10+15+30</f>
        <v>55</v>
      </c>
      <c r="D13" s="18"/>
      <c r="E13" s="18">
        <f>30+5+15</f>
        <v>50</v>
      </c>
      <c r="F13" s="18">
        <v>69</v>
      </c>
      <c r="G13" s="18">
        <f>25+15</f>
        <v>40</v>
      </c>
      <c r="H13" s="18">
        <f>24+15</f>
        <v>39</v>
      </c>
      <c r="I13" s="18">
        <f t="shared" si="0"/>
        <v>253</v>
      </c>
      <c r="J13" s="19"/>
      <c r="K13" s="20"/>
    </row>
    <row r="14" spans="1:11" ht="18.75" x14ac:dyDescent="0.3">
      <c r="A14" s="15">
        <f t="shared" si="1"/>
        <v>12</v>
      </c>
      <c r="B14" s="17" t="s">
        <v>249</v>
      </c>
      <c r="C14" s="18">
        <f>60+40</f>
        <v>100</v>
      </c>
      <c r="D14" s="18">
        <v>12</v>
      </c>
      <c r="E14" s="18">
        <f>30+40</f>
        <v>70</v>
      </c>
      <c r="F14" s="18"/>
      <c r="G14" s="18"/>
      <c r="H14" s="18"/>
      <c r="I14" s="18">
        <f t="shared" si="0"/>
        <v>182</v>
      </c>
      <c r="J14" s="19"/>
      <c r="K14" s="20"/>
    </row>
    <row r="15" spans="1:11" ht="18.75" x14ac:dyDescent="0.3">
      <c r="A15" s="15">
        <f t="shared" si="1"/>
        <v>13</v>
      </c>
      <c r="B15" s="17" t="s">
        <v>265</v>
      </c>
      <c r="C15" s="18"/>
      <c r="D15" s="18">
        <v>30</v>
      </c>
      <c r="E15" s="18">
        <v>60</v>
      </c>
      <c r="F15" s="18">
        <v>60</v>
      </c>
      <c r="G15" s="18"/>
      <c r="H15" s="18">
        <f>15+24</f>
        <v>39</v>
      </c>
      <c r="I15" s="18">
        <f t="shared" si="0"/>
        <v>189</v>
      </c>
      <c r="J15" s="19"/>
      <c r="K15" s="20"/>
    </row>
    <row r="16" spans="1:11" ht="18.75" x14ac:dyDescent="0.3">
      <c r="A16" s="15">
        <f t="shared" si="1"/>
        <v>14</v>
      </c>
      <c r="B16" s="17" t="s">
        <v>73</v>
      </c>
      <c r="C16" s="18"/>
      <c r="D16" s="18">
        <f>30*2</f>
        <v>60</v>
      </c>
      <c r="E16" s="18"/>
      <c r="F16" s="18">
        <f>15+15+30+12</f>
        <v>72</v>
      </c>
      <c r="G16" s="18">
        <v>15</v>
      </c>
      <c r="H16" s="18">
        <v>15</v>
      </c>
      <c r="I16" s="18">
        <f t="shared" si="0"/>
        <v>162</v>
      </c>
      <c r="J16" s="19"/>
      <c r="K16" s="20"/>
    </row>
    <row r="17" spans="1:11" ht="18.75" x14ac:dyDescent="0.3">
      <c r="A17" s="15">
        <f t="shared" si="1"/>
        <v>15</v>
      </c>
      <c r="B17" s="17" t="s">
        <v>266</v>
      </c>
      <c r="C17" s="18"/>
      <c r="D17" s="18">
        <f>24+15+40+30</f>
        <v>109</v>
      </c>
      <c r="E17" s="18">
        <v>75</v>
      </c>
      <c r="F17" s="18">
        <f>24+5+30</f>
        <v>59</v>
      </c>
      <c r="G17" s="18">
        <v>91</v>
      </c>
      <c r="H17" s="18">
        <f>24+15</f>
        <v>39</v>
      </c>
      <c r="I17" s="18">
        <f t="shared" si="0"/>
        <v>373</v>
      </c>
      <c r="J17" s="19"/>
      <c r="K17" s="20"/>
    </row>
    <row r="18" spans="1:11" ht="18.75" x14ac:dyDescent="0.3">
      <c r="A18" s="15">
        <f t="shared" si="1"/>
        <v>16</v>
      </c>
      <c r="B18" s="17" t="s">
        <v>84</v>
      </c>
      <c r="C18" s="18"/>
      <c r="D18" s="18">
        <f>36+15+24+5+40+12+47+15</f>
        <v>194</v>
      </c>
      <c r="E18" s="18">
        <f>15+25+40+15+15+47+5+12+15+15</f>
        <v>204</v>
      </c>
      <c r="F18" s="18">
        <f>36+15+15+10+30+20</f>
        <v>126</v>
      </c>
      <c r="G18" s="18"/>
      <c r="H18" s="18">
        <v>15</v>
      </c>
      <c r="I18" s="18">
        <f t="shared" si="0"/>
        <v>539</v>
      </c>
      <c r="J18" s="19"/>
      <c r="K18" s="20"/>
    </row>
    <row r="19" spans="1:11" ht="18.75" x14ac:dyDescent="0.3">
      <c r="A19" s="15">
        <f t="shared" si="1"/>
        <v>17</v>
      </c>
      <c r="B19" s="17" t="s">
        <v>267</v>
      </c>
      <c r="C19" s="18"/>
      <c r="D19" s="18">
        <f>30+47+30</f>
        <v>107</v>
      </c>
      <c r="E19" s="18">
        <v>15</v>
      </c>
      <c r="F19" s="18">
        <f>15+27</f>
        <v>42</v>
      </c>
      <c r="G19" s="18"/>
      <c r="H19" s="18"/>
      <c r="I19" s="18">
        <f t="shared" si="0"/>
        <v>164</v>
      </c>
      <c r="J19" s="19"/>
      <c r="K19" s="20"/>
    </row>
    <row r="20" spans="1:11" ht="18.75" x14ac:dyDescent="0.3">
      <c r="A20" s="15">
        <f t="shared" si="1"/>
        <v>18</v>
      </c>
      <c r="B20" s="17" t="s">
        <v>248</v>
      </c>
      <c r="C20" s="18"/>
      <c r="D20" s="18">
        <v>60</v>
      </c>
      <c r="E20" s="18"/>
      <c r="F20" s="18">
        <v>36</v>
      </c>
      <c r="G20" s="18">
        <f>25+60</f>
        <v>85</v>
      </c>
      <c r="H20" s="18"/>
      <c r="I20" s="18">
        <f t="shared" si="0"/>
        <v>181</v>
      </c>
      <c r="J20" s="19"/>
      <c r="K20" s="20"/>
    </row>
    <row r="21" spans="1:11" ht="18.75" x14ac:dyDescent="0.3">
      <c r="A21" s="15">
        <f t="shared" si="1"/>
        <v>19</v>
      </c>
      <c r="B21" s="17" t="s">
        <v>196</v>
      </c>
      <c r="C21" s="18"/>
      <c r="D21" s="18"/>
      <c r="E21" s="18">
        <f>25+15</f>
        <v>40</v>
      </c>
      <c r="F21" s="18"/>
      <c r="G21" s="18"/>
      <c r="H21" s="18"/>
      <c r="I21" s="18">
        <f t="shared" si="0"/>
        <v>40</v>
      </c>
      <c r="J21" s="19"/>
      <c r="K21" s="20"/>
    </row>
    <row r="22" spans="1:11" ht="18.75" x14ac:dyDescent="0.3">
      <c r="A22" s="15">
        <f t="shared" si="1"/>
        <v>20</v>
      </c>
      <c r="B22" s="17" t="s">
        <v>235</v>
      </c>
      <c r="C22" s="18">
        <v>88</v>
      </c>
      <c r="D22" s="18"/>
      <c r="E22" s="18">
        <f>15+12</f>
        <v>27</v>
      </c>
      <c r="F22" s="18">
        <f>12+15</f>
        <v>27</v>
      </c>
      <c r="G22" s="18">
        <f>15+2+12</f>
        <v>29</v>
      </c>
      <c r="H22" s="18">
        <v>15</v>
      </c>
      <c r="I22" s="18">
        <f t="shared" si="0"/>
        <v>186</v>
      </c>
      <c r="J22" s="19"/>
      <c r="K22" s="20"/>
    </row>
    <row r="23" spans="1:11" ht="18.75" x14ac:dyDescent="0.3">
      <c r="A23" s="15">
        <f t="shared" si="1"/>
        <v>21</v>
      </c>
      <c r="B23" s="17" t="s">
        <v>47</v>
      </c>
      <c r="C23" s="18"/>
      <c r="D23" s="18"/>
      <c r="E23" s="18">
        <v>50</v>
      </c>
      <c r="F23" s="18"/>
      <c r="G23" s="18"/>
      <c r="H23" s="18"/>
      <c r="I23" s="18">
        <f t="shared" si="0"/>
        <v>50</v>
      </c>
      <c r="J23" s="19"/>
      <c r="K23" s="20"/>
    </row>
    <row r="24" spans="1:11" ht="18.75" x14ac:dyDescent="0.3">
      <c r="A24" s="15">
        <f t="shared" si="1"/>
        <v>22</v>
      </c>
      <c r="B24" s="17" t="s">
        <v>242</v>
      </c>
      <c r="C24" s="18"/>
      <c r="D24" s="18"/>
      <c r="E24" s="18"/>
      <c r="F24" s="18">
        <f>27+12</f>
        <v>39</v>
      </c>
      <c r="G24" s="18"/>
      <c r="H24" s="18"/>
      <c r="I24" s="18">
        <f t="shared" si="0"/>
        <v>39</v>
      </c>
      <c r="J24" s="19"/>
      <c r="K24" s="20"/>
    </row>
    <row r="25" spans="1:11" ht="18.75" x14ac:dyDescent="0.3">
      <c r="A25" s="15">
        <f t="shared" si="1"/>
        <v>23</v>
      </c>
      <c r="B25" s="17" t="s">
        <v>219</v>
      </c>
      <c r="C25" s="18"/>
      <c r="D25" s="18"/>
      <c r="E25" s="18"/>
      <c r="F25" s="18"/>
      <c r="G25" s="18">
        <v>25</v>
      </c>
      <c r="H25" s="18">
        <v>12</v>
      </c>
      <c r="I25" s="18">
        <f t="shared" si="0"/>
        <v>37</v>
      </c>
      <c r="J25" s="19"/>
      <c r="K25" s="20"/>
    </row>
    <row r="26" spans="1:11" ht="18.75" x14ac:dyDescent="0.3">
      <c r="A26" s="15">
        <f t="shared" si="1"/>
        <v>24</v>
      </c>
      <c r="B26" s="17" t="s">
        <v>57</v>
      </c>
      <c r="C26" s="18"/>
      <c r="D26" s="18"/>
      <c r="E26" s="18"/>
      <c r="F26" s="18"/>
      <c r="G26" s="18">
        <f>24+15+15+45+15</f>
        <v>114</v>
      </c>
      <c r="H26" s="18">
        <f>24+15</f>
        <v>39</v>
      </c>
      <c r="I26" s="18">
        <f t="shared" si="0"/>
        <v>153</v>
      </c>
      <c r="J26" s="19"/>
      <c r="K26" s="20"/>
    </row>
    <row r="27" spans="1:11" ht="18.75" x14ac:dyDescent="0.3">
      <c r="A27" s="15">
        <f t="shared" si="1"/>
        <v>25</v>
      </c>
      <c r="B27" s="17" t="s">
        <v>171</v>
      </c>
      <c r="C27" s="18"/>
      <c r="D27" s="18"/>
      <c r="E27" s="18"/>
      <c r="F27" s="18"/>
      <c r="G27" s="18">
        <v>15</v>
      </c>
      <c r="H27" s="18"/>
      <c r="I27" s="18">
        <f t="shared" si="0"/>
        <v>15</v>
      </c>
      <c r="J27" s="19"/>
      <c r="K27" s="20"/>
    </row>
    <row r="28" spans="1:11" x14ac:dyDescent="0.25">
      <c r="C28" s="16"/>
      <c r="D28" s="16"/>
      <c r="E28" s="16"/>
      <c r="F28" s="16"/>
      <c r="G28" s="16"/>
      <c r="H28" s="16"/>
      <c r="I28" s="16"/>
    </row>
    <row r="29" spans="1:11" x14ac:dyDescent="0.25">
      <c r="I29" s="16"/>
    </row>
    <row r="30" spans="1:11" x14ac:dyDescent="0.25">
      <c r="I30" s="16">
        <f>SUM(I3:I29)</f>
        <v>5955</v>
      </c>
    </row>
    <row r="31" spans="1:11" x14ac:dyDescent="0.25">
      <c r="I31" s="16">
        <f>+I30-I12-I19-I22-I25-I27</f>
        <v>5385</v>
      </c>
      <c r="J31" s="22">
        <f>+I12+I19+I25+I22+I27</f>
        <v>570</v>
      </c>
    </row>
    <row r="32" spans="1:11" x14ac:dyDescent="0.25">
      <c r="J32" s="16"/>
    </row>
    <row r="33" spans="9:9" x14ac:dyDescent="0.25">
      <c r="I33">
        <f>5514-1500</f>
        <v>4014</v>
      </c>
    </row>
  </sheetData>
  <pageMargins left="0.34" right="0.56999999999999995" top="0.75" bottom="0.75" header="0.3" footer="0.3"/>
  <pageSetup orientation="landscape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C38" sqref="C38"/>
    </sheetView>
  </sheetViews>
  <sheetFormatPr baseColWidth="10" defaultColWidth="11.42578125" defaultRowHeight="15" x14ac:dyDescent="0.25"/>
  <cols>
    <col min="1" max="1" width="5.28515625" customWidth="1"/>
    <col min="2" max="2" width="34.42578125" customWidth="1"/>
    <col min="3" max="3" width="17.42578125" customWidth="1"/>
  </cols>
  <sheetData>
    <row r="2" spans="1:4" x14ac:dyDescent="0.25">
      <c r="A2" s="3" t="s">
        <v>1</v>
      </c>
      <c r="B2" s="3" t="s">
        <v>2</v>
      </c>
      <c r="C2" s="4" t="s">
        <v>268</v>
      </c>
      <c r="D2" s="4" t="s">
        <v>269</v>
      </c>
    </row>
    <row r="3" spans="1:4" x14ac:dyDescent="0.25">
      <c r="A3" s="2">
        <v>1</v>
      </c>
      <c r="B3" t="s">
        <v>152</v>
      </c>
      <c r="C3" s="1">
        <f>54+47+75+97+208</f>
        <v>481</v>
      </c>
    </row>
    <row r="4" spans="1:4" x14ac:dyDescent="0.25">
      <c r="A4" s="2">
        <v>2</v>
      </c>
      <c r="B4" t="s">
        <v>208</v>
      </c>
      <c r="C4" s="1">
        <v>225</v>
      </c>
    </row>
    <row r="5" spans="1:4" x14ac:dyDescent="0.25">
      <c r="A5" s="2">
        <v>3</v>
      </c>
      <c r="B5" t="s">
        <v>270</v>
      </c>
      <c r="C5" s="12">
        <v>45</v>
      </c>
    </row>
    <row r="6" spans="1:4" x14ac:dyDescent="0.25">
      <c r="A6" s="9">
        <v>4</v>
      </c>
      <c r="B6" s="10" t="s">
        <v>48</v>
      </c>
      <c r="C6" s="11">
        <v>85</v>
      </c>
      <c r="D6" t="s">
        <v>271</v>
      </c>
    </row>
    <row r="7" spans="1:4" x14ac:dyDescent="0.25">
      <c r="A7" s="2">
        <v>5</v>
      </c>
      <c r="B7" t="s">
        <v>129</v>
      </c>
      <c r="C7" s="12">
        <v>92</v>
      </c>
    </row>
    <row r="8" spans="1:4" x14ac:dyDescent="0.25">
      <c r="A8" s="2">
        <v>6</v>
      </c>
      <c r="B8" t="s">
        <v>272</v>
      </c>
      <c r="C8" s="1">
        <v>47</v>
      </c>
    </row>
    <row r="9" spans="1:4" x14ac:dyDescent="0.25">
      <c r="A9" s="2">
        <v>7</v>
      </c>
      <c r="B9" t="s">
        <v>273</v>
      </c>
      <c r="C9" s="1">
        <f>47+35+75+35</f>
        <v>192</v>
      </c>
    </row>
    <row r="10" spans="1:4" x14ac:dyDescent="0.25">
      <c r="A10" s="2">
        <v>8</v>
      </c>
      <c r="B10" t="s">
        <v>241</v>
      </c>
      <c r="C10" s="1">
        <f>27+12+27</f>
        <v>66</v>
      </c>
    </row>
    <row r="11" spans="1:4" x14ac:dyDescent="0.25">
      <c r="A11" s="2">
        <v>9</v>
      </c>
      <c r="B11" t="s">
        <v>274</v>
      </c>
      <c r="C11" s="1">
        <v>361</v>
      </c>
    </row>
    <row r="12" spans="1:4" x14ac:dyDescent="0.25">
      <c r="A12" s="2">
        <v>10</v>
      </c>
      <c r="B12" t="s">
        <v>275</v>
      </c>
      <c r="C12" s="12">
        <v>188</v>
      </c>
    </row>
    <row r="13" spans="1:4" x14ac:dyDescent="0.25">
      <c r="A13" s="2">
        <v>11</v>
      </c>
      <c r="B13" t="s">
        <v>276</v>
      </c>
      <c r="C13" s="1">
        <f>75+102+90</f>
        <v>267</v>
      </c>
    </row>
    <row r="14" spans="1:4" x14ac:dyDescent="0.25">
      <c r="A14" s="2">
        <v>12</v>
      </c>
      <c r="B14" t="s">
        <v>277</v>
      </c>
      <c r="C14" s="1">
        <f>35+70+80</f>
        <v>185</v>
      </c>
    </row>
    <row r="15" spans="1:4" x14ac:dyDescent="0.25">
      <c r="A15" s="2">
        <v>13</v>
      </c>
      <c r="B15" t="s">
        <v>220</v>
      </c>
      <c r="C15" s="12">
        <v>30</v>
      </c>
    </row>
    <row r="16" spans="1:4" x14ac:dyDescent="0.25">
      <c r="A16" s="2">
        <v>14</v>
      </c>
      <c r="B16" t="s">
        <v>84</v>
      </c>
      <c r="C16" s="1">
        <f>85+128</f>
        <v>213</v>
      </c>
    </row>
    <row r="17" spans="1:4" x14ac:dyDescent="0.25">
      <c r="A17" s="2">
        <v>15</v>
      </c>
      <c r="B17" t="s">
        <v>278</v>
      </c>
      <c r="C17" s="1">
        <f>87+45</f>
        <v>132</v>
      </c>
    </row>
    <row r="18" spans="1:4" x14ac:dyDescent="0.25">
      <c r="A18" s="2">
        <v>16</v>
      </c>
      <c r="B18" t="s">
        <v>41</v>
      </c>
      <c r="C18" s="1">
        <v>15</v>
      </c>
    </row>
    <row r="19" spans="1:4" x14ac:dyDescent="0.25">
      <c r="A19" s="2">
        <v>17</v>
      </c>
      <c r="B19" t="s">
        <v>47</v>
      </c>
      <c r="C19" s="12">
        <f>45+45</f>
        <v>90</v>
      </c>
    </row>
    <row r="20" spans="1:4" x14ac:dyDescent="0.25">
      <c r="A20" s="2">
        <v>18</v>
      </c>
      <c r="B20" t="s">
        <v>264</v>
      </c>
      <c r="C20" s="1">
        <v>40</v>
      </c>
    </row>
    <row r="21" spans="1:4" x14ac:dyDescent="0.25">
      <c r="A21" s="2">
        <v>19</v>
      </c>
      <c r="B21" t="s">
        <v>259</v>
      </c>
      <c r="C21" s="12">
        <v>15</v>
      </c>
    </row>
    <row r="22" spans="1:4" x14ac:dyDescent="0.25">
      <c r="A22" s="2">
        <v>20</v>
      </c>
      <c r="B22" t="s">
        <v>250</v>
      </c>
      <c r="C22" s="12">
        <v>39</v>
      </c>
    </row>
    <row r="23" spans="1:4" x14ac:dyDescent="0.25">
      <c r="A23" s="2">
        <v>21</v>
      </c>
      <c r="B23" t="s">
        <v>279</v>
      </c>
      <c r="C23" s="12">
        <v>39</v>
      </c>
    </row>
    <row r="24" spans="1:4" x14ac:dyDescent="0.25">
      <c r="A24" s="2">
        <v>22</v>
      </c>
      <c r="B24" t="s">
        <v>280</v>
      </c>
      <c r="C24" s="12">
        <v>22</v>
      </c>
    </row>
    <row r="25" spans="1:4" x14ac:dyDescent="0.25">
      <c r="A25" s="8"/>
      <c r="B25" s="6" t="s">
        <v>10</v>
      </c>
      <c r="C25" s="7">
        <f>SUM(C3:C24)</f>
        <v>2869</v>
      </c>
      <c r="D25" s="5"/>
    </row>
    <row r="27" spans="1:4" x14ac:dyDescent="0.25">
      <c r="C27" s="13">
        <f>+C5+C7+C12+C15+C19+C21+C22+C23+C24</f>
        <v>560</v>
      </c>
    </row>
    <row r="29" spans="1:4" x14ac:dyDescent="0.25">
      <c r="C29" s="13">
        <f>+C25-C27</f>
        <v>2309</v>
      </c>
      <c r="D29">
        <v>2823</v>
      </c>
    </row>
    <row r="30" spans="1:4" x14ac:dyDescent="0.25">
      <c r="D30" s="13">
        <f>+D29-C29</f>
        <v>514</v>
      </c>
    </row>
    <row r="31" spans="1:4" x14ac:dyDescent="0.25">
      <c r="D31" s="13">
        <f>+D30-61</f>
        <v>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topLeftCell="A19" zoomScaleNormal="100" workbookViewId="0">
      <selection activeCell="F35" sqref="F35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3" width="12.140625" customWidth="1"/>
    <col min="4" max="4" width="11.42578125" customWidth="1"/>
    <col min="5" max="5" width="10.7109375" customWidth="1"/>
    <col min="6" max="6" width="11.42578125" customWidth="1"/>
    <col min="7" max="9" width="10.7109375" customWidth="1"/>
    <col min="10" max="10" width="13.85546875" customWidth="1"/>
    <col min="11" max="11" width="16.5703125" customWidth="1"/>
  </cols>
  <sheetData>
    <row r="1" spans="1:12" x14ac:dyDescent="0.25">
      <c r="A1" s="71"/>
      <c r="B1" s="71"/>
      <c r="C1" s="71"/>
      <c r="D1" s="71"/>
      <c r="E1" s="71"/>
      <c r="F1" s="71"/>
      <c r="G1" s="71"/>
      <c r="H1" s="71"/>
      <c r="I1" s="71"/>
      <c r="J1" s="119">
        <v>42777</v>
      </c>
      <c r="K1" s="71"/>
    </row>
    <row r="2" spans="1:12" ht="26.25" x14ac:dyDescent="0.4">
      <c r="A2" s="71"/>
      <c r="B2" s="72"/>
      <c r="C2" s="71"/>
      <c r="D2" s="71"/>
      <c r="E2" s="71"/>
      <c r="F2" s="71"/>
      <c r="G2" s="71"/>
      <c r="H2" s="71"/>
      <c r="I2" s="71"/>
      <c r="J2" s="71"/>
      <c r="K2" s="71"/>
    </row>
    <row r="3" spans="1:12" x14ac:dyDescent="0.25">
      <c r="A3" s="117" t="s">
        <v>1</v>
      </c>
      <c r="B3" s="74" t="s">
        <v>2</v>
      </c>
      <c r="C3" s="117" t="s">
        <v>3</v>
      </c>
      <c r="D3" s="117" t="s">
        <v>4</v>
      </c>
      <c r="E3" s="117" t="s">
        <v>5</v>
      </c>
      <c r="F3" s="117" t="s">
        <v>6</v>
      </c>
      <c r="G3" s="117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2" ht="20.100000000000001" customHeight="1" x14ac:dyDescent="0.3">
      <c r="A4" s="117">
        <v>1</v>
      </c>
      <c r="B4" s="78" t="s">
        <v>70</v>
      </c>
      <c r="C4" s="83"/>
      <c r="D4" s="83"/>
      <c r="E4" s="83">
        <f>15+30+5</f>
        <v>50</v>
      </c>
      <c r="F4" s="83">
        <f>45+60</f>
        <v>105</v>
      </c>
      <c r="G4" s="83">
        <f>45+70</f>
        <v>115</v>
      </c>
      <c r="H4" s="76"/>
      <c r="I4" s="76">
        <v>10</v>
      </c>
      <c r="J4" s="79">
        <f t="shared" ref="J4:J6" si="0">SUM(C4:I4)</f>
        <v>280</v>
      </c>
      <c r="K4" s="77"/>
    </row>
    <row r="5" spans="1:12" ht="20.100000000000001" customHeight="1" x14ac:dyDescent="0.3">
      <c r="A5" s="117">
        <f>+A4+1</f>
        <v>2</v>
      </c>
      <c r="B5" s="78" t="s">
        <v>357</v>
      </c>
      <c r="C5" s="83"/>
      <c r="D5" s="83"/>
      <c r="E5" s="83">
        <v>45</v>
      </c>
      <c r="F5" s="83"/>
      <c r="G5" s="83"/>
      <c r="H5" s="76"/>
      <c r="I5" s="76"/>
      <c r="J5" s="79">
        <f t="shared" si="0"/>
        <v>45</v>
      </c>
      <c r="K5" s="77"/>
    </row>
    <row r="6" spans="1:12" ht="20.100000000000001" customHeight="1" x14ac:dyDescent="0.3">
      <c r="A6" s="117">
        <f>+A5+1</f>
        <v>3</v>
      </c>
      <c r="B6" s="78" t="s">
        <v>35</v>
      </c>
      <c r="C6" s="83"/>
      <c r="D6" s="83">
        <v>45</v>
      </c>
      <c r="E6" s="83"/>
      <c r="F6" s="83">
        <v>50</v>
      </c>
      <c r="G6" s="83">
        <v>45</v>
      </c>
      <c r="H6" s="76"/>
      <c r="I6" s="76"/>
      <c r="J6" s="79">
        <f t="shared" si="0"/>
        <v>140</v>
      </c>
      <c r="K6" s="80"/>
    </row>
    <row r="7" spans="1:12" ht="20.100000000000001" customHeight="1" x14ac:dyDescent="0.3">
      <c r="A7" s="117">
        <f t="shared" ref="A7:A8" si="1">+A6+1</f>
        <v>4</v>
      </c>
      <c r="B7" s="78" t="s">
        <v>41</v>
      </c>
      <c r="C7" s="83">
        <v>15</v>
      </c>
      <c r="D7" s="83"/>
      <c r="E7" s="83"/>
      <c r="F7" s="83"/>
      <c r="G7" s="83"/>
      <c r="H7" s="83"/>
      <c r="I7" s="83">
        <v>27</v>
      </c>
      <c r="J7" s="79">
        <f t="shared" ref="J7:J14" si="2">SUM(C7:I7)</f>
        <v>42</v>
      </c>
      <c r="K7" s="80"/>
    </row>
    <row r="8" spans="1:12" ht="20.100000000000001" customHeight="1" x14ac:dyDescent="0.3">
      <c r="A8" s="117">
        <f t="shared" si="1"/>
        <v>5</v>
      </c>
      <c r="B8" s="78" t="s">
        <v>107</v>
      </c>
      <c r="C8" s="83"/>
      <c r="D8" s="83"/>
      <c r="E8" s="83"/>
      <c r="F8" s="83">
        <f>48+30</f>
        <v>78</v>
      </c>
      <c r="G8" s="83"/>
      <c r="H8" s="83"/>
      <c r="I8" s="83"/>
      <c r="J8" s="79">
        <f t="shared" si="2"/>
        <v>78</v>
      </c>
      <c r="K8" s="80"/>
    </row>
    <row r="9" spans="1:12" ht="20.100000000000001" customHeight="1" x14ac:dyDescent="0.3">
      <c r="A9" s="117">
        <f t="shared" ref="A9:A17" si="3">+A8+1</f>
        <v>6</v>
      </c>
      <c r="B9" s="78" t="s">
        <v>129</v>
      </c>
      <c r="C9" s="83">
        <v>300</v>
      </c>
      <c r="D9" s="83"/>
      <c r="E9" s="83">
        <v>300</v>
      </c>
      <c r="F9" s="83">
        <v>300</v>
      </c>
      <c r="G9" s="83">
        <v>100</v>
      </c>
      <c r="H9" s="83"/>
      <c r="I9" s="83"/>
      <c r="J9" s="79">
        <f t="shared" si="2"/>
        <v>1000</v>
      </c>
      <c r="K9" s="80"/>
    </row>
    <row r="10" spans="1:12" ht="20.100000000000001" customHeight="1" x14ac:dyDescent="0.3">
      <c r="A10" s="117">
        <f t="shared" si="3"/>
        <v>7</v>
      </c>
      <c r="B10" s="78" t="s">
        <v>356</v>
      </c>
      <c r="C10" s="83"/>
      <c r="D10" s="83"/>
      <c r="E10" s="83">
        <f>24+12</f>
        <v>36</v>
      </c>
      <c r="F10" s="83"/>
      <c r="G10" s="83"/>
      <c r="H10" s="83"/>
      <c r="I10" s="83"/>
      <c r="J10" s="79">
        <f t="shared" si="2"/>
        <v>36</v>
      </c>
      <c r="K10" s="80"/>
    </row>
    <row r="11" spans="1:12" ht="20.100000000000001" customHeight="1" x14ac:dyDescent="0.3">
      <c r="A11" s="117">
        <f t="shared" si="3"/>
        <v>8</v>
      </c>
      <c r="B11" s="78" t="s">
        <v>349</v>
      </c>
      <c r="C11" s="83"/>
      <c r="D11" s="83"/>
      <c r="E11" s="83">
        <v>100</v>
      </c>
      <c r="F11" s="83"/>
      <c r="G11" s="83"/>
      <c r="H11" s="83"/>
      <c r="I11" s="83"/>
      <c r="J11" s="79">
        <f t="shared" si="2"/>
        <v>100</v>
      </c>
      <c r="K11" s="80"/>
    </row>
    <row r="12" spans="1:12" ht="20.100000000000001" customHeight="1" x14ac:dyDescent="0.3">
      <c r="A12" s="117">
        <f t="shared" si="3"/>
        <v>9</v>
      </c>
      <c r="B12" s="78" t="s">
        <v>350</v>
      </c>
      <c r="C12" s="83"/>
      <c r="D12" s="83"/>
      <c r="E12" s="83"/>
      <c r="F12" s="83"/>
      <c r="G12" s="83">
        <v>100</v>
      </c>
      <c r="H12" s="83"/>
      <c r="I12" s="83"/>
      <c r="J12" s="79">
        <f t="shared" si="2"/>
        <v>100</v>
      </c>
      <c r="K12" s="80"/>
    </row>
    <row r="13" spans="1:12" ht="20.100000000000001" customHeight="1" x14ac:dyDescent="0.3">
      <c r="A13" s="117">
        <f t="shared" si="3"/>
        <v>10</v>
      </c>
      <c r="B13" s="78" t="s">
        <v>45</v>
      </c>
      <c r="C13" s="83">
        <v>200</v>
      </c>
      <c r="D13" s="83"/>
      <c r="E13" s="83"/>
      <c r="F13" s="83"/>
      <c r="G13" s="83"/>
      <c r="H13" s="83"/>
      <c r="I13" s="83"/>
      <c r="J13" s="79">
        <f t="shared" si="2"/>
        <v>200</v>
      </c>
      <c r="K13" s="80"/>
    </row>
    <row r="14" spans="1:12" ht="20.100000000000001" customHeight="1" x14ac:dyDescent="0.3">
      <c r="A14" s="117">
        <f t="shared" si="3"/>
        <v>11</v>
      </c>
      <c r="B14" s="78" t="s">
        <v>43</v>
      </c>
      <c r="C14" s="83">
        <f>180+50</f>
        <v>230</v>
      </c>
      <c r="D14" s="83">
        <f>4*45</f>
        <v>180</v>
      </c>
      <c r="E14" s="83">
        <v>85</v>
      </c>
      <c r="F14" s="83">
        <v>55</v>
      </c>
      <c r="G14" s="83"/>
      <c r="H14" s="83"/>
      <c r="I14" s="83"/>
      <c r="J14" s="79">
        <f t="shared" si="2"/>
        <v>550</v>
      </c>
      <c r="K14" s="80"/>
    </row>
    <row r="15" spans="1:12" ht="20.100000000000001" customHeight="1" x14ac:dyDescent="0.3">
      <c r="A15" s="117">
        <f t="shared" si="3"/>
        <v>12</v>
      </c>
      <c r="B15" s="78" t="s">
        <v>86</v>
      </c>
      <c r="C15" s="83">
        <v>200</v>
      </c>
      <c r="D15" s="83"/>
      <c r="E15" s="83"/>
      <c r="F15" s="83"/>
      <c r="G15" s="83"/>
      <c r="H15" s="83"/>
      <c r="I15" s="83"/>
      <c r="J15" s="79">
        <f t="shared" ref="J15" si="4">SUM(C15:I15)</f>
        <v>200</v>
      </c>
      <c r="K15" s="80"/>
    </row>
    <row r="16" spans="1:12" ht="20.100000000000001" customHeight="1" x14ac:dyDescent="0.3">
      <c r="A16" s="117">
        <f t="shared" si="3"/>
        <v>13</v>
      </c>
      <c r="B16" s="78" t="s">
        <v>47</v>
      </c>
      <c r="C16" s="83">
        <f>14+14+15</f>
        <v>43</v>
      </c>
      <c r="D16" s="84">
        <v>45</v>
      </c>
      <c r="E16" s="84"/>
      <c r="F16" s="84"/>
      <c r="G16" s="84">
        <v>45</v>
      </c>
      <c r="H16" s="84"/>
      <c r="I16" s="84">
        <v>124</v>
      </c>
      <c r="J16" s="79">
        <f>SUM(C16:I16)</f>
        <v>257</v>
      </c>
      <c r="K16" s="80"/>
      <c r="L16" t="s">
        <v>359</v>
      </c>
    </row>
    <row r="17" spans="1:14" ht="20.100000000000001" customHeight="1" x14ac:dyDescent="0.3">
      <c r="A17" s="117">
        <f t="shared" si="3"/>
        <v>14</v>
      </c>
      <c r="B17" s="78" t="s">
        <v>48</v>
      </c>
      <c r="C17" s="84">
        <v>15</v>
      </c>
      <c r="D17" s="84">
        <f>70+40</f>
        <v>110</v>
      </c>
      <c r="E17" s="84"/>
      <c r="F17" s="84">
        <v>15</v>
      </c>
      <c r="G17" s="84">
        <f>24+45</f>
        <v>69</v>
      </c>
      <c r="H17" s="84"/>
      <c r="I17" s="84"/>
      <c r="J17" s="79">
        <f t="shared" ref="J17" si="5">SUM(C17:I17)</f>
        <v>209</v>
      </c>
      <c r="K17" s="80"/>
    </row>
    <row r="18" spans="1:14" ht="20.100000000000001" customHeight="1" x14ac:dyDescent="0.3">
      <c r="A18" s="112"/>
      <c r="B18" s="113"/>
      <c r="C18" s="114"/>
      <c r="D18" s="114"/>
      <c r="E18" s="114"/>
      <c r="F18" s="114"/>
      <c r="G18" s="114"/>
      <c r="H18" s="114"/>
      <c r="I18" s="114"/>
      <c r="J18" s="115">
        <f>SUM(J4:J17)</f>
        <v>3237</v>
      </c>
      <c r="K18" s="89"/>
    </row>
    <row r="19" spans="1:14" ht="20.100000000000001" customHeight="1" x14ac:dyDescent="0.3">
      <c r="A19" s="112"/>
      <c r="B19" s="113"/>
      <c r="C19" s="114"/>
      <c r="D19" s="114"/>
      <c r="E19" s="114"/>
      <c r="F19" s="114"/>
      <c r="G19" s="114"/>
      <c r="H19" s="114"/>
      <c r="I19" s="114"/>
      <c r="J19" s="115"/>
      <c r="K19" s="89"/>
    </row>
    <row r="20" spans="1:14" ht="20.100000000000001" customHeight="1" x14ac:dyDescent="0.25">
      <c r="A20" s="117"/>
      <c r="B20" s="74" t="s">
        <v>2</v>
      </c>
      <c r="C20" s="121" t="s">
        <v>10</v>
      </c>
      <c r="D20" s="121"/>
      <c r="E20" s="121" t="s">
        <v>11</v>
      </c>
      <c r="F20" s="121"/>
      <c r="G20" s="112"/>
      <c r="H20" s="116"/>
      <c r="I20" s="116"/>
      <c r="J20" s="116"/>
      <c r="K20" s="116"/>
    </row>
    <row r="21" spans="1:14" ht="20.100000000000001" customHeight="1" x14ac:dyDescent="0.3">
      <c r="A21" s="117"/>
      <c r="B21" s="78" t="s">
        <v>152</v>
      </c>
      <c r="C21" s="122">
        <v>2995</v>
      </c>
      <c r="D21" s="122"/>
      <c r="E21" s="121"/>
      <c r="F21" s="121"/>
      <c r="G21" s="114"/>
      <c r="H21" s="114"/>
      <c r="I21" s="114"/>
      <c r="J21" s="115"/>
      <c r="K21" s="89"/>
    </row>
    <row r="22" spans="1:14" ht="20.100000000000001" customHeight="1" x14ac:dyDescent="0.3">
      <c r="A22" s="117"/>
      <c r="B22" s="78" t="s">
        <v>57</v>
      </c>
      <c r="C22" s="122">
        <v>1475</v>
      </c>
      <c r="D22" s="122"/>
      <c r="E22" s="121"/>
      <c r="F22" s="121"/>
      <c r="G22" s="114"/>
      <c r="H22" s="114"/>
      <c r="I22" s="114"/>
      <c r="J22" s="115"/>
      <c r="K22" s="89"/>
    </row>
    <row r="23" spans="1:14" ht="20.100000000000001" customHeight="1" x14ac:dyDescent="0.3">
      <c r="A23" s="117"/>
      <c r="B23" s="78" t="s">
        <v>352</v>
      </c>
      <c r="C23" s="122">
        <v>720</v>
      </c>
      <c r="D23" s="122"/>
      <c r="E23" s="121"/>
      <c r="F23" s="121"/>
      <c r="G23" s="114"/>
      <c r="H23" s="114"/>
      <c r="I23" s="114"/>
      <c r="J23" s="115"/>
      <c r="K23" s="89"/>
    </row>
    <row r="24" spans="1:14" ht="20.100000000000001" customHeight="1" x14ac:dyDescent="0.3">
      <c r="A24" s="117"/>
      <c r="B24" s="78" t="s">
        <v>353</v>
      </c>
      <c r="C24" s="122">
        <v>810</v>
      </c>
      <c r="D24" s="122"/>
      <c r="E24" s="121"/>
      <c r="F24" s="121"/>
      <c r="G24" s="114"/>
      <c r="H24" s="114"/>
      <c r="I24" s="114"/>
      <c r="J24" s="115"/>
      <c r="K24" s="89"/>
    </row>
    <row r="25" spans="1:14" ht="20.100000000000001" customHeight="1" x14ac:dyDescent="0.3">
      <c r="A25" s="117"/>
      <c r="B25" s="78" t="s">
        <v>354</v>
      </c>
      <c r="C25" s="122">
        <v>1620</v>
      </c>
      <c r="D25" s="122"/>
      <c r="E25" s="121"/>
      <c r="F25" s="121"/>
      <c r="G25" s="114"/>
      <c r="H25" s="114"/>
      <c r="I25" s="114"/>
      <c r="J25" s="115"/>
      <c r="K25" s="89"/>
    </row>
    <row r="26" spans="1:14" ht="20.100000000000001" customHeight="1" x14ac:dyDescent="0.3">
      <c r="A26" s="112"/>
      <c r="B26" s="113"/>
      <c r="C26" s="114"/>
      <c r="D26" s="114"/>
      <c r="E26" s="114"/>
      <c r="F26" s="114"/>
      <c r="G26" s="114"/>
      <c r="H26" s="114"/>
      <c r="I26" s="114"/>
      <c r="J26" s="115"/>
      <c r="K26" s="89"/>
    </row>
    <row r="27" spans="1:14" ht="21" x14ac:dyDescent="0.35">
      <c r="A27" s="71"/>
      <c r="B27" s="92" t="s">
        <v>54</v>
      </c>
      <c r="C27" s="93"/>
      <c r="D27" s="94"/>
      <c r="E27" s="95"/>
      <c r="F27" s="95"/>
      <c r="G27" s="95"/>
      <c r="H27" s="95"/>
      <c r="I27" s="96"/>
      <c r="J27" s="97"/>
      <c r="K27" s="71"/>
    </row>
    <row r="28" spans="1:14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</row>
    <row r="29" spans="1:14" ht="15.75" x14ac:dyDescent="0.25">
      <c r="A29" s="71"/>
      <c r="B29" s="71" t="s">
        <v>55</v>
      </c>
      <c r="C29" s="108">
        <f>SUM(C30:C34)</f>
        <v>32</v>
      </c>
      <c r="D29" s="99">
        <f>+C29*100</f>
        <v>3200</v>
      </c>
      <c r="E29" s="99">
        <f>+D29*0.1</f>
        <v>320</v>
      </c>
      <c r="F29" s="99">
        <f>+D29-E29</f>
        <v>2880</v>
      </c>
      <c r="G29" s="100"/>
      <c r="H29" s="100"/>
      <c r="I29" s="71"/>
      <c r="J29" s="71"/>
      <c r="K29" s="71"/>
      <c r="N29" s="42"/>
    </row>
    <row r="30" spans="1:14" ht="15.75" x14ac:dyDescent="0.25">
      <c r="A30" s="71"/>
      <c r="B30" s="71"/>
      <c r="C30" s="106">
        <v>10</v>
      </c>
      <c r="D30" s="99"/>
      <c r="E30" s="99"/>
      <c r="F30" s="99">
        <f>15*4</f>
        <v>60</v>
      </c>
      <c r="G30" s="100"/>
      <c r="H30" s="100"/>
      <c r="I30" s="71"/>
      <c r="J30" s="71"/>
      <c r="K30" s="71"/>
      <c r="N30" s="42"/>
    </row>
    <row r="31" spans="1:14" x14ac:dyDescent="0.25">
      <c r="A31" s="71"/>
      <c r="B31" s="71"/>
      <c r="C31" s="107">
        <v>10</v>
      </c>
      <c r="D31" s="99"/>
      <c r="E31" s="99"/>
      <c r="F31" s="99">
        <f>40+15</f>
        <v>55</v>
      </c>
      <c r="G31" s="100"/>
      <c r="H31" s="100"/>
      <c r="I31" s="71"/>
      <c r="J31" s="71"/>
      <c r="K31" s="71"/>
      <c r="N31" s="42"/>
    </row>
    <row r="32" spans="1:14" x14ac:dyDescent="0.25">
      <c r="A32" s="71"/>
      <c r="B32" s="71"/>
      <c r="C32" s="107">
        <v>5</v>
      </c>
      <c r="D32" s="99"/>
      <c r="E32" s="99"/>
      <c r="F32" s="99">
        <f>+F31+F30+F29</f>
        <v>2995</v>
      </c>
      <c r="G32" s="100"/>
      <c r="H32" s="100"/>
      <c r="I32" s="99">
        <f>+J18</f>
        <v>3237</v>
      </c>
      <c r="J32" s="71"/>
      <c r="K32" s="71"/>
      <c r="N32" s="42"/>
    </row>
    <row r="33" spans="1:14" x14ac:dyDescent="0.25">
      <c r="A33" s="71"/>
      <c r="B33" s="71"/>
      <c r="C33" s="107">
        <v>5</v>
      </c>
      <c r="D33" s="99"/>
      <c r="E33" s="99"/>
      <c r="F33" s="99">
        <f>+F32+80</f>
        <v>3075</v>
      </c>
      <c r="G33" s="100"/>
      <c r="H33" s="100"/>
      <c r="I33" s="103">
        <f>+F32+F39+F43+F49+F56</f>
        <v>7620</v>
      </c>
      <c r="J33" s="71"/>
      <c r="K33" s="71"/>
      <c r="N33" s="42"/>
    </row>
    <row r="34" spans="1:14" x14ac:dyDescent="0.25">
      <c r="A34" s="71"/>
      <c r="B34" s="71" t="s">
        <v>355</v>
      </c>
      <c r="C34" s="107">
        <v>2</v>
      </c>
      <c r="D34" s="99"/>
      <c r="E34" s="99"/>
      <c r="F34" s="99">
        <f>F33-2500</f>
        <v>575</v>
      </c>
      <c r="G34" s="100"/>
      <c r="H34" s="100"/>
      <c r="I34" s="99"/>
      <c r="J34" s="71"/>
      <c r="K34" s="103">
        <f>+I32+I33</f>
        <v>10857</v>
      </c>
      <c r="N34" s="42"/>
    </row>
    <row r="35" spans="1:14" x14ac:dyDescent="0.25">
      <c r="A35" s="71"/>
      <c r="B35" s="71"/>
      <c r="C35" s="107"/>
      <c r="D35" s="99"/>
      <c r="E35" s="99"/>
      <c r="F35" s="99"/>
      <c r="G35" s="100"/>
      <c r="H35" s="100"/>
      <c r="I35" s="99">
        <f>800+860+625+720+780</f>
        <v>3785</v>
      </c>
      <c r="J35" s="71"/>
      <c r="K35" s="103">
        <f>+I35+K34</f>
        <v>14642</v>
      </c>
      <c r="N35" s="42"/>
    </row>
    <row r="36" spans="1:14" x14ac:dyDescent="0.25">
      <c r="A36" s="71"/>
      <c r="B36" s="71"/>
      <c r="C36" s="107"/>
      <c r="D36" s="99"/>
      <c r="E36" s="99"/>
      <c r="F36" s="99"/>
      <c r="G36" s="100"/>
      <c r="H36" s="100"/>
      <c r="I36" s="71"/>
      <c r="J36" s="71"/>
      <c r="K36" s="71"/>
      <c r="N36" s="42"/>
    </row>
    <row r="37" spans="1:14" ht="15.75" x14ac:dyDescent="0.25">
      <c r="A37" s="71"/>
      <c r="B37" s="71" t="s">
        <v>57</v>
      </c>
      <c r="C37" s="108">
        <f>SUM(C38:C40)</f>
        <v>15</v>
      </c>
      <c r="D37" s="99">
        <f t="shared" ref="D37:D56" si="6">+C37*100</f>
        <v>1500</v>
      </c>
      <c r="E37" s="99">
        <f t="shared" ref="E37:E56" si="7">+D37*0.1</f>
        <v>150</v>
      </c>
      <c r="F37" s="99">
        <f t="shared" ref="F37:F56" si="8">+D37-E37</f>
        <v>1350</v>
      </c>
      <c r="G37" s="71"/>
      <c r="H37" s="71"/>
      <c r="I37" s="71"/>
      <c r="J37" s="71"/>
      <c r="K37" s="71"/>
    </row>
    <row r="38" spans="1:14" x14ac:dyDescent="0.25">
      <c r="A38" s="71"/>
      <c r="B38" s="71"/>
      <c r="C38" s="109">
        <v>10</v>
      </c>
      <c r="D38" s="99"/>
      <c r="E38" s="99"/>
      <c r="F38" s="99">
        <f>45+80</f>
        <v>125</v>
      </c>
      <c r="G38" s="71"/>
      <c r="H38" s="71"/>
      <c r="I38" s="71"/>
      <c r="J38" s="71"/>
      <c r="K38" s="71"/>
    </row>
    <row r="39" spans="1:14" x14ac:dyDescent="0.25">
      <c r="A39" s="71"/>
      <c r="B39" s="71"/>
      <c r="C39" s="109">
        <v>5</v>
      </c>
      <c r="D39" s="99"/>
      <c r="E39" s="99"/>
      <c r="F39" s="99">
        <f>+F38+F37</f>
        <v>1475</v>
      </c>
      <c r="G39" s="71"/>
      <c r="H39" s="71"/>
      <c r="I39" s="71"/>
      <c r="J39" s="71"/>
      <c r="K39" s="71"/>
    </row>
    <row r="40" spans="1:14" x14ac:dyDescent="0.25">
      <c r="A40" s="71"/>
      <c r="B40" s="71"/>
      <c r="C40" s="109"/>
      <c r="D40" s="99"/>
      <c r="E40" s="99"/>
      <c r="F40" s="99"/>
      <c r="G40" s="71"/>
      <c r="H40" s="71"/>
      <c r="I40" s="71"/>
      <c r="J40" s="71"/>
      <c r="K40" s="71"/>
    </row>
    <row r="41" spans="1:14" x14ac:dyDescent="0.25">
      <c r="A41" s="71"/>
      <c r="B41" s="71"/>
      <c r="C41" s="109"/>
      <c r="D41" s="99"/>
      <c r="E41" s="99"/>
      <c r="F41" s="99"/>
      <c r="G41" s="71"/>
      <c r="H41" s="71"/>
      <c r="I41" s="71"/>
      <c r="J41" s="71"/>
      <c r="K41" s="71"/>
    </row>
    <row r="42" spans="1:14" x14ac:dyDescent="0.25">
      <c r="A42" s="71"/>
      <c r="B42" s="71"/>
      <c r="C42" s="109"/>
      <c r="D42" s="99"/>
      <c r="E42" s="99"/>
      <c r="F42" s="99"/>
      <c r="G42" s="71"/>
      <c r="H42" s="71"/>
      <c r="I42" s="71"/>
      <c r="J42" s="71"/>
      <c r="K42" s="71"/>
    </row>
    <row r="43" spans="1:14" ht="15.75" x14ac:dyDescent="0.25">
      <c r="A43" s="71"/>
      <c r="B43" s="71" t="s">
        <v>59</v>
      </c>
      <c r="C43" s="108">
        <f>SUM(C44:C45)</f>
        <v>8</v>
      </c>
      <c r="D43" s="99">
        <f t="shared" si="6"/>
        <v>800</v>
      </c>
      <c r="E43" s="99">
        <f t="shared" si="7"/>
        <v>80</v>
      </c>
      <c r="F43" s="99">
        <f t="shared" si="8"/>
        <v>720</v>
      </c>
      <c r="G43" s="71"/>
      <c r="H43" s="71"/>
      <c r="I43" s="71"/>
      <c r="J43" s="71"/>
      <c r="K43" s="71"/>
    </row>
    <row r="44" spans="1:14" x14ac:dyDescent="0.25">
      <c r="A44" s="71"/>
      <c r="B44" s="71"/>
      <c r="C44" s="109">
        <v>5</v>
      </c>
      <c r="D44" s="99"/>
      <c r="E44" s="104"/>
      <c r="F44" s="99"/>
      <c r="G44" s="71"/>
      <c r="H44" s="71"/>
      <c r="I44" s="71"/>
      <c r="J44" s="71"/>
      <c r="K44" s="71"/>
    </row>
    <row r="45" spans="1:14" x14ac:dyDescent="0.25">
      <c r="A45" s="71"/>
      <c r="B45" s="71"/>
      <c r="C45" s="109">
        <v>3</v>
      </c>
      <c r="D45" s="99"/>
      <c r="E45" s="99"/>
      <c r="F45" s="99"/>
      <c r="G45" s="71"/>
      <c r="H45" s="71"/>
      <c r="I45" s="71"/>
      <c r="J45" s="71"/>
      <c r="K45" s="71"/>
    </row>
    <row r="46" spans="1:14" x14ac:dyDescent="0.25">
      <c r="A46" s="71"/>
      <c r="C46" s="55"/>
      <c r="D46" s="99"/>
      <c r="E46" s="99"/>
      <c r="F46" s="99"/>
      <c r="G46" s="71"/>
      <c r="H46" s="71"/>
      <c r="I46" s="71"/>
      <c r="J46" s="71"/>
      <c r="K46" s="71"/>
    </row>
    <row r="47" spans="1:14" x14ac:dyDescent="0.25">
      <c r="A47" s="71"/>
      <c r="B47" s="71"/>
      <c r="C47" s="109"/>
      <c r="D47" s="99"/>
      <c r="E47" s="99"/>
      <c r="F47" s="99"/>
      <c r="G47" s="71"/>
      <c r="H47" s="71"/>
      <c r="I47" s="71"/>
      <c r="J47" s="71"/>
      <c r="K47" s="71"/>
    </row>
    <row r="48" spans="1:14" x14ac:dyDescent="0.25">
      <c r="A48" s="71"/>
      <c r="B48" s="71"/>
      <c r="C48" s="109"/>
      <c r="D48" s="99"/>
      <c r="E48" s="99"/>
      <c r="F48" s="99"/>
      <c r="G48" s="71"/>
      <c r="H48" s="71"/>
      <c r="I48" s="100"/>
      <c r="J48" s="71"/>
      <c r="K48" s="71"/>
    </row>
    <row r="49" spans="1:13" ht="15.75" x14ac:dyDescent="0.25">
      <c r="A49" s="71"/>
      <c r="B49" s="71" t="s">
        <v>61</v>
      </c>
      <c r="C49" s="108">
        <f>SUM(C50:C54)</f>
        <v>9</v>
      </c>
      <c r="D49" s="99">
        <f t="shared" si="6"/>
        <v>900</v>
      </c>
      <c r="E49" s="99">
        <f t="shared" si="7"/>
        <v>90</v>
      </c>
      <c r="F49" s="99">
        <f t="shared" si="8"/>
        <v>810</v>
      </c>
      <c r="G49" s="71"/>
      <c r="H49" s="71"/>
      <c r="I49" s="100"/>
      <c r="J49" s="100"/>
      <c r="K49" s="99"/>
      <c r="L49" s="1"/>
      <c r="M49" s="1"/>
    </row>
    <row r="50" spans="1:13" x14ac:dyDescent="0.25">
      <c r="A50" s="71"/>
      <c r="B50" s="71" t="s">
        <v>305</v>
      </c>
      <c r="C50" s="109">
        <v>3</v>
      </c>
      <c r="D50" s="99"/>
      <c r="E50" s="99"/>
      <c r="F50" s="99"/>
      <c r="G50" s="71"/>
      <c r="H50" s="71"/>
      <c r="I50" s="71"/>
      <c r="J50" s="71"/>
      <c r="K50" s="71"/>
      <c r="M50" s="1"/>
    </row>
    <row r="51" spans="1:13" x14ac:dyDescent="0.25">
      <c r="A51" s="71"/>
      <c r="B51" s="71"/>
      <c r="C51" s="109">
        <v>1</v>
      </c>
      <c r="D51" s="99"/>
      <c r="E51" s="99"/>
      <c r="F51" s="99"/>
      <c r="G51" s="71"/>
      <c r="H51" s="71"/>
      <c r="I51" s="71"/>
      <c r="J51" s="71"/>
      <c r="K51" s="71"/>
      <c r="M51" s="13"/>
    </row>
    <row r="52" spans="1:13" x14ac:dyDescent="0.25">
      <c r="A52" s="71"/>
      <c r="B52" s="71"/>
      <c r="C52" s="109">
        <v>3</v>
      </c>
      <c r="D52" s="99"/>
      <c r="E52" s="99"/>
      <c r="F52" s="99"/>
      <c r="G52" s="71"/>
      <c r="H52" s="71"/>
      <c r="I52" s="71"/>
      <c r="J52" s="71"/>
      <c r="K52" s="71"/>
      <c r="M52" s="13"/>
    </row>
    <row r="53" spans="1:13" x14ac:dyDescent="0.25">
      <c r="A53" s="71"/>
      <c r="B53" s="71"/>
      <c r="C53" s="109">
        <v>1</v>
      </c>
      <c r="D53" s="99"/>
      <c r="E53" s="99"/>
      <c r="F53" s="99"/>
      <c r="G53" s="71"/>
      <c r="H53" s="71"/>
      <c r="I53" s="71"/>
      <c r="J53" s="71"/>
      <c r="K53" s="71"/>
    </row>
    <row r="54" spans="1:13" x14ac:dyDescent="0.25">
      <c r="A54" s="71"/>
      <c r="B54" s="71"/>
      <c r="C54" s="109">
        <v>1</v>
      </c>
      <c r="D54" s="99"/>
      <c r="E54" s="99"/>
      <c r="F54" s="99"/>
      <c r="G54" s="71"/>
      <c r="H54" s="71"/>
      <c r="I54" s="71"/>
      <c r="J54" s="71"/>
      <c r="K54" s="71"/>
      <c r="M54" s="13"/>
    </row>
    <row r="55" spans="1:13" x14ac:dyDescent="0.25">
      <c r="A55" s="71"/>
      <c r="B55" s="71"/>
      <c r="C55" s="109"/>
      <c r="D55" s="99"/>
      <c r="E55" s="99"/>
      <c r="F55" s="99"/>
      <c r="G55" s="71"/>
      <c r="H55" s="71"/>
      <c r="I55" s="71"/>
      <c r="J55" s="102"/>
      <c r="K55" s="71"/>
    </row>
    <row r="56" spans="1:13" ht="15.75" x14ac:dyDescent="0.25">
      <c r="A56" s="71"/>
      <c r="B56" s="71" t="s">
        <v>63</v>
      </c>
      <c r="C56" s="108">
        <f>SUM(C57:C61)</f>
        <v>18</v>
      </c>
      <c r="D56" s="99">
        <f t="shared" si="6"/>
        <v>1800</v>
      </c>
      <c r="E56" s="99">
        <f t="shared" si="7"/>
        <v>180</v>
      </c>
      <c r="F56" s="99">
        <f t="shared" si="8"/>
        <v>1620</v>
      </c>
      <c r="G56" s="71"/>
      <c r="H56" s="71"/>
      <c r="I56" s="71"/>
      <c r="J56" s="71"/>
      <c r="K56" s="71"/>
    </row>
    <row r="57" spans="1:13" x14ac:dyDescent="0.25">
      <c r="A57" s="71"/>
      <c r="B57" s="71" t="s">
        <v>358</v>
      </c>
      <c r="C57" s="107">
        <v>5</v>
      </c>
      <c r="D57" s="103"/>
      <c r="E57" s="103"/>
      <c r="F57" s="103"/>
      <c r="G57" s="71"/>
      <c r="H57" s="71"/>
      <c r="I57" s="100"/>
      <c r="J57" s="71"/>
      <c r="K57" s="71"/>
    </row>
    <row r="58" spans="1:13" x14ac:dyDescent="0.25">
      <c r="A58" s="71"/>
      <c r="B58" s="71" t="s">
        <v>4</v>
      </c>
      <c r="C58" s="107">
        <v>12</v>
      </c>
      <c r="D58" s="103"/>
      <c r="E58" s="103"/>
      <c r="F58" s="103"/>
      <c r="G58" s="71"/>
      <c r="H58" s="71"/>
      <c r="I58" s="100"/>
      <c r="J58" s="71"/>
      <c r="K58" s="71"/>
    </row>
    <row r="59" spans="1:13" x14ac:dyDescent="0.25">
      <c r="A59" s="71"/>
      <c r="B59" s="71" t="s">
        <v>296</v>
      </c>
      <c r="C59" s="107">
        <v>1</v>
      </c>
      <c r="D59" s="103"/>
      <c r="E59" s="103"/>
      <c r="F59" s="103"/>
      <c r="G59" s="71"/>
      <c r="H59" s="71"/>
      <c r="I59" s="100"/>
      <c r="J59" s="71"/>
      <c r="K59" s="71"/>
    </row>
    <row r="60" spans="1:13" x14ac:dyDescent="0.25">
      <c r="A60" s="71"/>
      <c r="B60" s="71"/>
      <c r="C60" s="107"/>
      <c r="D60" s="103"/>
      <c r="E60" s="103"/>
      <c r="F60" s="103"/>
      <c r="G60" s="71"/>
      <c r="H60" s="71"/>
      <c r="I60" s="100"/>
      <c r="J60" s="71"/>
      <c r="K60" s="71"/>
    </row>
    <row r="61" spans="1:13" x14ac:dyDescent="0.25">
      <c r="A61" s="71"/>
      <c r="B61" s="71"/>
      <c r="C61" s="109"/>
      <c r="D61" s="71"/>
      <c r="E61" s="71"/>
      <c r="F61" s="71"/>
      <c r="G61" s="71"/>
      <c r="H61" s="71"/>
      <c r="I61" s="71"/>
      <c r="J61" s="71"/>
      <c r="K61" s="71"/>
    </row>
    <row r="62" spans="1:13" x14ac:dyDescent="0.25">
      <c r="A62" s="71"/>
      <c r="B62" s="71"/>
      <c r="C62" s="109"/>
      <c r="D62" s="71"/>
      <c r="E62" s="71"/>
      <c r="F62" s="71"/>
      <c r="G62" s="71"/>
      <c r="H62" s="71"/>
      <c r="I62" s="71"/>
      <c r="J62" s="71"/>
      <c r="K62" s="71"/>
    </row>
    <row r="63" spans="1:13" x14ac:dyDescent="0.25">
      <c r="A63" s="71"/>
      <c r="B63" s="71"/>
      <c r="C63" s="109"/>
      <c r="D63" s="71"/>
      <c r="E63" s="71"/>
      <c r="F63" s="71"/>
      <c r="G63" s="71"/>
      <c r="H63" s="71"/>
      <c r="I63" s="71"/>
      <c r="J63" s="71"/>
      <c r="K63" s="71"/>
    </row>
    <row r="64" spans="1:13" ht="15.75" x14ac:dyDescent="0.25">
      <c r="A64" s="71"/>
      <c r="B64" s="71"/>
      <c r="C64" s="108"/>
      <c r="D64" s="71"/>
      <c r="E64" s="71"/>
      <c r="F64" s="71"/>
      <c r="G64" s="71"/>
      <c r="H64" s="71"/>
      <c r="I64" s="71"/>
      <c r="J64" s="71"/>
      <c r="K64" s="71"/>
    </row>
    <row r="65" spans="1:11" ht="15.75" x14ac:dyDescent="0.25">
      <c r="A65" s="71"/>
      <c r="B65" s="71"/>
      <c r="C65" s="106"/>
      <c r="D65" s="99"/>
      <c r="E65" s="99"/>
      <c r="F65" s="99"/>
      <c r="G65" s="71"/>
      <c r="H65" s="71"/>
      <c r="I65" s="71"/>
      <c r="J65" s="71"/>
      <c r="K65" s="71"/>
    </row>
    <row r="66" spans="1:11" x14ac:dyDescent="0.25">
      <c r="A66" s="71"/>
      <c r="B66" s="71"/>
      <c r="C66" s="109"/>
      <c r="D66" s="71"/>
      <c r="E66" s="71"/>
      <c r="F66" s="100"/>
      <c r="G66" s="71"/>
      <c r="H66" s="100"/>
      <c r="I66" s="71"/>
      <c r="J66" s="71"/>
      <c r="K66" s="71"/>
    </row>
    <row r="67" spans="1:11" x14ac:dyDescent="0.25">
      <c r="A67" s="71"/>
      <c r="B67" s="71"/>
      <c r="C67" s="109"/>
      <c r="D67" s="71"/>
      <c r="E67" s="71"/>
      <c r="F67" s="100"/>
      <c r="G67" s="71"/>
      <c r="H67" s="100"/>
      <c r="I67" s="71"/>
      <c r="J67" s="71"/>
      <c r="K67" s="71"/>
    </row>
    <row r="68" spans="1:11" x14ac:dyDescent="0.25">
      <c r="A68" s="71"/>
      <c r="B68" s="71"/>
      <c r="C68" s="109"/>
      <c r="D68" s="71"/>
      <c r="E68" s="71"/>
      <c r="F68" s="100"/>
      <c r="G68" s="71"/>
      <c r="H68" s="100"/>
      <c r="I68" s="71"/>
      <c r="J68" s="71"/>
      <c r="K68" s="71"/>
    </row>
    <row r="69" spans="1:11" x14ac:dyDescent="0.25">
      <c r="A69" s="71"/>
      <c r="B69" s="71"/>
      <c r="C69" s="107"/>
      <c r="D69" s="99"/>
      <c r="E69" s="99"/>
      <c r="F69" s="99"/>
      <c r="G69" s="71"/>
      <c r="H69" s="71"/>
      <c r="I69" s="71"/>
      <c r="J69" s="71"/>
      <c r="K69" s="71"/>
    </row>
    <row r="70" spans="1:11" x14ac:dyDescent="0.25">
      <c r="A70" s="71"/>
      <c r="B70" s="71"/>
      <c r="C70" s="107"/>
      <c r="D70" s="99"/>
      <c r="E70" s="99"/>
      <c r="F70" s="99"/>
      <c r="G70" s="71"/>
      <c r="H70" s="71"/>
      <c r="I70" s="71"/>
      <c r="J70" s="71"/>
      <c r="K70" s="71"/>
    </row>
    <row r="71" spans="1:11" x14ac:dyDescent="0.25">
      <c r="A71" s="71"/>
      <c r="B71" s="71"/>
      <c r="C71" s="107"/>
      <c r="D71" s="71"/>
      <c r="E71" s="71"/>
      <c r="F71" s="103"/>
      <c r="G71" s="71"/>
      <c r="H71" s="71"/>
      <c r="I71" s="71"/>
      <c r="J71" s="71"/>
      <c r="K71" s="71"/>
    </row>
    <row r="72" spans="1:1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</row>
    <row r="73" spans="1:11" x14ac:dyDescent="0.25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</row>
  </sheetData>
  <mergeCells count="12"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</mergeCells>
  <pageMargins left="0.33" right="0.7" top="0.47" bottom="0.3" header="0.31496062992125984" footer="0.31496062992125984"/>
  <pageSetup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topLeftCell="A19" zoomScaleNormal="100" workbookViewId="0">
      <selection activeCell="K28" sqref="A1:K28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3" width="12.140625" customWidth="1"/>
    <col min="4" max="4" width="11.42578125" customWidth="1"/>
    <col min="5" max="5" width="10.7109375" customWidth="1"/>
    <col min="6" max="6" width="11.42578125" customWidth="1"/>
    <col min="7" max="9" width="10.7109375" customWidth="1"/>
    <col min="10" max="10" width="13.85546875" customWidth="1"/>
    <col min="11" max="11" width="16.5703125" customWidth="1"/>
  </cols>
  <sheetData>
    <row r="1" spans="1:1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26.25" x14ac:dyDescent="0.4">
      <c r="A2" s="71"/>
      <c r="B2" s="72" t="s">
        <v>68</v>
      </c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73" t="s">
        <v>1</v>
      </c>
      <c r="B3" s="74" t="s">
        <v>2</v>
      </c>
      <c r="C3" s="73" t="s">
        <v>3</v>
      </c>
      <c r="D3" s="73" t="s">
        <v>4</v>
      </c>
      <c r="E3" s="73" t="s">
        <v>5</v>
      </c>
      <c r="F3" s="73" t="s">
        <v>6</v>
      </c>
      <c r="G3" s="73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ht="20.100000000000001" customHeight="1" x14ac:dyDescent="0.3">
      <c r="A4" s="73">
        <v>1</v>
      </c>
      <c r="B4" s="78" t="s">
        <v>347</v>
      </c>
      <c r="C4" s="83"/>
      <c r="D4" s="83"/>
      <c r="E4" s="83"/>
      <c r="F4" s="83"/>
      <c r="G4" s="83">
        <v>48</v>
      </c>
      <c r="H4" s="76"/>
      <c r="I4" s="76"/>
      <c r="J4" s="79">
        <f t="shared" ref="J4:J6" si="0">SUM(C4:I4)</f>
        <v>48</v>
      </c>
      <c r="K4" s="77"/>
    </row>
    <row r="5" spans="1:11" ht="20.100000000000001" customHeight="1" x14ac:dyDescent="0.3">
      <c r="A5" s="73">
        <f>1+A4</f>
        <v>2</v>
      </c>
      <c r="B5" s="78" t="s">
        <v>346</v>
      </c>
      <c r="C5" s="83"/>
      <c r="D5" s="83">
        <f>35+10</f>
        <v>45</v>
      </c>
      <c r="E5" s="83"/>
      <c r="F5" s="83"/>
      <c r="G5" s="83"/>
      <c r="H5" s="76"/>
      <c r="I5" s="76"/>
      <c r="J5" s="79">
        <f t="shared" si="0"/>
        <v>45</v>
      </c>
      <c r="K5" s="77"/>
    </row>
    <row r="6" spans="1:11" ht="20.100000000000001" customHeight="1" x14ac:dyDescent="0.3">
      <c r="A6" s="73">
        <f>1+A5</f>
        <v>3</v>
      </c>
      <c r="B6" s="78" t="s">
        <v>35</v>
      </c>
      <c r="C6" s="83"/>
      <c r="D6" s="83">
        <f>47+15</f>
        <v>62</v>
      </c>
      <c r="E6" s="83">
        <f>47+10+15</f>
        <v>72</v>
      </c>
      <c r="F6" s="83"/>
      <c r="G6" s="83"/>
      <c r="H6" s="76"/>
      <c r="I6" s="76"/>
      <c r="J6" s="79">
        <f t="shared" si="0"/>
        <v>134</v>
      </c>
      <c r="K6" s="80"/>
    </row>
    <row r="7" spans="1:11" ht="20.100000000000001" customHeight="1" x14ac:dyDescent="0.3">
      <c r="A7" s="73"/>
      <c r="B7" s="85"/>
      <c r="C7" s="83"/>
      <c r="D7" s="83"/>
      <c r="E7" s="83"/>
      <c r="F7" s="83"/>
      <c r="G7" s="83"/>
      <c r="H7" s="83"/>
      <c r="I7" s="83"/>
      <c r="J7" s="86"/>
      <c r="K7" s="80"/>
    </row>
    <row r="8" spans="1:11" ht="20.100000000000001" customHeight="1" x14ac:dyDescent="0.3">
      <c r="A8" s="73"/>
      <c r="B8" s="85" t="s">
        <v>40</v>
      </c>
      <c r="C8" s="83"/>
      <c r="D8" s="83"/>
      <c r="E8" s="83"/>
      <c r="F8" s="83"/>
      <c r="G8" s="83"/>
      <c r="H8" s="83"/>
      <c r="I8" s="83"/>
      <c r="J8" s="86"/>
      <c r="K8" s="80"/>
    </row>
    <row r="9" spans="1:11" ht="20.100000000000001" customHeight="1" x14ac:dyDescent="0.3">
      <c r="A9" s="73">
        <f>+A6+1</f>
        <v>4</v>
      </c>
      <c r="B9" s="78" t="s">
        <v>46</v>
      </c>
      <c r="C9" s="83"/>
      <c r="D9" s="83"/>
      <c r="E9" s="83"/>
      <c r="F9" s="83"/>
      <c r="G9" s="83"/>
      <c r="H9" s="83">
        <v>24</v>
      </c>
      <c r="I9" s="83"/>
      <c r="J9" s="79">
        <f t="shared" ref="J9:J20" si="1">SUM(C9:I9)</f>
        <v>24</v>
      </c>
      <c r="K9" s="80"/>
    </row>
    <row r="10" spans="1:11" ht="20.100000000000001" customHeight="1" x14ac:dyDescent="0.3">
      <c r="A10" s="73">
        <f>+A9+1</f>
        <v>5</v>
      </c>
      <c r="B10" s="78" t="s">
        <v>41</v>
      </c>
      <c r="C10" s="83"/>
      <c r="D10" s="83"/>
      <c r="E10" s="83"/>
      <c r="F10" s="83"/>
      <c r="G10" s="83">
        <v>27</v>
      </c>
      <c r="H10" s="83"/>
      <c r="I10" s="83"/>
      <c r="J10" s="79">
        <f t="shared" si="1"/>
        <v>27</v>
      </c>
      <c r="K10" s="80"/>
    </row>
    <row r="11" spans="1:11" ht="20.100000000000001" customHeight="1" x14ac:dyDescent="0.3">
      <c r="A11" s="73">
        <f t="shared" ref="A11:A20" si="2">+A10+1</f>
        <v>6</v>
      </c>
      <c r="B11" s="78" t="s">
        <v>336</v>
      </c>
      <c r="C11" s="83">
        <v>100</v>
      </c>
      <c r="D11" s="83"/>
      <c r="E11" s="83"/>
      <c r="F11" s="83"/>
      <c r="G11" s="83"/>
      <c r="H11" s="83"/>
      <c r="I11" s="83"/>
      <c r="J11" s="79">
        <f t="shared" si="1"/>
        <v>100</v>
      </c>
      <c r="K11" s="80"/>
    </row>
    <row r="12" spans="1:11" ht="20.100000000000001" customHeight="1" x14ac:dyDescent="0.3">
      <c r="A12" s="73">
        <f t="shared" si="2"/>
        <v>7</v>
      </c>
      <c r="B12" s="78" t="s">
        <v>129</v>
      </c>
      <c r="C12" s="83">
        <v>300</v>
      </c>
      <c r="D12" s="83">
        <v>300</v>
      </c>
      <c r="E12" s="83"/>
      <c r="F12" s="83">
        <v>300</v>
      </c>
      <c r="G12" s="83">
        <v>300</v>
      </c>
      <c r="H12" s="83"/>
      <c r="I12" s="83"/>
      <c r="J12" s="79">
        <f t="shared" si="1"/>
        <v>1200</v>
      </c>
      <c r="K12" s="80"/>
    </row>
    <row r="13" spans="1:11" ht="20.100000000000001" customHeight="1" x14ac:dyDescent="0.3">
      <c r="A13" s="73">
        <f t="shared" si="2"/>
        <v>8</v>
      </c>
      <c r="B13" s="78" t="s">
        <v>349</v>
      </c>
      <c r="C13" s="83">
        <v>100</v>
      </c>
      <c r="D13" s="83"/>
      <c r="E13" s="83"/>
      <c r="F13" s="83">
        <v>100</v>
      </c>
      <c r="G13" s="83"/>
      <c r="H13" s="83"/>
      <c r="I13" s="83">
        <v>15</v>
      </c>
      <c r="J13" s="79">
        <f t="shared" si="1"/>
        <v>215</v>
      </c>
      <c r="K13" s="80"/>
    </row>
    <row r="14" spans="1:11" ht="20.100000000000001" customHeight="1" x14ac:dyDescent="0.3">
      <c r="A14" s="73">
        <f t="shared" si="2"/>
        <v>9</v>
      </c>
      <c r="B14" s="78" t="s">
        <v>350</v>
      </c>
      <c r="C14" s="83"/>
      <c r="D14" s="83">
        <v>200</v>
      </c>
      <c r="E14" s="83"/>
      <c r="F14" s="83">
        <v>100</v>
      </c>
      <c r="G14" s="83"/>
      <c r="H14" s="83"/>
      <c r="I14" s="83"/>
      <c r="J14" s="79">
        <f t="shared" si="1"/>
        <v>300</v>
      </c>
      <c r="K14" s="80"/>
    </row>
    <row r="15" spans="1:11" ht="20.100000000000001" customHeight="1" x14ac:dyDescent="0.3">
      <c r="A15" s="73">
        <f t="shared" si="2"/>
        <v>10</v>
      </c>
      <c r="B15" s="78" t="s">
        <v>45</v>
      </c>
      <c r="C15" s="83">
        <v>200</v>
      </c>
      <c r="D15" s="83"/>
      <c r="E15" s="83"/>
      <c r="F15" s="83"/>
      <c r="G15" s="83"/>
      <c r="H15" s="83"/>
      <c r="I15" s="83"/>
      <c r="J15" s="79">
        <f t="shared" si="1"/>
        <v>200</v>
      </c>
      <c r="K15" s="80"/>
    </row>
    <row r="16" spans="1:11" ht="20.100000000000001" customHeight="1" x14ac:dyDescent="0.3">
      <c r="A16" s="73">
        <f t="shared" si="2"/>
        <v>11</v>
      </c>
      <c r="B16" s="78" t="s">
        <v>43</v>
      </c>
      <c r="C16" s="83"/>
      <c r="D16" s="83">
        <f>45*2</f>
        <v>90</v>
      </c>
      <c r="E16" s="83">
        <f>90+2+40</f>
        <v>132</v>
      </c>
      <c r="F16" s="83"/>
      <c r="G16" s="83">
        <f>135+14+15</f>
        <v>164</v>
      </c>
      <c r="H16" s="83"/>
      <c r="I16" s="83"/>
      <c r="J16" s="79">
        <f t="shared" si="1"/>
        <v>386</v>
      </c>
      <c r="K16" s="80"/>
    </row>
    <row r="17" spans="1:14" ht="20.100000000000001" customHeight="1" x14ac:dyDescent="0.3">
      <c r="A17" s="73">
        <f t="shared" si="2"/>
        <v>12</v>
      </c>
      <c r="B17" s="78" t="s">
        <v>345</v>
      </c>
      <c r="C17" s="83">
        <f>15+12+10</f>
        <v>37</v>
      </c>
      <c r="D17" s="83"/>
      <c r="E17" s="83"/>
      <c r="F17" s="83"/>
      <c r="G17" s="83"/>
      <c r="H17" s="83"/>
      <c r="I17" s="83">
        <v>54</v>
      </c>
      <c r="J17" s="79">
        <f t="shared" si="1"/>
        <v>91</v>
      </c>
      <c r="K17" s="80"/>
    </row>
    <row r="18" spans="1:14" ht="20.100000000000001" customHeight="1" x14ac:dyDescent="0.3">
      <c r="A18" s="73">
        <f t="shared" si="2"/>
        <v>13</v>
      </c>
      <c r="B18" s="78" t="s">
        <v>86</v>
      </c>
      <c r="C18" s="83"/>
      <c r="D18" s="83"/>
      <c r="E18" s="83"/>
      <c r="F18" s="83">
        <v>100</v>
      </c>
      <c r="G18" s="83"/>
      <c r="H18" s="83"/>
      <c r="I18" s="83"/>
      <c r="J18" s="79">
        <f t="shared" si="1"/>
        <v>100</v>
      </c>
      <c r="K18" s="80"/>
    </row>
    <row r="19" spans="1:14" ht="20.100000000000001" customHeight="1" x14ac:dyDescent="0.3">
      <c r="A19" s="73">
        <f t="shared" si="2"/>
        <v>14</v>
      </c>
      <c r="B19" s="78" t="s">
        <v>47</v>
      </c>
      <c r="C19" s="87">
        <v>45</v>
      </c>
      <c r="D19" s="84"/>
      <c r="E19" s="84"/>
      <c r="F19" s="84"/>
      <c r="G19" s="84">
        <v>45</v>
      </c>
      <c r="H19" s="84"/>
      <c r="I19" s="84">
        <v>124</v>
      </c>
      <c r="J19" s="79">
        <f t="shared" si="1"/>
        <v>214</v>
      </c>
      <c r="K19" s="80"/>
    </row>
    <row r="20" spans="1:14" ht="20.100000000000001" customHeight="1" x14ac:dyDescent="0.3">
      <c r="A20" s="73">
        <f t="shared" si="2"/>
        <v>15</v>
      </c>
      <c r="B20" s="78" t="s">
        <v>48</v>
      </c>
      <c r="C20" s="84"/>
      <c r="D20" s="84">
        <v>47</v>
      </c>
      <c r="E20" s="84"/>
      <c r="F20" s="84"/>
      <c r="G20" s="84"/>
      <c r="H20" s="84"/>
      <c r="I20" s="84"/>
      <c r="J20" s="79">
        <f t="shared" si="1"/>
        <v>47</v>
      </c>
      <c r="K20" s="80"/>
    </row>
    <row r="21" spans="1:14" ht="20.100000000000001" customHeight="1" x14ac:dyDescent="0.3">
      <c r="A21" s="112"/>
      <c r="B21" s="113"/>
      <c r="C21" s="114"/>
      <c r="D21" s="114"/>
      <c r="E21" s="114"/>
      <c r="F21" s="114"/>
      <c r="G21" s="114"/>
      <c r="H21" s="114"/>
      <c r="I21" s="114"/>
      <c r="J21" s="115"/>
      <c r="K21" s="89"/>
    </row>
    <row r="22" spans="1:14" ht="20.100000000000001" customHeight="1" x14ac:dyDescent="0.3">
      <c r="A22" s="112"/>
      <c r="B22" s="113"/>
      <c r="C22" s="114"/>
      <c r="D22" s="114"/>
      <c r="E22" s="114"/>
      <c r="F22" s="114"/>
      <c r="G22" s="114"/>
      <c r="H22" s="114"/>
      <c r="I22" s="114"/>
      <c r="J22" s="115"/>
      <c r="K22" s="89"/>
    </row>
    <row r="23" spans="1:14" ht="20.100000000000001" customHeight="1" x14ac:dyDescent="0.25">
      <c r="A23" s="73"/>
      <c r="B23" s="74" t="s">
        <v>2</v>
      </c>
      <c r="C23" s="121" t="s">
        <v>10</v>
      </c>
      <c r="D23" s="121"/>
      <c r="E23" s="121" t="s">
        <v>11</v>
      </c>
      <c r="F23" s="121"/>
      <c r="G23" s="112"/>
      <c r="H23" s="116"/>
      <c r="I23" s="116"/>
      <c r="J23" s="116"/>
      <c r="K23" s="116"/>
    </row>
    <row r="24" spans="1:14" ht="20.100000000000001" customHeight="1" x14ac:dyDescent="0.3">
      <c r="A24" s="73"/>
      <c r="B24" s="78" t="s">
        <v>152</v>
      </c>
      <c r="C24" s="122">
        <v>2032</v>
      </c>
      <c r="D24" s="122"/>
      <c r="E24" s="121"/>
      <c r="F24" s="121"/>
      <c r="G24" s="114"/>
      <c r="H24" s="114"/>
      <c r="I24" s="114"/>
      <c r="J24" s="115"/>
      <c r="K24" s="89"/>
    </row>
    <row r="25" spans="1:14" ht="20.100000000000001" customHeight="1" x14ac:dyDescent="0.3">
      <c r="A25" s="73"/>
      <c r="B25" s="78" t="s">
        <v>57</v>
      </c>
      <c r="C25" s="122">
        <v>2100</v>
      </c>
      <c r="D25" s="122"/>
      <c r="E25" s="121"/>
      <c r="F25" s="121"/>
      <c r="G25" s="114"/>
      <c r="H25" s="114"/>
      <c r="I25" s="114"/>
      <c r="J25" s="115"/>
      <c r="K25" s="89"/>
    </row>
    <row r="26" spans="1:14" ht="20.100000000000001" customHeight="1" x14ac:dyDescent="0.3">
      <c r="A26" s="73"/>
      <c r="B26" s="78" t="s">
        <v>352</v>
      </c>
      <c r="C26" s="122">
        <v>1080</v>
      </c>
      <c r="D26" s="122"/>
      <c r="E26" s="121"/>
      <c r="F26" s="121"/>
      <c r="G26" s="114"/>
      <c r="H26" s="114"/>
      <c r="I26" s="114"/>
      <c r="J26" s="115"/>
      <c r="K26" s="89"/>
    </row>
    <row r="27" spans="1:14" ht="20.100000000000001" customHeight="1" x14ac:dyDescent="0.3">
      <c r="A27" s="73"/>
      <c r="B27" s="78" t="s">
        <v>353</v>
      </c>
      <c r="C27" s="122">
        <v>1800</v>
      </c>
      <c r="D27" s="122"/>
      <c r="E27" s="121"/>
      <c r="F27" s="121"/>
      <c r="G27" s="114"/>
      <c r="H27" s="114"/>
      <c r="I27" s="114"/>
      <c r="J27" s="115"/>
      <c r="K27" s="89"/>
    </row>
    <row r="28" spans="1:14" ht="20.100000000000001" customHeight="1" x14ac:dyDescent="0.3">
      <c r="A28" s="73"/>
      <c r="B28" s="78" t="s">
        <v>354</v>
      </c>
      <c r="C28" s="122">
        <v>900</v>
      </c>
      <c r="D28" s="122"/>
      <c r="E28" s="121"/>
      <c r="F28" s="121"/>
      <c r="G28" s="114"/>
      <c r="H28" s="114"/>
      <c r="I28" s="114"/>
      <c r="J28" s="115"/>
      <c r="K28" s="89"/>
    </row>
    <row r="29" spans="1:14" ht="20.100000000000001" customHeight="1" x14ac:dyDescent="0.3">
      <c r="A29" s="112"/>
      <c r="B29" s="113"/>
      <c r="C29" s="114"/>
      <c r="D29" s="114"/>
      <c r="E29" s="114"/>
      <c r="F29" s="114"/>
      <c r="G29" s="114"/>
      <c r="H29" s="114"/>
      <c r="I29" s="114"/>
      <c r="J29" s="115"/>
      <c r="K29" s="89"/>
    </row>
    <row r="30" spans="1:14" ht="21" x14ac:dyDescent="0.35">
      <c r="A30" s="71"/>
      <c r="B30" s="92" t="s">
        <v>54</v>
      </c>
      <c r="C30" s="93"/>
      <c r="D30" s="94"/>
      <c r="E30" s="95"/>
      <c r="F30" s="95"/>
      <c r="G30" s="95"/>
      <c r="H30" s="95"/>
      <c r="I30" s="96"/>
      <c r="J30" s="97"/>
      <c r="K30" s="71"/>
    </row>
    <row r="31" spans="1:14" x14ac:dyDescent="0.2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</row>
    <row r="32" spans="1:14" ht="15.75" x14ac:dyDescent="0.25">
      <c r="A32" s="71"/>
      <c r="B32" s="71" t="s">
        <v>55</v>
      </c>
      <c r="C32" s="98" t="s">
        <v>341</v>
      </c>
      <c r="D32" s="99">
        <v>2200</v>
      </c>
      <c r="E32" s="99">
        <f>+D32*0.1</f>
        <v>220</v>
      </c>
      <c r="F32" s="99">
        <f>+D32-E32</f>
        <v>1980</v>
      </c>
      <c r="G32" s="100"/>
      <c r="H32" s="100"/>
      <c r="I32" s="71"/>
      <c r="J32" s="71"/>
      <c r="K32" s="71"/>
      <c r="N32" s="42"/>
    </row>
    <row r="33" spans="1:14" ht="15.75" x14ac:dyDescent="0.25">
      <c r="A33" s="71"/>
      <c r="B33" s="71" t="s">
        <v>305</v>
      </c>
      <c r="C33" s="106">
        <v>10</v>
      </c>
      <c r="D33" s="99"/>
      <c r="E33" s="99" t="s">
        <v>342</v>
      </c>
      <c r="F33" s="99">
        <v>52</v>
      </c>
      <c r="G33" s="100"/>
      <c r="H33" s="100"/>
      <c r="I33" s="71"/>
      <c r="J33" s="71"/>
      <c r="K33" s="71"/>
      <c r="N33" s="42"/>
    </row>
    <row r="34" spans="1:14" x14ac:dyDescent="0.25">
      <c r="A34" s="71"/>
      <c r="B34" s="71" t="s">
        <v>306</v>
      </c>
      <c r="C34" s="107">
        <v>10</v>
      </c>
      <c r="D34" s="99"/>
      <c r="E34" s="99"/>
      <c r="F34" s="99">
        <f>+F33+F32</f>
        <v>2032</v>
      </c>
      <c r="G34" s="100"/>
      <c r="H34" s="100"/>
      <c r="I34" s="71"/>
      <c r="J34" s="71"/>
      <c r="K34" s="71"/>
      <c r="N34" s="42"/>
    </row>
    <row r="35" spans="1:14" x14ac:dyDescent="0.25">
      <c r="A35" s="71"/>
      <c r="B35" s="71" t="s">
        <v>340</v>
      </c>
      <c r="C35" s="107">
        <v>5</v>
      </c>
      <c r="D35" s="99"/>
      <c r="E35" s="99"/>
      <c r="F35" s="99"/>
      <c r="G35" s="100"/>
      <c r="H35" s="100"/>
      <c r="I35" s="71"/>
      <c r="J35" s="71"/>
      <c r="K35" s="71"/>
      <c r="N35" s="42"/>
    </row>
    <row r="36" spans="1:14" x14ac:dyDescent="0.25">
      <c r="A36" s="71"/>
      <c r="B36" s="71"/>
      <c r="C36" s="107"/>
      <c r="D36" s="99"/>
      <c r="E36" s="99"/>
      <c r="F36" s="99"/>
      <c r="G36" s="100"/>
      <c r="H36" s="100"/>
      <c r="I36" s="71"/>
      <c r="J36" s="71"/>
      <c r="K36" s="71"/>
      <c r="N36" s="42"/>
    </row>
    <row r="37" spans="1:14" x14ac:dyDescent="0.25">
      <c r="A37" s="71"/>
      <c r="B37" s="71"/>
      <c r="C37" s="107"/>
      <c r="D37" s="99"/>
      <c r="E37" s="99"/>
      <c r="F37" s="99"/>
      <c r="G37" s="100"/>
      <c r="H37" s="100"/>
      <c r="I37" s="71"/>
      <c r="J37" s="71"/>
      <c r="K37" s="71"/>
      <c r="N37" s="42"/>
    </row>
    <row r="38" spans="1:14" x14ac:dyDescent="0.25">
      <c r="A38" s="71"/>
      <c r="B38" s="71"/>
      <c r="C38" s="107"/>
      <c r="D38" s="99"/>
      <c r="E38" s="99"/>
      <c r="F38" s="99"/>
      <c r="G38" s="100"/>
      <c r="H38" s="100"/>
      <c r="I38" s="71"/>
      <c r="J38" s="71"/>
      <c r="K38" s="71"/>
      <c r="N38" s="42"/>
    </row>
    <row r="39" spans="1:14" x14ac:dyDescent="0.25">
      <c r="A39" s="71"/>
      <c r="B39" s="71"/>
      <c r="C39" s="107"/>
      <c r="D39" s="99"/>
      <c r="E39" s="99"/>
      <c r="F39" s="99"/>
      <c r="G39" s="100"/>
      <c r="H39" s="100"/>
      <c r="I39" s="71"/>
      <c r="J39" s="71"/>
      <c r="K39" s="71"/>
      <c r="N39" s="42"/>
    </row>
    <row r="40" spans="1:14" ht="15.75" x14ac:dyDescent="0.25">
      <c r="A40" s="71"/>
      <c r="B40" s="71" t="s">
        <v>57</v>
      </c>
      <c r="C40" s="108">
        <f>SUM(C41:C43)</f>
        <v>23</v>
      </c>
      <c r="D40" s="99">
        <f t="shared" ref="D40:D59" si="3">+C40*100</f>
        <v>2300</v>
      </c>
      <c r="E40" s="99">
        <f t="shared" ref="E40:E59" si="4">+D40*0.1</f>
        <v>230</v>
      </c>
      <c r="F40" s="99">
        <f t="shared" ref="F40:F59" si="5">+D40-E40</f>
        <v>2070</v>
      </c>
      <c r="G40" s="71"/>
      <c r="H40" s="71"/>
      <c r="I40" s="71"/>
      <c r="J40" s="71"/>
      <c r="K40" s="71"/>
    </row>
    <row r="41" spans="1:14" x14ac:dyDescent="0.25">
      <c r="A41" s="71"/>
      <c r="B41" s="71" t="s">
        <v>305</v>
      </c>
      <c r="C41" s="109">
        <v>10</v>
      </c>
      <c r="D41" s="99"/>
      <c r="E41" s="99" t="s">
        <v>348</v>
      </c>
      <c r="F41" s="99">
        <v>30</v>
      </c>
      <c r="G41" s="71"/>
      <c r="H41" s="71"/>
      <c r="I41" s="71"/>
      <c r="J41" s="71"/>
      <c r="K41" s="71"/>
    </row>
    <row r="42" spans="1:14" x14ac:dyDescent="0.25">
      <c r="A42" s="71"/>
      <c r="B42" s="71" t="s">
        <v>4</v>
      </c>
      <c r="C42" s="109">
        <v>10</v>
      </c>
      <c r="D42" s="99"/>
      <c r="E42" s="99"/>
      <c r="F42" s="99">
        <f>+F40+F41</f>
        <v>2100</v>
      </c>
      <c r="G42" s="71"/>
      <c r="H42" s="71"/>
      <c r="I42" s="71"/>
      <c r="J42" s="71"/>
      <c r="K42" s="71"/>
    </row>
    <row r="43" spans="1:14" x14ac:dyDescent="0.25">
      <c r="A43" s="71"/>
      <c r="B43" s="71" t="s">
        <v>6</v>
      </c>
      <c r="C43" s="109">
        <v>3</v>
      </c>
      <c r="D43" s="99"/>
      <c r="E43" s="99"/>
      <c r="F43" s="99"/>
      <c r="G43" s="71"/>
      <c r="H43" s="71"/>
      <c r="I43" s="71"/>
      <c r="J43" s="71"/>
      <c r="K43" s="71"/>
    </row>
    <row r="44" spans="1:14" x14ac:dyDescent="0.25">
      <c r="A44" s="71"/>
      <c r="B44" s="71"/>
      <c r="C44" s="109"/>
      <c r="D44" s="99"/>
      <c r="E44" s="99"/>
      <c r="F44" s="99"/>
      <c r="G44" s="71"/>
      <c r="H44" s="71"/>
      <c r="I44" s="71"/>
      <c r="J44" s="71"/>
      <c r="K44" s="71"/>
    </row>
    <row r="45" spans="1:14" x14ac:dyDescent="0.25">
      <c r="A45" s="71"/>
      <c r="B45" s="71"/>
      <c r="C45" s="109"/>
      <c r="D45" s="99"/>
      <c r="E45" s="99"/>
      <c r="F45" s="99"/>
      <c r="G45" s="71"/>
      <c r="H45" s="71"/>
      <c r="I45" s="71"/>
      <c r="J45" s="71"/>
      <c r="K45" s="71"/>
    </row>
    <row r="46" spans="1:14" ht="15.75" x14ac:dyDescent="0.25">
      <c r="A46" s="71"/>
      <c r="B46" s="71" t="s">
        <v>59</v>
      </c>
      <c r="C46" s="108">
        <f>SUM(C47:C48)</f>
        <v>12</v>
      </c>
      <c r="D46" s="99">
        <f t="shared" si="3"/>
        <v>1200</v>
      </c>
      <c r="E46" s="99">
        <f t="shared" si="4"/>
        <v>120</v>
      </c>
      <c r="F46" s="99">
        <f t="shared" si="5"/>
        <v>1080</v>
      </c>
      <c r="G46" s="71"/>
      <c r="H46" s="71"/>
      <c r="I46" s="71"/>
      <c r="J46" s="71"/>
      <c r="K46" s="71"/>
    </row>
    <row r="47" spans="1:14" x14ac:dyDescent="0.25">
      <c r="A47" s="71"/>
      <c r="B47" s="71" t="s">
        <v>305</v>
      </c>
      <c r="C47" s="109">
        <v>10</v>
      </c>
      <c r="D47" s="99"/>
      <c r="E47" s="104"/>
      <c r="F47" s="99"/>
      <c r="G47" s="71"/>
      <c r="H47" s="71"/>
      <c r="I47" s="71"/>
      <c r="J47" s="71"/>
      <c r="K47" s="71"/>
    </row>
    <row r="48" spans="1:14" x14ac:dyDescent="0.25">
      <c r="A48" s="71"/>
      <c r="B48" s="71" t="s">
        <v>313</v>
      </c>
      <c r="C48" s="109">
        <v>2</v>
      </c>
      <c r="D48" s="99"/>
      <c r="E48" s="99"/>
      <c r="F48" s="99"/>
      <c r="G48" s="71"/>
      <c r="H48" s="71"/>
      <c r="I48" s="71"/>
      <c r="J48" s="71"/>
      <c r="K48" s="71"/>
    </row>
    <row r="49" spans="1:13" x14ac:dyDescent="0.25">
      <c r="A49" s="71"/>
      <c r="C49" s="55"/>
      <c r="D49" s="99"/>
      <c r="E49" s="99"/>
      <c r="F49" s="99"/>
      <c r="G49" s="71"/>
      <c r="H49" s="71"/>
      <c r="I49" s="71"/>
      <c r="J49" s="71"/>
      <c r="K49" s="71"/>
    </row>
    <row r="50" spans="1:13" x14ac:dyDescent="0.25">
      <c r="A50" s="71"/>
      <c r="B50" s="71"/>
      <c r="C50" s="109"/>
      <c r="D50" s="99"/>
      <c r="E50" s="99"/>
      <c r="F50" s="99"/>
      <c r="G50" s="71"/>
      <c r="H50" s="71"/>
      <c r="I50" s="71"/>
      <c r="J50" s="71"/>
      <c r="K50" s="71"/>
    </row>
    <row r="51" spans="1:13" x14ac:dyDescent="0.25">
      <c r="A51" s="71"/>
      <c r="B51" s="71"/>
      <c r="C51" s="109"/>
      <c r="D51" s="99"/>
      <c r="E51" s="99"/>
      <c r="F51" s="99"/>
      <c r="G51" s="71"/>
      <c r="H51" s="71"/>
      <c r="I51" s="100"/>
      <c r="J51" s="71"/>
      <c r="K51" s="71"/>
    </row>
    <row r="52" spans="1:13" ht="15.75" x14ac:dyDescent="0.25">
      <c r="A52" s="71"/>
      <c r="B52" s="71" t="s">
        <v>61</v>
      </c>
      <c r="C52" s="108">
        <f>SUM(C53:C57)</f>
        <v>10</v>
      </c>
      <c r="D52" s="99">
        <f t="shared" si="3"/>
        <v>1000</v>
      </c>
      <c r="E52" s="99">
        <f t="shared" si="4"/>
        <v>100</v>
      </c>
      <c r="F52" s="99">
        <f t="shared" si="5"/>
        <v>900</v>
      </c>
      <c r="G52" s="71"/>
      <c r="H52" s="71"/>
      <c r="I52" s="100"/>
      <c r="J52" s="100"/>
      <c r="K52" s="99"/>
      <c r="L52" s="1"/>
      <c r="M52" s="1"/>
    </row>
    <row r="53" spans="1:13" x14ac:dyDescent="0.25">
      <c r="A53" s="71"/>
      <c r="B53" s="71" t="s">
        <v>305</v>
      </c>
      <c r="C53" s="109">
        <v>5</v>
      </c>
      <c r="D53" s="99"/>
      <c r="E53" s="99"/>
      <c r="F53" s="99"/>
      <c r="G53" s="71"/>
      <c r="H53" s="71"/>
      <c r="I53" s="71"/>
      <c r="J53" s="71"/>
      <c r="K53" s="71"/>
      <c r="M53" s="1"/>
    </row>
    <row r="54" spans="1:13" x14ac:dyDescent="0.25">
      <c r="A54" s="71"/>
      <c r="B54" s="71" t="s">
        <v>306</v>
      </c>
      <c r="C54" s="109">
        <v>1</v>
      </c>
      <c r="D54" s="99"/>
      <c r="E54" s="99"/>
      <c r="F54" s="99"/>
      <c r="G54" s="71"/>
      <c r="H54" s="71"/>
      <c r="I54" s="71"/>
      <c r="J54" s="71"/>
      <c r="K54" s="71"/>
      <c r="M54" s="13"/>
    </row>
    <row r="55" spans="1:13" x14ac:dyDescent="0.25">
      <c r="A55" s="71"/>
      <c r="B55" s="71" t="s">
        <v>344</v>
      </c>
      <c r="C55" s="109">
        <v>1</v>
      </c>
      <c r="D55" s="99"/>
      <c r="E55" s="99"/>
      <c r="F55" s="99"/>
      <c r="G55" s="71"/>
      <c r="H55" s="71"/>
      <c r="I55" s="71"/>
      <c r="J55" s="71"/>
      <c r="K55" s="71"/>
      <c r="M55" s="13"/>
    </row>
    <row r="56" spans="1:13" x14ac:dyDescent="0.25">
      <c r="A56" s="71"/>
      <c r="B56" s="71" t="s">
        <v>343</v>
      </c>
      <c r="C56">
        <v>1</v>
      </c>
      <c r="D56" s="99"/>
      <c r="E56" s="99"/>
      <c r="F56" s="99"/>
      <c r="G56" s="71"/>
      <c r="H56" s="71"/>
      <c r="I56" s="71"/>
      <c r="J56" s="71"/>
      <c r="K56" s="71"/>
    </row>
    <row r="57" spans="1:13" x14ac:dyDescent="0.25">
      <c r="A57" s="71"/>
      <c r="B57" s="71" t="s">
        <v>7</v>
      </c>
      <c r="C57" s="109">
        <v>2</v>
      </c>
      <c r="D57" s="99"/>
      <c r="E57" s="99"/>
      <c r="F57" s="99"/>
      <c r="G57" s="71"/>
      <c r="H57" s="71"/>
      <c r="I57" s="71"/>
      <c r="J57" s="71"/>
      <c r="K57" s="71"/>
      <c r="M57" s="13"/>
    </row>
    <row r="58" spans="1:13" x14ac:dyDescent="0.25">
      <c r="A58" s="71"/>
      <c r="B58" s="71"/>
      <c r="C58" s="109"/>
      <c r="D58" s="99"/>
      <c r="E58" s="99"/>
      <c r="F58" s="99"/>
      <c r="G58" s="71"/>
      <c r="H58" s="71"/>
      <c r="I58" s="71"/>
      <c r="J58" s="102"/>
      <c r="K58" s="71"/>
    </row>
    <row r="59" spans="1:13" ht="15.75" x14ac:dyDescent="0.25">
      <c r="A59" s="71"/>
      <c r="B59" s="71" t="s">
        <v>63</v>
      </c>
      <c r="C59" s="108">
        <f>SUM(C60:C64)</f>
        <v>20</v>
      </c>
      <c r="D59" s="99">
        <f t="shared" si="3"/>
        <v>2000</v>
      </c>
      <c r="E59" s="99">
        <f t="shared" si="4"/>
        <v>200</v>
      </c>
      <c r="F59" s="99">
        <f t="shared" si="5"/>
        <v>1800</v>
      </c>
      <c r="G59" s="71"/>
      <c r="H59" s="71"/>
      <c r="I59" s="71"/>
      <c r="J59" s="71"/>
      <c r="K59" s="71"/>
    </row>
    <row r="60" spans="1:13" x14ac:dyDescent="0.25">
      <c r="A60" s="71"/>
      <c r="B60" s="71" t="s">
        <v>337</v>
      </c>
      <c r="C60" s="107">
        <v>6</v>
      </c>
      <c r="D60" s="103"/>
      <c r="E60" s="103"/>
      <c r="F60" s="103"/>
      <c r="G60" s="71"/>
      <c r="H60" s="71"/>
      <c r="I60" s="100"/>
      <c r="J60" s="71"/>
      <c r="K60" s="71"/>
    </row>
    <row r="61" spans="1:13" x14ac:dyDescent="0.25">
      <c r="A61" s="71"/>
      <c r="B61" s="71" t="s">
        <v>3</v>
      </c>
      <c r="C61" s="107">
        <v>6</v>
      </c>
      <c r="D61" s="103"/>
      <c r="E61" s="103"/>
      <c r="F61" s="103"/>
      <c r="G61" s="71"/>
      <c r="H61" s="71"/>
      <c r="I61" s="100"/>
      <c r="J61" s="71"/>
      <c r="K61" s="71"/>
    </row>
    <row r="62" spans="1:13" x14ac:dyDescent="0.25">
      <c r="A62" s="71"/>
      <c r="B62" s="71" t="s">
        <v>338</v>
      </c>
      <c r="C62" s="107">
        <v>1</v>
      </c>
      <c r="D62" s="103"/>
      <c r="E62" s="103"/>
      <c r="F62" s="103"/>
      <c r="G62" s="71"/>
      <c r="H62" s="71"/>
      <c r="I62" s="100"/>
      <c r="J62" s="71"/>
      <c r="K62" s="71"/>
    </row>
    <row r="63" spans="1:13" x14ac:dyDescent="0.25">
      <c r="A63" s="71"/>
      <c r="B63" s="71" t="s">
        <v>339</v>
      </c>
      <c r="C63" s="107">
        <v>1</v>
      </c>
      <c r="D63" s="103"/>
      <c r="E63" s="103"/>
      <c r="F63" s="103"/>
      <c r="G63" s="71"/>
      <c r="H63" s="71"/>
      <c r="I63" s="100"/>
      <c r="J63" s="71"/>
      <c r="K63" s="71"/>
    </row>
    <row r="64" spans="1:13" x14ac:dyDescent="0.25">
      <c r="A64" s="71"/>
      <c r="B64" s="71" t="s">
        <v>4</v>
      </c>
      <c r="C64" s="109">
        <v>6</v>
      </c>
      <c r="D64" s="71"/>
      <c r="E64" s="71"/>
      <c r="F64" s="71"/>
      <c r="G64" s="71"/>
      <c r="H64" s="71"/>
      <c r="I64" s="71"/>
      <c r="J64" s="71"/>
      <c r="K64" s="71"/>
    </row>
    <row r="65" spans="1:11" x14ac:dyDescent="0.25">
      <c r="A65" s="71"/>
      <c r="B65" s="71"/>
      <c r="C65" s="109"/>
      <c r="D65" s="71"/>
      <c r="E65" s="71"/>
      <c r="F65" s="71"/>
      <c r="G65" s="71"/>
      <c r="H65" s="71"/>
      <c r="I65" s="71"/>
      <c r="J65" s="71"/>
      <c r="K65" s="71"/>
    </row>
    <row r="66" spans="1:11" x14ac:dyDescent="0.25">
      <c r="A66" s="71"/>
      <c r="B66" s="71"/>
      <c r="C66" s="109"/>
      <c r="D66" s="71"/>
      <c r="E66" s="71"/>
      <c r="F66" s="71"/>
      <c r="G66" s="71"/>
      <c r="H66" s="71"/>
      <c r="I66" s="71"/>
      <c r="J66" s="71"/>
      <c r="K66" s="71"/>
    </row>
    <row r="67" spans="1:11" ht="15.75" x14ac:dyDescent="0.25">
      <c r="A67" s="71"/>
      <c r="B67" s="71" t="s">
        <v>328</v>
      </c>
      <c r="C67" s="108">
        <f>+C68+C69</f>
        <v>1</v>
      </c>
      <c r="D67" s="71"/>
      <c r="E67" s="71"/>
      <c r="F67" s="71"/>
      <c r="G67" s="71"/>
      <c r="H67" s="71"/>
      <c r="I67" s="71"/>
      <c r="J67" s="71"/>
      <c r="K67" s="71"/>
    </row>
    <row r="68" spans="1:11" ht="15.75" x14ac:dyDescent="0.25">
      <c r="A68" s="71"/>
      <c r="B68" s="71"/>
      <c r="C68" s="106">
        <v>1</v>
      </c>
      <c r="D68" s="99">
        <f t="shared" ref="D68" si="6">+C68*100</f>
        <v>100</v>
      </c>
      <c r="E68" s="99"/>
      <c r="F68" s="99">
        <f t="shared" ref="F68" si="7">+D68-E68</f>
        <v>100</v>
      </c>
      <c r="G68" s="71"/>
      <c r="H68" s="71"/>
      <c r="I68" s="71"/>
      <c r="J68" s="71"/>
      <c r="K68" s="71"/>
    </row>
    <row r="69" spans="1:11" x14ac:dyDescent="0.25">
      <c r="A69" s="71"/>
      <c r="B69" s="71"/>
      <c r="C69" s="109"/>
      <c r="D69" s="71"/>
      <c r="E69" s="71"/>
      <c r="F69" s="100"/>
      <c r="G69" s="71"/>
      <c r="H69" s="100"/>
      <c r="I69" s="71"/>
      <c r="J69" s="71"/>
      <c r="K69" s="71"/>
    </row>
    <row r="70" spans="1:11" x14ac:dyDescent="0.25">
      <c r="A70" s="71"/>
      <c r="B70" s="71"/>
      <c r="C70" s="109"/>
      <c r="D70" s="71"/>
      <c r="E70" s="71"/>
      <c r="F70" s="100"/>
      <c r="G70" s="71"/>
      <c r="H70" s="100"/>
      <c r="I70" s="71"/>
      <c r="J70" s="71"/>
      <c r="K70" s="71"/>
    </row>
    <row r="71" spans="1:11" x14ac:dyDescent="0.25">
      <c r="A71" s="71"/>
      <c r="B71" s="71"/>
      <c r="C71" s="109"/>
      <c r="D71" s="71"/>
      <c r="E71" s="71"/>
      <c r="F71" s="100"/>
      <c r="G71" s="71"/>
      <c r="H71" s="100"/>
      <c r="I71" s="71"/>
      <c r="J71" s="71"/>
      <c r="K71" s="71"/>
    </row>
    <row r="72" spans="1:11" x14ac:dyDescent="0.25">
      <c r="A72" s="71"/>
      <c r="B72" s="71"/>
      <c r="C72" s="107"/>
      <c r="D72" s="99"/>
      <c r="E72" s="99"/>
      <c r="F72" s="99"/>
      <c r="G72" s="71"/>
      <c r="H72" s="71"/>
      <c r="I72" s="71"/>
      <c r="J72" s="71"/>
      <c r="K72" s="71"/>
    </row>
    <row r="73" spans="1:11" x14ac:dyDescent="0.25">
      <c r="A73" s="71"/>
      <c r="B73" s="71"/>
      <c r="C73" s="107"/>
      <c r="D73" s="99"/>
      <c r="E73" s="99"/>
      <c r="F73" s="99"/>
      <c r="G73" s="71"/>
      <c r="H73" s="71"/>
      <c r="I73" s="71"/>
      <c r="J73" s="71"/>
      <c r="K73" s="71"/>
    </row>
    <row r="74" spans="1:11" x14ac:dyDescent="0.25">
      <c r="A74" s="71"/>
      <c r="B74" s="71"/>
      <c r="C74" s="107"/>
      <c r="D74" s="71"/>
      <c r="E74" s="71"/>
      <c r="F74" s="103"/>
      <c r="G74" s="71"/>
      <c r="H74" s="71"/>
      <c r="I74" s="71"/>
      <c r="J74" s="71"/>
      <c r="K74" s="71"/>
    </row>
    <row r="75" spans="1:11" x14ac:dyDescent="0.2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</row>
    <row r="76" spans="1:11" x14ac:dyDescent="0.25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</row>
    <row r="77" spans="1:11" x14ac:dyDescent="0.25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</row>
    <row r="78" spans="1:11" x14ac:dyDescent="0.25">
      <c r="A78" s="73" t="s">
        <v>1</v>
      </c>
      <c r="B78" s="74" t="s">
        <v>2</v>
      </c>
      <c r="C78" s="73" t="s">
        <v>3</v>
      </c>
      <c r="D78" s="73" t="s">
        <v>4</v>
      </c>
      <c r="E78" s="73" t="s">
        <v>5</v>
      </c>
      <c r="F78" s="73" t="s">
        <v>6</v>
      </c>
      <c r="G78" s="73" t="s">
        <v>7</v>
      </c>
      <c r="H78" s="75" t="s">
        <v>8</v>
      </c>
      <c r="I78" s="75" t="s">
        <v>9</v>
      </c>
      <c r="J78" s="75" t="s">
        <v>10</v>
      </c>
      <c r="K78" s="75" t="s">
        <v>11</v>
      </c>
    </row>
    <row r="79" spans="1:11" ht="18.75" x14ac:dyDescent="0.3">
      <c r="A79" s="73">
        <v>1</v>
      </c>
      <c r="B79" s="110" t="s">
        <v>316</v>
      </c>
      <c r="C79" s="83"/>
      <c r="D79" s="83">
        <v>45</v>
      </c>
      <c r="E79" s="83">
        <v>45</v>
      </c>
      <c r="F79" s="83">
        <v>45</v>
      </c>
      <c r="G79" s="83">
        <v>45</v>
      </c>
      <c r="H79" s="76"/>
      <c r="I79" s="76"/>
      <c r="J79" s="79">
        <f>SUM(C79:I79)</f>
        <v>180</v>
      </c>
      <c r="K79" s="77"/>
    </row>
    <row r="80" spans="1:11" ht="18.75" x14ac:dyDescent="0.3">
      <c r="A80" s="73">
        <f>+A79+1</f>
        <v>2</v>
      </c>
      <c r="B80" s="110" t="s">
        <v>317</v>
      </c>
      <c r="C80" s="83">
        <v>45</v>
      </c>
      <c r="D80" s="83">
        <v>45</v>
      </c>
      <c r="E80" s="83">
        <v>45</v>
      </c>
      <c r="F80" s="83">
        <v>45</v>
      </c>
      <c r="G80" s="83">
        <v>45</v>
      </c>
      <c r="H80" s="76"/>
      <c r="I80" s="76"/>
      <c r="J80" s="79">
        <f>SUM(C80:I80)</f>
        <v>225</v>
      </c>
      <c r="K80" s="77"/>
    </row>
    <row r="81" spans="1:11" ht="18.75" x14ac:dyDescent="0.3">
      <c r="A81" s="73">
        <f>+A80+1</f>
        <v>3</v>
      </c>
      <c r="B81" s="110" t="s">
        <v>351</v>
      </c>
      <c r="C81" s="83">
        <v>45</v>
      </c>
      <c r="D81" s="83">
        <v>45</v>
      </c>
      <c r="E81" s="83">
        <v>45</v>
      </c>
      <c r="F81" s="83">
        <v>45</v>
      </c>
      <c r="G81" s="83">
        <v>45</v>
      </c>
      <c r="H81" s="76"/>
      <c r="I81" s="76"/>
      <c r="J81" s="79">
        <f t="shared" ref="J81" si="8">SUM(C81:I81)</f>
        <v>225</v>
      </c>
      <c r="K81" s="77"/>
    </row>
    <row r="82" spans="1:11" x14ac:dyDescent="0.25">
      <c r="J82" s="16"/>
    </row>
  </sheetData>
  <mergeCells count="12">
    <mergeCell ref="C28:D28"/>
    <mergeCell ref="E23:F23"/>
    <mergeCell ref="E24:F24"/>
    <mergeCell ref="E25:F25"/>
    <mergeCell ref="E26:F26"/>
    <mergeCell ref="E27:F27"/>
    <mergeCell ref="E28:F28"/>
    <mergeCell ref="C23:D23"/>
    <mergeCell ref="C24:D24"/>
    <mergeCell ref="C25:D25"/>
    <mergeCell ref="C26:D26"/>
    <mergeCell ref="C27:D27"/>
  </mergeCells>
  <pageMargins left="0.33" right="0.7" top="0.32" bottom="0.3" header="0.31496062992125984" footer="0.31496062992125984"/>
  <pageSetup scale="84" fitToHeight="0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9"/>
  <sheetViews>
    <sheetView zoomScaleNormal="100" workbookViewId="0">
      <selection activeCell="I18" sqref="I18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3" width="12.140625" customWidth="1"/>
    <col min="4" max="4" width="11.42578125" customWidth="1"/>
    <col min="5" max="5" width="10.7109375" customWidth="1"/>
    <col min="6" max="6" width="11.42578125" customWidth="1"/>
    <col min="7" max="9" width="10.7109375" customWidth="1"/>
    <col min="10" max="10" width="13.85546875" customWidth="1"/>
    <col min="11" max="11" width="16.5703125" customWidth="1"/>
  </cols>
  <sheetData>
    <row r="1" spans="1:14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4" ht="26.25" x14ac:dyDescent="0.4">
      <c r="A2" s="71"/>
      <c r="B2" s="72" t="s">
        <v>326</v>
      </c>
      <c r="C2" s="71"/>
      <c r="D2" s="71"/>
      <c r="E2" s="71"/>
      <c r="F2" s="71"/>
      <c r="G2" s="71"/>
      <c r="H2" s="71"/>
      <c r="I2" s="71"/>
      <c r="J2" s="71"/>
      <c r="K2" s="71"/>
    </row>
    <row r="3" spans="1:14" x14ac:dyDescent="0.25">
      <c r="A3" s="73" t="s">
        <v>1</v>
      </c>
      <c r="B3" s="74" t="s">
        <v>2</v>
      </c>
      <c r="C3" s="73" t="s">
        <v>3</v>
      </c>
      <c r="D3" s="73" t="s">
        <v>4</v>
      </c>
      <c r="E3" s="73" t="s">
        <v>5</v>
      </c>
      <c r="F3" s="73" t="s">
        <v>6</v>
      </c>
      <c r="G3" s="73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4" ht="18.75" x14ac:dyDescent="0.3">
      <c r="A4" s="73">
        <v>1</v>
      </c>
      <c r="B4" s="78" t="s">
        <v>329</v>
      </c>
      <c r="C4" s="83"/>
      <c r="D4" s="83"/>
      <c r="E4" s="83"/>
      <c r="F4" s="83">
        <f>10+12+15+5</f>
        <v>42</v>
      </c>
      <c r="G4" s="83">
        <v>5</v>
      </c>
      <c r="H4" s="76"/>
      <c r="I4" s="76">
        <v>5</v>
      </c>
      <c r="J4" s="79">
        <f t="shared" ref="J4:J6" si="0">SUM(C4:I4)</f>
        <v>52</v>
      </c>
      <c r="K4" s="77"/>
    </row>
    <row r="5" spans="1:14" ht="18.75" x14ac:dyDescent="0.3">
      <c r="A5" s="73">
        <f>1+A4</f>
        <v>2</v>
      </c>
      <c r="B5" s="78" t="s">
        <v>32</v>
      </c>
      <c r="C5" s="83"/>
      <c r="D5" s="83"/>
      <c r="E5" s="83">
        <v>5</v>
      </c>
      <c r="F5" s="83"/>
      <c r="G5" s="83"/>
      <c r="H5" s="76"/>
      <c r="I5" s="76"/>
      <c r="J5" s="79">
        <f t="shared" si="0"/>
        <v>5</v>
      </c>
      <c r="K5" s="77"/>
    </row>
    <row r="6" spans="1:14" ht="18.75" x14ac:dyDescent="0.3">
      <c r="A6" s="73">
        <f>1+A5</f>
        <v>3</v>
      </c>
      <c r="B6" s="78" t="s">
        <v>35</v>
      </c>
      <c r="C6" s="83">
        <f>24+15</f>
        <v>39</v>
      </c>
      <c r="D6" s="83">
        <v>20</v>
      </c>
      <c r="E6" s="83">
        <v>20</v>
      </c>
      <c r="F6" s="83">
        <f>15+47</f>
        <v>62</v>
      </c>
      <c r="G6" s="83">
        <f>12+7</f>
        <v>19</v>
      </c>
      <c r="H6" s="76"/>
      <c r="I6" s="76"/>
      <c r="J6" s="79">
        <f t="shared" si="0"/>
        <v>160</v>
      </c>
      <c r="K6" s="80"/>
    </row>
    <row r="7" spans="1:14" ht="18.75" x14ac:dyDescent="0.3">
      <c r="A7" s="73"/>
      <c r="B7" s="85" t="s">
        <v>40</v>
      </c>
      <c r="C7" s="83"/>
      <c r="D7" s="83"/>
      <c r="E7" s="83"/>
      <c r="F7" s="83"/>
      <c r="G7" s="83"/>
      <c r="H7" s="83"/>
      <c r="I7" s="83"/>
      <c r="J7" s="86"/>
      <c r="K7" s="80"/>
    </row>
    <row r="8" spans="1:14" ht="18.75" x14ac:dyDescent="0.3">
      <c r="A8" s="73"/>
      <c r="B8" s="85"/>
      <c r="C8" s="83"/>
      <c r="D8" s="83"/>
      <c r="E8" s="83"/>
      <c r="F8" s="83"/>
      <c r="G8" s="83"/>
      <c r="H8" s="83"/>
      <c r="I8" s="83"/>
      <c r="J8" s="86"/>
      <c r="K8" s="80"/>
    </row>
    <row r="9" spans="1:14" ht="18.75" x14ac:dyDescent="0.3">
      <c r="A9" s="73">
        <f>+A6+1</f>
        <v>4</v>
      </c>
      <c r="B9" s="78" t="s">
        <v>46</v>
      </c>
      <c r="C9" s="83"/>
      <c r="D9" s="83">
        <v>24</v>
      </c>
      <c r="E9" s="83"/>
      <c r="F9" s="83"/>
      <c r="G9" s="83"/>
      <c r="H9" s="83"/>
      <c r="I9" s="83"/>
      <c r="J9" s="79">
        <f t="shared" ref="J9:J12" si="1">SUM(C9:I9)</f>
        <v>24</v>
      </c>
      <c r="K9" s="80"/>
    </row>
    <row r="10" spans="1:14" ht="18.75" x14ac:dyDescent="0.3">
      <c r="A10" s="73">
        <f>1+A9</f>
        <v>5</v>
      </c>
      <c r="B10" s="78" t="s">
        <v>43</v>
      </c>
      <c r="C10" s="83"/>
      <c r="D10" s="83"/>
      <c r="E10" s="83">
        <f>90+15</f>
        <v>105</v>
      </c>
      <c r="F10" s="83">
        <f>45*2+24</f>
        <v>114</v>
      </c>
      <c r="G10" s="83">
        <f>45*2</f>
        <v>90</v>
      </c>
      <c r="H10" s="83"/>
      <c r="I10" s="83">
        <v>180</v>
      </c>
      <c r="J10" s="79">
        <f t="shared" si="1"/>
        <v>489</v>
      </c>
      <c r="K10" s="80"/>
    </row>
    <row r="11" spans="1:14" ht="18.75" x14ac:dyDescent="0.3">
      <c r="A11" s="73">
        <f t="shared" ref="A11:A12" si="2">1+A10</f>
        <v>6</v>
      </c>
      <c r="B11" s="78" t="s">
        <v>47</v>
      </c>
      <c r="C11" s="87">
        <v>45</v>
      </c>
      <c r="D11" s="84"/>
      <c r="E11" s="84"/>
      <c r="F11" s="84"/>
      <c r="G11" s="84"/>
      <c r="H11" s="84"/>
      <c r="I11" s="84">
        <v>79</v>
      </c>
      <c r="J11" s="79">
        <f t="shared" si="1"/>
        <v>124</v>
      </c>
      <c r="K11" s="80"/>
    </row>
    <row r="12" spans="1:14" ht="18.75" x14ac:dyDescent="0.3">
      <c r="A12" s="73">
        <f t="shared" si="2"/>
        <v>7</v>
      </c>
      <c r="B12" s="78" t="s">
        <v>48</v>
      </c>
      <c r="C12" s="84"/>
      <c r="D12" s="84"/>
      <c r="E12" s="84">
        <v>40</v>
      </c>
      <c r="F12" s="84">
        <v>45</v>
      </c>
      <c r="G12" s="84"/>
      <c r="H12" s="84"/>
      <c r="I12" s="84"/>
      <c r="J12" s="79">
        <f t="shared" si="1"/>
        <v>85</v>
      </c>
      <c r="K12" s="80"/>
    </row>
    <row r="13" spans="1:14" ht="21" x14ac:dyDescent="0.35">
      <c r="A13" s="71"/>
      <c r="B13" s="92" t="s">
        <v>54</v>
      </c>
      <c r="C13" s="93"/>
      <c r="D13" s="94"/>
      <c r="E13" s="95"/>
      <c r="F13" s="95"/>
      <c r="G13" s="95"/>
      <c r="H13" s="95"/>
      <c r="I13" s="96"/>
      <c r="J13" s="97">
        <f>SUM(J4:J12)</f>
        <v>939</v>
      </c>
      <c r="K13" s="71"/>
    </row>
    <row r="14" spans="1:14" x14ac:dyDescent="0.25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</row>
    <row r="15" spans="1:14" ht="15.75" x14ac:dyDescent="0.25">
      <c r="A15" s="71"/>
      <c r="B15" s="71" t="s">
        <v>55</v>
      </c>
      <c r="C15" s="98">
        <f>SUM(C16:C19)</f>
        <v>30</v>
      </c>
      <c r="D15" s="99">
        <f>+C15*100</f>
        <v>3000</v>
      </c>
      <c r="E15" s="99">
        <f>+D15*0.1</f>
        <v>300</v>
      </c>
      <c r="F15" s="99">
        <f>+D15-E15</f>
        <v>2700</v>
      </c>
      <c r="G15" s="100"/>
      <c r="H15" s="100"/>
      <c r="I15" s="71"/>
      <c r="J15" s="71"/>
      <c r="K15" s="71"/>
      <c r="N15" s="42"/>
    </row>
    <row r="16" spans="1:14" ht="15.75" x14ac:dyDescent="0.25">
      <c r="A16" s="71"/>
      <c r="B16" s="71" t="s">
        <v>305</v>
      </c>
      <c r="C16" s="106">
        <v>10</v>
      </c>
      <c r="D16" s="99"/>
      <c r="E16" s="99"/>
      <c r="F16" s="99">
        <v>67</v>
      </c>
      <c r="G16" s="100"/>
      <c r="H16" s="100"/>
      <c r="I16" s="71"/>
      <c r="J16" s="71"/>
      <c r="K16" s="71"/>
      <c r="N16" s="42"/>
    </row>
    <row r="17" spans="1:14" x14ac:dyDescent="0.25">
      <c r="A17" s="71"/>
      <c r="B17" s="71" t="s">
        <v>306</v>
      </c>
      <c r="C17" s="107">
        <v>10</v>
      </c>
      <c r="D17" s="99"/>
      <c r="E17" s="99"/>
      <c r="F17" s="99">
        <f>+F15+F16</f>
        <v>2767</v>
      </c>
      <c r="G17" s="100"/>
      <c r="H17" s="100"/>
      <c r="I17" s="71" t="s">
        <v>335</v>
      </c>
      <c r="J17" s="71"/>
      <c r="K17" s="71"/>
      <c r="N17" s="42"/>
    </row>
    <row r="18" spans="1:14" x14ac:dyDescent="0.25">
      <c r="A18" s="71"/>
      <c r="B18" s="71" t="s">
        <v>312</v>
      </c>
      <c r="C18" s="107">
        <v>5</v>
      </c>
      <c r="D18" s="99"/>
      <c r="E18" s="99"/>
      <c r="F18" s="99"/>
      <c r="G18" s="100"/>
      <c r="H18" s="100"/>
      <c r="I18" s="71"/>
      <c r="J18" s="71"/>
      <c r="K18" s="71"/>
      <c r="N18" s="42"/>
    </row>
    <row r="19" spans="1:14" x14ac:dyDescent="0.25">
      <c r="A19" s="71"/>
      <c r="B19" s="71" t="s">
        <v>313</v>
      </c>
      <c r="C19" s="107">
        <v>5</v>
      </c>
      <c r="D19" s="99"/>
      <c r="E19" s="99"/>
      <c r="F19" s="99"/>
      <c r="G19" s="100"/>
      <c r="H19" s="100"/>
      <c r="I19" s="71"/>
      <c r="J19" s="71"/>
      <c r="K19" s="71"/>
      <c r="N19" s="42"/>
    </row>
    <row r="20" spans="1:14" x14ac:dyDescent="0.25">
      <c r="A20" s="71"/>
      <c r="B20" s="71"/>
      <c r="C20" s="107"/>
      <c r="D20" s="99"/>
      <c r="E20" s="99"/>
      <c r="F20" s="99"/>
      <c r="G20" s="100"/>
      <c r="H20" s="100"/>
      <c r="I20" s="71"/>
      <c r="J20" s="71"/>
      <c r="K20" s="71"/>
      <c r="N20" s="42"/>
    </row>
    <row r="21" spans="1:14" x14ac:dyDescent="0.25">
      <c r="A21" s="71"/>
      <c r="B21" s="71"/>
      <c r="C21" s="107"/>
      <c r="D21" s="99"/>
      <c r="E21" s="99"/>
      <c r="F21" s="99"/>
      <c r="G21" s="100"/>
      <c r="H21" s="100"/>
      <c r="I21" s="71"/>
      <c r="J21" s="71"/>
      <c r="K21" s="71"/>
      <c r="N21" s="42"/>
    </row>
    <row r="22" spans="1:14" x14ac:dyDescent="0.25">
      <c r="A22" s="71"/>
      <c r="B22" s="71"/>
      <c r="C22" s="107"/>
      <c r="D22" s="99"/>
      <c r="E22" s="99"/>
      <c r="F22" s="99"/>
      <c r="G22" s="100"/>
      <c r="H22" s="100"/>
      <c r="I22" s="71"/>
      <c r="J22" s="71"/>
      <c r="K22" s="71"/>
      <c r="N22" s="42"/>
    </row>
    <row r="23" spans="1:14" ht="15.75" x14ac:dyDescent="0.25">
      <c r="A23" s="71"/>
      <c r="B23" s="71" t="s">
        <v>57</v>
      </c>
      <c r="C23" s="108">
        <f>SUM(C24:C26)</f>
        <v>17</v>
      </c>
      <c r="D23" s="99">
        <f t="shared" ref="D23:D41" si="3">+C23*100</f>
        <v>1700</v>
      </c>
      <c r="E23" s="99">
        <f t="shared" ref="E23:E41" si="4">+D23*0.1</f>
        <v>170</v>
      </c>
      <c r="F23" s="99">
        <f t="shared" ref="F23:F41" si="5">+D23-E23</f>
        <v>1530</v>
      </c>
      <c r="G23" s="71"/>
      <c r="H23" s="71"/>
      <c r="I23" s="71"/>
      <c r="J23" s="71"/>
      <c r="K23" s="71"/>
    </row>
    <row r="24" spans="1:14" x14ac:dyDescent="0.25">
      <c r="A24" s="71"/>
      <c r="B24" s="71" t="s">
        <v>305</v>
      </c>
      <c r="C24" s="109">
        <v>15</v>
      </c>
      <c r="D24" s="99"/>
      <c r="E24" s="99"/>
      <c r="F24" s="99">
        <v>15</v>
      </c>
      <c r="G24" s="71"/>
      <c r="H24" s="71"/>
      <c r="I24" s="71"/>
      <c r="J24" s="71"/>
      <c r="K24" s="71"/>
    </row>
    <row r="25" spans="1:14" x14ac:dyDescent="0.25">
      <c r="A25" s="71"/>
      <c r="B25" s="71" t="s">
        <v>313</v>
      </c>
      <c r="C25" s="109">
        <v>2</v>
      </c>
      <c r="D25" s="99"/>
      <c r="E25" s="99"/>
      <c r="F25" s="99">
        <f>+F24+F23</f>
        <v>1545</v>
      </c>
      <c r="G25" s="71"/>
      <c r="H25" s="71"/>
      <c r="I25" s="71"/>
      <c r="J25" s="71"/>
      <c r="K25" s="71"/>
    </row>
    <row r="26" spans="1:14" x14ac:dyDescent="0.25">
      <c r="A26" s="71"/>
      <c r="B26" s="71"/>
      <c r="C26" s="109"/>
      <c r="D26" s="99"/>
      <c r="E26" s="99"/>
      <c r="F26" s="99"/>
      <c r="G26" s="71"/>
      <c r="H26" s="71"/>
      <c r="I26" s="71"/>
      <c r="J26" s="71"/>
      <c r="K26" s="71"/>
    </row>
    <row r="27" spans="1:14" x14ac:dyDescent="0.25">
      <c r="A27" s="71"/>
      <c r="B27" s="71"/>
      <c r="C27" s="109"/>
      <c r="D27" s="99"/>
      <c r="E27" s="99"/>
      <c r="F27" s="99"/>
      <c r="G27" s="71"/>
      <c r="H27" s="71"/>
      <c r="I27" s="71"/>
      <c r="J27" s="71"/>
      <c r="K27" s="71"/>
    </row>
    <row r="28" spans="1:14" x14ac:dyDescent="0.25">
      <c r="A28" s="71"/>
      <c r="B28" s="71"/>
      <c r="C28" s="109"/>
      <c r="D28" s="99"/>
      <c r="E28" s="99"/>
      <c r="F28" s="99"/>
      <c r="G28" s="71"/>
      <c r="H28" s="71"/>
      <c r="I28" s="71"/>
      <c r="J28" s="71"/>
      <c r="K28" s="71"/>
    </row>
    <row r="29" spans="1:14" ht="15.75" x14ac:dyDescent="0.25">
      <c r="A29" s="71"/>
      <c r="B29" s="71" t="s">
        <v>59</v>
      </c>
      <c r="C29" s="108">
        <f>SUM(C30:C31)</f>
        <v>16</v>
      </c>
      <c r="D29" s="99">
        <f t="shared" si="3"/>
        <v>1600</v>
      </c>
      <c r="E29" s="99">
        <f t="shared" si="4"/>
        <v>160</v>
      </c>
      <c r="F29" s="99">
        <f t="shared" si="5"/>
        <v>1440</v>
      </c>
      <c r="G29" s="71"/>
      <c r="H29" s="71"/>
      <c r="I29" s="71"/>
      <c r="J29" s="71"/>
      <c r="K29" s="71"/>
    </row>
    <row r="30" spans="1:14" x14ac:dyDescent="0.25">
      <c r="A30" s="71"/>
      <c r="B30" s="71" t="s">
        <v>305</v>
      </c>
      <c r="C30" s="109">
        <v>10</v>
      </c>
      <c r="D30" s="99"/>
      <c r="E30" s="104"/>
      <c r="F30" s="99"/>
      <c r="G30" s="71"/>
      <c r="H30" s="71"/>
      <c r="I30" s="71"/>
      <c r="J30" s="71"/>
      <c r="K30" s="71"/>
    </row>
    <row r="31" spans="1:14" x14ac:dyDescent="0.25">
      <c r="A31" s="71"/>
      <c r="B31" s="71" t="s">
        <v>313</v>
      </c>
      <c r="C31" s="109">
        <v>6</v>
      </c>
      <c r="D31" s="99"/>
      <c r="E31" s="99"/>
      <c r="F31" s="99"/>
      <c r="G31" s="71"/>
      <c r="H31" s="71"/>
      <c r="I31" s="71"/>
      <c r="J31" s="71"/>
      <c r="K31" s="71"/>
    </row>
    <row r="32" spans="1:14" x14ac:dyDescent="0.25">
      <c r="A32" s="71"/>
      <c r="C32" s="55"/>
      <c r="D32" s="99"/>
      <c r="E32" s="99"/>
      <c r="F32" s="99"/>
      <c r="G32" s="71"/>
      <c r="H32" s="71"/>
      <c r="I32" s="71"/>
      <c r="J32" s="71"/>
      <c r="K32" s="71"/>
    </row>
    <row r="33" spans="1:13" x14ac:dyDescent="0.25">
      <c r="A33" s="71"/>
      <c r="B33" s="71"/>
      <c r="C33" s="109"/>
      <c r="D33" s="99"/>
      <c r="E33" s="99"/>
      <c r="F33" s="99"/>
      <c r="G33" s="71"/>
      <c r="H33" s="71"/>
      <c r="I33" s="71"/>
      <c r="J33" s="71"/>
      <c r="K33" s="71"/>
    </row>
    <row r="34" spans="1:13" x14ac:dyDescent="0.25">
      <c r="A34" s="71"/>
      <c r="B34" s="71"/>
      <c r="C34" s="109"/>
      <c r="D34" s="99"/>
      <c r="E34" s="99"/>
      <c r="F34" s="99"/>
      <c r="G34" s="71"/>
      <c r="H34" s="71"/>
      <c r="I34" s="100"/>
      <c r="J34" s="71"/>
      <c r="K34" s="71"/>
    </row>
    <row r="35" spans="1:13" ht="15.75" x14ac:dyDescent="0.25">
      <c r="A35" s="71"/>
      <c r="B35" s="71" t="s">
        <v>61</v>
      </c>
      <c r="C35" s="108">
        <f>SUM(C36:C37)</f>
        <v>9</v>
      </c>
      <c r="D35" s="99">
        <f t="shared" si="3"/>
        <v>900</v>
      </c>
      <c r="E35" s="99">
        <f t="shared" si="4"/>
        <v>90</v>
      </c>
      <c r="F35" s="99">
        <f t="shared" si="5"/>
        <v>810</v>
      </c>
      <c r="G35" s="71"/>
      <c r="H35" s="71"/>
      <c r="I35" s="100"/>
      <c r="J35" s="100"/>
      <c r="K35" s="99"/>
      <c r="L35" s="1"/>
      <c r="M35" s="1"/>
    </row>
    <row r="36" spans="1:13" x14ac:dyDescent="0.25">
      <c r="A36" s="71"/>
      <c r="B36" s="71" t="s">
        <v>305</v>
      </c>
      <c r="C36" s="109">
        <v>5</v>
      </c>
      <c r="D36" s="99"/>
      <c r="E36" s="99"/>
      <c r="F36" s="99"/>
      <c r="G36" s="71"/>
      <c r="H36" s="71"/>
      <c r="I36" s="71"/>
      <c r="J36" s="71"/>
      <c r="K36" s="71"/>
      <c r="M36" s="1"/>
    </row>
    <row r="37" spans="1:13" x14ac:dyDescent="0.25">
      <c r="A37" s="71"/>
      <c r="B37" s="71" t="s">
        <v>306</v>
      </c>
      <c r="C37" s="109">
        <v>4</v>
      </c>
      <c r="D37" s="99"/>
      <c r="E37" s="99"/>
      <c r="F37" s="99"/>
      <c r="G37" s="71"/>
      <c r="H37" s="71"/>
      <c r="I37" s="71"/>
      <c r="J37" s="71"/>
      <c r="K37" s="71"/>
      <c r="M37" s="13"/>
    </row>
    <row r="38" spans="1:13" x14ac:dyDescent="0.25">
      <c r="A38" s="71"/>
      <c r="B38" s="71"/>
      <c r="C38" s="109"/>
      <c r="D38" s="99"/>
      <c r="E38" s="99"/>
      <c r="F38" s="99"/>
      <c r="G38" s="71"/>
      <c r="H38" s="71"/>
      <c r="I38" s="71"/>
      <c r="J38" s="71"/>
      <c r="K38" s="71"/>
    </row>
    <row r="39" spans="1:13" x14ac:dyDescent="0.25">
      <c r="A39" s="71"/>
      <c r="B39" s="71"/>
      <c r="C39" s="109"/>
      <c r="D39" s="99"/>
      <c r="E39" s="99"/>
      <c r="F39" s="99"/>
      <c r="G39" s="71"/>
      <c r="H39" s="71"/>
      <c r="I39" s="71"/>
      <c r="J39" s="71"/>
      <c r="K39" s="71"/>
      <c r="M39" s="13"/>
    </row>
    <row r="40" spans="1:13" x14ac:dyDescent="0.25">
      <c r="A40" s="71"/>
      <c r="B40" s="71"/>
      <c r="C40" s="109"/>
      <c r="D40" s="99"/>
      <c r="E40" s="99"/>
      <c r="F40" s="99"/>
      <c r="G40" s="71"/>
      <c r="H40" s="71"/>
      <c r="I40" s="71"/>
      <c r="J40" s="102"/>
      <c r="K40" s="71"/>
    </row>
    <row r="41" spans="1:13" ht="15.75" x14ac:dyDescent="0.25">
      <c r="A41" s="71"/>
      <c r="B41" s="71" t="s">
        <v>63</v>
      </c>
      <c r="C41" s="108">
        <f>SUM(C42:C44)</f>
        <v>17</v>
      </c>
      <c r="D41" s="99">
        <f t="shared" si="3"/>
        <v>1700</v>
      </c>
      <c r="E41" s="99">
        <f t="shared" si="4"/>
        <v>170</v>
      </c>
      <c r="F41" s="99">
        <f t="shared" si="5"/>
        <v>1530</v>
      </c>
      <c r="G41" s="71"/>
      <c r="H41" s="71"/>
      <c r="I41" s="71"/>
      <c r="J41" s="71"/>
      <c r="K41" s="71"/>
    </row>
    <row r="42" spans="1:13" x14ac:dyDescent="0.25">
      <c r="A42" s="71"/>
      <c r="B42" s="71" t="s">
        <v>305</v>
      </c>
      <c r="C42" s="107">
        <v>15</v>
      </c>
      <c r="D42" s="103"/>
      <c r="E42" s="103"/>
      <c r="F42" s="103"/>
      <c r="G42" s="71"/>
      <c r="H42" s="71"/>
      <c r="I42" s="100"/>
      <c r="J42" s="71"/>
      <c r="K42" s="71"/>
    </row>
    <row r="43" spans="1:13" x14ac:dyDescent="0.25">
      <c r="A43" s="71"/>
      <c r="B43" s="71" t="s">
        <v>306</v>
      </c>
      <c r="C43" s="107">
        <v>1</v>
      </c>
      <c r="D43" s="103"/>
      <c r="E43" s="103"/>
      <c r="F43" s="103"/>
      <c r="G43" s="71"/>
      <c r="H43" s="71"/>
      <c r="I43" s="100"/>
      <c r="J43" s="71"/>
      <c r="K43" s="71"/>
    </row>
    <row r="44" spans="1:13" x14ac:dyDescent="0.25">
      <c r="A44" s="71"/>
      <c r="B44" s="71" t="s">
        <v>312</v>
      </c>
      <c r="C44" s="107">
        <v>1</v>
      </c>
      <c r="D44" s="103"/>
      <c r="E44" s="103"/>
      <c r="F44" s="103"/>
      <c r="G44" s="71"/>
      <c r="H44" s="71"/>
      <c r="I44" s="100"/>
      <c r="J44" s="71"/>
      <c r="K44" s="71"/>
    </row>
    <row r="45" spans="1:13" x14ac:dyDescent="0.25">
      <c r="A45" s="71"/>
      <c r="B45" s="71" t="s">
        <v>313</v>
      </c>
      <c r="C45" s="109">
        <v>1</v>
      </c>
      <c r="D45" s="71"/>
      <c r="E45" s="71"/>
      <c r="F45" s="71"/>
      <c r="G45" s="71"/>
      <c r="H45" s="71"/>
      <c r="I45" s="71"/>
      <c r="J45" s="71"/>
      <c r="K45" s="71"/>
    </row>
    <row r="46" spans="1:13" x14ac:dyDescent="0.25">
      <c r="A46" s="71"/>
      <c r="B46" s="71"/>
      <c r="C46" s="109"/>
      <c r="D46" s="71"/>
      <c r="E46" s="71"/>
      <c r="F46" s="71"/>
      <c r="G46" s="71"/>
      <c r="H46" s="71"/>
      <c r="I46" s="71"/>
      <c r="J46" s="71"/>
      <c r="K46" s="71"/>
    </row>
    <row r="47" spans="1:13" ht="15.75" x14ac:dyDescent="0.25">
      <c r="A47" s="71"/>
      <c r="B47" s="71" t="s">
        <v>64</v>
      </c>
      <c r="C47" s="108">
        <f>SUM(C48)</f>
        <v>10</v>
      </c>
      <c r="D47" s="99">
        <f t="shared" ref="D47" si="6">+C47*100</f>
        <v>1000</v>
      </c>
      <c r="E47" s="99">
        <f t="shared" ref="E47" si="7">+D47*0.1</f>
        <v>100</v>
      </c>
      <c r="F47" s="99">
        <f t="shared" ref="F47" si="8">+D47-E47</f>
        <v>900</v>
      </c>
      <c r="G47" s="71"/>
      <c r="H47" s="71"/>
      <c r="I47" s="71"/>
      <c r="J47" s="71"/>
      <c r="K47" s="71"/>
    </row>
    <row r="48" spans="1:13" x14ac:dyDescent="0.25">
      <c r="A48" s="71"/>
      <c r="B48" s="71" t="s">
        <v>305</v>
      </c>
      <c r="C48" s="107">
        <v>10</v>
      </c>
      <c r="D48" s="103"/>
      <c r="E48" s="103"/>
      <c r="F48" s="103"/>
      <c r="G48" s="71"/>
      <c r="H48" s="71"/>
      <c r="I48" s="71"/>
      <c r="J48" s="71"/>
      <c r="K48" s="71"/>
    </row>
    <row r="49" spans="1:11" x14ac:dyDescent="0.25">
      <c r="A49" s="71"/>
      <c r="B49" s="71"/>
      <c r="C49" s="107"/>
      <c r="D49" s="71"/>
      <c r="E49" s="71"/>
      <c r="F49" s="71"/>
      <c r="G49" s="71"/>
      <c r="H49" s="71"/>
      <c r="I49" s="71"/>
      <c r="J49" s="71"/>
      <c r="K49" s="71"/>
    </row>
    <row r="50" spans="1:11" x14ac:dyDescent="0.25">
      <c r="A50" s="71"/>
      <c r="B50" s="71"/>
      <c r="C50" s="109"/>
      <c r="D50" s="71"/>
      <c r="E50" s="71"/>
      <c r="F50" s="71"/>
      <c r="G50" s="71"/>
      <c r="H50" s="71"/>
      <c r="I50" s="71"/>
      <c r="J50" s="71"/>
      <c r="K50" s="71"/>
    </row>
    <row r="51" spans="1:11" ht="15.75" x14ac:dyDescent="0.25">
      <c r="A51" s="71"/>
      <c r="B51" s="71" t="s">
        <v>291</v>
      </c>
      <c r="C51" s="108">
        <f>SUM(C52:C54)</f>
        <v>1</v>
      </c>
      <c r="D51" s="99">
        <f t="shared" ref="D51" si="9">+C51*100</f>
        <v>100</v>
      </c>
      <c r="E51" s="99"/>
      <c r="F51" s="99">
        <f>+D51</f>
        <v>100</v>
      </c>
      <c r="G51" s="71"/>
      <c r="H51" s="71"/>
      <c r="I51" s="71"/>
      <c r="J51" s="71"/>
      <c r="K51" s="71"/>
    </row>
    <row r="52" spans="1:11" x14ac:dyDescent="0.25">
      <c r="A52" s="71"/>
      <c r="B52" s="71" t="s">
        <v>307</v>
      </c>
      <c r="C52" s="107">
        <v>1</v>
      </c>
      <c r="D52" s="103"/>
      <c r="E52" s="103"/>
      <c r="F52" s="103"/>
      <c r="G52" s="71"/>
      <c r="H52" s="71"/>
      <c r="I52" s="71"/>
      <c r="J52" s="71"/>
      <c r="K52" s="71"/>
    </row>
    <row r="53" spans="1:11" x14ac:dyDescent="0.25">
      <c r="A53" s="71"/>
      <c r="B53" s="71"/>
      <c r="C53" s="107"/>
      <c r="D53" s="71"/>
      <c r="E53" s="71"/>
      <c r="F53" s="71"/>
      <c r="G53" s="71"/>
      <c r="H53" s="71"/>
      <c r="I53" s="71"/>
      <c r="J53" s="71"/>
      <c r="K53" s="71"/>
    </row>
    <row r="54" spans="1:11" x14ac:dyDescent="0.25">
      <c r="A54" s="71"/>
      <c r="B54" s="71"/>
      <c r="C54" s="107"/>
      <c r="D54" s="71"/>
      <c r="E54" s="71"/>
      <c r="F54" s="71"/>
      <c r="G54" s="71"/>
      <c r="H54" s="71"/>
      <c r="I54" s="71"/>
      <c r="J54" s="71"/>
      <c r="K54" s="71"/>
    </row>
    <row r="55" spans="1:11" x14ac:dyDescent="0.25">
      <c r="A55" s="71"/>
      <c r="B55" s="71"/>
      <c r="C55" s="109"/>
      <c r="D55" s="71"/>
      <c r="E55" s="71"/>
      <c r="F55" s="71"/>
      <c r="G55" s="71"/>
      <c r="H55" s="71"/>
      <c r="I55" s="71"/>
      <c r="J55" s="71"/>
      <c r="K55" s="71"/>
    </row>
    <row r="56" spans="1:11" x14ac:dyDescent="0.25">
      <c r="A56" s="71"/>
      <c r="B56" s="71"/>
      <c r="C56" s="109"/>
      <c r="D56" s="71"/>
      <c r="E56" s="71"/>
      <c r="F56" s="71"/>
      <c r="G56" s="71"/>
      <c r="H56" s="71"/>
      <c r="I56" s="71"/>
      <c r="J56" s="71"/>
      <c r="K56" s="71"/>
    </row>
    <row r="57" spans="1:11" ht="15.75" x14ac:dyDescent="0.25">
      <c r="A57" s="71"/>
      <c r="B57" s="71" t="s">
        <v>66</v>
      </c>
      <c r="C57" s="108">
        <f>SUM(C58:C61)</f>
        <v>9</v>
      </c>
      <c r="D57" s="99">
        <f t="shared" ref="D57" si="10">+C57*100</f>
        <v>900</v>
      </c>
      <c r="E57" s="99"/>
      <c r="F57" s="99">
        <f t="shared" ref="F57" si="11">+D57-E57</f>
        <v>900</v>
      </c>
      <c r="G57" s="71"/>
      <c r="H57" s="71"/>
      <c r="I57" s="71"/>
      <c r="J57" s="71"/>
      <c r="K57" s="71"/>
    </row>
    <row r="58" spans="1:11" x14ac:dyDescent="0.25">
      <c r="A58" s="71"/>
      <c r="B58" s="71" t="s">
        <v>305</v>
      </c>
      <c r="C58" s="107">
        <v>3</v>
      </c>
      <c r="D58" s="71"/>
      <c r="E58" s="71"/>
      <c r="F58" s="71"/>
      <c r="G58" s="71"/>
      <c r="H58" s="71"/>
      <c r="I58" s="71"/>
      <c r="J58" s="71"/>
      <c r="K58" s="71"/>
    </row>
    <row r="59" spans="1:11" x14ac:dyDescent="0.25">
      <c r="A59" s="71"/>
      <c r="B59" s="71" t="s">
        <v>306</v>
      </c>
      <c r="C59" s="107">
        <v>3</v>
      </c>
      <c r="D59" s="71"/>
      <c r="E59" s="71"/>
      <c r="F59" s="71"/>
      <c r="G59" s="71"/>
      <c r="H59" s="71"/>
      <c r="I59" s="71"/>
      <c r="J59" s="71"/>
      <c r="K59" s="71"/>
    </row>
    <row r="60" spans="1:11" x14ac:dyDescent="0.25">
      <c r="A60" s="71"/>
      <c r="B60" s="71" t="s">
        <v>309</v>
      </c>
      <c r="C60" s="107">
        <v>2</v>
      </c>
      <c r="D60" s="71"/>
      <c r="E60" s="71"/>
      <c r="F60" s="71"/>
      <c r="G60" s="71"/>
      <c r="H60" s="71"/>
      <c r="I60" s="71"/>
      <c r="J60" s="71"/>
      <c r="K60" s="71"/>
    </row>
    <row r="61" spans="1:11" x14ac:dyDescent="0.25">
      <c r="A61" s="71"/>
      <c r="B61" s="71" t="s">
        <v>313</v>
      </c>
      <c r="C61" s="107">
        <v>1</v>
      </c>
      <c r="D61" s="71"/>
      <c r="E61" s="71"/>
      <c r="F61" s="71"/>
      <c r="G61" s="71"/>
      <c r="H61" s="71"/>
      <c r="I61" s="71"/>
      <c r="J61" s="71"/>
      <c r="K61" s="71"/>
    </row>
    <row r="62" spans="1:11" x14ac:dyDescent="0.25">
      <c r="A62" s="71"/>
      <c r="B62" s="71"/>
      <c r="C62" s="107"/>
      <c r="D62" s="71"/>
      <c r="E62" s="71"/>
      <c r="F62" s="71"/>
      <c r="G62" s="71"/>
      <c r="H62" s="71"/>
      <c r="I62" s="71"/>
      <c r="J62" s="71"/>
      <c r="K62" s="71"/>
    </row>
    <row r="63" spans="1:11" x14ac:dyDescent="0.25">
      <c r="A63" s="71"/>
      <c r="B63" s="71"/>
      <c r="C63" s="107"/>
      <c r="D63" s="71"/>
      <c r="E63" s="71"/>
      <c r="F63" s="71"/>
      <c r="G63" s="71"/>
      <c r="H63" s="71"/>
      <c r="I63" s="71"/>
      <c r="J63" s="71"/>
      <c r="K63" s="71"/>
    </row>
    <row r="64" spans="1:11" x14ac:dyDescent="0.25">
      <c r="A64" s="71"/>
      <c r="B64" s="71"/>
      <c r="C64" s="107"/>
      <c r="D64" s="71"/>
      <c r="E64" s="71"/>
      <c r="F64" s="71"/>
      <c r="G64" s="71"/>
      <c r="H64" s="71"/>
      <c r="I64" s="71"/>
      <c r="J64" s="71"/>
      <c r="K64" s="71"/>
    </row>
    <row r="65" spans="1:11" ht="15.75" x14ac:dyDescent="0.25">
      <c r="A65" s="71"/>
      <c r="B65" s="71" t="s">
        <v>292</v>
      </c>
      <c r="C65" s="108">
        <f>+C66+C67</f>
        <v>1</v>
      </c>
      <c r="D65" s="99">
        <f t="shared" ref="D65" si="12">+C65*100</f>
        <v>100</v>
      </c>
      <c r="E65" s="99"/>
      <c r="F65" s="99">
        <f t="shared" ref="F65" si="13">+D65-E65</f>
        <v>100</v>
      </c>
      <c r="G65" s="71"/>
      <c r="H65" s="71"/>
      <c r="I65" s="71"/>
      <c r="J65" s="71"/>
      <c r="K65" s="71"/>
    </row>
    <row r="66" spans="1:11" x14ac:dyDescent="0.25">
      <c r="A66" s="71"/>
      <c r="B66" s="71" t="s">
        <v>305</v>
      </c>
      <c r="C66" s="107">
        <v>1</v>
      </c>
      <c r="D66" s="71"/>
      <c r="E66" s="71"/>
      <c r="F66" s="71"/>
      <c r="G66" s="71"/>
      <c r="H66" s="71"/>
      <c r="I66" s="71"/>
      <c r="J66" s="71"/>
      <c r="K66" s="71"/>
    </row>
    <row r="67" spans="1:11" x14ac:dyDescent="0.25">
      <c r="A67" s="71"/>
      <c r="B67" s="71"/>
      <c r="C67" s="107"/>
      <c r="D67" s="71"/>
      <c r="E67" s="71"/>
      <c r="F67" s="71"/>
      <c r="G67" s="71"/>
      <c r="H67" s="71"/>
      <c r="I67" s="71"/>
      <c r="J67" s="71"/>
      <c r="K67" s="71"/>
    </row>
    <row r="68" spans="1:11" ht="15.75" x14ac:dyDescent="0.25">
      <c r="A68" s="71"/>
      <c r="B68" s="71"/>
      <c r="C68" s="108">
        <f>+C69+C70</f>
        <v>1</v>
      </c>
      <c r="D68" s="71"/>
      <c r="E68" s="71"/>
      <c r="F68" s="71"/>
      <c r="G68" s="71"/>
      <c r="H68" s="71"/>
      <c r="I68" s="71"/>
      <c r="J68" s="71"/>
      <c r="K68" s="71"/>
    </row>
    <row r="69" spans="1:11" ht="15.75" x14ac:dyDescent="0.25">
      <c r="A69" s="71"/>
      <c r="B69" s="71" t="s">
        <v>308</v>
      </c>
      <c r="C69" s="106">
        <v>1</v>
      </c>
      <c r="D69" s="99">
        <f t="shared" ref="D69" si="14">+C69*100</f>
        <v>100</v>
      </c>
      <c r="E69" s="99"/>
      <c r="F69" s="99">
        <f t="shared" ref="F69" si="15">+D69-E69</f>
        <v>100</v>
      </c>
      <c r="G69" s="71"/>
      <c r="H69" s="71"/>
      <c r="I69" s="71"/>
      <c r="J69" s="71"/>
      <c r="K69" s="71"/>
    </row>
    <row r="70" spans="1:11" x14ac:dyDescent="0.25">
      <c r="A70" s="71"/>
      <c r="B70" s="71" t="s">
        <v>309</v>
      </c>
      <c r="C70" s="109"/>
      <c r="D70" s="71"/>
      <c r="E70" s="71"/>
      <c r="F70" s="71"/>
      <c r="G70" s="71"/>
      <c r="H70" s="71"/>
      <c r="I70" s="71"/>
      <c r="J70" s="71"/>
      <c r="K70" s="71"/>
    </row>
    <row r="71" spans="1:11" x14ac:dyDescent="0.25">
      <c r="A71" s="71"/>
      <c r="B71" s="71"/>
      <c r="C71" s="109"/>
      <c r="D71" s="71"/>
      <c r="E71" s="71"/>
      <c r="F71" s="71"/>
      <c r="G71" s="71"/>
      <c r="H71" s="71"/>
      <c r="I71" s="71"/>
      <c r="J71" s="71"/>
      <c r="K71" s="71"/>
    </row>
    <row r="72" spans="1:11" x14ac:dyDescent="0.25">
      <c r="A72" s="71"/>
      <c r="B72" s="71"/>
      <c r="C72" s="109"/>
      <c r="D72" s="71"/>
      <c r="E72" s="71"/>
      <c r="F72" s="71"/>
      <c r="G72" s="71"/>
      <c r="H72" s="71"/>
      <c r="I72" s="71"/>
      <c r="J72" s="71"/>
      <c r="K72" s="71"/>
    </row>
    <row r="73" spans="1:11" ht="15.75" x14ac:dyDescent="0.25">
      <c r="A73" s="71"/>
      <c r="B73" s="71" t="s">
        <v>328</v>
      </c>
      <c r="C73" s="108">
        <f>+C74+C75</f>
        <v>1</v>
      </c>
      <c r="D73" s="71"/>
      <c r="E73" s="71"/>
      <c r="F73" s="71"/>
      <c r="G73" s="71"/>
      <c r="H73" s="71"/>
      <c r="I73" s="71"/>
      <c r="J73" s="71"/>
      <c r="K73" s="71"/>
    </row>
    <row r="74" spans="1:11" ht="15.75" x14ac:dyDescent="0.25">
      <c r="A74" s="71"/>
      <c r="B74" s="71"/>
      <c r="C74" s="106">
        <v>1</v>
      </c>
      <c r="D74" s="99">
        <f t="shared" ref="D74" si="16">+C74*100</f>
        <v>100</v>
      </c>
      <c r="E74" s="99"/>
      <c r="F74" s="99">
        <f t="shared" ref="F74" si="17">+D74-E74</f>
        <v>100</v>
      </c>
      <c r="G74" s="71"/>
      <c r="H74" s="71"/>
      <c r="I74" s="71"/>
      <c r="J74" s="71"/>
      <c r="K74" s="71"/>
    </row>
    <row r="75" spans="1:11" x14ac:dyDescent="0.25">
      <c r="A75" s="71"/>
      <c r="B75" s="71"/>
      <c r="C75" s="109"/>
      <c r="D75" s="71"/>
      <c r="E75" s="71"/>
      <c r="F75" s="100"/>
      <c r="G75" s="71"/>
      <c r="H75" s="100"/>
      <c r="I75" s="71"/>
      <c r="J75" s="71"/>
      <c r="K75" s="71"/>
    </row>
    <row r="76" spans="1:11" x14ac:dyDescent="0.25">
      <c r="A76" s="71"/>
      <c r="B76" s="71"/>
      <c r="C76" s="109"/>
      <c r="D76" s="71"/>
      <c r="E76" s="71"/>
      <c r="F76" s="100"/>
      <c r="G76" s="71"/>
      <c r="H76" s="100"/>
      <c r="I76" s="71"/>
      <c r="J76" s="71"/>
      <c r="K76" s="71"/>
    </row>
    <row r="77" spans="1:11" x14ac:dyDescent="0.25">
      <c r="A77" s="71"/>
      <c r="B77" s="71"/>
      <c r="C77" s="109"/>
      <c r="D77" s="71"/>
      <c r="E77" s="71"/>
      <c r="F77" s="100"/>
      <c r="G77" s="71"/>
      <c r="H77" s="100"/>
      <c r="I77" s="71"/>
      <c r="J77" s="71"/>
      <c r="K77" s="71"/>
    </row>
    <row r="78" spans="1:11" x14ac:dyDescent="0.25">
      <c r="A78" s="71"/>
      <c r="B78" s="71"/>
      <c r="C78" s="107">
        <f>+C73+C68+C65+C57+C51+C47+C41+C35+C29+C23+C15</f>
        <v>112</v>
      </c>
      <c r="D78" s="99">
        <f>+C78*100</f>
        <v>11200</v>
      </c>
      <c r="E78" s="99">
        <f>+D79</f>
        <v>990</v>
      </c>
      <c r="F78" s="99">
        <f>+D78-E78</f>
        <v>10210</v>
      </c>
      <c r="G78" s="71"/>
      <c r="H78" s="71"/>
      <c r="I78" s="71"/>
      <c r="J78" s="71"/>
      <c r="K78" s="71"/>
    </row>
    <row r="79" spans="1:11" x14ac:dyDescent="0.25">
      <c r="A79" s="71"/>
      <c r="B79" s="71"/>
      <c r="C79" s="107"/>
      <c r="D79" s="99">
        <f>+E15+E23+E29+E35+E41+E47</f>
        <v>990</v>
      </c>
      <c r="E79" s="99"/>
      <c r="F79" s="99">
        <f>+D79</f>
        <v>990</v>
      </c>
      <c r="G79" s="71"/>
      <c r="H79" s="71"/>
      <c r="I79" s="71"/>
      <c r="J79" s="71"/>
      <c r="K79" s="71"/>
    </row>
    <row r="80" spans="1:11" x14ac:dyDescent="0.25">
      <c r="A80" s="71"/>
      <c r="B80" s="71"/>
      <c r="C80" s="107"/>
      <c r="D80" s="71"/>
      <c r="E80" s="71"/>
      <c r="F80" s="103">
        <f>+F78+F79</f>
        <v>11200</v>
      </c>
      <c r="G80" s="71"/>
      <c r="H80" s="71"/>
      <c r="I80" s="71"/>
      <c r="J80" s="71"/>
      <c r="K80" s="71"/>
    </row>
    <row r="81" spans="1:11" x14ac:dyDescent="0.25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</row>
    <row r="82" spans="1:11" x14ac:dyDescent="0.25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</row>
    <row r="83" spans="1:11" x14ac:dyDescent="0.25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</row>
    <row r="84" spans="1:11" x14ac:dyDescent="0.25">
      <c r="A84" s="73" t="s">
        <v>1</v>
      </c>
      <c r="B84" s="74" t="s">
        <v>2</v>
      </c>
      <c r="C84" s="73" t="s">
        <v>3</v>
      </c>
      <c r="D84" s="73" t="s">
        <v>4</v>
      </c>
      <c r="E84" s="73" t="s">
        <v>5</v>
      </c>
      <c r="F84" s="73" t="s">
        <v>6</v>
      </c>
      <c r="G84" s="73" t="s">
        <v>7</v>
      </c>
      <c r="H84" s="75" t="s">
        <v>8</v>
      </c>
      <c r="I84" s="75" t="s">
        <v>9</v>
      </c>
      <c r="J84" s="75" t="s">
        <v>10</v>
      </c>
      <c r="K84" s="75" t="s">
        <v>11</v>
      </c>
    </row>
    <row r="85" spans="1:11" ht="18.75" x14ac:dyDescent="0.3">
      <c r="A85" s="73">
        <v>1</v>
      </c>
      <c r="B85" s="110" t="s">
        <v>316</v>
      </c>
      <c r="C85" s="83">
        <v>45</v>
      </c>
      <c r="D85" s="83">
        <v>45</v>
      </c>
      <c r="E85" s="83">
        <f>12*5+15</f>
        <v>75</v>
      </c>
      <c r="F85" s="83">
        <v>45</v>
      </c>
      <c r="G85" s="83">
        <v>45</v>
      </c>
      <c r="H85" s="76"/>
      <c r="I85" s="76"/>
      <c r="J85" s="79">
        <f>SUM(C85:I85)</f>
        <v>255</v>
      </c>
      <c r="K85" s="77"/>
    </row>
    <row r="86" spans="1:11" ht="18.75" x14ac:dyDescent="0.3">
      <c r="A86" s="73">
        <f>+A85+1</f>
        <v>2</v>
      </c>
      <c r="B86" s="110" t="s">
        <v>314</v>
      </c>
      <c r="C86" s="83">
        <v>45</v>
      </c>
      <c r="D86" s="83"/>
      <c r="E86" s="83"/>
      <c r="F86" s="83"/>
      <c r="G86" s="83"/>
      <c r="H86" s="76"/>
      <c r="I86" s="76"/>
      <c r="J86" s="79">
        <f>SUM(C86:I86)</f>
        <v>45</v>
      </c>
      <c r="K86" s="77"/>
    </row>
    <row r="87" spans="1:11" ht="18.75" x14ac:dyDescent="0.3">
      <c r="A87" s="73">
        <f>+A86+1</f>
        <v>3</v>
      </c>
      <c r="B87" s="110" t="s">
        <v>12</v>
      </c>
      <c r="C87" s="83">
        <v>45</v>
      </c>
      <c r="D87" s="83">
        <v>45</v>
      </c>
      <c r="E87" s="83">
        <f>4*12+15+10</f>
        <v>73</v>
      </c>
      <c r="F87" s="83">
        <v>45</v>
      </c>
      <c r="G87" s="83">
        <v>55</v>
      </c>
      <c r="H87" s="76"/>
      <c r="I87" s="76"/>
      <c r="J87" s="79">
        <f t="shared" ref="J87:J98" si="18">SUM(C87:I87)</f>
        <v>263</v>
      </c>
      <c r="K87" s="77"/>
    </row>
    <row r="88" spans="1:11" ht="18.75" x14ac:dyDescent="0.3">
      <c r="A88" s="73">
        <f t="shared" ref="A88:A98" si="19">+A87+1</f>
        <v>4</v>
      </c>
      <c r="B88" s="110" t="s">
        <v>317</v>
      </c>
      <c r="C88" s="83">
        <v>45</v>
      </c>
      <c r="D88" s="83">
        <v>45</v>
      </c>
      <c r="E88" s="83">
        <f>3*12+15</f>
        <v>51</v>
      </c>
      <c r="F88" s="83">
        <v>45</v>
      </c>
      <c r="G88" s="83">
        <v>45</v>
      </c>
      <c r="H88" s="76"/>
      <c r="I88" s="76"/>
      <c r="J88" s="79">
        <f t="shared" si="18"/>
        <v>231</v>
      </c>
      <c r="K88" s="77"/>
    </row>
    <row r="89" spans="1:11" ht="18.75" x14ac:dyDescent="0.3">
      <c r="A89" s="73">
        <f t="shared" si="19"/>
        <v>5</v>
      </c>
      <c r="B89" s="110" t="s">
        <v>319</v>
      </c>
      <c r="C89" s="83">
        <v>45</v>
      </c>
      <c r="D89" s="83">
        <v>45</v>
      </c>
      <c r="E89" s="83">
        <f>3*12+15</f>
        <v>51</v>
      </c>
      <c r="F89" s="83">
        <v>45</v>
      </c>
      <c r="G89" s="83">
        <v>45</v>
      </c>
      <c r="H89" s="76"/>
      <c r="I89" s="76"/>
      <c r="J89" s="79">
        <f t="shared" si="18"/>
        <v>231</v>
      </c>
      <c r="K89" s="77"/>
    </row>
    <row r="90" spans="1:11" ht="18.75" x14ac:dyDescent="0.3">
      <c r="A90" s="73">
        <f t="shared" si="19"/>
        <v>6</v>
      </c>
      <c r="B90" s="110" t="s">
        <v>320</v>
      </c>
      <c r="C90" s="83">
        <v>45</v>
      </c>
      <c r="D90" s="83">
        <v>45</v>
      </c>
      <c r="E90" s="83">
        <v>51</v>
      </c>
      <c r="F90" s="83">
        <v>45</v>
      </c>
      <c r="G90" s="83">
        <v>45</v>
      </c>
      <c r="H90" s="76"/>
      <c r="I90" s="76"/>
      <c r="J90" s="79">
        <f t="shared" si="18"/>
        <v>231</v>
      </c>
      <c r="K90" s="77"/>
    </row>
    <row r="91" spans="1:11" ht="18.75" x14ac:dyDescent="0.3">
      <c r="A91" s="73">
        <f t="shared" si="19"/>
        <v>7</v>
      </c>
      <c r="B91" s="110" t="s">
        <v>325</v>
      </c>
      <c r="C91" s="83">
        <v>45</v>
      </c>
      <c r="D91" s="83">
        <v>45</v>
      </c>
      <c r="E91" s="83">
        <f>2*12+15</f>
        <v>39</v>
      </c>
      <c r="F91" s="83">
        <v>45</v>
      </c>
      <c r="G91" s="83">
        <v>45</v>
      </c>
      <c r="H91" s="76"/>
      <c r="I91" s="76"/>
      <c r="J91" s="79">
        <f t="shared" si="18"/>
        <v>219</v>
      </c>
      <c r="K91" s="77"/>
    </row>
    <row r="92" spans="1:11" ht="18.75" x14ac:dyDescent="0.3">
      <c r="A92" s="73">
        <f t="shared" si="19"/>
        <v>8</v>
      </c>
      <c r="B92" s="110" t="s">
        <v>322</v>
      </c>
      <c r="C92" s="83">
        <v>45</v>
      </c>
      <c r="D92" s="83"/>
      <c r="E92" s="83"/>
      <c r="F92" s="83"/>
      <c r="G92" s="83"/>
      <c r="H92" s="76"/>
      <c r="I92" s="76"/>
      <c r="J92" s="79">
        <f t="shared" si="18"/>
        <v>45</v>
      </c>
      <c r="K92" s="77"/>
    </row>
    <row r="93" spans="1:11" ht="18.75" x14ac:dyDescent="0.3">
      <c r="A93" s="73">
        <f t="shared" si="19"/>
        <v>9</v>
      </c>
      <c r="B93" s="110" t="s">
        <v>330</v>
      </c>
      <c r="C93" s="83">
        <v>45</v>
      </c>
      <c r="D93" s="83"/>
      <c r="E93" s="83"/>
      <c r="F93" s="83"/>
      <c r="G93" s="83"/>
      <c r="H93" s="76"/>
      <c r="I93" s="76"/>
      <c r="J93" s="79">
        <f t="shared" si="18"/>
        <v>45</v>
      </c>
      <c r="K93" s="77"/>
    </row>
    <row r="94" spans="1:11" ht="18.75" x14ac:dyDescent="0.3">
      <c r="A94" s="73">
        <f t="shared" si="19"/>
        <v>10</v>
      </c>
      <c r="B94" s="110" t="s">
        <v>332</v>
      </c>
      <c r="C94" s="83">
        <v>45</v>
      </c>
      <c r="D94" s="83"/>
      <c r="E94" s="83"/>
      <c r="F94" s="83"/>
      <c r="G94" s="83"/>
      <c r="H94" s="76"/>
      <c r="I94" s="76"/>
      <c r="J94" s="79">
        <f t="shared" si="18"/>
        <v>45</v>
      </c>
      <c r="K94" s="77"/>
    </row>
    <row r="95" spans="1:11" ht="18.75" x14ac:dyDescent="0.3">
      <c r="A95" s="73">
        <f t="shared" si="19"/>
        <v>11</v>
      </c>
      <c r="B95" s="110" t="s">
        <v>334</v>
      </c>
      <c r="C95" s="83">
        <v>15</v>
      </c>
      <c r="D95" s="83"/>
      <c r="E95" s="83">
        <v>45</v>
      </c>
      <c r="F95" s="83">
        <v>15</v>
      </c>
      <c r="G95" s="83">
        <v>15</v>
      </c>
      <c r="H95" s="76"/>
      <c r="I95" s="76"/>
      <c r="J95" s="79">
        <f t="shared" si="18"/>
        <v>90</v>
      </c>
      <c r="K95" s="77"/>
    </row>
    <row r="96" spans="1:11" ht="18.75" x14ac:dyDescent="0.3">
      <c r="A96" s="73">
        <f t="shared" si="19"/>
        <v>12</v>
      </c>
      <c r="B96" s="110" t="s">
        <v>331</v>
      </c>
      <c r="C96" s="83">
        <v>45</v>
      </c>
      <c r="D96" s="83"/>
      <c r="E96" s="83">
        <v>45</v>
      </c>
      <c r="F96" s="83"/>
      <c r="G96" s="83"/>
      <c r="H96" s="76"/>
      <c r="I96" s="76"/>
      <c r="J96" s="79">
        <f t="shared" si="18"/>
        <v>90</v>
      </c>
      <c r="K96" s="77"/>
    </row>
    <row r="97" spans="1:11" ht="18.75" x14ac:dyDescent="0.3">
      <c r="A97" s="73">
        <f t="shared" si="19"/>
        <v>13</v>
      </c>
      <c r="B97" s="110" t="s">
        <v>333</v>
      </c>
      <c r="C97" s="83">
        <v>45</v>
      </c>
      <c r="D97" s="83"/>
      <c r="E97" s="83"/>
      <c r="F97" s="83"/>
      <c r="G97" s="83"/>
      <c r="H97" s="76"/>
      <c r="I97" s="76"/>
      <c r="J97" s="79">
        <f t="shared" si="18"/>
        <v>45</v>
      </c>
      <c r="K97" s="77"/>
    </row>
    <row r="98" spans="1:11" ht="18.75" x14ac:dyDescent="0.3">
      <c r="A98" s="73">
        <f t="shared" si="19"/>
        <v>14</v>
      </c>
      <c r="B98" s="110" t="s">
        <v>74</v>
      </c>
      <c r="C98" s="83"/>
      <c r="D98" s="83"/>
      <c r="E98" s="83">
        <v>90</v>
      </c>
      <c r="F98" s="83"/>
      <c r="G98" s="83"/>
      <c r="H98" s="76"/>
      <c r="I98" s="76"/>
      <c r="J98" s="79">
        <f t="shared" si="18"/>
        <v>90</v>
      </c>
      <c r="K98" s="77"/>
    </row>
    <row r="99" spans="1:11" x14ac:dyDescent="0.25">
      <c r="J99" s="16">
        <f>SUM(J85:J98)</f>
        <v>1925</v>
      </c>
    </row>
  </sheetData>
  <pageMargins left="0.33" right="0.7" top="0.32" bottom="0.3" header="0.31496062992125984" footer="0.31496062992125984"/>
  <pageSetup scale="85" fitToHeight="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6"/>
  <sheetViews>
    <sheetView topLeftCell="A7" zoomScaleNormal="100" workbookViewId="0">
      <selection activeCell="K16" sqref="K16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3" width="10.7109375" customWidth="1"/>
    <col min="4" max="4" width="11.42578125" customWidth="1"/>
    <col min="5" max="5" width="10.7109375" customWidth="1"/>
    <col min="6" max="6" width="11.42578125" customWidth="1"/>
    <col min="7" max="9" width="10.7109375" customWidth="1"/>
    <col min="10" max="10" width="13.85546875" customWidth="1"/>
    <col min="11" max="11" width="16.5703125" customWidth="1"/>
  </cols>
  <sheetData>
    <row r="1" spans="1:1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26.25" x14ac:dyDescent="0.4">
      <c r="A2" s="71"/>
      <c r="B2" s="72" t="s">
        <v>326</v>
      </c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73" t="s">
        <v>1</v>
      </c>
      <c r="B3" s="74" t="s">
        <v>2</v>
      </c>
      <c r="C3" s="73" t="s">
        <v>3</v>
      </c>
      <c r="D3" s="73" t="s">
        <v>4</v>
      </c>
      <c r="E3" s="73" t="s">
        <v>5</v>
      </c>
      <c r="F3" s="73" t="s">
        <v>6</v>
      </c>
      <c r="G3" s="73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ht="18.75" x14ac:dyDescent="0.3">
      <c r="A4" s="73">
        <v>1</v>
      </c>
      <c r="B4" s="78" t="s">
        <v>15</v>
      </c>
      <c r="C4" s="83"/>
      <c r="D4" s="83"/>
      <c r="E4" s="83"/>
      <c r="F4" s="83"/>
      <c r="G4" s="83"/>
      <c r="H4" s="76"/>
      <c r="I4" s="76">
        <v>37</v>
      </c>
      <c r="J4" s="79">
        <f t="shared" ref="J4:J8" si="0">SUM(C4:I4)</f>
        <v>37</v>
      </c>
      <c r="K4" s="77"/>
    </row>
    <row r="5" spans="1:11" ht="18.75" x14ac:dyDescent="0.3">
      <c r="A5" s="73">
        <f t="shared" ref="A5:A8" si="1">+A4+1</f>
        <v>2</v>
      </c>
      <c r="B5" s="78" t="s">
        <v>298</v>
      </c>
      <c r="C5" s="83"/>
      <c r="D5" s="83"/>
      <c r="E5" s="83"/>
      <c r="F5" s="83"/>
      <c r="G5" s="83"/>
      <c r="H5" s="76"/>
      <c r="I5" s="76">
        <v>18</v>
      </c>
      <c r="J5" s="79">
        <f t="shared" si="0"/>
        <v>18</v>
      </c>
      <c r="K5" s="77"/>
    </row>
    <row r="6" spans="1:11" ht="18.75" x14ac:dyDescent="0.3">
      <c r="A6" s="73">
        <f t="shared" si="1"/>
        <v>3</v>
      </c>
      <c r="B6" s="78" t="s">
        <v>22</v>
      </c>
      <c r="C6" s="83"/>
      <c r="D6" s="83"/>
      <c r="E6" s="83"/>
      <c r="F6" s="83"/>
      <c r="G6" s="83"/>
      <c r="H6" s="76"/>
      <c r="I6" s="76">
        <v>103</v>
      </c>
      <c r="J6" s="79">
        <f t="shared" si="0"/>
        <v>103</v>
      </c>
      <c r="K6" s="77"/>
    </row>
    <row r="7" spans="1:11" ht="18.75" x14ac:dyDescent="0.3">
      <c r="A7" s="73">
        <f t="shared" si="1"/>
        <v>4</v>
      </c>
      <c r="B7" s="78" t="s">
        <v>32</v>
      </c>
      <c r="C7" s="83"/>
      <c r="D7" s="83"/>
      <c r="E7" s="83"/>
      <c r="F7" s="83"/>
      <c r="G7" s="83"/>
      <c r="H7" s="76"/>
      <c r="I7" s="76">
        <v>20</v>
      </c>
      <c r="J7" s="79">
        <f t="shared" si="0"/>
        <v>20</v>
      </c>
      <c r="K7" s="77"/>
    </row>
    <row r="8" spans="1:11" ht="18.75" x14ac:dyDescent="0.3">
      <c r="A8" s="73">
        <f t="shared" si="1"/>
        <v>5</v>
      </c>
      <c r="B8" s="78" t="s">
        <v>35</v>
      </c>
      <c r="C8" s="83"/>
      <c r="D8" s="83"/>
      <c r="E8" s="83"/>
      <c r="F8" s="83"/>
      <c r="G8" s="83">
        <v>47</v>
      </c>
      <c r="H8" s="76"/>
      <c r="I8" s="76"/>
      <c r="J8" s="79">
        <f t="shared" si="0"/>
        <v>47</v>
      </c>
      <c r="K8" s="80"/>
    </row>
    <row r="9" spans="1:11" ht="18.75" x14ac:dyDescent="0.3">
      <c r="A9" s="73"/>
      <c r="B9" s="85" t="s">
        <v>40</v>
      </c>
      <c r="C9" s="83"/>
      <c r="D9" s="83"/>
      <c r="E9" s="83"/>
      <c r="F9" s="83"/>
      <c r="G9" s="83"/>
      <c r="H9" s="83"/>
      <c r="I9" s="83"/>
      <c r="J9" s="86"/>
      <c r="K9" s="80"/>
    </row>
    <row r="10" spans="1:11" ht="18.75" x14ac:dyDescent="0.3">
      <c r="A10" s="73"/>
      <c r="B10" s="85"/>
      <c r="C10" s="83"/>
      <c r="D10" s="83"/>
      <c r="E10" s="83"/>
      <c r="F10" s="83"/>
      <c r="G10" s="83"/>
      <c r="H10" s="83"/>
      <c r="I10" s="83"/>
      <c r="J10" s="86"/>
      <c r="K10" s="80"/>
    </row>
    <row r="11" spans="1:11" ht="18.75" x14ac:dyDescent="0.3">
      <c r="A11" s="73">
        <f>+A8+1</f>
        <v>6</v>
      </c>
      <c r="B11" s="78" t="s">
        <v>41</v>
      </c>
      <c r="C11" s="83"/>
      <c r="D11" s="83"/>
      <c r="E11" s="83"/>
      <c r="F11" s="83"/>
      <c r="G11" s="83">
        <v>45</v>
      </c>
      <c r="H11" s="83"/>
      <c r="I11" s="83"/>
      <c r="J11" s="79">
        <f t="shared" ref="J11:J16" si="2">SUM(C11:I11)</f>
        <v>45</v>
      </c>
      <c r="K11" s="80"/>
    </row>
    <row r="12" spans="1:11" ht="18.75" x14ac:dyDescent="0.3">
      <c r="A12" s="73">
        <f>+A11+1</f>
        <v>7</v>
      </c>
      <c r="B12" s="78" t="s">
        <v>46</v>
      </c>
      <c r="C12" s="83">
        <v>15</v>
      </c>
      <c r="D12" s="83"/>
      <c r="E12" s="83"/>
      <c r="F12" s="83"/>
      <c r="G12" s="83">
        <v>36</v>
      </c>
      <c r="H12" s="83"/>
      <c r="I12" s="83"/>
      <c r="J12" s="79">
        <f t="shared" si="2"/>
        <v>51</v>
      </c>
      <c r="K12" s="80"/>
    </row>
    <row r="13" spans="1:11" ht="18.75" x14ac:dyDescent="0.3">
      <c r="A13" s="73">
        <f t="shared" ref="A13" si="3">+A10+1</f>
        <v>1</v>
      </c>
      <c r="B13" s="78" t="s">
        <v>86</v>
      </c>
      <c r="C13" s="83"/>
      <c r="D13" s="83"/>
      <c r="E13" s="83"/>
      <c r="F13" s="83"/>
      <c r="G13" s="83"/>
      <c r="H13" s="83"/>
      <c r="I13" s="83">
        <v>274</v>
      </c>
      <c r="J13" s="79">
        <f t="shared" si="2"/>
        <v>274</v>
      </c>
      <c r="K13" s="80"/>
    </row>
    <row r="14" spans="1:11" ht="18.75" x14ac:dyDescent="0.3">
      <c r="A14" s="73">
        <f t="shared" ref="A14" si="4">+A13+1</f>
        <v>2</v>
      </c>
      <c r="B14" s="78" t="s">
        <v>43</v>
      </c>
      <c r="C14" s="83">
        <f>45*2</f>
        <v>90</v>
      </c>
      <c r="D14" s="83"/>
      <c r="E14" s="83">
        <f>45*2</f>
        <v>90</v>
      </c>
      <c r="F14" s="83"/>
      <c r="G14" s="83"/>
      <c r="H14" s="83"/>
      <c r="I14" s="83"/>
      <c r="J14" s="79">
        <f t="shared" si="2"/>
        <v>180</v>
      </c>
      <c r="K14" s="80"/>
    </row>
    <row r="15" spans="1:11" ht="18.75" x14ac:dyDescent="0.3">
      <c r="A15" s="73">
        <f t="shared" ref="A15" si="5">+A12+1</f>
        <v>8</v>
      </c>
      <c r="B15" s="78" t="s">
        <v>47</v>
      </c>
      <c r="C15" s="87"/>
      <c r="D15" s="84"/>
      <c r="E15" s="84">
        <v>45</v>
      </c>
      <c r="F15" s="84"/>
      <c r="G15" s="84"/>
      <c r="H15" s="84"/>
      <c r="I15" s="84">
        <v>284</v>
      </c>
      <c r="J15" s="79">
        <f t="shared" si="2"/>
        <v>329</v>
      </c>
      <c r="K15" s="111">
        <f>+J15-250</f>
        <v>79</v>
      </c>
    </row>
    <row r="16" spans="1:11" ht="18.75" x14ac:dyDescent="0.3">
      <c r="A16" s="73">
        <f t="shared" ref="A16" si="6">+A15+1</f>
        <v>9</v>
      </c>
      <c r="B16" s="78" t="s">
        <v>48</v>
      </c>
      <c r="C16" s="84"/>
      <c r="D16" s="84">
        <v>40</v>
      </c>
      <c r="F16" s="84">
        <v>85</v>
      </c>
      <c r="G16" s="84">
        <v>40</v>
      </c>
      <c r="H16" s="84"/>
      <c r="I16" s="84"/>
      <c r="J16" s="79">
        <f t="shared" si="2"/>
        <v>165</v>
      </c>
      <c r="K16" s="80"/>
    </row>
    <row r="17" spans="1:14" ht="21" x14ac:dyDescent="0.35">
      <c r="A17" s="71"/>
      <c r="B17" s="92" t="s">
        <v>54</v>
      </c>
      <c r="C17" s="93"/>
      <c r="D17" s="94"/>
      <c r="E17" s="95"/>
      <c r="F17" s="95"/>
      <c r="G17" s="95"/>
      <c r="H17" s="95"/>
      <c r="I17" s="96"/>
      <c r="J17" s="97">
        <f>SUM(J4:J16)</f>
        <v>1269</v>
      </c>
      <c r="K17" s="71"/>
    </row>
    <row r="18" spans="1:14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</row>
    <row r="19" spans="1:14" ht="15.75" x14ac:dyDescent="0.25">
      <c r="A19" s="71"/>
      <c r="B19" s="71" t="s">
        <v>55</v>
      </c>
      <c r="C19" s="98">
        <f>SUM(C20:C22)</f>
        <v>40</v>
      </c>
      <c r="D19" s="99">
        <f>+C19*100</f>
        <v>4000</v>
      </c>
      <c r="E19" s="99">
        <f>+D19*0.1</f>
        <v>400</v>
      </c>
      <c r="F19" s="99">
        <f>+D19-E19</f>
        <v>3600</v>
      </c>
      <c r="G19" s="100"/>
      <c r="H19" s="100"/>
      <c r="I19" s="71"/>
      <c r="J19" s="71"/>
      <c r="K19" s="71"/>
      <c r="N19" s="42"/>
    </row>
    <row r="20" spans="1:14" ht="15.75" x14ac:dyDescent="0.25">
      <c r="A20" s="71"/>
      <c r="B20" s="71" t="s">
        <v>305</v>
      </c>
      <c r="C20" s="106">
        <v>20</v>
      </c>
      <c r="D20" s="99"/>
      <c r="E20" s="99" t="s">
        <v>327</v>
      </c>
      <c r="F20" s="99">
        <v>171</v>
      </c>
      <c r="G20" s="100"/>
      <c r="H20" s="100"/>
      <c r="I20" s="71"/>
      <c r="J20" s="71"/>
      <c r="K20" s="71"/>
      <c r="N20" s="42"/>
    </row>
    <row r="21" spans="1:14" x14ac:dyDescent="0.25">
      <c r="A21" s="71"/>
      <c r="B21" s="71" t="s">
        <v>309</v>
      </c>
      <c r="C21" s="107">
        <v>10</v>
      </c>
      <c r="D21" s="99"/>
      <c r="E21" s="99"/>
      <c r="F21" s="99">
        <f>+F19+F20</f>
        <v>3771</v>
      </c>
      <c r="G21" s="100"/>
      <c r="H21" s="100"/>
      <c r="I21" s="71"/>
      <c r="J21" s="71"/>
      <c r="K21" s="71"/>
      <c r="N21" s="42"/>
    </row>
    <row r="22" spans="1:14" x14ac:dyDescent="0.25">
      <c r="A22" s="71"/>
      <c r="B22" s="71" t="s">
        <v>313</v>
      </c>
      <c r="C22" s="107">
        <v>10</v>
      </c>
      <c r="D22" s="99"/>
      <c r="E22" s="99"/>
      <c r="F22" s="99"/>
      <c r="G22" s="100"/>
      <c r="H22" s="100"/>
      <c r="I22" s="71"/>
      <c r="J22" s="71"/>
      <c r="K22" s="71"/>
      <c r="N22" s="42"/>
    </row>
    <row r="23" spans="1:14" x14ac:dyDescent="0.25">
      <c r="A23" s="71"/>
      <c r="B23" s="71"/>
      <c r="C23" s="107"/>
      <c r="D23" s="99"/>
      <c r="E23" s="99"/>
      <c r="F23" s="99"/>
      <c r="G23" s="100"/>
      <c r="H23" s="100"/>
      <c r="I23" s="71"/>
      <c r="J23" s="71"/>
      <c r="K23" s="71"/>
      <c r="N23" s="42"/>
    </row>
    <row r="24" spans="1:14" x14ac:dyDescent="0.25">
      <c r="A24" s="71"/>
      <c r="B24" s="71"/>
      <c r="C24" s="107"/>
      <c r="D24" s="99"/>
      <c r="E24" s="99"/>
      <c r="F24" s="99"/>
      <c r="G24" s="100"/>
      <c r="H24" s="100"/>
      <c r="I24" s="71"/>
      <c r="J24" s="71"/>
      <c r="K24" s="71"/>
      <c r="N24" s="42"/>
    </row>
    <row r="25" spans="1:14" x14ac:dyDescent="0.25">
      <c r="A25" s="71"/>
      <c r="B25" s="71"/>
      <c r="C25" s="107"/>
      <c r="D25" s="99"/>
      <c r="E25" s="99"/>
      <c r="F25" s="99"/>
      <c r="G25" s="100"/>
      <c r="H25" s="100"/>
      <c r="I25" s="71"/>
      <c r="J25" s="71"/>
      <c r="K25" s="71"/>
      <c r="N25" s="42"/>
    </row>
    <row r="26" spans="1:14" x14ac:dyDescent="0.25">
      <c r="A26" s="71"/>
      <c r="B26" s="71"/>
      <c r="C26" s="107"/>
      <c r="D26" s="99"/>
      <c r="E26" s="99"/>
      <c r="F26" s="99"/>
      <c r="G26" s="100"/>
      <c r="H26" s="100"/>
      <c r="I26" s="71"/>
      <c r="J26" s="71"/>
      <c r="K26" s="71"/>
      <c r="N26" s="42"/>
    </row>
    <row r="27" spans="1:14" ht="15.75" x14ac:dyDescent="0.25">
      <c r="A27" s="71"/>
      <c r="B27" s="71" t="s">
        <v>57</v>
      </c>
      <c r="C27" s="108">
        <f>SUM(C28:C30)</f>
        <v>25</v>
      </c>
      <c r="D27" s="99">
        <f t="shared" ref="D27:D45" si="7">+C27*100</f>
        <v>2500</v>
      </c>
      <c r="E27" s="99">
        <f t="shared" ref="E27:E45" si="8">+D27*0.1</f>
        <v>250</v>
      </c>
      <c r="F27" s="99">
        <f t="shared" ref="F27:F45" si="9">+D27-E27</f>
        <v>2250</v>
      </c>
      <c r="G27" s="71"/>
      <c r="H27" s="71"/>
      <c r="I27" s="71"/>
      <c r="J27" s="71"/>
      <c r="K27" s="71"/>
    </row>
    <row r="28" spans="1:14" x14ac:dyDescent="0.25">
      <c r="A28" s="71"/>
      <c r="B28" s="71" t="s">
        <v>305</v>
      </c>
      <c r="C28" s="109">
        <v>10</v>
      </c>
      <c r="D28" s="99"/>
      <c r="E28" s="99"/>
      <c r="F28" s="99"/>
      <c r="G28" s="71"/>
      <c r="H28" s="71"/>
      <c r="I28" s="71"/>
      <c r="J28" s="71"/>
      <c r="K28" s="71"/>
    </row>
    <row r="29" spans="1:14" x14ac:dyDescent="0.25">
      <c r="A29" s="71"/>
      <c r="B29" s="71" t="s">
        <v>306</v>
      </c>
      <c r="C29" s="109">
        <v>10</v>
      </c>
      <c r="D29" s="99"/>
      <c r="E29" s="99"/>
      <c r="F29" s="99"/>
      <c r="G29" s="71"/>
      <c r="H29" s="71"/>
      <c r="I29" s="71"/>
      <c r="J29" s="71"/>
      <c r="K29" s="71"/>
    </row>
    <row r="30" spans="1:14" x14ac:dyDescent="0.25">
      <c r="A30" s="71"/>
      <c r="B30" s="71" t="s">
        <v>312</v>
      </c>
      <c r="C30" s="109">
        <v>5</v>
      </c>
      <c r="D30" s="99"/>
      <c r="E30" s="99"/>
      <c r="F30" s="99"/>
      <c r="G30" s="71"/>
      <c r="H30" s="71"/>
      <c r="I30" s="71"/>
      <c r="J30" s="71"/>
      <c r="K30" s="71"/>
    </row>
    <row r="31" spans="1:14" x14ac:dyDescent="0.25">
      <c r="A31" s="71"/>
      <c r="B31" s="71"/>
      <c r="C31" s="109"/>
      <c r="D31" s="99"/>
      <c r="E31" s="99"/>
      <c r="F31" s="99"/>
      <c r="G31" s="71"/>
      <c r="H31" s="71"/>
      <c r="I31" s="71"/>
      <c r="J31" s="71"/>
      <c r="K31" s="71"/>
    </row>
    <row r="32" spans="1:14" x14ac:dyDescent="0.25">
      <c r="A32" s="71"/>
      <c r="B32" s="71"/>
      <c r="C32" s="109"/>
      <c r="D32" s="99"/>
      <c r="E32" s="99"/>
      <c r="F32" s="99"/>
      <c r="G32" s="71"/>
      <c r="H32" s="71"/>
      <c r="I32" s="71"/>
      <c r="J32" s="71"/>
      <c r="K32" s="71"/>
    </row>
    <row r="33" spans="1:13" ht="15.75" x14ac:dyDescent="0.25">
      <c r="A33" s="71"/>
      <c r="B33" s="71" t="s">
        <v>59</v>
      </c>
      <c r="C33" s="108">
        <f>SUM(C34:C35)</f>
        <v>15</v>
      </c>
      <c r="D33" s="99">
        <f t="shared" si="7"/>
        <v>1500</v>
      </c>
      <c r="E33" s="99">
        <f t="shared" si="8"/>
        <v>150</v>
      </c>
      <c r="F33" s="99">
        <f t="shared" si="9"/>
        <v>1350</v>
      </c>
      <c r="G33" s="71"/>
      <c r="H33" s="71"/>
      <c r="I33" s="71"/>
      <c r="J33" s="71"/>
      <c r="K33" s="71"/>
    </row>
    <row r="34" spans="1:13" x14ac:dyDescent="0.25">
      <c r="A34" s="71"/>
      <c r="B34" s="71" t="s">
        <v>305</v>
      </c>
      <c r="C34" s="109">
        <v>10</v>
      </c>
      <c r="D34" s="99"/>
      <c r="E34" s="104"/>
      <c r="F34" s="99"/>
      <c r="G34" s="71"/>
      <c r="H34" s="71"/>
      <c r="I34" s="71"/>
      <c r="J34" s="71"/>
      <c r="K34" s="71"/>
    </row>
    <row r="35" spans="1:13" x14ac:dyDescent="0.25">
      <c r="A35" s="71"/>
      <c r="B35" s="71" t="s">
        <v>311</v>
      </c>
      <c r="C35" s="109">
        <v>5</v>
      </c>
      <c r="D35" s="99"/>
      <c r="E35" s="99"/>
      <c r="F35" s="99"/>
      <c r="G35" s="71"/>
      <c r="H35" s="71"/>
      <c r="I35" s="71"/>
      <c r="J35" s="71"/>
      <c r="K35" s="71"/>
    </row>
    <row r="36" spans="1:13" x14ac:dyDescent="0.25">
      <c r="A36" s="71"/>
      <c r="C36" s="55"/>
      <c r="D36" s="99"/>
      <c r="E36" s="99"/>
      <c r="F36" s="99"/>
      <c r="G36" s="71"/>
      <c r="H36" s="71"/>
      <c r="I36" s="71"/>
      <c r="J36" s="71"/>
      <c r="K36" s="71"/>
    </row>
    <row r="37" spans="1:13" x14ac:dyDescent="0.25">
      <c r="A37" s="71"/>
      <c r="B37" s="71"/>
      <c r="C37" s="109"/>
      <c r="D37" s="99"/>
      <c r="E37" s="99"/>
      <c r="F37" s="99"/>
      <c r="G37" s="71"/>
      <c r="H37" s="71"/>
      <c r="I37" s="71"/>
      <c r="J37" s="71"/>
      <c r="K37" s="71"/>
    </row>
    <row r="38" spans="1:13" x14ac:dyDescent="0.25">
      <c r="A38" s="71"/>
      <c r="B38" s="71"/>
      <c r="C38" s="109"/>
      <c r="D38" s="99"/>
      <c r="E38" s="99"/>
      <c r="F38" s="99"/>
      <c r="G38" s="71"/>
      <c r="H38" s="71"/>
      <c r="I38" s="100"/>
      <c r="J38" s="71"/>
      <c r="K38" s="71"/>
    </row>
    <row r="39" spans="1:13" ht="15.75" x14ac:dyDescent="0.25">
      <c r="A39" s="71"/>
      <c r="B39" s="71" t="s">
        <v>61</v>
      </c>
      <c r="C39" s="108">
        <f>SUM(C40:C41)</f>
        <v>6</v>
      </c>
      <c r="D39" s="99">
        <f t="shared" si="7"/>
        <v>600</v>
      </c>
      <c r="E39" s="99">
        <f t="shared" si="8"/>
        <v>60</v>
      </c>
      <c r="F39" s="99">
        <f t="shared" si="9"/>
        <v>540</v>
      </c>
      <c r="G39" s="71"/>
      <c r="H39" s="71"/>
      <c r="I39" s="100"/>
      <c r="J39" s="100"/>
      <c r="K39" s="99"/>
      <c r="L39" s="1"/>
      <c r="M39" s="1"/>
    </row>
    <row r="40" spans="1:13" x14ac:dyDescent="0.25">
      <c r="A40" s="71"/>
      <c r="B40" s="71" t="s">
        <v>305</v>
      </c>
      <c r="C40" s="109">
        <v>5</v>
      </c>
      <c r="D40" s="99"/>
      <c r="E40" s="99"/>
      <c r="F40" s="99"/>
      <c r="G40" s="71"/>
      <c r="H40" s="71"/>
      <c r="I40" s="71"/>
      <c r="J40" s="71"/>
      <c r="K40" s="71"/>
      <c r="M40" s="1"/>
    </row>
    <row r="41" spans="1:13" x14ac:dyDescent="0.25">
      <c r="A41" s="71"/>
      <c r="B41" s="71" t="s">
        <v>310</v>
      </c>
      <c r="C41" s="109">
        <v>1</v>
      </c>
      <c r="D41" s="99"/>
      <c r="E41" s="99"/>
      <c r="F41" s="99"/>
      <c r="G41" s="71"/>
      <c r="H41" s="71"/>
      <c r="I41" s="71"/>
      <c r="J41" s="71"/>
      <c r="K41" s="71"/>
      <c r="M41" s="13"/>
    </row>
    <row r="42" spans="1:13" x14ac:dyDescent="0.25">
      <c r="A42" s="71"/>
      <c r="B42" s="71"/>
      <c r="C42" s="109"/>
      <c r="D42" s="99"/>
      <c r="E42" s="99"/>
      <c r="F42" s="99"/>
      <c r="G42" s="71"/>
      <c r="H42" s="71"/>
      <c r="I42" s="71"/>
      <c r="J42" s="71"/>
      <c r="K42" s="71"/>
    </row>
    <row r="43" spans="1:13" x14ac:dyDescent="0.25">
      <c r="A43" s="71"/>
      <c r="B43" s="71"/>
      <c r="C43" s="109"/>
      <c r="D43" s="99"/>
      <c r="E43" s="99"/>
      <c r="F43" s="99"/>
      <c r="G43" s="71"/>
      <c r="H43" s="71"/>
      <c r="I43" s="71"/>
      <c r="J43" s="71"/>
      <c r="K43" s="71"/>
      <c r="M43" s="13"/>
    </row>
    <row r="44" spans="1:13" x14ac:dyDescent="0.25">
      <c r="A44" s="71"/>
      <c r="B44" s="71"/>
      <c r="C44" s="109"/>
      <c r="D44" s="99"/>
      <c r="E44" s="99"/>
      <c r="F44" s="99"/>
      <c r="G44" s="71"/>
      <c r="H44" s="71"/>
      <c r="I44" s="71"/>
      <c r="J44" s="102"/>
      <c r="K44" s="71"/>
    </row>
    <row r="45" spans="1:13" ht="15.75" x14ac:dyDescent="0.25">
      <c r="A45" s="71"/>
      <c r="B45" s="71" t="s">
        <v>63</v>
      </c>
      <c r="C45" s="108">
        <f>SUM(C46:C48)</f>
        <v>19</v>
      </c>
      <c r="D45" s="99">
        <f t="shared" si="7"/>
        <v>1900</v>
      </c>
      <c r="E45" s="99">
        <f t="shared" si="8"/>
        <v>190</v>
      </c>
      <c r="F45" s="99">
        <f t="shared" si="9"/>
        <v>1710</v>
      </c>
      <c r="G45" s="71"/>
      <c r="H45" s="71"/>
      <c r="I45" s="71"/>
      <c r="J45" s="71"/>
      <c r="K45" s="71"/>
    </row>
    <row r="46" spans="1:13" x14ac:dyDescent="0.25">
      <c r="A46" s="71"/>
      <c r="B46" s="71" t="s">
        <v>305</v>
      </c>
      <c r="C46" s="107">
        <f>8+2</f>
        <v>10</v>
      </c>
      <c r="D46" s="103"/>
      <c r="E46" s="103"/>
      <c r="F46" s="103"/>
      <c r="G46" s="71"/>
      <c r="H46" s="71"/>
      <c r="I46" s="100"/>
      <c r="J46" s="71"/>
      <c r="K46" s="71"/>
    </row>
    <row r="47" spans="1:13" x14ac:dyDescent="0.25">
      <c r="A47" s="71"/>
      <c r="B47" s="71" t="s">
        <v>306</v>
      </c>
      <c r="C47" s="107">
        <v>5</v>
      </c>
      <c r="D47" s="103"/>
      <c r="E47" s="103"/>
      <c r="F47" s="103"/>
      <c r="G47" s="71"/>
      <c r="H47" s="71"/>
      <c r="I47" s="100"/>
      <c r="J47" s="71"/>
      <c r="K47" s="71"/>
    </row>
    <row r="48" spans="1:13" x14ac:dyDescent="0.25">
      <c r="A48" s="71"/>
      <c r="B48" s="71" t="s">
        <v>313</v>
      </c>
      <c r="C48" s="107">
        <v>4</v>
      </c>
      <c r="D48" s="103"/>
      <c r="E48" s="103"/>
      <c r="F48" s="103"/>
      <c r="G48" s="71"/>
      <c r="H48" s="71"/>
      <c r="I48" s="100"/>
      <c r="J48" s="71"/>
      <c r="K48" s="71"/>
    </row>
    <row r="49" spans="1:11" x14ac:dyDescent="0.25">
      <c r="A49" s="71"/>
      <c r="B49" s="71"/>
      <c r="C49" s="109"/>
      <c r="D49" s="71"/>
      <c r="E49" s="71"/>
      <c r="F49" s="71"/>
      <c r="G49" s="71"/>
      <c r="H49" s="71"/>
      <c r="I49" s="71"/>
      <c r="J49" s="71"/>
      <c r="K49" s="71"/>
    </row>
    <row r="50" spans="1:11" x14ac:dyDescent="0.25">
      <c r="A50" s="71"/>
      <c r="B50" s="71"/>
      <c r="C50" s="109"/>
      <c r="D50" s="71"/>
      <c r="E50" s="71"/>
      <c r="F50" s="71"/>
      <c r="G50" s="71"/>
      <c r="H50" s="71"/>
      <c r="I50" s="71"/>
      <c r="J50" s="71"/>
      <c r="K50" s="71"/>
    </row>
    <row r="51" spans="1:11" ht="15.75" x14ac:dyDescent="0.25">
      <c r="A51" s="71"/>
      <c r="B51" s="71" t="s">
        <v>64</v>
      </c>
      <c r="C51" s="108">
        <f>SUM(C52)</f>
        <v>10</v>
      </c>
      <c r="D51" s="99">
        <f t="shared" ref="D51" si="10">+C51*100</f>
        <v>1000</v>
      </c>
      <c r="E51" s="99">
        <f t="shared" ref="E51" si="11">+D51*0.1</f>
        <v>100</v>
      </c>
      <c r="F51" s="99">
        <f t="shared" ref="F51" si="12">+D51-E51</f>
        <v>900</v>
      </c>
      <c r="G51" s="71"/>
      <c r="H51" s="71"/>
      <c r="I51" s="71"/>
      <c r="J51" s="71"/>
      <c r="K51" s="71"/>
    </row>
    <row r="52" spans="1:11" x14ac:dyDescent="0.25">
      <c r="A52" s="71"/>
      <c r="B52" s="71" t="s">
        <v>305</v>
      </c>
      <c r="C52" s="107">
        <v>10</v>
      </c>
      <c r="D52" s="103"/>
      <c r="E52" s="103"/>
      <c r="F52" s="103"/>
      <c r="G52" s="71"/>
      <c r="H52" s="71"/>
      <c r="I52" s="71"/>
      <c r="J52" s="71"/>
      <c r="K52" s="71"/>
    </row>
    <row r="53" spans="1:11" x14ac:dyDescent="0.25">
      <c r="A53" s="71"/>
      <c r="B53" s="71"/>
      <c r="C53" s="107"/>
      <c r="D53" s="71"/>
      <c r="E53" s="71"/>
      <c r="F53" s="71"/>
      <c r="G53" s="71"/>
      <c r="H53" s="71"/>
      <c r="I53" s="71"/>
      <c r="J53" s="71"/>
      <c r="K53" s="71"/>
    </row>
    <row r="54" spans="1:11" x14ac:dyDescent="0.25">
      <c r="A54" s="71"/>
      <c r="B54" s="71"/>
      <c r="C54" s="109"/>
      <c r="D54" s="71"/>
      <c r="E54" s="71"/>
      <c r="F54" s="71"/>
      <c r="G54" s="71"/>
      <c r="H54" s="71"/>
      <c r="I54" s="71"/>
      <c r="J54" s="71"/>
      <c r="K54" s="71"/>
    </row>
    <row r="55" spans="1:11" ht="15.75" x14ac:dyDescent="0.25">
      <c r="A55" s="71"/>
      <c r="B55" s="71" t="s">
        <v>291</v>
      </c>
      <c r="C55" s="108">
        <f>SUM(C56:C58)</f>
        <v>3</v>
      </c>
      <c r="D55" s="99">
        <f t="shared" ref="D55" si="13">+C55*100</f>
        <v>300</v>
      </c>
      <c r="E55" s="99"/>
      <c r="F55" s="99">
        <f>+D55</f>
        <v>300</v>
      </c>
      <c r="G55" s="71"/>
      <c r="H55" s="71"/>
      <c r="I55" s="71"/>
      <c r="J55" s="71"/>
      <c r="K55" s="71"/>
    </row>
    <row r="56" spans="1:11" x14ac:dyDescent="0.25">
      <c r="A56" s="71"/>
      <c r="B56" s="71" t="s">
        <v>307</v>
      </c>
      <c r="C56" s="107">
        <v>1</v>
      </c>
      <c r="D56" s="103"/>
      <c r="E56" s="103"/>
      <c r="F56" s="103"/>
      <c r="G56" s="71"/>
      <c r="H56" s="71"/>
      <c r="I56" s="71"/>
      <c r="J56" s="71"/>
      <c r="K56" s="71"/>
    </row>
    <row r="57" spans="1:11" x14ac:dyDescent="0.25">
      <c r="A57" s="71"/>
      <c r="B57" s="71" t="s">
        <v>306</v>
      </c>
      <c r="C57" s="107">
        <v>1</v>
      </c>
      <c r="D57" s="71"/>
      <c r="E57" s="71"/>
      <c r="F57" s="71"/>
      <c r="G57" s="71"/>
      <c r="H57" s="71"/>
      <c r="I57" s="71"/>
      <c r="J57" s="71"/>
      <c r="K57" s="71"/>
    </row>
    <row r="58" spans="1:11" x14ac:dyDescent="0.25">
      <c r="A58" s="71"/>
      <c r="B58" s="71" t="s">
        <v>313</v>
      </c>
      <c r="C58" s="107">
        <v>1</v>
      </c>
      <c r="D58" s="71"/>
      <c r="E58" s="71"/>
      <c r="F58" s="71"/>
      <c r="G58" s="71"/>
      <c r="H58" s="71"/>
      <c r="I58" s="71"/>
      <c r="J58" s="71"/>
      <c r="K58" s="71"/>
    </row>
    <row r="59" spans="1:11" x14ac:dyDescent="0.25">
      <c r="A59" s="71"/>
      <c r="B59" s="71"/>
      <c r="C59" s="109"/>
      <c r="D59" s="71"/>
      <c r="E59" s="71"/>
      <c r="F59" s="71"/>
      <c r="G59" s="71"/>
      <c r="H59" s="71"/>
      <c r="I59" s="71"/>
      <c r="J59" s="71"/>
      <c r="K59" s="71"/>
    </row>
    <row r="60" spans="1:11" x14ac:dyDescent="0.25">
      <c r="A60" s="71"/>
      <c r="B60" s="71"/>
      <c r="C60" s="109"/>
      <c r="D60" s="71"/>
      <c r="E60" s="71"/>
      <c r="F60" s="71"/>
      <c r="G60" s="71"/>
      <c r="H60" s="71"/>
      <c r="I60" s="71"/>
      <c r="J60" s="71"/>
      <c r="K60" s="71"/>
    </row>
    <row r="61" spans="1:11" ht="15.75" x14ac:dyDescent="0.25">
      <c r="A61" s="71"/>
      <c r="B61" s="71" t="s">
        <v>66</v>
      </c>
      <c r="C61" s="108">
        <f>SUM(C62:C65)</f>
        <v>9</v>
      </c>
      <c r="D61" s="99">
        <f t="shared" ref="D61" si="14">+C61*100</f>
        <v>900</v>
      </c>
      <c r="E61" s="99"/>
      <c r="F61" s="99">
        <f t="shared" ref="F61" si="15">+D61-E61</f>
        <v>900</v>
      </c>
      <c r="G61" s="71"/>
      <c r="H61" s="71"/>
      <c r="I61" s="71"/>
      <c r="J61" s="71"/>
      <c r="K61" s="71"/>
    </row>
    <row r="62" spans="1:11" x14ac:dyDescent="0.25">
      <c r="A62" s="71"/>
      <c r="B62" s="71" t="s">
        <v>305</v>
      </c>
      <c r="C62" s="107">
        <v>3</v>
      </c>
      <c r="D62" s="71"/>
      <c r="E62" s="71"/>
      <c r="F62" s="71"/>
      <c r="G62" s="71"/>
      <c r="H62" s="71"/>
      <c r="I62" s="71"/>
      <c r="J62" s="71"/>
      <c r="K62" s="71"/>
    </row>
    <row r="63" spans="1:11" x14ac:dyDescent="0.25">
      <c r="A63" s="71"/>
      <c r="B63" s="71" t="s">
        <v>306</v>
      </c>
      <c r="C63" s="107">
        <v>2</v>
      </c>
      <c r="D63" s="71"/>
      <c r="E63" s="71"/>
      <c r="F63" s="71"/>
      <c r="G63" s="71"/>
      <c r="H63" s="71"/>
      <c r="I63" s="71"/>
      <c r="J63" s="71"/>
      <c r="K63" s="71"/>
    </row>
    <row r="64" spans="1:11" x14ac:dyDescent="0.25">
      <c r="A64" s="71"/>
      <c r="B64" s="71" t="s">
        <v>309</v>
      </c>
      <c r="C64" s="107">
        <v>1</v>
      </c>
      <c r="D64" s="71"/>
      <c r="E64" s="71"/>
      <c r="F64" s="71"/>
      <c r="G64" s="71"/>
      <c r="H64" s="71"/>
      <c r="I64" s="71"/>
      <c r="J64" s="71"/>
      <c r="K64" s="71"/>
    </row>
    <row r="65" spans="1:11" x14ac:dyDescent="0.25">
      <c r="A65" s="71"/>
      <c r="B65" s="71" t="s">
        <v>312</v>
      </c>
      <c r="C65" s="107">
        <v>3</v>
      </c>
      <c r="D65" s="71"/>
      <c r="E65" s="71"/>
      <c r="F65" s="71"/>
      <c r="G65" s="71"/>
      <c r="H65" s="71"/>
      <c r="I65" s="71"/>
      <c r="J65" s="71"/>
      <c r="K65" s="71"/>
    </row>
    <row r="66" spans="1:11" x14ac:dyDescent="0.25">
      <c r="A66" s="71"/>
      <c r="B66" s="71"/>
      <c r="C66" s="107"/>
      <c r="D66" s="71"/>
      <c r="E66" s="71"/>
      <c r="F66" s="71"/>
      <c r="G66" s="71"/>
      <c r="H66" s="71"/>
      <c r="I66" s="71"/>
      <c r="J66" s="71"/>
      <c r="K66" s="71"/>
    </row>
    <row r="67" spans="1:11" x14ac:dyDescent="0.25">
      <c r="A67" s="71"/>
      <c r="B67" s="71"/>
      <c r="C67" s="107"/>
      <c r="D67" s="71"/>
      <c r="E67" s="71"/>
      <c r="F67" s="71"/>
      <c r="G67" s="71"/>
      <c r="H67" s="71"/>
      <c r="I67" s="71"/>
      <c r="J67" s="71"/>
      <c r="K67" s="71"/>
    </row>
    <row r="68" spans="1:11" x14ac:dyDescent="0.25">
      <c r="A68" s="71"/>
      <c r="B68" s="71"/>
      <c r="C68" s="107"/>
      <c r="D68" s="71"/>
      <c r="E68" s="71"/>
      <c r="F68" s="71"/>
      <c r="G68" s="71"/>
      <c r="H68" s="71"/>
      <c r="I68" s="71"/>
      <c r="J68" s="71"/>
      <c r="K68" s="71"/>
    </row>
    <row r="69" spans="1:11" ht="15.75" x14ac:dyDescent="0.25">
      <c r="A69" s="71"/>
      <c r="B69" s="71" t="s">
        <v>292</v>
      </c>
      <c r="C69" s="108">
        <f>+C70+C71</f>
        <v>1</v>
      </c>
      <c r="D69" s="99">
        <f t="shared" ref="D69" si="16">+C69*100</f>
        <v>100</v>
      </c>
      <c r="E69" s="99"/>
      <c r="F69" s="99">
        <f t="shared" ref="F69" si="17">+D69-E69</f>
        <v>100</v>
      </c>
      <c r="G69" s="71"/>
      <c r="H69" s="71"/>
      <c r="I69" s="71"/>
      <c r="J69" s="71"/>
      <c r="K69" s="71"/>
    </row>
    <row r="70" spans="1:11" x14ac:dyDescent="0.25">
      <c r="A70" s="71"/>
      <c r="B70" s="71" t="s">
        <v>305</v>
      </c>
      <c r="C70" s="107">
        <v>1</v>
      </c>
      <c r="D70" s="71"/>
      <c r="E70" s="71"/>
      <c r="F70" s="71"/>
      <c r="G70" s="71"/>
      <c r="H70" s="71"/>
      <c r="I70" s="71"/>
      <c r="J70" s="71"/>
      <c r="K70" s="71"/>
    </row>
    <row r="71" spans="1:11" x14ac:dyDescent="0.25">
      <c r="A71" s="71"/>
      <c r="B71" s="71"/>
      <c r="C71" s="107"/>
      <c r="D71" s="71"/>
      <c r="E71" s="71"/>
      <c r="F71" s="71"/>
      <c r="G71" s="71"/>
      <c r="H71" s="71"/>
      <c r="I71" s="71"/>
      <c r="J71" s="71"/>
      <c r="K71" s="71"/>
    </row>
    <row r="72" spans="1:11" x14ac:dyDescent="0.25">
      <c r="A72" s="71"/>
      <c r="B72" s="71"/>
      <c r="C72" s="107"/>
      <c r="D72" s="71"/>
      <c r="E72" s="71"/>
      <c r="F72" s="71"/>
      <c r="G72" s="71"/>
      <c r="H72" s="71"/>
      <c r="I72" s="71"/>
      <c r="J72" s="71"/>
      <c r="K72" s="71"/>
    </row>
    <row r="73" spans="1:11" ht="15.75" x14ac:dyDescent="0.25">
      <c r="A73" s="71"/>
      <c r="B73" s="71" t="s">
        <v>308</v>
      </c>
      <c r="C73" s="108">
        <f>+C74+C75</f>
        <v>3</v>
      </c>
      <c r="D73" s="99">
        <f t="shared" ref="D73" si="18">+C73*100</f>
        <v>300</v>
      </c>
      <c r="E73" s="99"/>
      <c r="F73" s="99">
        <f t="shared" ref="F73" si="19">+D73-E73</f>
        <v>300</v>
      </c>
      <c r="G73" s="71"/>
      <c r="H73" s="71"/>
      <c r="I73" s="71"/>
      <c r="J73" s="71"/>
      <c r="K73" s="71"/>
    </row>
    <row r="74" spans="1:11" x14ac:dyDescent="0.25">
      <c r="A74" s="71"/>
      <c r="B74" s="71" t="s">
        <v>306</v>
      </c>
      <c r="C74" s="109">
        <v>1</v>
      </c>
      <c r="D74" s="71"/>
      <c r="E74" s="71"/>
      <c r="F74" s="71"/>
      <c r="G74" s="71"/>
      <c r="H74" s="71"/>
      <c r="I74" s="71"/>
      <c r="J74" s="71"/>
      <c r="K74" s="71"/>
    </row>
    <row r="75" spans="1:11" x14ac:dyDescent="0.25">
      <c r="A75" s="71"/>
      <c r="B75" s="71" t="s">
        <v>312</v>
      </c>
      <c r="C75" s="109">
        <v>2</v>
      </c>
      <c r="D75" s="71"/>
      <c r="E75" s="71"/>
      <c r="F75" s="71"/>
      <c r="G75" s="71"/>
      <c r="H75" s="71"/>
      <c r="I75" s="71"/>
      <c r="J75" s="71"/>
      <c r="K75" s="71"/>
    </row>
    <row r="76" spans="1:11" x14ac:dyDescent="0.25">
      <c r="A76" s="71"/>
      <c r="B76" s="71"/>
      <c r="C76" s="109"/>
      <c r="D76" s="71"/>
      <c r="E76" s="71"/>
      <c r="F76" s="100">
        <f>+F75+J17</f>
        <v>1269</v>
      </c>
      <c r="G76" s="71"/>
      <c r="H76" s="100"/>
      <c r="I76" s="71"/>
      <c r="J76" s="71"/>
      <c r="K76" s="71"/>
    </row>
    <row r="77" spans="1:11" x14ac:dyDescent="0.25">
      <c r="A77" s="71"/>
      <c r="B77" s="71"/>
      <c r="C77" s="107">
        <f>+C19+C27+C33+C39+C45+C51+C5</f>
        <v>115</v>
      </c>
      <c r="D77" s="99">
        <f>+C77*100</f>
        <v>11500</v>
      </c>
      <c r="E77" s="99">
        <f>+D77*0.1</f>
        <v>1150</v>
      </c>
      <c r="F77" s="99">
        <f>+D77-E77</f>
        <v>10350</v>
      </c>
      <c r="G77" s="71"/>
      <c r="H77" s="71"/>
      <c r="I77" s="71"/>
      <c r="J77" s="71"/>
      <c r="K77" s="71"/>
    </row>
    <row r="78" spans="1:11" x14ac:dyDescent="0.25">
      <c r="A78" s="71"/>
      <c r="B78" s="71"/>
      <c r="C78" s="107">
        <f>+C55+C61+C69+C73</f>
        <v>16</v>
      </c>
      <c r="D78" s="99">
        <f>+C78*100</f>
        <v>1600</v>
      </c>
      <c r="E78" s="99"/>
      <c r="F78" s="99">
        <f>+D78</f>
        <v>1600</v>
      </c>
      <c r="G78" s="71"/>
      <c r="H78" s="71"/>
      <c r="I78" s="71"/>
      <c r="J78" s="71"/>
      <c r="K78" s="71"/>
    </row>
    <row r="79" spans="1:11" x14ac:dyDescent="0.25">
      <c r="A79" s="71"/>
      <c r="B79" s="71"/>
      <c r="C79" s="107">
        <f>+C77+C78</f>
        <v>131</v>
      </c>
      <c r="D79" s="71"/>
      <c r="E79" s="71"/>
      <c r="F79" s="103">
        <f>+F77+F78</f>
        <v>11950</v>
      </c>
      <c r="G79" s="71"/>
      <c r="H79" s="71"/>
      <c r="I79" s="71"/>
      <c r="J79" s="71"/>
      <c r="K79" s="71"/>
    </row>
    <row r="80" spans="1:11" x14ac:dyDescent="0.25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</row>
    <row r="81" spans="1:11" x14ac:dyDescent="0.25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</row>
    <row r="82" spans="1:11" x14ac:dyDescent="0.25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</row>
    <row r="83" spans="1:11" x14ac:dyDescent="0.25">
      <c r="A83" s="73" t="s">
        <v>1</v>
      </c>
      <c r="B83" s="74" t="s">
        <v>2</v>
      </c>
      <c r="C83" s="73" t="s">
        <v>3</v>
      </c>
      <c r="D83" s="73" t="s">
        <v>4</v>
      </c>
      <c r="E83" s="73" t="s">
        <v>5</v>
      </c>
      <c r="F83" s="73" t="s">
        <v>6</v>
      </c>
      <c r="G83" s="73" t="s">
        <v>7</v>
      </c>
      <c r="H83" s="75" t="s">
        <v>8</v>
      </c>
      <c r="I83" s="75" t="s">
        <v>9</v>
      </c>
      <c r="J83" s="75" t="s">
        <v>10</v>
      </c>
      <c r="K83" s="75" t="s">
        <v>11</v>
      </c>
    </row>
    <row r="84" spans="1:11" ht="18.75" x14ac:dyDescent="0.3">
      <c r="A84" s="73">
        <v>1</v>
      </c>
      <c r="B84" s="78" t="s">
        <v>316</v>
      </c>
      <c r="C84" s="83">
        <v>45</v>
      </c>
      <c r="D84" s="83">
        <v>45</v>
      </c>
      <c r="E84" s="83">
        <v>45</v>
      </c>
      <c r="F84" s="83">
        <v>45</v>
      </c>
      <c r="G84" s="83">
        <v>45</v>
      </c>
      <c r="H84" s="76"/>
      <c r="I84" s="76"/>
      <c r="J84" s="79">
        <f>SUM(C84:I84)</f>
        <v>225</v>
      </c>
      <c r="K84" s="77"/>
    </row>
    <row r="85" spans="1:11" ht="18.75" x14ac:dyDescent="0.3">
      <c r="A85" s="73">
        <f>+A84+1</f>
        <v>2</v>
      </c>
      <c r="B85" s="78" t="s">
        <v>314</v>
      </c>
      <c r="C85" s="83">
        <v>45</v>
      </c>
      <c r="D85" s="83">
        <v>45</v>
      </c>
      <c r="E85" s="83">
        <v>45</v>
      </c>
      <c r="F85" s="83">
        <v>45</v>
      </c>
      <c r="G85" s="83">
        <v>45</v>
      </c>
      <c r="H85" s="76"/>
      <c r="I85" s="76">
        <v>84</v>
      </c>
      <c r="J85" s="79">
        <f>SUM(C85:I85)</f>
        <v>309</v>
      </c>
      <c r="K85" s="77"/>
    </row>
    <row r="86" spans="1:11" ht="18.75" x14ac:dyDescent="0.3">
      <c r="A86" s="73">
        <f>+A85+1</f>
        <v>3</v>
      </c>
      <c r="B86" s="78" t="s">
        <v>315</v>
      </c>
      <c r="C86" s="83">
        <v>50</v>
      </c>
      <c r="D86" s="83"/>
      <c r="E86" s="83"/>
      <c r="F86" s="83"/>
      <c r="G86" s="83"/>
      <c r="H86" s="76"/>
      <c r="I86" s="76">
        <v>10</v>
      </c>
      <c r="J86" s="79">
        <f>SUM(C86:I86)</f>
        <v>60</v>
      </c>
      <c r="K86" s="77"/>
    </row>
    <row r="87" spans="1:11" ht="18.75" x14ac:dyDescent="0.3">
      <c r="A87" s="73">
        <f t="shared" ref="A87:A95" si="20">+A86+1</f>
        <v>4</v>
      </c>
      <c r="B87" s="78" t="s">
        <v>12</v>
      </c>
      <c r="C87" s="83"/>
      <c r="D87" s="83">
        <v>45</v>
      </c>
      <c r="E87" s="83">
        <v>45</v>
      </c>
      <c r="F87" s="83">
        <v>45</v>
      </c>
      <c r="G87" s="83">
        <v>45</v>
      </c>
      <c r="H87" s="76"/>
      <c r="I87" s="76">
        <v>93</v>
      </c>
      <c r="J87" s="79">
        <f t="shared" ref="J87:J93" si="21">SUM(C87:I87)</f>
        <v>273</v>
      </c>
      <c r="K87" s="77"/>
    </row>
    <row r="88" spans="1:11" ht="18.75" x14ac:dyDescent="0.3">
      <c r="A88" s="73">
        <f t="shared" si="20"/>
        <v>5</v>
      </c>
      <c r="B88" s="78" t="s">
        <v>317</v>
      </c>
      <c r="C88" s="83">
        <v>45</v>
      </c>
      <c r="D88" s="83">
        <v>45</v>
      </c>
      <c r="E88" s="83">
        <v>47</v>
      </c>
      <c r="F88" s="83">
        <v>45</v>
      </c>
      <c r="G88" s="83">
        <v>45</v>
      </c>
      <c r="H88" s="76"/>
      <c r="I88" s="76"/>
      <c r="J88" s="79">
        <f t="shared" si="21"/>
        <v>227</v>
      </c>
      <c r="K88" s="77"/>
    </row>
    <row r="89" spans="1:11" ht="18.75" x14ac:dyDescent="0.3">
      <c r="A89" s="73">
        <f t="shared" si="20"/>
        <v>6</v>
      </c>
      <c r="B89" s="78" t="s">
        <v>318</v>
      </c>
      <c r="C89" s="83">
        <v>45</v>
      </c>
      <c r="D89" s="83">
        <v>35</v>
      </c>
      <c r="E89" s="83">
        <v>45</v>
      </c>
      <c r="F89" s="83">
        <v>45</v>
      </c>
      <c r="G89" s="83">
        <v>45</v>
      </c>
      <c r="H89" s="76"/>
      <c r="I89" s="76"/>
      <c r="J89" s="79">
        <f t="shared" si="21"/>
        <v>215</v>
      </c>
      <c r="K89" s="77"/>
    </row>
    <row r="90" spans="1:11" ht="18.75" x14ac:dyDescent="0.3">
      <c r="A90" s="73">
        <f t="shared" si="20"/>
        <v>7</v>
      </c>
      <c r="B90" s="78" t="s">
        <v>319</v>
      </c>
      <c r="C90" s="83">
        <v>45</v>
      </c>
      <c r="D90" s="83">
        <v>45</v>
      </c>
      <c r="E90" s="83">
        <v>35</v>
      </c>
      <c r="F90" s="83"/>
      <c r="G90" s="83"/>
      <c r="H90" s="76"/>
      <c r="I90" s="76"/>
      <c r="J90" s="79">
        <f t="shared" si="21"/>
        <v>125</v>
      </c>
      <c r="K90" s="77"/>
    </row>
    <row r="91" spans="1:11" ht="18.75" x14ac:dyDescent="0.3">
      <c r="A91" s="73">
        <f t="shared" si="20"/>
        <v>8</v>
      </c>
      <c r="B91" s="78" t="s">
        <v>320</v>
      </c>
      <c r="C91" s="83">
        <v>45</v>
      </c>
      <c r="D91" s="83">
        <v>45</v>
      </c>
      <c r="E91" s="83"/>
      <c r="F91" s="83"/>
      <c r="G91" s="83"/>
      <c r="H91" s="76"/>
      <c r="I91" s="76"/>
      <c r="J91" s="79">
        <f t="shared" si="21"/>
        <v>90</v>
      </c>
      <c r="K91" s="77"/>
    </row>
    <row r="92" spans="1:11" ht="18.75" x14ac:dyDescent="0.3">
      <c r="A92" s="73">
        <f t="shared" si="20"/>
        <v>9</v>
      </c>
      <c r="B92" s="78" t="s">
        <v>321</v>
      </c>
      <c r="C92" s="83"/>
      <c r="D92" s="83">
        <v>45</v>
      </c>
      <c r="E92" s="83">
        <v>45</v>
      </c>
      <c r="F92" s="83">
        <v>45</v>
      </c>
      <c r="G92" s="83">
        <v>45</v>
      </c>
      <c r="H92" s="76"/>
      <c r="I92" s="76"/>
      <c r="J92" s="79">
        <f t="shared" si="21"/>
        <v>180</v>
      </c>
      <c r="K92" s="77"/>
    </row>
    <row r="93" spans="1:11" ht="18.75" x14ac:dyDescent="0.3">
      <c r="A93" s="73">
        <f t="shared" si="20"/>
        <v>10</v>
      </c>
      <c r="B93" s="78" t="s">
        <v>322</v>
      </c>
      <c r="C93" s="83"/>
      <c r="D93" s="83">
        <v>35</v>
      </c>
      <c r="E93" s="83">
        <v>45</v>
      </c>
      <c r="F93" s="83"/>
      <c r="G93" s="83"/>
      <c r="H93" s="76"/>
      <c r="I93" s="76"/>
      <c r="J93" s="79">
        <f t="shared" si="21"/>
        <v>80</v>
      </c>
      <c r="K93" s="77"/>
    </row>
    <row r="94" spans="1:11" ht="18.75" x14ac:dyDescent="0.3">
      <c r="A94" s="73">
        <f t="shared" si="20"/>
        <v>11</v>
      </c>
      <c r="B94" s="78" t="s">
        <v>324</v>
      </c>
      <c r="C94" s="83" t="s">
        <v>323</v>
      </c>
      <c r="D94" s="83">
        <v>45</v>
      </c>
      <c r="E94" s="83">
        <v>45</v>
      </c>
      <c r="F94" s="83"/>
      <c r="G94" s="83">
        <v>45</v>
      </c>
      <c r="H94" s="76"/>
      <c r="I94" s="76"/>
      <c r="J94" s="79">
        <f t="shared" ref="J94" si="22">SUM(C94:I94)</f>
        <v>135</v>
      </c>
      <c r="K94" s="77"/>
    </row>
    <row r="95" spans="1:11" ht="18.75" x14ac:dyDescent="0.3">
      <c r="A95" s="73">
        <f t="shared" si="20"/>
        <v>12</v>
      </c>
      <c r="B95" s="82" t="s">
        <v>325</v>
      </c>
      <c r="C95" s="83" t="s">
        <v>323</v>
      </c>
      <c r="D95" s="83"/>
      <c r="E95" s="83">
        <v>45</v>
      </c>
      <c r="F95" s="83"/>
      <c r="G95" s="83"/>
      <c r="H95" s="76"/>
      <c r="I95" s="76"/>
      <c r="J95" s="79">
        <f t="shared" ref="J95" si="23">SUM(C95:I95)</f>
        <v>45</v>
      </c>
      <c r="K95" s="77"/>
    </row>
    <row r="96" spans="1:11" x14ac:dyDescent="0.25">
      <c r="J96" s="16">
        <f>SUM(J84:J95)</f>
        <v>1964</v>
      </c>
    </row>
  </sheetData>
  <pageMargins left="0.33" right="0.7" top="0.32" bottom="0.3" header="0.31496062992125984" footer="0.31496062992125984"/>
  <pageSetup scale="85" fitToHeight="0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1"/>
  <sheetViews>
    <sheetView zoomScaleNormal="100" workbookViewId="0">
      <selection activeCell="B59" sqref="B59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5" width="10.7109375" customWidth="1"/>
    <col min="6" max="6" width="10.5703125" customWidth="1"/>
    <col min="7" max="9" width="10.7109375" customWidth="1"/>
    <col min="10" max="10" width="13.85546875" customWidth="1"/>
    <col min="11" max="11" width="16.5703125" customWidth="1"/>
  </cols>
  <sheetData>
    <row r="1" spans="1:13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3" ht="26.25" x14ac:dyDescent="0.4">
      <c r="A2" s="71"/>
      <c r="B2" s="72" t="s">
        <v>0</v>
      </c>
      <c r="C2" s="71"/>
      <c r="D2" s="71"/>
      <c r="E2" s="71"/>
      <c r="F2" s="71"/>
      <c r="G2" s="71"/>
      <c r="H2" s="71"/>
      <c r="I2" s="71"/>
      <c r="J2" s="71"/>
      <c r="K2" s="71"/>
    </row>
    <row r="3" spans="1:13" x14ac:dyDescent="0.25">
      <c r="A3" s="73" t="s">
        <v>1</v>
      </c>
      <c r="B3" s="74" t="s">
        <v>2</v>
      </c>
      <c r="C3" s="73" t="s">
        <v>3</v>
      </c>
      <c r="D3" s="73" t="s">
        <v>4</v>
      </c>
      <c r="E3" s="73" t="s">
        <v>5</v>
      </c>
      <c r="F3" s="73" t="s">
        <v>6</v>
      </c>
      <c r="G3" s="73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3" ht="18.75" x14ac:dyDescent="0.3">
      <c r="A4" s="73"/>
      <c r="B4" s="74"/>
      <c r="C4" s="76"/>
      <c r="D4" s="76"/>
      <c r="E4" s="76"/>
      <c r="F4" s="76"/>
      <c r="G4" s="76"/>
      <c r="H4" s="76"/>
      <c r="I4" s="76"/>
      <c r="J4" s="75"/>
      <c r="K4" s="77"/>
    </row>
    <row r="5" spans="1:13" ht="18.75" x14ac:dyDescent="0.3">
      <c r="A5" s="73">
        <v>1</v>
      </c>
      <c r="B5" s="78" t="s">
        <v>12</v>
      </c>
      <c r="C5" s="83">
        <f>35+15</f>
        <v>50</v>
      </c>
      <c r="D5" s="83">
        <f>70+20</f>
        <v>90</v>
      </c>
      <c r="E5" s="83">
        <f>84+45+5+60</f>
        <v>194</v>
      </c>
      <c r="F5" s="83">
        <v>45</v>
      </c>
      <c r="G5" s="83">
        <v>10</v>
      </c>
      <c r="H5" s="76"/>
      <c r="I5" s="76">
        <v>55</v>
      </c>
      <c r="J5" s="79">
        <f>SUM(C5:I5)</f>
        <v>444</v>
      </c>
      <c r="K5" s="77"/>
      <c r="M5">
        <f>5*12</f>
        <v>60</v>
      </c>
    </row>
    <row r="6" spans="1:13" ht="18.75" x14ac:dyDescent="0.3">
      <c r="A6" s="73">
        <f>+A5+1</f>
        <v>2</v>
      </c>
      <c r="B6" s="78" t="s">
        <v>285</v>
      </c>
      <c r="C6" s="83">
        <v>15</v>
      </c>
      <c r="D6" s="83"/>
      <c r="E6" s="83"/>
      <c r="F6" s="83"/>
      <c r="G6" s="83"/>
      <c r="H6" s="76"/>
      <c r="I6" s="76"/>
      <c r="J6" s="79">
        <f t="shared" ref="J6:J14" si="0">SUM(C6:I6)</f>
        <v>15</v>
      </c>
      <c r="K6" s="77"/>
    </row>
    <row r="7" spans="1:13" ht="18.75" x14ac:dyDescent="0.3">
      <c r="A7" s="73">
        <f t="shared" ref="A7:A14" si="1">+A6+1</f>
        <v>3</v>
      </c>
      <c r="B7" s="78" t="s">
        <v>287</v>
      </c>
      <c r="C7" s="83">
        <f>10+12</f>
        <v>22</v>
      </c>
      <c r="D7" s="83">
        <v>45</v>
      </c>
      <c r="E7" s="83">
        <f>45+24+12</f>
        <v>81</v>
      </c>
      <c r="F7" s="83">
        <f>24+12+7</f>
        <v>43</v>
      </c>
      <c r="G7" s="83">
        <f>12+36</f>
        <v>48</v>
      </c>
      <c r="H7" s="76"/>
      <c r="I7" s="76"/>
      <c r="J7" s="79">
        <f t="shared" si="0"/>
        <v>239</v>
      </c>
      <c r="K7" s="77"/>
    </row>
    <row r="8" spans="1:13" ht="18.75" x14ac:dyDescent="0.3">
      <c r="A8" s="73">
        <f t="shared" si="1"/>
        <v>4</v>
      </c>
      <c r="B8" s="78" t="s">
        <v>18</v>
      </c>
      <c r="C8" s="83"/>
      <c r="D8" s="83"/>
      <c r="E8" s="83"/>
      <c r="F8" s="83"/>
      <c r="G8" s="83"/>
      <c r="H8" s="76"/>
      <c r="I8" s="76">
        <v>40</v>
      </c>
      <c r="J8" s="79">
        <f t="shared" si="0"/>
        <v>40</v>
      </c>
      <c r="K8" s="77"/>
    </row>
    <row r="9" spans="1:13" ht="18.75" x14ac:dyDescent="0.3">
      <c r="A9" s="73">
        <f t="shared" si="1"/>
        <v>5</v>
      </c>
      <c r="B9" s="78" t="s">
        <v>298</v>
      </c>
      <c r="C9" s="83"/>
      <c r="D9" s="83"/>
      <c r="E9" s="83"/>
      <c r="F9" s="83"/>
      <c r="G9" s="83">
        <v>18</v>
      </c>
      <c r="H9" s="76"/>
      <c r="I9" s="76">
        <v>10</v>
      </c>
      <c r="J9" s="79">
        <f t="shared" si="0"/>
        <v>28</v>
      </c>
      <c r="K9" s="77"/>
    </row>
    <row r="10" spans="1:13" ht="18.75" x14ac:dyDescent="0.3">
      <c r="A10" s="73">
        <f t="shared" si="1"/>
        <v>6</v>
      </c>
      <c r="B10" s="78" t="s">
        <v>15</v>
      </c>
      <c r="C10" s="83"/>
      <c r="D10" s="83"/>
      <c r="E10" s="83"/>
      <c r="F10" s="83"/>
      <c r="G10" s="83">
        <v>37</v>
      </c>
      <c r="H10" s="76"/>
      <c r="I10" s="76"/>
      <c r="J10" s="79">
        <f t="shared" si="0"/>
        <v>37</v>
      </c>
      <c r="K10" s="77"/>
    </row>
    <row r="11" spans="1:13" ht="18.75" x14ac:dyDescent="0.3">
      <c r="A11" s="73">
        <f t="shared" si="1"/>
        <v>7</v>
      </c>
      <c r="B11" s="78" t="s">
        <v>20</v>
      </c>
      <c r="C11" s="83"/>
      <c r="D11" s="83"/>
      <c r="E11" s="83"/>
      <c r="F11" s="83">
        <f>15+12</f>
        <v>27</v>
      </c>
      <c r="G11" s="83">
        <v>15</v>
      </c>
      <c r="H11" s="76"/>
      <c r="I11" s="76"/>
      <c r="J11" s="79">
        <f t="shared" si="0"/>
        <v>42</v>
      </c>
      <c r="K11" s="77"/>
    </row>
    <row r="12" spans="1:13" ht="18.75" x14ac:dyDescent="0.3">
      <c r="A12" s="73">
        <f t="shared" si="1"/>
        <v>8</v>
      </c>
      <c r="B12" s="78" t="s">
        <v>289</v>
      </c>
      <c r="C12" s="83"/>
      <c r="D12" s="83"/>
      <c r="E12" s="83">
        <v>4</v>
      </c>
      <c r="F12" s="83"/>
      <c r="G12" s="83"/>
      <c r="H12" s="76"/>
      <c r="I12" s="76"/>
      <c r="J12" s="79">
        <f t="shared" si="0"/>
        <v>4</v>
      </c>
      <c r="K12" s="77"/>
    </row>
    <row r="13" spans="1:13" ht="18.75" x14ac:dyDescent="0.3">
      <c r="A13" s="73">
        <f t="shared" si="1"/>
        <v>9</v>
      </c>
      <c r="B13" s="78" t="s">
        <v>181</v>
      </c>
      <c r="C13" s="83"/>
      <c r="D13" s="83"/>
      <c r="E13" s="83"/>
      <c r="F13" s="83"/>
      <c r="G13" s="83">
        <v>8</v>
      </c>
      <c r="H13" s="76"/>
      <c r="I13" s="76"/>
      <c r="J13" s="79">
        <f t="shared" si="0"/>
        <v>8</v>
      </c>
      <c r="K13" s="77"/>
    </row>
    <row r="14" spans="1:13" ht="18.75" x14ac:dyDescent="0.3">
      <c r="A14" s="73">
        <f t="shared" si="1"/>
        <v>10</v>
      </c>
      <c r="B14" s="105" t="s">
        <v>152</v>
      </c>
      <c r="C14" s="83">
        <v>15</v>
      </c>
      <c r="D14" s="83">
        <f>35+40</f>
        <v>75</v>
      </c>
      <c r="E14" s="83">
        <f>30+45</f>
        <v>75</v>
      </c>
      <c r="F14" s="83">
        <f>30+47+5+2+15+15+120+2</f>
        <v>236</v>
      </c>
      <c r="G14" s="83">
        <f>39+30+15+40+12+10</f>
        <v>146</v>
      </c>
      <c r="H14" s="76"/>
      <c r="I14" s="76"/>
      <c r="J14" s="79">
        <f t="shared" si="0"/>
        <v>547</v>
      </c>
      <c r="K14" s="77"/>
    </row>
    <row r="15" spans="1:13" ht="18.75" x14ac:dyDescent="0.3">
      <c r="A15" s="73"/>
      <c r="B15" s="78"/>
      <c r="C15" s="83"/>
      <c r="D15" s="83"/>
      <c r="E15" s="83"/>
      <c r="F15" s="83"/>
      <c r="G15" s="83"/>
      <c r="H15" s="76"/>
      <c r="I15" s="76"/>
      <c r="J15" s="79"/>
      <c r="K15" s="77"/>
    </row>
    <row r="16" spans="1:13" ht="26.25" x14ac:dyDescent="0.4">
      <c r="A16" s="73"/>
      <c r="B16" s="72" t="s">
        <v>21</v>
      </c>
      <c r="C16" s="83"/>
      <c r="D16" s="83"/>
      <c r="E16" s="83"/>
      <c r="F16" s="83"/>
      <c r="G16" s="83"/>
      <c r="H16" s="76"/>
      <c r="I16" s="76"/>
      <c r="J16" s="79"/>
      <c r="K16" s="77"/>
    </row>
    <row r="17" spans="1:11" ht="18.75" x14ac:dyDescent="0.3">
      <c r="A17" s="73"/>
      <c r="B17" s="78"/>
      <c r="C17" s="83"/>
      <c r="D17" s="83"/>
      <c r="E17" s="83"/>
      <c r="F17" s="83"/>
      <c r="G17" s="83"/>
      <c r="H17" s="76"/>
      <c r="I17" s="76"/>
      <c r="J17" s="79"/>
      <c r="K17" s="77"/>
    </row>
    <row r="18" spans="1:11" ht="18.75" x14ac:dyDescent="0.3">
      <c r="A18" s="73">
        <f>+A14+1</f>
        <v>11</v>
      </c>
      <c r="B18" s="78" t="s">
        <v>22</v>
      </c>
      <c r="C18" s="83"/>
      <c r="D18" s="83"/>
      <c r="E18" s="83"/>
      <c r="F18" s="83">
        <v>50</v>
      </c>
      <c r="G18" s="83">
        <v>42</v>
      </c>
      <c r="H18" s="76"/>
      <c r="I18" s="76"/>
      <c r="J18" s="79">
        <f t="shared" ref="J18:J30" si="2">SUM(C18:I18)</f>
        <v>92</v>
      </c>
      <c r="K18" s="77"/>
    </row>
    <row r="19" spans="1:11" ht="18.75" x14ac:dyDescent="0.3">
      <c r="A19" s="73">
        <f>+A18+1</f>
        <v>12</v>
      </c>
      <c r="B19" s="78" t="s">
        <v>23</v>
      </c>
      <c r="C19" s="83"/>
      <c r="D19" s="83">
        <v>47</v>
      </c>
      <c r="E19" s="83">
        <v>40</v>
      </c>
      <c r="F19" s="83">
        <v>47</v>
      </c>
      <c r="G19" s="83">
        <f>35+5+10+40</f>
        <v>90</v>
      </c>
      <c r="H19" s="76"/>
      <c r="I19" s="76"/>
      <c r="J19" s="79">
        <f t="shared" si="2"/>
        <v>224</v>
      </c>
      <c r="K19" s="77"/>
    </row>
    <row r="20" spans="1:11" ht="18.75" x14ac:dyDescent="0.3">
      <c r="A20" s="73">
        <f t="shared" ref="A20:A30" si="3">+A19+1</f>
        <v>13</v>
      </c>
      <c r="B20" s="78" t="s">
        <v>25</v>
      </c>
      <c r="C20" s="83"/>
      <c r="D20" s="83"/>
      <c r="E20" s="83">
        <v>40</v>
      </c>
      <c r="F20" s="83"/>
      <c r="G20" s="83"/>
      <c r="H20" s="76"/>
      <c r="I20" s="76"/>
      <c r="J20" s="79">
        <f t="shared" si="2"/>
        <v>40</v>
      </c>
      <c r="K20" s="77"/>
    </row>
    <row r="21" spans="1:11" ht="18.75" x14ac:dyDescent="0.3">
      <c r="A21" s="73">
        <f t="shared" si="3"/>
        <v>14</v>
      </c>
      <c r="B21" s="78" t="s">
        <v>26</v>
      </c>
      <c r="C21" s="83"/>
      <c r="D21" s="83"/>
      <c r="E21" s="83">
        <v>34</v>
      </c>
      <c r="F21" s="83">
        <v>22</v>
      </c>
      <c r="G21" s="83">
        <f>4+12</f>
        <v>16</v>
      </c>
      <c r="H21" s="76"/>
      <c r="I21" s="76"/>
      <c r="J21" s="79">
        <f t="shared" si="2"/>
        <v>72</v>
      </c>
      <c r="K21" s="77"/>
    </row>
    <row r="22" spans="1:11" ht="18.75" x14ac:dyDescent="0.3">
      <c r="A22" s="73">
        <f t="shared" si="3"/>
        <v>15</v>
      </c>
      <c r="B22" s="78" t="s">
        <v>27</v>
      </c>
      <c r="C22" s="83"/>
      <c r="D22" s="83">
        <v>45</v>
      </c>
      <c r="E22" s="83">
        <f>36+15+45</f>
        <v>96</v>
      </c>
      <c r="F22" s="83">
        <v>76</v>
      </c>
      <c r="G22" s="83"/>
      <c r="H22" s="76"/>
      <c r="I22" s="76"/>
      <c r="J22" s="79">
        <f t="shared" si="2"/>
        <v>217</v>
      </c>
      <c r="K22" s="77"/>
    </row>
    <row r="23" spans="1:11" ht="18.75" x14ac:dyDescent="0.3">
      <c r="A23" s="73">
        <f t="shared" si="3"/>
        <v>16</v>
      </c>
      <c r="B23" s="78" t="s">
        <v>28</v>
      </c>
      <c r="C23" s="83">
        <v>47</v>
      </c>
      <c r="D23" s="83">
        <f>61+45</f>
        <v>106</v>
      </c>
      <c r="E23" s="83">
        <f>10+45+15</f>
        <v>70</v>
      </c>
      <c r="F23" s="83">
        <v>10</v>
      </c>
      <c r="G23" s="83">
        <f>7+35+35+40+5</f>
        <v>122</v>
      </c>
      <c r="H23" s="76"/>
      <c r="I23" s="76">
        <v>72</v>
      </c>
      <c r="J23" s="79">
        <f t="shared" si="2"/>
        <v>427</v>
      </c>
      <c r="K23" s="77"/>
    </row>
    <row r="24" spans="1:11" ht="18.75" x14ac:dyDescent="0.3">
      <c r="A24" s="73">
        <f t="shared" si="3"/>
        <v>17</v>
      </c>
      <c r="B24" s="78" t="s">
        <v>290</v>
      </c>
      <c r="C24" s="83"/>
      <c r="D24" s="83"/>
      <c r="E24" s="83">
        <f>10+15</f>
        <v>25</v>
      </c>
      <c r="F24" s="83">
        <f>40+40+10+30</f>
        <v>120</v>
      </c>
      <c r="G24" s="83">
        <v>37</v>
      </c>
      <c r="H24" s="76"/>
      <c r="I24" s="76"/>
      <c r="J24" s="79">
        <f t="shared" si="2"/>
        <v>182</v>
      </c>
      <c r="K24" s="77"/>
    </row>
    <row r="25" spans="1:11" ht="18.75" x14ac:dyDescent="0.3">
      <c r="A25" s="73">
        <f t="shared" si="3"/>
        <v>18</v>
      </c>
      <c r="B25" s="78" t="s">
        <v>29</v>
      </c>
      <c r="C25" s="83">
        <v>10</v>
      </c>
      <c r="D25" s="83">
        <v>30</v>
      </c>
      <c r="E25" s="83">
        <f>72+24</f>
        <v>96</v>
      </c>
      <c r="F25" s="83">
        <f>47+5</f>
        <v>52</v>
      </c>
      <c r="G25" s="83">
        <v>42</v>
      </c>
      <c r="H25" s="76"/>
      <c r="I25" s="76">
        <v>5</v>
      </c>
      <c r="J25" s="79">
        <f t="shared" si="2"/>
        <v>235</v>
      </c>
      <c r="K25" s="77"/>
    </row>
    <row r="26" spans="1:11" ht="18.75" x14ac:dyDescent="0.3">
      <c r="A26" s="73">
        <f t="shared" si="3"/>
        <v>19</v>
      </c>
      <c r="B26" s="78" t="s">
        <v>30</v>
      </c>
      <c r="C26" s="83"/>
      <c r="D26" s="83"/>
      <c r="E26" s="83"/>
      <c r="F26" s="83">
        <f>3*35</f>
        <v>105</v>
      </c>
      <c r="G26" s="83">
        <f>3*35</f>
        <v>105</v>
      </c>
      <c r="H26" s="76"/>
      <c r="I26" s="76"/>
      <c r="J26" s="79">
        <f t="shared" si="2"/>
        <v>210</v>
      </c>
      <c r="K26" s="77"/>
    </row>
    <row r="27" spans="1:11" ht="18.75" x14ac:dyDescent="0.3">
      <c r="A27" s="73">
        <f t="shared" si="3"/>
        <v>20</v>
      </c>
      <c r="B27" s="78" t="s">
        <v>294</v>
      </c>
      <c r="C27" s="83"/>
      <c r="D27" s="83"/>
      <c r="E27" s="83"/>
      <c r="F27" s="83">
        <v>50</v>
      </c>
      <c r="G27" s="83">
        <v>30</v>
      </c>
      <c r="H27" s="76"/>
      <c r="I27" s="76"/>
      <c r="J27" s="79">
        <f t="shared" si="2"/>
        <v>80</v>
      </c>
      <c r="K27" s="77"/>
    </row>
    <row r="28" spans="1:11" ht="18.75" x14ac:dyDescent="0.3">
      <c r="A28" s="73">
        <f t="shared" si="3"/>
        <v>21</v>
      </c>
      <c r="B28" s="78" t="s">
        <v>32</v>
      </c>
      <c r="C28" s="83">
        <f>24+12</f>
        <v>36</v>
      </c>
      <c r="D28" s="83">
        <f>35+12</f>
        <v>47</v>
      </c>
      <c r="E28" s="83">
        <f>12+12</f>
        <v>24</v>
      </c>
      <c r="F28" s="83"/>
      <c r="G28" s="83">
        <f>24+45</f>
        <v>69</v>
      </c>
      <c r="H28" s="76"/>
      <c r="I28" s="76"/>
      <c r="J28" s="79">
        <f t="shared" si="2"/>
        <v>176</v>
      </c>
      <c r="K28" s="77"/>
    </row>
    <row r="29" spans="1:11" ht="18.75" x14ac:dyDescent="0.3">
      <c r="A29" s="73">
        <f t="shared" si="3"/>
        <v>22</v>
      </c>
      <c r="B29" s="78" t="s">
        <v>33</v>
      </c>
      <c r="C29" s="83"/>
      <c r="D29" s="83">
        <v>3</v>
      </c>
      <c r="E29" s="83">
        <f>15+12</f>
        <v>27</v>
      </c>
      <c r="F29" s="83"/>
      <c r="G29" s="83"/>
      <c r="H29" s="76"/>
      <c r="I29" s="76"/>
      <c r="J29" s="79">
        <f t="shared" si="2"/>
        <v>30</v>
      </c>
      <c r="K29" s="77"/>
    </row>
    <row r="30" spans="1:11" ht="18.75" x14ac:dyDescent="0.3">
      <c r="A30" s="73">
        <f t="shared" si="3"/>
        <v>23</v>
      </c>
      <c r="B30" s="78" t="s">
        <v>35</v>
      </c>
      <c r="C30" s="83">
        <v>20</v>
      </c>
      <c r="D30" s="83"/>
      <c r="E30" s="83">
        <f>47+5</f>
        <v>52</v>
      </c>
      <c r="F30" s="83">
        <f>15+5</f>
        <v>20</v>
      </c>
      <c r="G30" s="83">
        <v>45</v>
      </c>
      <c r="H30" s="76"/>
      <c r="I30" s="76"/>
      <c r="J30" s="79">
        <f t="shared" si="2"/>
        <v>137</v>
      </c>
      <c r="K30" s="80"/>
    </row>
    <row r="31" spans="1:11" ht="26.25" x14ac:dyDescent="0.4">
      <c r="A31" s="73"/>
      <c r="B31" s="72" t="s">
        <v>36</v>
      </c>
      <c r="C31" s="83"/>
      <c r="D31" s="83"/>
      <c r="E31" s="83"/>
      <c r="F31" s="83"/>
      <c r="G31" s="83"/>
      <c r="H31" s="76"/>
      <c r="I31" s="76"/>
      <c r="J31" s="79"/>
      <c r="K31" s="80"/>
    </row>
    <row r="32" spans="1:11" ht="18.75" x14ac:dyDescent="0.3">
      <c r="A32" s="73"/>
      <c r="B32" s="81"/>
      <c r="C32" s="83"/>
      <c r="D32" s="83"/>
      <c r="E32" s="83"/>
      <c r="F32" s="83"/>
      <c r="G32" s="83"/>
      <c r="H32" s="76"/>
      <c r="I32" s="76"/>
      <c r="J32" s="79"/>
      <c r="K32" s="80"/>
    </row>
    <row r="33" spans="1:11" ht="18.75" x14ac:dyDescent="0.3">
      <c r="A33" s="73">
        <f>+A30+1</f>
        <v>24</v>
      </c>
      <c r="B33" s="78" t="s">
        <v>37</v>
      </c>
      <c r="C33" s="83">
        <f>24+15</f>
        <v>39</v>
      </c>
      <c r="D33" s="83">
        <f>24+15+15</f>
        <v>54</v>
      </c>
      <c r="E33" s="83">
        <f>30+45</f>
        <v>75</v>
      </c>
      <c r="F33" s="83">
        <f>24+15</f>
        <v>39</v>
      </c>
      <c r="G33" s="83">
        <f>24+15</f>
        <v>39</v>
      </c>
      <c r="H33" s="76"/>
      <c r="I33" s="76"/>
      <c r="J33" s="79">
        <f t="shared" ref="J33:J38" si="4">SUM(C33:I33)</f>
        <v>246</v>
      </c>
      <c r="K33" s="80"/>
    </row>
    <row r="34" spans="1:11" ht="18.75" x14ac:dyDescent="0.3">
      <c r="A34" s="73">
        <f>+A33+1</f>
        <v>25</v>
      </c>
      <c r="B34" s="78" t="s">
        <v>39</v>
      </c>
      <c r="C34" s="83"/>
      <c r="D34" s="83"/>
      <c r="E34" s="83"/>
      <c r="F34" s="83">
        <f>36+15</f>
        <v>51</v>
      </c>
      <c r="G34" s="83"/>
      <c r="H34" s="83"/>
      <c r="I34" s="83">
        <v>45</v>
      </c>
      <c r="J34" s="79">
        <f t="shared" si="4"/>
        <v>96</v>
      </c>
      <c r="K34" s="80"/>
    </row>
    <row r="35" spans="1:11" ht="18.75" x14ac:dyDescent="0.3">
      <c r="A35" s="73">
        <f t="shared" ref="A35:A39" si="5">+A34+1</f>
        <v>26</v>
      </c>
      <c r="B35" s="78" t="s">
        <v>284</v>
      </c>
      <c r="C35" s="83">
        <v>40</v>
      </c>
      <c r="D35" s="83"/>
      <c r="E35" s="83"/>
      <c r="F35" s="83"/>
      <c r="G35" s="83"/>
      <c r="H35" s="83"/>
      <c r="I35" s="83"/>
      <c r="J35" s="79">
        <f t="shared" si="4"/>
        <v>40</v>
      </c>
      <c r="K35" s="80"/>
    </row>
    <row r="36" spans="1:11" ht="18.75" x14ac:dyDescent="0.3">
      <c r="A36" s="73">
        <f t="shared" si="5"/>
        <v>27</v>
      </c>
      <c r="B36" s="78" t="s">
        <v>288</v>
      </c>
      <c r="C36" s="83"/>
      <c r="D36" s="83">
        <f>24+15+11+12</f>
        <v>62</v>
      </c>
      <c r="E36" s="83">
        <f>15+12</f>
        <v>27</v>
      </c>
      <c r="F36" s="83">
        <f>24+15</f>
        <v>39</v>
      </c>
      <c r="G36" s="83">
        <f>27+15</f>
        <v>42</v>
      </c>
      <c r="H36" s="83"/>
      <c r="I36" s="83"/>
      <c r="J36" s="79">
        <f t="shared" si="4"/>
        <v>170</v>
      </c>
      <c r="K36" s="80"/>
    </row>
    <row r="37" spans="1:11" ht="18.75" x14ac:dyDescent="0.3">
      <c r="A37" s="73">
        <f t="shared" si="5"/>
        <v>28</v>
      </c>
      <c r="B37" s="78" t="s">
        <v>297</v>
      </c>
      <c r="C37" s="83"/>
      <c r="D37" s="83"/>
      <c r="E37" s="83"/>
      <c r="F37" s="83"/>
      <c r="G37" s="83">
        <v>7</v>
      </c>
      <c r="H37" s="83"/>
      <c r="I37" s="83">
        <v>100</v>
      </c>
      <c r="J37" s="79">
        <f t="shared" si="4"/>
        <v>107</v>
      </c>
      <c r="K37" s="80"/>
    </row>
    <row r="38" spans="1:11" ht="18.75" x14ac:dyDescent="0.3">
      <c r="A38" s="73">
        <f t="shared" si="5"/>
        <v>29</v>
      </c>
      <c r="B38" s="78" t="s">
        <v>304</v>
      </c>
      <c r="C38" s="83"/>
      <c r="D38" s="83"/>
      <c r="E38" s="83"/>
      <c r="F38" s="83"/>
      <c r="G38" s="83">
        <v>52</v>
      </c>
      <c r="H38" s="83"/>
      <c r="I38" s="83"/>
      <c r="J38" s="79">
        <f t="shared" si="4"/>
        <v>52</v>
      </c>
      <c r="K38" s="80"/>
    </row>
    <row r="39" spans="1:11" ht="18.75" x14ac:dyDescent="0.3">
      <c r="A39" s="73">
        <f t="shared" si="5"/>
        <v>30</v>
      </c>
      <c r="B39" s="78" t="s">
        <v>283</v>
      </c>
      <c r="C39" s="83">
        <v>35</v>
      </c>
      <c r="D39" s="83">
        <f>12+15</f>
        <v>27</v>
      </c>
      <c r="E39" s="83"/>
      <c r="F39" s="83"/>
      <c r="G39" s="83">
        <v>30</v>
      </c>
      <c r="H39" s="83"/>
      <c r="I39" s="83"/>
      <c r="J39" s="79">
        <f>SUM(C39:I39)</f>
        <v>92</v>
      </c>
      <c r="K39" s="80"/>
    </row>
    <row r="40" spans="1:11" ht="18.75" x14ac:dyDescent="0.3">
      <c r="A40" s="73"/>
      <c r="B40" s="85" t="s">
        <v>40</v>
      </c>
      <c r="C40" s="83"/>
      <c r="D40" s="83"/>
      <c r="E40" s="83"/>
      <c r="F40" s="83"/>
      <c r="G40" s="83"/>
      <c r="H40" s="83"/>
      <c r="I40" s="83"/>
      <c r="J40" s="86"/>
      <c r="K40" s="80"/>
    </row>
    <row r="41" spans="1:11" ht="18.75" x14ac:dyDescent="0.3">
      <c r="A41" s="73"/>
      <c r="B41" s="85"/>
      <c r="C41" s="83"/>
      <c r="D41" s="83"/>
      <c r="E41" s="83"/>
      <c r="F41" s="83"/>
      <c r="G41" s="83"/>
      <c r="H41" s="83"/>
      <c r="I41" s="83"/>
      <c r="J41" s="86"/>
      <c r="K41" s="80"/>
    </row>
    <row r="42" spans="1:11" ht="18.75" x14ac:dyDescent="0.3">
      <c r="A42" s="73">
        <f>+A39+1</f>
        <v>31</v>
      </c>
      <c r="B42" s="78" t="s">
        <v>41</v>
      </c>
      <c r="C42" s="83">
        <v>12</v>
      </c>
      <c r="D42" s="83"/>
      <c r="E42" s="83"/>
      <c r="F42" s="83">
        <v>15</v>
      </c>
      <c r="G42" s="83"/>
      <c r="H42" s="83"/>
      <c r="I42" s="83"/>
      <c r="J42" s="79">
        <f t="shared" ref="J42:J55" si="6">SUM(C42:I42)</f>
        <v>27</v>
      </c>
      <c r="K42" s="80"/>
    </row>
    <row r="43" spans="1:11" ht="18.75" x14ac:dyDescent="0.3">
      <c r="A43" s="73">
        <f>+A42+1</f>
        <v>32</v>
      </c>
      <c r="B43" s="78" t="s">
        <v>42</v>
      </c>
      <c r="C43" s="83">
        <v>10</v>
      </c>
      <c r="D43" s="83"/>
      <c r="E43" s="83"/>
      <c r="F43" s="83"/>
      <c r="G43" s="83"/>
      <c r="H43" s="83"/>
      <c r="I43" s="83"/>
      <c r="J43" s="79">
        <f t="shared" si="6"/>
        <v>10</v>
      </c>
      <c r="K43" s="80"/>
    </row>
    <row r="44" spans="1:11" ht="18.75" x14ac:dyDescent="0.3">
      <c r="A44" s="73">
        <f t="shared" ref="A44:A55" si="7">+A43+1</f>
        <v>33</v>
      </c>
      <c r="B44" s="78" t="s">
        <v>125</v>
      </c>
      <c r="C44" s="83"/>
      <c r="D44" s="83"/>
      <c r="E44" s="83"/>
      <c r="F44" s="83">
        <v>15</v>
      </c>
      <c r="G44" s="83"/>
      <c r="H44" s="83"/>
      <c r="I44" s="83"/>
      <c r="J44" s="79">
        <f t="shared" si="6"/>
        <v>15</v>
      </c>
      <c r="K44" s="80"/>
    </row>
    <row r="45" spans="1:11" ht="18.75" x14ac:dyDescent="0.3">
      <c r="A45" s="73">
        <f t="shared" si="7"/>
        <v>34</v>
      </c>
      <c r="B45" s="78" t="s">
        <v>86</v>
      </c>
      <c r="C45" s="83">
        <v>15</v>
      </c>
      <c r="D45" s="83">
        <f>51+55</f>
        <v>106</v>
      </c>
      <c r="E45" s="83"/>
      <c r="F45" s="83">
        <v>35</v>
      </c>
      <c r="G45" s="83"/>
      <c r="H45" s="83"/>
      <c r="I45" s="83">
        <v>230</v>
      </c>
      <c r="J45" s="79">
        <f t="shared" si="6"/>
        <v>386</v>
      </c>
      <c r="K45" s="80"/>
    </row>
    <row r="46" spans="1:11" ht="18.75" x14ac:dyDescent="0.3">
      <c r="A46" s="73">
        <f t="shared" si="7"/>
        <v>35</v>
      </c>
      <c r="B46" s="78" t="s">
        <v>282</v>
      </c>
      <c r="C46" s="83">
        <f>36+12</f>
        <v>48</v>
      </c>
      <c r="D46" s="83"/>
      <c r="E46" s="83"/>
      <c r="F46" s="83"/>
      <c r="G46" s="83"/>
      <c r="H46" s="83"/>
      <c r="I46" s="83"/>
      <c r="J46" s="79">
        <f t="shared" si="6"/>
        <v>48</v>
      </c>
      <c r="K46" s="80"/>
    </row>
    <row r="47" spans="1:11" ht="18.75" x14ac:dyDescent="0.3">
      <c r="A47" s="73">
        <f t="shared" si="7"/>
        <v>36</v>
      </c>
      <c r="B47" s="78" t="s">
        <v>43</v>
      </c>
      <c r="C47" s="83"/>
      <c r="D47" s="83">
        <f>12+45+45+5</f>
        <v>107</v>
      </c>
      <c r="E47" s="83"/>
      <c r="F47" s="83">
        <v>195</v>
      </c>
      <c r="G47" s="83">
        <f>4*45</f>
        <v>180</v>
      </c>
      <c r="H47" s="83"/>
      <c r="I47" s="83"/>
      <c r="J47" s="79">
        <f t="shared" si="6"/>
        <v>482</v>
      </c>
      <c r="K47" s="80"/>
    </row>
    <row r="48" spans="1:11" ht="18.75" x14ac:dyDescent="0.3">
      <c r="A48" s="73">
        <f t="shared" si="7"/>
        <v>37</v>
      </c>
      <c r="B48" s="78" t="s">
        <v>170</v>
      </c>
      <c r="C48" s="83"/>
      <c r="D48" s="83">
        <v>40</v>
      </c>
      <c r="E48" s="83"/>
      <c r="F48" s="83">
        <v>20</v>
      </c>
      <c r="G48" s="83"/>
      <c r="H48" s="83"/>
      <c r="I48" s="83"/>
      <c r="J48" s="79">
        <f t="shared" si="6"/>
        <v>60</v>
      </c>
      <c r="K48" s="80"/>
    </row>
    <row r="49" spans="1:14" ht="18.75" x14ac:dyDescent="0.3">
      <c r="A49" s="73">
        <f t="shared" si="7"/>
        <v>38</v>
      </c>
      <c r="B49" s="78" t="s">
        <v>45</v>
      </c>
      <c r="C49" s="83">
        <v>5</v>
      </c>
      <c r="D49" s="83">
        <f>40+4</f>
        <v>44</v>
      </c>
      <c r="E49" s="83"/>
      <c r="F49" s="83">
        <f>36+45+47</f>
        <v>128</v>
      </c>
      <c r="G49" s="83"/>
      <c r="H49" s="83"/>
      <c r="I49" s="84"/>
      <c r="J49" s="79">
        <f t="shared" si="6"/>
        <v>177</v>
      </c>
      <c r="K49" s="80"/>
    </row>
    <row r="50" spans="1:14" ht="18.75" x14ac:dyDescent="0.3">
      <c r="A50" s="73">
        <f t="shared" si="7"/>
        <v>39</v>
      </c>
      <c r="B50" s="78" t="s">
        <v>47</v>
      </c>
      <c r="C50" s="87">
        <v>45</v>
      </c>
      <c r="D50" s="84">
        <v>45</v>
      </c>
      <c r="E50" s="84">
        <v>45</v>
      </c>
      <c r="F50" s="84">
        <v>45</v>
      </c>
      <c r="G50" s="84">
        <v>45</v>
      </c>
      <c r="H50" s="84"/>
      <c r="I50" s="84">
        <v>59</v>
      </c>
      <c r="J50" s="79">
        <f t="shared" si="6"/>
        <v>284</v>
      </c>
      <c r="K50" s="80"/>
    </row>
    <row r="51" spans="1:14" ht="18.75" x14ac:dyDescent="0.3">
      <c r="A51" s="73">
        <f t="shared" si="7"/>
        <v>40</v>
      </c>
      <c r="B51" s="78" t="s">
        <v>48</v>
      </c>
      <c r="C51" s="84"/>
      <c r="D51" s="84"/>
      <c r="E51" s="84">
        <v>40</v>
      </c>
      <c r="F51" s="84">
        <v>40</v>
      </c>
      <c r="G51" s="84">
        <v>40</v>
      </c>
      <c r="H51" s="84"/>
      <c r="I51" s="84"/>
      <c r="J51" s="79">
        <f t="shared" si="6"/>
        <v>120</v>
      </c>
      <c r="K51" s="80"/>
    </row>
    <row r="52" spans="1:14" ht="18.75" x14ac:dyDescent="0.3">
      <c r="A52" s="73">
        <f t="shared" si="7"/>
        <v>41</v>
      </c>
      <c r="B52" s="78" t="s">
        <v>293</v>
      </c>
      <c r="C52" s="84"/>
      <c r="D52" s="84"/>
      <c r="E52" s="84"/>
      <c r="F52" s="84">
        <v>40</v>
      </c>
      <c r="G52" s="84">
        <v>43</v>
      </c>
      <c r="H52" s="84"/>
      <c r="I52" s="88"/>
      <c r="J52" s="79">
        <f t="shared" si="6"/>
        <v>83</v>
      </c>
      <c r="K52" s="80"/>
    </row>
    <row r="53" spans="1:14" ht="18.75" x14ac:dyDescent="0.3">
      <c r="A53" s="73">
        <f t="shared" si="7"/>
        <v>42</v>
      </c>
      <c r="B53" s="78" t="s">
        <v>50</v>
      </c>
      <c r="C53" s="84">
        <v>45</v>
      </c>
      <c r="D53" s="84"/>
      <c r="E53" s="84"/>
      <c r="F53" s="84"/>
      <c r="G53" s="84"/>
      <c r="H53" s="84"/>
      <c r="I53" s="88"/>
      <c r="J53" s="79">
        <f t="shared" si="6"/>
        <v>45</v>
      </c>
      <c r="K53" s="89"/>
    </row>
    <row r="54" spans="1:14" ht="18.75" x14ac:dyDescent="0.3">
      <c r="A54" s="73">
        <f t="shared" si="7"/>
        <v>43</v>
      </c>
      <c r="B54" s="78" t="s">
        <v>51</v>
      </c>
      <c r="C54" s="84"/>
      <c r="D54" s="84"/>
      <c r="E54" s="84"/>
      <c r="F54" s="84"/>
      <c r="G54" s="84">
        <v>12</v>
      </c>
      <c r="H54" s="84"/>
      <c r="I54" s="88"/>
      <c r="J54" s="79">
        <f t="shared" si="6"/>
        <v>12</v>
      </c>
      <c r="K54" s="89"/>
    </row>
    <row r="55" spans="1:14" ht="18.75" x14ac:dyDescent="0.3">
      <c r="A55" s="73">
        <f t="shared" si="7"/>
        <v>44</v>
      </c>
      <c r="B55" s="78" t="s">
        <v>286</v>
      </c>
      <c r="C55" s="84">
        <v>30</v>
      </c>
      <c r="D55" s="84">
        <f>15+25+10</f>
        <v>50</v>
      </c>
      <c r="E55" s="84"/>
      <c r="F55" s="84"/>
      <c r="G55" s="84"/>
      <c r="H55" s="84"/>
      <c r="I55" s="90"/>
      <c r="J55" s="79">
        <f t="shared" si="6"/>
        <v>80</v>
      </c>
      <c r="K55" s="91"/>
    </row>
    <row r="56" spans="1:14" ht="21" x14ac:dyDescent="0.35">
      <c r="A56" s="71"/>
      <c r="B56" s="92" t="s">
        <v>54</v>
      </c>
      <c r="C56" s="93"/>
      <c r="D56" s="94"/>
      <c r="E56" s="95"/>
      <c r="F56" s="95"/>
      <c r="G56" s="95"/>
      <c r="H56" s="95"/>
      <c r="I56" s="96"/>
      <c r="J56" s="97">
        <f>SUM(J4:J55)</f>
        <v>6158</v>
      </c>
      <c r="K56" s="71"/>
    </row>
    <row r="57" spans="1:14" x14ac:dyDescent="0.25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</row>
    <row r="58" spans="1:14" ht="15.75" x14ac:dyDescent="0.25">
      <c r="A58" s="71"/>
      <c r="B58" s="71" t="s">
        <v>55</v>
      </c>
      <c r="C58" s="98">
        <f>SUM(C59:C64)</f>
        <v>44</v>
      </c>
      <c r="D58" s="99">
        <f>+C58*100</f>
        <v>4400</v>
      </c>
      <c r="E58" s="99">
        <f>+D58*0.1</f>
        <v>440</v>
      </c>
      <c r="F58" s="99">
        <f>+D58-E58</f>
        <v>3960</v>
      </c>
      <c r="G58" s="100"/>
      <c r="H58" s="100"/>
      <c r="I58" s="71"/>
      <c r="J58" s="71"/>
      <c r="K58" s="71"/>
      <c r="N58" s="42"/>
    </row>
    <row r="59" spans="1:14" ht="15.75" x14ac:dyDescent="0.25">
      <c r="A59" s="71"/>
      <c r="B59" s="71"/>
      <c r="C59" s="101">
        <v>10</v>
      </c>
      <c r="D59" s="99"/>
      <c r="E59" s="99"/>
      <c r="F59" s="99">
        <v>547</v>
      </c>
      <c r="G59" s="100"/>
      <c r="H59" s="100"/>
      <c r="I59" s="71"/>
      <c r="J59" s="71"/>
      <c r="K59" s="71"/>
      <c r="N59" s="42"/>
    </row>
    <row r="60" spans="1:14" x14ac:dyDescent="0.25">
      <c r="A60" s="71"/>
      <c r="B60" s="71"/>
      <c r="C60" s="100">
        <v>10</v>
      </c>
      <c r="D60" s="99"/>
      <c r="E60" s="99"/>
      <c r="F60" s="99"/>
      <c r="G60" s="100"/>
      <c r="H60" s="100"/>
      <c r="I60" s="71"/>
      <c r="J60" s="71"/>
      <c r="K60" s="71"/>
      <c r="N60" s="42"/>
    </row>
    <row r="61" spans="1:14" x14ac:dyDescent="0.25">
      <c r="A61" s="71"/>
      <c r="B61" s="71"/>
      <c r="C61" s="100">
        <v>10</v>
      </c>
      <c r="D61" s="99"/>
      <c r="E61" s="99"/>
      <c r="F61" s="99">
        <f>+F58+F59</f>
        <v>4507</v>
      </c>
      <c r="G61" s="100"/>
      <c r="H61" s="100"/>
      <c r="I61" s="71"/>
      <c r="J61" s="71"/>
      <c r="K61" s="71"/>
      <c r="N61" s="42"/>
    </row>
    <row r="62" spans="1:14" x14ac:dyDescent="0.25">
      <c r="A62" s="71"/>
      <c r="B62" s="71"/>
      <c r="C62" s="100">
        <v>10</v>
      </c>
      <c r="D62" s="99"/>
      <c r="E62" s="99"/>
      <c r="F62" s="99"/>
      <c r="G62" s="100"/>
      <c r="H62" s="100"/>
      <c r="I62" s="71"/>
      <c r="J62" s="71"/>
      <c r="K62" s="71"/>
      <c r="N62" s="42"/>
    </row>
    <row r="63" spans="1:14" x14ac:dyDescent="0.25">
      <c r="A63" s="71"/>
      <c r="B63" s="71" t="s">
        <v>299</v>
      </c>
      <c r="C63" s="100">
        <v>3</v>
      </c>
      <c r="D63" s="99"/>
      <c r="E63" s="99"/>
      <c r="F63" s="99"/>
      <c r="G63" s="100"/>
      <c r="H63" s="100"/>
      <c r="I63" s="71"/>
      <c r="J63" s="71"/>
      <c r="K63" s="71"/>
      <c r="N63" s="42"/>
    </row>
    <row r="64" spans="1:14" x14ac:dyDescent="0.25">
      <c r="A64" s="71"/>
      <c r="B64" s="71" t="s">
        <v>301</v>
      </c>
      <c r="C64" s="100">
        <v>1</v>
      </c>
      <c r="D64" s="99"/>
      <c r="E64" s="99"/>
      <c r="F64" s="99"/>
      <c r="G64" s="100"/>
      <c r="H64" s="100"/>
      <c r="I64" s="71"/>
      <c r="J64" s="71"/>
      <c r="K64" s="71"/>
      <c r="N64" s="42"/>
    </row>
    <row r="65" spans="1:14" x14ac:dyDescent="0.25">
      <c r="A65" s="71"/>
      <c r="B65" s="71"/>
      <c r="C65" s="100"/>
      <c r="D65" s="99"/>
      <c r="E65" s="99"/>
      <c r="F65" s="99"/>
      <c r="G65" s="100"/>
      <c r="H65" s="100"/>
      <c r="I65" s="71"/>
      <c r="J65" s="71"/>
      <c r="K65" s="71"/>
      <c r="N65" s="42"/>
    </row>
    <row r="66" spans="1:14" ht="15.75" x14ac:dyDescent="0.25">
      <c r="A66" s="71"/>
      <c r="B66" s="71" t="s">
        <v>57</v>
      </c>
      <c r="C66" s="98">
        <f>SUM(C67:C70)</f>
        <v>47</v>
      </c>
      <c r="D66" s="99">
        <f t="shared" ref="D66:D84" si="8">+C66*100</f>
        <v>4700</v>
      </c>
      <c r="E66" s="99">
        <f t="shared" ref="E66:E84" si="9">+D66*0.1</f>
        <v>470</v>
      </c>
      <c r="F66" s="99">
        <f t="shared" ref="F66:F84" si="10">+D66-E66</f>
        <v>4230</v>
      </c>
      <c r="G66" s="71"/>
      <c r="H66" s="71"/>
      <c r="I66" s="71"/>
      <c r="J66" s="71"/>
      <c r="K66" s="71"/>
    </row>
    <row r="67" spans="1:14" x14ac:dyDescent="0.25">
      <c r="A67" s="71"/>
      <c r="B67" s="71"/>
      <c r="C67" s="71">
        <v>14</v>
      </c>
      <c r="D67" s="99"/>
      <c r="E67" s="99"/>
      <c r="F67" s="99"/>
      <c r="G67" s="71"/>
      <c r="H67" s="71"/>
      <c r="I67" s="71"/>
      <c r="J67" s="71"/>
      <c r="K67" s="71"/>
    </row>
    <row r="68" spans="1:14" x14ac:dyDescent="0.25">
      <c r="A68" s="71"/>
      <c r="B68" s="71"/>
      <c r="C68" s="71">
        <v>20</v>
      </c>
      <c r="D68" s="99"/>
      <c r="E68" s="99"/>
      <c r="F68" s="99"/>
      <c r="G68" s="71"/>
      <c r="H68" s="71"/>
      <c r="I68" s="71"/>
      <c r="J68" s="71"/>
      <c r="K68" s="71"/>
    </row>
    <row r="69" spans="1:14" x14ac:dyDescent="0.25">
      <c r="A69" s="71"/>
      <c r="B69" s="71"/>
      <c r="C69" s="71">
        <v>10</v>
      </c>
      <c r="D69" s="99"/>
      <c r="E69" s="99"/>
      <c r="F69" s="99"/>
      <c r="G69" s="71"/>
      <c r="H69" s="71"/>
      <c r="I69" s="71"/>
      <c r="J69" s="71"/>
      <c r="K69" s="71"/>
    </row>
    <row r="70" spans="1:14" x14ac:dyDescent="0.25">
      <c r="A70" s="71"/>
      <c r="B70" s="71" t="s">
        <v>300</v>
      </c>
      <c r="C70" s="71">
        <v>3</v>
      </c>
      <c r="D70" s="99"/>
      <c r="E70" s="99"/>
      <c r="F70" s="99"/>
      <c r="G70" s="71"/>
      <c r="H70" s="71"/>
      <c r="I70" s="71"/>
      <c r="J70" s="71"/>
      <c r="K70" s="71"/>
    </row>
    <row r="71" spans="1:14" x14ac:dyDescent="0.25">
      <c r="A71" s="71"/>
      <c r="B71" s="71"/>
      <c r="C71" s="71"/>
      <c r="D71" s="99"/>
      <c r="E71" s="99"/>
      <c r="F71" s="99"/>
      <c r="G71" s="71"/>
      <c r="H71" s="71"/>
      <c r="I71" s="71"/>
      <c r="J71" s="71"/>
      <c r="K71" s="71"/>
    </row>
    <row r="72" spans="1:14" ht="15.75" x14ac:dyDescent="0.25">
      <c r="A72" s="71"/>
      <c r="B72" s="71" t="s">
        <v>59</v>
      </c>
      <c r="C72" s="98">
        <f>SUM(C73:C76)</f>
        <v>30</v>
      </c>
      <c r="D72" s="99">
        <f t="shared" si="8"/>
        <v>3000</v>
      </c>
      <c r="E72" s="99">
        <f t="shared" si="9"/>
        <v>300</v>
      </c>
      <c r="F72" s="99">
        <f t="shared" si="10"/>
        <v>2700</v>
      </c>
      <c r="G72" s="71"/>
      <c r="H72" s="71"/>
      <c r="I72" s="71"/>
      <c r="J72" s="71"/>
      <c r="K72" s="71"/>
    </row>
    <row r="73" spans="1:14" x14ac:dyDescent="0.25">
      <c r="A73" s="71"/>
      <c r="B73" s="71"/>
      <c r="C73" s="71">
        <v>10</v>
      </c>
      <c r="D73" s="99"/>
      <c r="E73" s="104" t="s">
        <v>295</v>
      </c>
      <c r="F73" s="99">
        <f>12+15</f>
        <v>27</v>
      </c>
      <c r="G73" s="71"/>
      <c r="H73" s="71"/>
      <c r="I73" s="71"/>
      <c r="J73" s="71"/>
      <c r="K73" s="71"/>
    </row>
    <row r="74" spans="1:14" x14ac:dyDescent="0.25">
      <c r="A74" s="71"/>
      <c r="B74" s="71"/>
      <c r="C74" s="71">
        <v>10</v>
      </c>
      <c r="D74" s="99"/>
      <c r="E74" s="99" t="s">
        <v>302</v>
      </c>
      <c r="F74" s="99">
        <v>40</v>
      </c>
      <c r="G74" s="71"/>
      <c r="H74" s="71"/>
      <c r="I74" s="71"/>
      <c r="J74" s="71"/>
      <c r="K74" s="71"/>
    </row>
    <row r="75" spans="1:14" x14ac:dyDescent="0.25">
      <c r="A75" s="71"/>
      <c r="B75" s="71"/>
      <c r="C75" s="71">
        <v>5</v>
      </c>
      <c r="D75" s="99"/>
      <c r="E75" s="99" t="s">
        <v>303</v>
      </c>
      <c r="F75" s="99">
        <f>+F72+F73+F74</f>
        <v>2767</v>
      </c>
      <c r="G75" s="71"/>
      <c r="H75" s="71"/>
      <c r="I75" s="71"/>
      <c r="J75" s="71"/>
      <c r="K75" s="71"/>
    </row>
    <row r="76" spans="1:14" x14ac:dyDescent="0.25">
      <c r="A76" s="71"/>
      <c r="B76" s="71"/>
      <c r="C76" s="71">
        <v>5</v>
      </c>
      <c r="D76" s="99"/>
      <c r="E76" s="99"/>
      <c r="F76" s="99"/>
      <c r="G76" s="71"/>
      <c r="H76" s="71"/>
      <c r="I76" s="71"/>
      <c r="J76" s="71"/>
      <c r="K76" s="71"/>
    </row>
    <row r="77" spans="1:14" x14ac:dyDescent="0.25">
      <c r="A77" s="71"/>
      <c r="B77" s="71"/>
      <c r="C77" s="71"/>
      <c r="D77" s="99"/>
      <c r="E77" s="99"/>
      <c r="F77" s="99"/>
      <c r="G77" s="71"/>
      <c r="H77" s="71"/>
      <c r="I77" s="100"/>
      <c r="J77" s="71"/>
      <c r="K77" s="71"/>
    </row>
    <row r="78" spans="1:14" ht="15.75" x14ac:dyDescent="0.25">
      <c r="A78" s="71"/>
      <c r="B78" s="71" t="s">
        <v>61</v>
      </c>
      <c r="C78" s="98">
        <f>SUM(C79:C82)</f>
        <v>13</v>
      </c>
      <c r="D78" s="99">
        <f t="shared" si="8"/>
        <v>1300</v>
      </c>
      <c r="E78" s="99">
        <f t="shared" si="9"/>
        <v>130</v>
      </c>
      <c r="F78" s="99">
        <f t="shared" si="10"/>
        <v>1170</v>
      </c>
      <c r="G78" s="71"/>
      <c r="H78" s="71"/>
      <c r="I78" s="100"/>
      <c r="J78" s="100"/>
      <c r="K78" s="99"/>
      <c r="L78" s="1"/>
      <c r="M78" s="1"/>
    </row>
    <row r="79" spans="1:14" x14ac:dyDescent="0.25">
      <c r="A79" s="71"/>
      <c r="B79" s="71"/>
      <c r="C79" s="71">
        <v>10</v>
      </c>
      <c r="D79" s="99"/>
      <c r="E79" s="99"/>
      <c r="F79" s="99"/>
      <c r="G79" s="71"/>
      <c r="H79" s="71"/>
      <c r="I79" s="71"/>
      <c r="J79" s="71"/>
      <c r="K79" s="71"/>
      <c r="M79" s="1"/>
    </row>
    <row r="80" spans="1:14" x14ac:dyDescent="0.25">
      <c r="A80" s="71"/>
      <c r="B80" s="71"/>
      <c r="C80" s="71">
        <v>3</v>
      </c>
      <c r="D80" s="99"/>
      <c r="E80" s="99"/>
      <c r="F80" s="99"/>
      <c r="G80" s="71"/>
      <c r="H80" s="71"/>
      <c r="I80" s="71"/>
      <c r="J80" s="71"/>
      <c r="K80" s="71"/>
      <c r="M80" s="13"/>
    </row>
    <row r="81" spans="1:13" x14ac:dyDescent="0.25">
      <c r="A81" s="71"/>
      <c r="B81" s="71"/>
      <c r="C81" s="71"/>
      <c r="D81" s="99"/>
      <c r="E81" s="99"/>
      <c r="F81" s="99"/>
      <c r="G81" s="71"/>
      <c r="H81" s="71"/>
      <c r="I81" s="71"/>
      <c r="J81" s="71"/>
      <c r="K81" s="71"/>
    </row>
    <row r="82" spans="1:13" x14ac:dyDescent="0.25">
      <c r="A82" s="71"/>
      <c r="B82" s="71"/>
      <c r="C82" s="71"/>
      <c r="D82" s="99"/>
      <c r="E82" s="99"/>
      <c r="F82" s="99"/>
      <c r="G82" s="71"/>
      <c r="H82" s="71"/>
      <c r="I82" s="71"/>
      <c r="J82" s="71"/>
      <c r="K82" s="71"/>
      <c r="M82" s="13"/>
    </row>
    <row r="83" spans="1:13" x14ac:dyDescent="0.25">
      <c r="A83" s="71"/>
      <c r="B83" s="71"/>
      <c r="C83" s="71"/>
      <c r="D83" s="99"/>
      <c r="E83" s="99"/>
      <c r="F83" s="99"/>
      <c r="G83" s="71"/>
      <c r="H83" s="71"/>
      <c r="I83" s="71"/>
      <c r="J83" s="102"/>
      <c r="K83" s="71"/>
    </row>
    <row r="84" spans="1:13" ht="15.75" x14ac:dyDescent="0.25">
      <c r="A84" s="71"/>
      <c r="B84" s="71" t="s">
        <v>63</v>
      </c>
      <c r="C84" s="98">
        <f>SUM(C85:C86)</f>
        <v>11</v>
      </c>
      <c r="D84" s="99">
        <f t="shared" si="8"/>
        <v>1100</v>
      </c>
      <c r="E84" s="99">
        <f t="shared" si="9"/>
        <v>110</v>
      </c>
      <c r="F84" s="99">
        <f t="shared" si="10"/>
        <v>990</v>
      </c>
      <c r="G84" s="71"/>
      <c r="H84" s="71"/>
      <c r="I84" s="71"/>
      <c r="J84" s="71"/>
      <c r="K84" s="71"/>
    </row>
    <row r="85" spans="1:13" x14ac:dyDescent="0.25">
      <c r="A85" s="71"/>
      <c r="B85" s="71"/>
      <c r="C85" s="100">
        <v>10</v>
      </c>
      <c r="D85" s="103"/>
      <c r="E85" s="103"/>
      <c r="F85" s="103"/>
      <c r="G85" s="71"/>
      <c r="H85" s="71"/>
      <c r="I85" s="100"/>
      <c r="J85" s="71"/>
      <c r="K85" s="71"/>
    </row>
    <row r="86" spans="1:13" x14ac:dyDescent="0.25">
      <c r="A86" s="71"/>
      <c r="B86" s="71" t="s">
        <v>296</v>
      </c>
      <c r="C86" s="71">
        <v>1</v>
      </c>
      <c r="D86" s="71"/>
      <c r="E86" s="71"/>
      <c r="F86" s="71"/>
      <c r="G86" s="71"/>
      <c r="H86" s="71"/>
      <c r="I86" s="71"/>
      <c r="J86" s="71"/>
      <c r="K86" s="71"/>
    </row>
    <row r="87" spans="1:13" x14ac:dyDescent="0.25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</row>
    <row r="88" spans="1:13" ht="15.75" x14ac:dyDescent="0.25">
      <c r="A88" s="71"/>
      <c r="B88" s="71" t="s">
        <v>64</v>
      </c>
      <c r="C88" s="98">
        <f>SUM(C89:C91)</f>
        <v>15</v>
      </c>
      <c r="D88" s="99">
        <f t="shared" ref="D88" si="11">+C88*100</f>
        <v>1500</v>
      </c>
      <c r="E88" s="99">
        <f t="shared" ref="E88" si="12">+D88*0.1</f>
        <v>150</v>
      </c>
      <c r="F88" s="99">
        <f t="shared" ref="F88" si="13">+D88-E88</f>
        <v>1350</v>
      </c>
      <c r="G88" s="71"/>
      <c r="H88" s="71"/>
      <c r="I88" s="71"/>
      <c r="J88" s="71"/>
      <c r="K88" s="71"/>
    </row>
    <row r="89" spans="1:13" x14ac:dyDescent="0.25">
      <c r="A89" s="71"/>
      <c r="B89" s="71"/>
      <c r="C89" s="100">
        <v>10</v>
      </c>
      <c r="D89" s="103"/>
      <c r="E89" s="103"/>
      <c r="F89" s="103"/>
      <c r="G89" s="71"/>
      <c r="H89" s="71"/>
      <c r="I89" s="71"/>
      <c r="J89" s="71"/>
      <c r="K89" s="71"/>
    </row>
    <row r="90" spans="1:13" x14ac:dyDescent="0.25">
      <c r="A90" s="71"/>
      <c r="B90" s="71"/>
      <c r="C90" s="100">
        <v>5</v>
      </c>
      <c r="D90" s="71"/>
      <c r="E90" s="71"/>
      <c r="F90" s="71"/>
      <c r="G90" s="71"/>
      <c r="H90" s="71"/>
      <c r="I90" s="71"/>
      <c r="J90" s="71"/>
      <c r="K90" s="71"/>
    </row>
    <row r="91" spans="1:13" x14ac:dyDescent="0.25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</row>
    <row r="92" spans="1:13" ht="15.75" x14ac:dyDescent="0.25">
      <c r="A92" s="71"/>
      <c r="B92" s="71" t="s">
        <v>291</v>
      </c>
      <c r="C92" s="98">
        <f>SUM(C93:C95)</f>
        <v>4</v>
      </c>
      <c r="D92" s="99">
        <f t="shared" ref="D92" si="14">+C92*100</f>
        <v>400</v>
      </c>
      <c r="E92" s="99"/>
      <c r="F92" s="99">
        <f>+D92</f>
        <v>400</v>
      </c>
      <c r="G92" s="71"/>
      <c r="H92" s="71"/>
      <c r="I92" s="71"/>
      <c r="J92" s="71"/>
      <c r="K92" s="71"/>
    </row>
    <row r="93" spans="1:13" x14ac:dyDescent="0.25">
      <c r="A93" s="71"/>
      <c r="B93" s="71"/>
      <c r="C93" s="100">
        <v>2</v>
      </c>
      <c r="D93" s="103"/>
      <c r="E93" s="103"/>
      <c r="F93" s="103"/>
      <c r="G93" s="71"/>
      <c r="H93" s="71"/>
      <c r="I93" s="71"/>
      <c r="J93" s="71"/>
      <c r="K93" s="71"/>
    </row>
    <row r="94" spans="1:13" x14ac:dyDescent="0.25">
      <c r="A94" s="71"/>
      <c r="B94" s="71"/>
      <c r="C94" s="100">
        <v>1</v>
      </c>
      <c r="D94" s="71"/>
      <c r="E94" s="71"/>
      <c r="F94" s="71"/>
      <c r="G94" s="71"/>
      <c r="H94" s="71"/>
      <c r="I94" s="71"/>
      <c r="J94" s="71"/>
      <c r="K94" s="71"/>
    </row>
    <row r="95" spans="1:13" x14ac:dyDescent="0.25">
      <c r="A95" s="71"/>
      <c r="B95" s="71"/>
      <c r="C95" s="100">
        <v>1</v>
      </c>
      <c r="D95" s="71"/>
      <c r="E95" s="71"/>
      <c r="F95" s="71"/>
      <c r="G95" s="71"/>
      <c r="H95" s="71"/>
      <c r="I95" s="71"/>
      <c r="J95" s="71"/>
      <c r="K95" s="71"/>
    </row>
    <row r="96" spans="1:13" x14ac:dyDescent="0.25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</row>
    <row r="97" spans="1:11" x14ac:dyDescent="0.25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</row>
    <row r="98" spans="1:11" ht="15.75" x14ac:dyDescent="0.25">
      <c r="A98" s="71"/>
      <c r="B98" s="71" t="s">
        <v>66</v>
      </c>
      <c r="C98" s="98">
        <f>SUM(C99:C103)</f>
        <v>9</v>
      </c>
      <c r="D98" s="99">
        <f t="shared" ref="D98" si="15">+C98*100</f>
        <v>900</v>
      </c>
      <c r="E98" s="99"/>
      <c r="F98" s="99">
        <f t="shared" ref="F98" si="16">+D98-E98</f>
        <v>900</v>
      </c>
      <c r="G98" s="71"/>
      <c r="H98" s="71"/>
      <c r="I98" s="71"/>
      <c r="J98" s="71"/>
      <c r="K98" s="71"/>
    </row>
    <row r="99" spans="1:11" x14ac:dyDescent="0.25">
      <c r="A99" s="71"/>
      <c r="B99" s="71"/>
      <c r="C99" s="100">
        <v>3</v>
      </c>
      <c r="D99" s="71"/>
      <c r="E99" s="71"/>
      <c r="F99" s="71"/>
      <c r="G99" s="71"/>
      <c r="H99" s="71"/>
      <c r="I99" s="71"/>
      <c r="J99" s="71"/>
      <c r="K99" s="71"/>
    </row>
    <row r="100" spans="1:11" x14ac:dyDescent="0.25">
      <c r="A100" s="71"/>
      <c r="B100" s="71"/>
      <c r="C100" s="100">
        <v>1</v>
      </c>
      <c r="D100" s="71"/>
      <c r="E100" s="71"/>
      <c r="F100" s="71"/>
      <c r="G100" s="71"/>
      <c r="H100" s="71"/>
      <c r="I100" s="71"/>
      <c r="J100" s="71"/>
      <c r="K100" s="71"/>
    </row>
    <row r="101" spans="1:11" x14ac:dyDescent="0.25">
      <c r="A101" s="71"/>
      <c r="B101" s="71"/>
      <c r="C101" s="100">
        <v>2</v>
      </c>
      <c r="D101" s="71"/>
      <c r="E101" s="71"/>
      <c r="F101" s="71"/>
      <c r="G101" s="71"/>
      <c r="H101" s="71"/>
      <c r="I101" s="71"/>
      <c r="J101" s="71"/>
      <c r="K101" s="71"/>
    </row>
    <row r="102" spans="1:11" x14ac:dyDescent="0.25">
      <c r="A102" s="71"/>
      <c r="B102" s="71"/>
      <c r="C102" s="100">
        <v>1</v>
      </c>
      <c r="D102" s="71"/>
      <c r="E102" s="71"/>
      <c r="F102" s="71"/>
      <c r="G102" s="71"/>
      <c r="H102" s="71"/>
      <c r="I102" s="71"/>
      <c r="J102" s="71"/>
      <c r="K102" s="71"/>
    </row>
    <row r="103" spans="1:11" x14ac:dyDescent="0.25">
      <c r="A103" s="71"/>
      <c r="B103" s="71"/>
      <c r="C103" s="100">
        <v>2</v>
      </c>
      <c r="D103" s="71"/>
      <c r="E103" s="71"/>
      <c r="F103" s="71"/>
      <c r="G103" s="71"/>
      <c r="H103" s="71"/>
      <c r="I103" s="71"/>
      <c r="J103" s="71"/>
      <c r="K103" s="71"/>
    </row>
    <row r="104" spans="1:11" x14ac:dyDescent="0.25">
      <c r="A104" s="71"/>
      <c r="B104" s="71"/>
      <c r="C104" s="100"/>
      <c r="D104" s="71"/>
      <c r="E104" s="71"/>
      <c r="F104" s="71"/>
      <c r="G104" s="71"/>
      <c r="H104" s="71"/>
      <c r="I104" s="71"/>
      <c r="J104" s="71"/>
      <c r="K104" s="71"/>
    </row>
    <row r="105" spans="1:11" x14ac:dyDescent="0.25">
      <c r="A105" s="71"/>
      <c r="B105" s="71"/>
      <c r="C105" s="100"/>
      <c r="D105" s="71"/>
      <c r="E105" s="71"/>
      <c r="F105" s="71"/>
      <c r="G105" s="71"/>
      <c r="H105" s="71"/>
      <c r="I105" s="71"/>
      <c r="J105" s="71"/>
      <c r="K105" s="71"/>
    </row>
    <row r="106" spans="1:11" ht="15.75" x14ac:dyDescent="0.25">
      <c r="A106" s="71"/>
      <c r="B106" s="71" t="s">
        <v>292</v>
      </c>
      <c r="C106" s="98">
        <f>+C107+C108</f>
        <v>2</v>
      </c>
      <c r="D106" s="99">
        <f t="shared" ref="D106" si="17">+C106*100</f>
        <v>200</v>
      </c>
      <c r="E106" s="99"/>
      <c r="F106" s="99">
        <f t="shared" ref="F106" si="18">+D106-E106</f>
        <v>200</v>
      </c>
      <c r="G106" s="71"/>
      <c r="H106" s="71"/>
      <c r="I106" s="71"/>
      <c r="J106" s="71"/>
      <c r="K106" s="71"/>
    </row>
    <row r="107" spans="1:11" x14ac:dyDescent="0.25">
      <c r="A107" s="71"/>
      <c r="B107" s="71"/>
      <c r="C107" s="100">
        <v>1</v>
      </c>
      <c r="D107" s="71"/>
      <c r="E107" s="71"/>
      <c r="F107" s="71"/>
      <c r="G107" s="71"/>
      <c r="H107" s="71"/>
      <c r="I107" s="71"/>
      <c r="J107" s="71"/>
      <c r="K107" s="71"/>
    </row>
    <row r="108" spans="1:11" x14ac:dyDescent="0.25">
      <c r="A108" s="71"/>
      <c r="B108" s="71"/>
      <c r="C108" s="100">
        <v>1</v>
      </c>
      <c r="D108" s="71"/>
      <c r="E108" s="71"/>
      <c r="F108" s="71"/>
      <c r="G108" s="71"/>
      <c r="H108" s="71"/>
      <c r="I108" s="71"/>
      <c r="J108" s="71"/>
      <c r="K108" s="71"/>
    </row>
    <row r="109" spans="1:11" x14ac:dyDescent="0.25">
      <c r="A109" s="71"/>
      <c r="B109" s="71"/>
      <c r="C109" s="100"/>
      <c r="D109" s="71"/>
      <c r="E109" s="71"/>
      <c r="F109" s="71"/>
      <c r="G109" s="71"/>
      <c r="H109" s="71"/>
      <c r="I109" s="71"/>
      <c r="J109" s="71"/>
      <c r="K109" s="71"/>
    </row>
    <row r="110" spans="1:11" ht="15.75" x14ac:dyDescent="0.25">
      <c r="A110" s="71"/>
      <c r="B110" s="71" t="s">
        <v>67</v>
      </c>
      <c r="C110" s="98">
        <v>1</v>
      </c>
      <c r="D110" s="99">
        <f t="shared" ref="D110" si="19">+C110*100</f>
        <v>100</v>
      </c>
      <c r="E110" s="99"/>
      <c r="F110" s="99">
        <f t="shared" ref="F110" si="20">+D110-E110</f>
        <v>100</v>
      </c>
      <c r="G110" s="71"/>
      <c r="H110" s="71"/>
      <c r="I110" s="71"/>
      <c r="J110" s="71"/>
      <c r="K110" s="71"/>
    </row>
    <row r="111" spans="1:11" x14ac:dyDescent="0.25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</row>
    <row r="112" spans="1:11" x14ac:dyDescent="0.25">
      <c r="A112" s="71"/>
      <c r="B112" s="71"/>
      <c r="C112" s="100">
        <f>C106+C98+C92+C88+C84+C78+C72+C66+C58</f>
        <v>175</v>
      </c>
      <c r="D112" s="71">
        <f>+C112*100</f>
        <v>17500</v>
      </c>
      <c r="E112" s="71">
        <f>+D112*0.1</f>
        <v>1750</v>
      </c>
      <c r="F112" s="71">
        <f>+D112-E112</f>
        <v>15750</v>
      </c>
      <c r="G112" s="71"/>
      <c r="H112" s="71"/>
      <c r="I112" s="71"/>
      <c r="J112" s="71"/>
      <c r="K112" s="71"/>
    </row>
    <row r="113" spans="1:11" x14ac:dyDescent="0.25">
      <c r="A113" s="71"/>
      <c r="B113" s="71"/>
      <c r="C113" s="71"/>
      <c r="D113" s="71"/>
      <c r="E113" s="71"/>
      <c r="F113" s="100">
        <f>+F112+J56</f>
        <v>21908</v>
      </c>
      <c r="G113" s="71"/>
      <c r="H113" s="100"/>
      <c r="I113" s="71"/>
      <c r="J113" s="71"/>
      <c r="K113" s="71"/>
    </row>
    <row r="114" spans="1:11" x14ac:dyDescent="0.25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</row>
    <row r="115" spans="1:11" x14ac:dyDescent="0.2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</row>
    <row r="116" spans="1:1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</row>
    <row r="117" spans="1:11" x14ac:dyDescent="0.2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</row>
    <row r="118" spans="1:11" x14ac:dyDescent="0.2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</row>
    <row r="119" spans="1:11" x14ac:dyDescent="0.25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</row>
    <row r="120" spans="1:11" x14ac:dyDescent="0.2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</row>
    <row r="121" spans="1:11" x14ac:dyDescent="0.25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</row>
  </sheetData>
  <pageMargins left="0.33" right="0.7" top="0.32" bottom="0.3" header="0.31496062992125984" footer="0.31496062992125984"/>
  <pageSetup fitToHeight="0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0"/>
  <sheetViews>
    <sheetView topLeftCell="A45" zoomScaleNormal="100" workbookViewId="0">
      <selection activeCell="B45" sqref="B45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5" width="10.7109375" customWidth="1"/>
    <col min="6" max="6" width="10.5703125" customWidth="1"/>
    <col min="7" max="9" width="10.7109375" customWidth="1"/>
    <col min="10" max="10" width="13.85546875" customWidth="1"/>
    <col min="11" max="11" width="16.5703125" customWidth="1"/>
  </cols>
  <sheetData>
    <row r="1" spans="1:1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26.25" x14ac:dyDescent="0.4">
      <c r="A2" s="71"/>
      <c r="B2" s="72" t="s">
        <v>0</v>
      </c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73" t="s">
        <v>1</v>
      </c>
      <c r="B3" s="74" t="s">
        <v>2</v>
      </c>
      <c r="C3" s="73" t="s">
        <v>3</v>
      </c>
      <c r="D3" s="73" t="s">
        <v>4</v>
      </c>
      <c r="E3" s="73" t="s">
        <v>5</v>
      </c>
      <c r="F3" s="73" t="s">
        <v>6</v>
      </c>
      <c r="G3" s="73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ht="18.75" x14ac:dyDescent="0.3">
      <c r="A4" s="73"/>
      <c r="B4" s="74"/>
      <c r="C4" s="76"/>
      <c r="D4" s="76"/>
      <c r="E4" s="76"/>
      <c r="F4" s="76"/>
      <c r="G4" s="76"/>
      <c r="H4" s="76"/>
      <c r="I4" s="76"/>
      <c r="J4" s="75"/>
      <c r="K4" s="77"/>
    </row>
    <row r="5" spans="1:11" ht="18.75" x14ac:dyDescent="0.3">
      <c r="A5" s="73">
        <v>1</v>
      </c>
      <c r="B5" s="78" t="s">
        <v>12</v>
      </c>
      <c r="C5" s="76">
        <v>55</v>
      </c>
      <c r="D5" s="76"/>
      <c r="E5" s="76"/>
      <c r="F5" s="76"/>
      <c r="G5" s="76"/>
      <c r="H5" s="76"/>
      <c r="I5" s="76"/>
      <c r="J5" s="79">
        <f>SUM(C5:I5)</f>
        <v>55</v>
      </c>
      <c r="K5" s="77"/>
    </row>
    <row r="6" spans="1:11" ht="18.75" x14ac:dyDescent="0.3">
      <c r="A6" s="73">
        <f>+A5+1</f>
        <v>2</v>
      </c>
      <c r="B6" s="78" t="s">
        <v>13</v>
      </c>
      <c r="C6" s="76">
        <v>20</v>
      </c>
      <c r="D6" s="76"/>
      <c r="E6" s="76"/>
      <c r="F6" s="76"/>
      <c r="G6" s="76"/>
      <c r="H6" s="76"/>
      <c r="I6" s="76"/>
      <c r="J6" s="79">
        <f t="shared" ref="J6:J14" si="0">SUM(C6:I6)</f>
        <v>20</v>
      </c>
      <c r="K6" s="77"/>
    </row>
    <row r="7" spans="1:11" ht="18.75" x14ac:dyDescent="0.3">
      <c r="A7" s="73">
        <f t="shared" ref="A7:A13" si="1">+A6+1</f>
        <v>3</v>
      </c>
      <c r="B7" s="78" t="s">
        <v>14</v>
      </c>
      <c r="C7" s="76"/>
      <c r="D7" s="76"/>
      <c r="E7" s="76"/>
      <c r="F7" s="76">
        <v>45</v>
      </c>
      <c r="G7" s="76"/>
      <c r="H7" s="76"/>
      <c r="I7" s="76"/>
      <c r="J7" s="79">
        <f t="shared" si="0"/>
        <v>45</v>
      </c>
      <c r="K7" s="77"/>
    </row>
    <row r="8" spans="1:11" ht="18.75" x14ac:dyDescent="0.3">
      <c r="A8" s="73">
        <f t="shared" si="1"/>
        <v>4</v>
      </c>
      <c r="B8" s="78" t="s">
        <v>15</v>
      </c>
      <c r="C8" s="76"/>
      <c r="D8" s="76"/>
      <c r="E8" s="76"/>
      <c r="F8" s="76"/>
      <c r="G8" s="76">
        <v>15</v>
      </c>
      <c r="H8" s="76">
        <f>24+15</f>
        <v>39</v>
      </c>
      <c r="I8" s="76"/>
      <c r="J8" s="79">
        <f t="shared" si="0"/>
        <v>54</v>
      </c>
      <c r="K8" s="77"/>
    </row>
    <row r="9" spans="1:11" ht="18.75" x14ac:dyDescent="0.3">
      <c r="A9" s="73">
        <f t="shared" si="1"/>
        <v>5</v>
      </c>
      <c r="B9" s="78" t="s">
        <v>16</v>
      </c>
      <c r="C9" s="76"/>
      <c r="D9" s="76"/>
      <c r="E9" s="76"/>
      <c r="F9" s="76"/>
      <c r="G9" s="76">
        <f>17+5</f>
        <v>22</v>
      </c>
      <c r="H9" s="76">
        <v>40</v>
      </c>
      <c r="I9" s="76"/>
      <c r="J9" s="79">
        <f t="shared" si="0"/>
        <v>62</v>
      </c>
      <c r="K9" s="77"/>
    </row>
    <row r="10" spans="1:11" ht="18.75" x14ac:dyDescent="0.3">
      <c r="A10" s="73">
        <f t="shared" si="1"/>
        <v>6</v>
      </c>
      <c r="B10" s="78" t="s">
        <v>17</v>
      </c>
      <c r="C10" s="76"/>
      <c r="D10" s="76"/>
      <c r="E10" s="76"/>
      <c r="F10" s="76"/>
      <c r="G10" s="76">
        <v>15</v>
      </c>
      <c r="H10" s="76"/>
      <c r="I10" s="76"/>
      <c r="J10" s="79">
        <f t="shared" si="0"/>
        <v>15</v>
      </c>
      <c r="K10" s="77"/>
    </row>
    <row r="11" spans="1:11" ht="18.75" x14ac:dyDescent="0.3">
      <c r="A11" s="73">
        <f t="shared" si="1"/>
        <v>7</v>
      </c>
      <c r="B11" s="78" t="s">
        <v>18</v>
      </c>
      <c r="C11" s="76"/>
      <c r="D11" s="76"/>
      <c r="E11" s="76"/>
      <c r="F11" s="76"/>
      <c r="G11" s="76"/>
      <c r="H11" s="76">
        <v>40</v>
      </c>
      <c r="I11" s="76"/>
      <c r="J11" s="79">
        <f t="shared" si="0"/>
        <v>40</v>
      </c>
      <c r="K11" s="77"/>
    </row>
    <row r="12" spans="1:11" ht="18.75" x14ac:dyDescent="0.3">
      <c r="A12" s="73">
        <f t="shared" si="1"/>
        <v>8</v>
      </c>
      <c r="B12" s="78" t="s">
        <v>19</v>
      </c>
      <c r="C12" s="76"/>
      <c r="D12" s="76"/>
      <c r="E12" s="76"/>
      <c r="F12" s="76"/>
      <c r="G12" s="76"/>
      <c r="H12" s="76">
        <f>36+12</f>
        <v>48</v>
      </c>
      <c r="I12" s="76"/>
      <c r="J12" s="79">
        <f t="shared" si="0"/>
        <v>48</v>
      </c>
      <c r="K12" s="77"/>
    </row>
    <row r="13" spans="1:11" ht="18.75" x14ac:dyDescent="0.3">
      <c r="A13" s="73">
        <f t="shared" si="1"/>
        <v>9</v>
      </c>
      <c r="B13" s="78" t="s">
        <v>20</v>
      </c>
      <c r="C13" s="76"/>
      <c r="D13" s="76">
        <v>40</v>
      </c>
      <c r="E13" s="76">
        <v>15</v>
      </c>
      <c r="F13" s="76"/>
      <c r="G13" s="76"/>
      <c r="H13" s="76"/>
      <c r="I13" s="76"/>
      <c r="J13" s="79">
        <f t="shared" si="0"/>
        <v>55</v>
      </c>
      <c r="K13" s="77"/>
    </row>
    <row r="14" spans="1:11" ht="18.75" x14ac:dyDescent="0.3">
      <c r="A14" s="73"/>
      <c r="B14" s="78" t="s">
        <v>281</v>
      </c>
      <c r="C14" s="76"/>
      <c r="D14" s="76"/>
      <c r="E14" s="76"/>
      <c r="F14" s="76"/>
      <c r="G14" s="76"/>
      <c r="H14" s="76">
        <f>15+12</f>
        <v>27</v>
      </c>
      <c r="I14" s="76"/>
      <c r="J14" s="79">
        <f t="shared" si="0"/>
        <v>27</v>
      </c>
      <c r="K14" s="77"/>
    </row>
    <row r="15" spans="1:11" ht="18.75" x14ac:dyDescent="0.3">
      <c r="A15" s="73"/>
      <c r="B15" s="78"/>
      <c r="C15" s="76"/>
      <c r="D15" s="76"/>
      <c r="E15" s="76"/>
      <c r="F15" s="76"/>
      <c r="G15" s="76"/>
      <c r="H15" s="76"/>
      <c r="I15" s="76"/>
      <c r="J15" s="79"/>
      <c r="K15" s="77"/>
    </row>
    <row r="16" spans="1:11" ht="26.25" x14ac:dyDescent="0.4">
      <c r="A16" s="73"/>
      <c r="B16" s="72" t="s">
        <v>21</v>
      </c>
      <c r="C16" s="76"/>
      <c r="D16" s="76"/>
      <c r="E16" s="76"/>
      <c r="F16" s="76"/>
      <c r="G16" s="76"/>
      <c r="H16" s="76"/>
      <c r="I16" s="76"/>
      <c r="J16" s="79"/>
      <c r="K16" s="77"/>
    </row>
    <row r="17" spans="1:11" ht="18.75" x14ac:dyDescent="0.3">
      <c r="A17" s="73"/>
      <c r="B17" s="78"/>
      <c r="C17" s="76"/>
      <c r="D17" s="76"/>
      <c r="E17" s="76"/>
      <c r="F17" s="76"/>
      <c r="G17" s="76"/>
      <c r="H17" s="76"/>
      <c r="I17" s="76"/>
      <c r="J17" s="79"/>
      <c r="K17" s="77"/>
    </row>
    <row r="18" spans="1:11" ht="18.75" x14ac:dyDescent="0.3">
      <c r="A18" s="73">
        <f>+A13+1</f>
        <v>10</v>
      </c>
      <c r="B18" s="78" t="s">
        <v>22</v>
      </c>
      <c r="C18" s="76">
        <v>96</v>
      </c>
      <c r="D18" s="76"/>
      <c r="E18" s="76"/>
      <c r="F18" s="76">
        <f>5*12</f>
        <v>60</v>
      </c>
      <c r="G18" s="76">
        <v>50</v>
      </c>
      <c r="H18" s="76">
        <f>24+15</f>
        <v>39</v>
      </c>
      <c r="I18" s="76">
        <v>172</v>
      </c>
      <c r="J18" s="79">
        <f t="shared" ref="J18:J31" si="2">SUM(C18:I18)</f>
        <v>417</v>
      </c>
      <c r="K18" s="77"/>
    </row>
    <row r="19" spans="1:11" ht="18.75" x14ac:dyDescent="0.3">
      <c r="A19" s="73">
        <f>+A18+1</f>
        <v>11</v>
      </c>
      <c r="B19" s="78" t="s">
        <v>23</v>
      </c>
      <c r="C19" s="76"/>
      <c r="D19" s="76"/>
      <c r="E19" s="76"/>
      <c r="F19" s="76">
        <v>47</v>
      </c>
      <c r="G19" s="76"/>
      <c r="H19" s="76">
        <f>24+15+5</f>
        <v>44</v>
      </c>
      <c r="I19" s="76"/>
      <c r="J19" s="79">
        <f t="shared" si="2"/>
        <v>91</v>
      </c>
      <c r="K19" s="77"/>
    </row>
    <row r="20" spans="1:11" ht="18.75" x14ac:dyDescent="0.3">
      <c r="A20" s="73">
        <f t="shared" ref="A20:A31" si="3">+A19+1</f>
        <v>12</v>
      </c>
      <c r="B20" s="78" t="s">
        <v>24</v>
      </c>
      <c r="C20" s="76"/>
      <c r="D20" s="76"/>
      <c r="E20" s="76"/>
      <c r="F20" s="76"/>
      <c r="G20" s="76">
        <f>15+15+45</f>
        <v>75</v>
      </c>
      <c r="H20" s="76">
        <f>15+12</f>
        <v>27</v>
      </c>
      <c r="I20" s="76"/>
      <c r="J20" s="79">
        <f t="shared" si="2"/>
        <v>102</v>
      </c>
      <c r="K20" s="77"/>
    </row>
    <row r="21" spans="1:11" ht="18.75" x14ac:dyDescent="0.3">
      <c r="A21" s="73">
        <f t="shared" si="3"/>
        <v>13</v>
      </c>
      <c r="B21" s="78" t="s">
        <v>25</v>
      </c>
      <c r="C21" s="76"/>
      <c r="D21" s="76"/>
      <c r="E21" s="76"/>
      <c r="F21" s="76"/>
      <c r="G21" s="76">
        <f>40+45</f>
        <v>85</v>
      </c>
      <c r="H21" s="76"/>
      <c r="I21" s="76"/>
      <c r="J21" s="79">
        <f t="shared" si="2"/>
        <v>85</v>
      </c>
      <c r="K21" s="77"/>
    </row>
    <row r="22" spans="1:11" ht="18.75" x14ac:dyDescent="0.3">
      <c r="A22" s="73">
        <f t="shared" si="3"/>
        <v>14</v>
      </c>
      <c r="B22" s="78" t="s">
        <v>26</v>
      </c>
      <c r="C22" s="76"/>
      <c r="D22" s="76"/>
      <c r="E22" s="76"/>
      <c r="F22" s="76"/>
      <c r="G22" s="76">
        <v>60</v>
      </c>
      <c r="H22" s="76"/>
      <c r="I22" s="76"/>
      <c r="J22" s="79">
        <f t="shared" si="2"/>
        <v>60</v>
      </c>
      <c r="K22" s="77"/>
    </row>
    <row r="23" spans="1:11" ht="18.75" x14ac:dyDescent="0.3">
      <c r="A23" s="73">
        <f t="shared" si="3"/>
        <v>15</v>
      </c>
      <c r="B23" s="78" t="s">
        <v>27</v>
      </c>
      <c r="C23" s="76"/>
      <c r="D23" s="76"/>
      <c r="E23" s="76">
        <f>45-16</f>
        <v>29</v>
      </c>
      <c r="F23" s="76">
        <f>45+15+12</f>
        <v>72</v>
      </c>
      <c r="G23" s="76">
        <v>65</v>
      </c>
      <c r="H23" s="76">
        <f>36+15</f>
        <v>51</v>
      </c>
      <c r="I23" s="76"/>
      <c r="J23" s="79">
        <f t="shared" si="2"/>
        <v>217</v>
      </c>
      <c r="K23" s="77"/>
    </row>
    <row r="24" spans="1:11" ht="18.75" x14ac:dyDescent="0.3">
      <c r="A24" s="73">
        <f t="shared" si="3"/>
        <v>16</v>
      </c>
      <c r="B24" s="78" t="s">
        <v>28</v>
      </c>
      <c r="C24" s="76">
        <v>65</v>
      </c>
      <c r="D24" s="76">
        <f>45+20+12</f>
        <v>77</v>
      </c>
      <c r="E24" s="76">
        <f>20+45+5</f>
        <v>70</v>
      </c>
      <c r="F24" s="76"/>
      <c r="G24" s="76">
        <v>60</v>
      </c>
      <c r="H24" s="76"/>
      <c r="I24" s="76"/>
      <c r="J24" s="79">
        <f t="shared" si="2"/>
        <v>272</v>
      </c>
      <c r="K24" s="77"/>
    </row>
    <row r="25" spans="1:11" ht="18.75" x14ac:dyDescent="0.3">
      <c r="A25" s="73">
        <f t="shared" si="3"/>
        <v>17</v>
      </c>
      <c r="B25" s="78" t="s">
        <v>29</v>
      </c>
      <c r="C25" s="76">
        <v>45</v>
      </c>
      <c r="D25" s="76">
        <f>24+5+25+5</f>
        <v>59</v>
      </c>
      <c r="E25" s="76"/>
      <c r="F25" s="76">
        <v>85</v>
      </c>
      <c r="G25" s="76">
        <f>72+17</f>
        <v>89</v>
      </c>
      <c r="H25" s="76">
        <v>12</v>
      </c>
      <c r="I25" s="76"/>
      <c r="J25" s="79">
        <f t="shared" si="2"/>
        <v>290</v>
      </c>
      <c r="K25" s="77"/>
    </row>
    <row r="26" spans="1:11" ht="18.75" x14ac:dyDescent="0.3">
      <c r="A26" s="73">
        <f t="shared" si="3"/>
        <v>18</v>
      </c>
      <c r="B26" s="78" t="s">
        <v>30</v>
      </c>
      <c r="C26" s="76">
        <v>39</v>
      </c>
      <c r="D26" s="76"/>
      <c r="E26" s="76"/>
      <c r="F26" s="76">
        <f>35+40</f>
        <v>75</v>
      </c>
      <c r="G26" s="76">
        <f>35+15</f>
        <v>50</v>
      </c>
      <c r="H26" s="76">
        <v>5</v>
      </c>
      <c r="I26" s="76"/>
      <c r="J26" s="79">
        <f t="shared" si="2"/>
        <v>169</v>
      </c>
      <c r="K26" s="77"/>
    </row>
    <row r="27" spans="1:11" ht="18.75" x14ac:dyDescent="0.3">
      <c r="A27" s="73">
        <f t="shared" si="3"/>
        <v>19</v>
      </c>
      <c r="B27" s="78" t="s">
        <v>31</v>
      </c>
      <c r="C27" s="76"/>
      <c r="D27" s="76"/>
      <c r="E27" s="76"/>
      <c r="F27" s="76"/>
      <c r="G27" s="76">
        <v>15</v>
      </c>
      <c r="H27" s="76">
        <v>15</v>
      </c>
      <c r="I27" s="76"/>
      <c r="J27" s="79">
        <f t="shared" si="2"/>
        <v>30</v>
      </c>
      <c r="K27" s="77"/>
    </row>
    <row r="28" spans="1:11" ht="18.75" x14ac:dyDescent="0.3">
      <c r="A28" s="73">
        <f t="shared" si="3"/>
        <v>20</v>
      </c>
      <c r="B28" s="78" t="s">
        <v>32</v>
      </c>
      <c r="C28" s="76"/>
      <c r="D28" s="76"/>
      <c r="E28" s="76"/>
      <c r="F28" s="76">
        <v>35</v>
      </c>
      <c r="G28" s="76"/>
      <c r="H28" s="76"/>
      <c r="I28" s="76"/>
      <c r="J28" s="79">
        <f t="shared" si="2"/>
        <v>35</v>
      </c>
      <c r="K28" s="77"/>
    </row>
    <row r="29" spans="1:11" ht="18.75" x14ac:dyDescent="0.3">
      <c r="A29" s="73">
        <f t="shared" si="3"/>
        <v>21</v>
      </c>
      <c r="B29" s="78" t="s">
        <v>33</v>
      </c>
      <c r="C29" s="76"/>
      <c r="D29" s="76"/>
      <c r="E29" s="76">
        <v>15</v>
      </c>
      <c r="F29" s="76"/>
      <c r="G29" s="76"/>
      <c r="H29" s="76"/>
      <c r="I29" s="76"/>
      <c r="J29" s="79">
        <f t="shared" si="2"/>
        <v>15</v>
      </c>
      <c r="K29" s="77"/>
    </row>
    <row r="30" spans="1:11" ht="18.75" x14ac:dyDescent="0.3">
      <c r="A30" s="73">
        <f t="shared" si="3"/>
        <v>22</v>
      </c>
      <c r="B30" s="78" t="s">
        <v>34</v>
      </c>
      <c r="C30" s="76"/>
      <c r="D30" s="76"/>
      <c r="E30" s="76"/>
      <c r="F30" s="76">
        <f>12+7</f>
        <v>19</v>
      </c>
      <c r="G30" s="76"/>
      <c r="H30" s="76"/>
      <c r="I30" s="76"/>
      <c r="J30" s="79">
        <f t="shared" si="2"/>
        <v>19</v>
      </c>
      <c r="K30" s="77"/>
    </row>
    <row r="31" spans="1:11" ht="18.75" x14ac:dyDescent="0.3">
      <c r="A31" s="73">
        <f t="shared" si="3"/>
        <v>23</v>
      </c>
      <c r="B31" s="78" t="s">
        <v>35</v>
      </c>
      <c r="C31" s="76">
        <v>32</v>
      </c>
      <c r="D31" s="76"/>
      <c r="E31" s="76">
        <v>15</v>
      </c>
      <c r="F31" s="76">
        <v>47</v>
      </c>
      <c r="G31" s="76">
        <v>24</v>
      </c>
      <c r="H31" s="76"/>
      <c r="I31" s="76"/>
      <c r="J31" s="79">
        <f t="shared" si="2"/>
        <v>118</v>
      </c>
      <c r="K31" s="80"/>
    </row>
    <row r="32" spans="1:11" ht="26.25" x14ac:dyDescent="0.4">
      <c r="A32" s="73"/>
      <c r="B32" s="72" t="s">
        <v>36</v>
      </c>
      <c r="C32" s="76"/>
      <c r="D32" s="76"/>
      <c r="E32" s="76"/>
      <c r="F32" s="76"/>
      <c r="G32" s="76"/>
      <c r="H32" s="76"/>
      <c r="I32" s="76"/>
      <c r="J32" s="79"/>
      <c r="K32" s="80"/>
    </row>
    <row r="33" spans="1:11" ht="18.75" x14ac:dyDescent="0.3">
      <c r="A33" s="73"/>
      <c r="B33" s="81"/>
      <c r="C33" s="76"/>
      <c r="D33" s="76"/>
      <c r="E33" s="76"/>
      <c r="F33" s="76"/>
      <c r="G33" s="76"/>
      <c r="H33" s="76"/>
      <c r="I33" s="76"/>
      <c r="J33" s="79"/>
      <c r="K33" s="80"/>
    </row>
    <row r="34" spans="1:11" ht="18.75" x14ac:dyDescent="0.3">
      <c r="A34" s="73">
        <f>+A31+1</f>
        <v>24</v>
      </c>
      <c r="B34" s="78" t="s">
        <v>37</v>
      </c>
      <c r="C34" s="76">
        <v>44</v>
      </c>
      <c r="D34" s="76">
        <f>24+15+30+45</f>
        <v>114</v>
      </c>
      <c r="E34" s="76">
        <f>24+15+45</f>
        <v>84</v>
      </c>
      <c r="F34" s="76">
        <f>24+15+45</f>
        <v>84</v>
      </c>
      <c r="G34" s="76">
        <f>36+30</f>
        <v>66</v>
      </c>
      <c r="H34" s="76"/>
      <c r="I34" s="76"/>
      <c r="J34" s="79">
        <f t="shared" ref="J34:J36" si="4">SUM(C34:I34)</f>
        <v>392</v>
      </c>
      <c r="K34" s="80"/>
    </row>
    <row r="35" spans="1:11" ht="18.75" x14ac:dyDescent="0.3">
      <c r="A35" s="73">
        <f>+A34+1</f>
        <v>25</v>
      </c>
      <c r="B35" s="82" t="s">
        <v>38</v>
      </c>
      <c r="C35" s="83"/>
      <c r="D35" s="84"/>
      <c r="E35" s="84"/>
      <c r="F35" s="84"/>
      <c r="G35" s="83">
        <f>47+15</f>
        <v>62</v>
      </c>
      <c r="H35" s="83"/>
      <c r="I35" s="83"/>
      <c r="J35" s="79">
        <f t="shared" si="4"/>
        <v>62</v>
      </c>
      <c r="K35" s="80"/>
    </row>
    <row r="36" spans="1:11" ht="18.75" x14ac:dyDescent="0.3">
      <c r="A36" s="73">
        <f>+A35+1</f>
        <v>26</v>
      </c>
      <c r="B36" s="78" t="s">
        <v>39</v>
      </c>
      <c r="C36" s="83"/>
      <c r="D36" s="83"/>
      <c r="E36" s="83"/>
      <c r="F36" s="83"/>
      <c r="G36" s="83">
        <v>5</v>
      </c>
      <c r="H36" s="83"/>
      <c r="I36" s="83"/>
      <c r="J36" s="79">
        <f t="shared" si="4"/>
        <v>5</v>
      </c>
      <c r="K36" s="80"/>
    </row>
    <row r="37" spans="1:11" ht="18.75" x14ac:dyDescent="0.3">
      <c r="A37" s="73"/>
      <c r="B37" s="85" t="s">
        <v>40</v>
      </c>
      <c r="C37" s="83"/>
      <c r="D37" s="83"/>
      <c r="E37" s="83"/>
      <c r="F37" s="83"/>
      <c r="G37" s="83"/>
      <c r="H37" s="83"/>
      <c r="I37" s="83"/>
      <c r="J37" s="86"/>
      <c r="K37" s="80"/>
    </row>
    <row r="38" spans="1:11" ht="18.75" x14ac:dyDescent="0.3">
      <c r="A38" s="73"/>
      <c r="B38" s="85"/>
      <c r="C38" s="83"/>
      <c r="D38" s="83"/>
      <c r="E38" s="83"/>
      <c r="F38" s="83"/>
      <c r="G38" s="83"/>
      <c r="H38" s="83"/>
      <c r="I38" s="83"/>
      <c r="J38" s="86"/>
      <c r="K38" s="80"/>
    </row>
    <row r="39" spans="1:11" ht="18.75" x14ac:dyDescent="0.3">
      <c r="A39" s="73">
        <f>+A36+1</f>
        <v>27</v>
      </c>
      <c r="B39" s="78" t="s">
        <v>41</v>
      </c>
      <c r="C39" s="83"/>
      <c r="D39" s="83"/>
      <c r="E39" s="83">
        <v>15</v>
      </c>
      <c r="F39" s="83">
        <f>22+15</f>
        <v>37</v>
      </c>
      <c r="G39" s="83">
        <v>15</v>
      </c>
      <c r="H39" s="83"/>
      <c r="I39" s="83"/>
      <c r="J39" s="79">
        <f t="shared" ref="J39:J50" si="5">SUM(C39:I39)</f>
        <v>67</v>
      </c>
      <c r="K39" s="80"/>
    </row>
    <row r="40" spans="1:11" ht="18.75" x14ac:dyDescent="0.3">
      <c r="A40" s="73">
        <f>+A39+1</f>
        <v>28</v>
      </c>
      <c r="B40" s="78" t="s">
        <v>42</v>
      </c>
      <c r="C40" s="83"/>
      <c r="D40" s="83"/>
      <c r="E40" s="83"/>
      <c r="F40" s="83">
        <v>15</v>
      </c>
      <c r="G40" s="83"/>
      <c r="H40" s="83"/>
      <c r="I40" s="83"/>
      <c r="J40" s="79">
        <f t="shared" si="5"/>
        <v>15</v>
      </c>
      <c r="K40" s="80"/>
    </row>
    <row r="41" spans="1:11" ht="18.75" x14ac:dyDescent="0.3">
      <c r="A41" s="73">
        <f t="shared" ref="A41:A50" si="6">+A40+1</f>
        <v>29</v>
      </c>
      <c r="B41" s="78" t="s">
        <v>43</v>
      </c>
      <c r="C41" s="83">
        <v>245</v>
      </c>
      <c r="D41" s="83">
        <f>180+15</f>
        <v>195</v>
      </c>
      <c r="E41" s="83">
        <f>270+80</f>
        <v>350</v>
      </c>
      <c r="F41" s="83">
        <v>223</v>
      </c>
      <c r="G41" s="83">
        <f>180+12</f>
        <v>192</v>
      </c>
      <c r="H41" s="83"/>
      <c r="I41" s="83"/>
      <c r="J41" s="79">
        <f t="shared" si="5"/>
        <v>1205</v>
      </c>
      <c r="K41" s="80"/>
    </row>
    <row r="42" spans="1:11" ht="18.75" x14ac:dyDescent="0.3">
      <c r="A42" s="73">
        <f t="shared" si="6"/>
        <v>30</v>
      </c>
      <c r="B42" s="78" t="s">
        <v>44</v>
      </c>
      <c r="C42" s="83"/>
      <c r="D42" s="83"/>
      <c r="E42" s="83"/>
      <c r="F42" s="83">
        <v>100</v>
      </c>
      <c r="G42" s="83"/>
      <c r="H42" s="83"/>
      <c r="I42" s="83"/>
      <c r="J42" s="79">
        <f t="shared" si="5"/>
        <v>100</v>
      </c>
      <c r="K42" s="80"/>
    </row>
    <row r="43" spans="1:11" ht="18.75" x14ac:dyDescent="0.3">
      <c r="A43" s="73">
        <f t="shared" si="6"/>
        <v>31</v>
      </c>
      <c r="B43" s="78" t="s">
        <v>45</v>
      </c>
      <c r="C43" s="83"/>
      <c r="D43" s="83"/>
      <c r="E43" s="83">
        <v>15</v>
      </c>
      <c r="F43" s="83"/>
      <c r="G43" s="83">
        <f>45+12+15+15</f>
        <v>87</v>
      </c>
      <c r="H43" s="83">
        <v>15</v>
      </c>
      <c r="I43" s="84"/>
      <c r="J43" s="79">
        <f t="shared" si="5"/>
        <v>117</v>
      </c>
      <c r="K43" s="80"/>
    </row>
    <row r="44" spans="1:11" ht="18.75" x14ac:dyDescent="0.3">
      <c r="A44" s="73">
        <f t="shared" si="6"/>
        <v>32</v>
      </c>
      <c r="B44" s="78" t="s">
        <v>46</v>
      </c>
      <c r="C44" s="83">
        <v>12</v>
      </c>
      <c r="D44" s="83"/>
      <c r="E44" s="83"/>
      <c r="F44" s="83"/>
      <c r="G44" s="83"/>
      <c r="H44" s="83"/>
      <c r="I44" s="84"/>
      <c r="J44" s="79">
        <f t="shared" si="5"/>
        <v>12</v>
      </c>
      <c r="K44" s="80"/>
    </row>
    <row r="45" spans="1:11" ht="18.75" x14ac:dyDescent="0.3">
      <c r="A45" s="73">
        <f t="shared" si="6"/>
        <v>33</v>
      </c>
      <c r="B45" s="78" t="s">
        <v>47</v>
      </c>
      <c r="C45" s="87">
        <v>45</v>
      </c>
      <c r="D45" s="84">
        <v>45</v>
      </c>
      <c r="E45" s="84">
        <v>45</v>
      </c>
      <c r="F45" s="84">
        <f>45+102</f>
        <v>147</v>
      </c>
      <c r="G45" s="84"/>
      <c r="H45" s="84"/>
      <c r="I45" s="84">
        <v>125</v>
      </c>
      <c r="J45" s="79">
        <f t="shared" si="5"/>
        <v>407</v>
      </c>
      <c r="K45" s="80"/>
    </row>
    <row r="46" spans="1:11" ht="18.75" x14ac:dyDescent="0.3">
      <c r="A46" s="73">
        <f t="shared" si="6"/>
        <v>34</v>
      </c>
      <c r="B46" s="78" t="s">
        <v>48</v>
      </c>
      <c r="C46" s="84"/>
      <c r="D46" s="84"/>
      <c r="E46" s="84"/>
      <c r="F46" s="84">
        <v>40</v>
      </c>
      <c r="G46" s="84">
        <v>15</v>
      </c>
      <c r="H46" s="84"/>
      <c r="I46" s="84">
        <v>125</v>
      </c>
      <c r="J46" s="79">
        <f t="shared" si="5"/>
        <v>180</v>
      </c>
      <c r="K46" s="80"/>
    </row>
    <row r="47" spans="1:11" ht="18.75" x14ac:dyDescent="0.3">
      <c r="A47" s="73">
        <f t="shared" si="6"/>
        <v>35</v>
      </c>
      <c r="B47" s="78" t="s">
        <v>49</v>
      </c>
      <c r="C47" s="84">
        <v>62</v>
      </c>
      <c r="D47" s="84">
        <f>15+20</f>
        <v>35</v>
      </c>
      <c r="E47" s="84">
        <f>15+15+5</f>
        <v>35</v>
      </c>
      <c r="F47" s="84">
        <v>40</v>
      </c>
      <c r="G47" s="84">
        <f>49+30</f>
        <v>79</v>
      </c>
      <c r="H47" s="84">
        <v>30</v>
      </c>
      <c r="I47" s="88"/>
      <c r="J47" s="79">
        <f t="shared" si="5"/>
        <v>281</v>
      </c>
      <c r="K47" s="80"/>
    </row>
    <row r="48" spans="1:11" ht="18.75" x14ac:dyDescent="0.3">
      <c r="A48" s="73">
        <f t="shared" si="6"/>
        <v>36</v>
      </c>
      <c r="B48" s="78" t="s">
        <v>50</v>
      </c>
      <c r="C48" s="84">
        <v>47</v>
      </c>
      <c r="D48" s="84">
        <f>47+15</f>
        <v>62</v>
      </c>
      <c r="E48" s="84">
        <v>30</v>
      </c>
      <c r="F48" s="84">
        <f>47+30</f>
        <v>77</v>
      </c>
      <c r="G48" s="84">
        <f>34+15</f>
        <v>49</v>
      </c>
      <c r="H48" s="84"/>
      <c r="I48" s="88"/>
      <c r="J48" s="79">
        <f t="shared" si="5"/>
        <v>265</v>
      </c>
      <c r="K48" s="89"/>
    </row>
    <row r="49" spans="1:14" ht="18.75" x14ac:dyDescent="0.3">
      <c r="A49" s="73">
        <f t="shared" si="6"/>
        <v>37</v>
      </c>
      <c r="B49" s="78" t="s">
        <v>51</v>
      </c>
      <c r="C49" s="84"/>
      <c r="D49" s="84"/>
      <c r="E49" s="84"/>
      <c r="F49" s="84"/>
      <c r="G49" s="84">
        <v>7</v>
      </c>
      <c r="H49" s="84"/>
      <c r="I49" s="88"/>
      <c r="J49" s="79">
        <f t="shared" si="5"/>
        <v>7</v>
      </c>
      <c r="K49" s="89"/>
    </row>
    <row r="50" spans="1:14" ht="18.75" x14ac:dyDescent="0.3">
      <c r="A50" s="73">
        <f t="shared" si="6"/>
        <v>38</v>
      </c>
      <c r="B50" s="78" t="s">
        <v>52</v>
      </c>
      <c r="C50" s="84"/>
      <c r="D50" s="84"/>
      <c r="E50" s="84"/>
      <c r="F50" s="84"/>
      <c r="G50" s="84">
        <f>12+15</f>
        <v>27</v>
      </c>
      <c r="H50" s="84"/>
      <c r="I50" s="90">
        <v>26</v>
      </c>
      <c r="J50" s="79">
        <f t="shared" si="5"/>
        <v>53</v>
      </c>
      <c r="K50" s="91" t="s">
        <v>53</v>
      </c>
    </row>
    <row r="51" spans="1:14" ht="21" x14ac:dyDescent="0.35">
      <c r="A51" s="71"/>
      <c r="B51" s="92" t="s">
        <v>54</v>
      </c>
      <c r="C51" s="93"/>
      <c r="D51" s="94"/>
      <c r="E51" s="95"/>
      <c r="F51" s="95"/>
      <c r="G51" s="95"/>
      <c r="H51" s="95"/>
      <c r="I51" s="96"/>
      <c r="J51" s="97">
        <f>SUM(J4:J50)</f>
        <v>5509</v>
      </c>
      <c r="K51" s="71"/>
    </row>
    <row r="52" spans="1:14" x14ac:dyDescent="0.25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</row>
    <row r="53" spans="1:14" ht="15.75" x14ac:dyDescent="0.25">
      <c r="A53" s="71"/>
      <c r="B53" s="71" t="s">
        <v>55</v>
      </c>
      <c r="C53" s="98">
        <f>SUM(C54:C58)</f>
        <v>33</v>
      </c>
      <c r="D53" s="99">
        <f>+C53*100</f>
        <v>3300</v>
      </c>
      <c r="E53" s="99">
        <f>+D53*0.1</f>
        <v>330</v>
      </c>
      <c r="F53" s="99">
        <f>+D53-E53</f>
        <v>2970</v>
      </c>
      <c r="G53" s="100"/>
      <c r="H53" s="100"/>
      <c r="I53" s="71"/>
      <c r="J53" s="71"/>
      <c r="K53" s="71"/>
      <c r="N53" s="42"/>
    </row>
    <row r="54" spans="1:14" ht="15.75" x14ac:dyDescent="0.25">
      <c r="A54" s="71"/>
      <c r="B54" s="71" t="s">
        <v>56</v>
      </c>
      <c r="C54" s="101">
        <v>2</v>
      </c>
      <c r="D54" s="99"/>
      <c r="E54" s="99"/>
      <c r="F54" s="99"/>
      <c r="G54" s="100"/>
      <c r="H54" s="100"/>
      <c r="I54" s="71"/>
      <c r="J54" s="71"/>
      <c r="K54" s="71"/>
      <c r="N54" s="42"/>
    </row>
    <row r="55" spans="1:14" x14ac:dyDescent="0.25">
      <c r="A55" s="71"/>
      <c r="B55" s="71"/>
      <c r="C55" s="100">
        <v>10</v>
      </c>
      <c r="D55" s="99"/>
      <c r="E55" s="99"/>
      <c r="F55" s="99">
        <f>180+39+40</f>
        <v>259</v>
      </c>
      <c r="G55" s="100"/>
      <c r="H55" s="100"/>
      <c r="I55" s="71"/>
      <c r="J55" s="71"/>
      <c r="K55" s="71"/>
      <c r="N55" s="42"/>
    </row>
    <row r="56" spans="1:14" x14ac:dyDescent="0.25">
      <c r="A56" s="71"/>
      <c r="B56" s="71"/>
      <c r="C56" s="100">
        <v>10</v>
      </c>
      <c r="D56" s="99"/>
      <c r="E56" s="99"/>
      <c r="F56" s="99">
        <f>+F53+F55</f>
        <v>3229</v>
      </c>
      <c r="G56" s="100"/>
      <c r="H56" s="100"/>
      <c r="I56" s="71"/>
      <c r="J56" s="71"/>
      <c r="K56" s="71"/>
      <c r="N56" s="42"/>
    </row>
    <row r="57" spans="1:14" x14ac:dyDescent="0.25">
      <c r="A57" s="71"/>
      <c r="B57" s="71"/>
      <c r="C57" s="100">
        <v>10</v>
      </c>
      <c r="D57" s="99"/>
      <c r="E57" s="99"/>
      <c r="F57" s="99"/>
      <c r="G57" s="100"/>
      <c r="H57" s="100"/>
      <c r="I57" s="71"/>
      <c r="J57" s="71"/>
      <c r="K57" s="71"/>
      <c r="N57" s="42"/>
    </row>
    <row r="58" spans="1:14" x14ac:dyDescent="0.25">
      <c r="A58" s="71"/>
      <c r="B58" s="71"/>
      <c r="C58" s="100">
        <v>1</v>
      </c>
      <c r="D58" s="99"/>
      <c r="E58" s="99"/>
      <c r="F58" s="99"/>
      <c r="G58" s="100"/>
      <c r="H58" s="100"/>
      <c r="I58" s="71"/>
      <c r="J58" s="71"/>
      <c r="K58" s="71"/>
      <c r="N58" s="42"/>
    </row>
    <row r="59" spans="1:14" x14ac:dyDescent="0.25">
      <c r="A59" s="71"/>
      <c r="B59" s="71"/>
      <c r="C59" s="100"/>
      <c r="D59" s="99"/>
      <c r="E59" s="99"/>
      <c r="F59" s="99"/>
      <c r="G59" s="100"/>
      <c r="H59" s="100"/>
      <c r="I59" s="71"/>
      <c r="J59" s="71"/>
      <c r="K59" s="71"/>
      <c r="N59" s="42"/>
    </row>
    <row r="60" spans="1:14" ht="15.75" x14ac:dyDescent="0.25">
      <c r="A60" s="71"/>
      <c r="B60" s="71" t="s">
        <v>57</v>
      </c>
      <c r="C60" s="98">
        <f>SUM(C61:C64)</f>
        <v>25</v>
      </c>
      <c r="D60" s="99">
        <f t="shared" ref="D60:D78" si="7">+C60*100</f>
        <v>2500</v>
      </c>
      <c r="E60" s="99">
        <f t="shared" ref="E60:E78" si="8">+D60*0.1</f>
        <v>250</v>
      </c>
      <c r="F60" s="99">
        <f t="shared" ref="F60:F78" si="9">+D60-E60</f>
        <v>2250</v>
      </c>
      <c r="G60" s="71"/>
      <c r="H60" s="71"/>
      <c r="I60" s="71"/>
      <c r="J60" s="71"/>
      <c r="K60" s="71"/>
    </row>
    <row r="61" spans="1:14" x14ac:dyDescent="0.25">
      <c r="A61" s="71"/>
      <c r="B61" s="71"/>
      <c r="C61" s="71">
        <v>5</v>
      </c>
      <c r="D61" s="99"/>
      <c r="E61" s="99" t="s">
        <v>58</v>
      </c>
      <c r="F61" s="99">
        <v>300</v>
      </c>
      <c r="G61" s="71"/>
      <c r="H61" s="71"/>
      <c r="I61" s="71"/>
      <c r="J61" s="71"/>
      <c r="K61" s="71"/>
    </row>
    <row r="62" spans="1:14" x14ac:dyDescent="0.25">
      <c r="A62" s="71"/>
      <c r="B62" s="71"/>
      <c r="C62" s="71">
        <v>10</v>
      </c>
      <c r="D62" s="99"/>
      <c r="E62" s="99"/>
      <c r="F62" s="99">
        <f>+F60+F61</f>
        <v>2550</v>
      </c>
      <c r="G62" s="71"/>
      <c r="H62" s="71"/>
      <c r="I62" s="71"/>
      <c r="J62" s="71"/>
      <c r="K62" s="71"/>
    </row>
    <row r="63" spans="1:14" x14ac:dyDescent="0.25">
      <c r="A63" s="71"/>
      <c r="B63" s="71"/>
      <c r="C63" s="71">
        <v>5</v>
      </c>
      <c r="D63" s="99"/>
      <c r="E63" s="99"/>
      <c r="F63" s="99"/>
      <c r="G63" s="71"/>
      <c r="H63" s="71"/>
      <c r="I63" s="71"/>
      <c r="J63" s="71"/>
      <c r="K63" s="71"/>
    </row>
    <row r="64" spans="1:14" x14ac:dyDescent="0.25">
      <c r="A64" s="71"/>
      <c r="B64" s="71"/>
      <c r="C64" s="71">
        <v>5</v>
      </c>
      <c r="D64" s="99"/>
      <c r="E64" s="99"/>
      <c r="F64" s="99"/>
      <c r="G64" s="71"/>
      <c r="H64" s="71"/>
      <c r="I64" s="71"/>
      <c r="J64" s="71"/>
      <c r="K64" s="71"/>
    </row>
    <row r="65" spans="1:13" x14ac:dyDescent="0.25">
      <c r="A65" s="71"/>
      <c r="B65" s="71"/>
      <c r="C65" s="71"/>
      <c r="D65" s="99"/>
      <c r="E65" s="99"/>
      <c r="F65" s="99"/>
      <c r="G65" s="71"/>
      <c r="H65" s="71"/>
      <c r="I65" s="71"/>
      <c r="J65" s="71"/>
      <c r="K65" s="71"/>
    </row>
    <row r="66" spans="1:13" ht="15.75" x14ac:dyDescent="0.25">
      <c r="A66" s="71"/>
      <c r="B66" s="71" t="s">
        <v>59</v>
      </c>
      <c r="C66" s="98">
        <f>SUM(C67:C70)</f>
        <v>11</v>
      </c>
      <c r="D66" s="99">
        <f t="shared" si="7"/>
        <v>1100</v>
      </c>
      <c r="E66" s="99">
        <f t="shared" si="8"/>
        <v>110</v>
      </c>
      <c r="F66" s="99">
        <f t="shared" si="9"/>
        <v>990</v>
      </c>
      <c r="G66" s="71"/>
      <c r="H66" s="71"/>
      <c r="I66" s="71"/>
      <c r="J66" s="71"/>
      <c r="K66" s="71"/>
    </row>
    <row r="67" spans="1:13" x14ac:dyDescent="0.25">
      <c r="A67" s="71"/>
      <c r="B67" s="71"/>
      <c r="C67" s="71">
        <v>5</v>
      </c>
      <c r="D67" s="99"/>
      <c r="E67" s="99" t="s">
        <v>60</v>
      </c>
      <c r="F67" s="99">
        <v>4</v>
      </c>
      <c r="G67" s="71"/>
      <c r="H67" s="71"/>
      <c r="I67" s="71"/>
      <c r="J67" s="71"/>
      <c r="K67" s="71"/>
    </row>
    <row r="68" spans="1:13" x14ac:dyDescent="0.25">
      <c r="A68" s="71"/>
      <c r="B68" s="71"/>
      <c r="C68" s="71">
        <v>3</v>
      </c>
      <c r="D68" s="99"/>
      <c r="E68" s="99"/>
      <c r="F68" s="99"/>
      <c r="G68" s="71"/>
      <c r="H68" s="71"/>
      <c r="I68" s="71"/>
      <c r="J68" s="71"/>
      <c r="K68" s="71"/>
    </row>
    <row r="69" spans="1:13" x14ac:dyDescent="0.25">
      <c r="A69" s="71"/>
      <c r="B69" s="71" t="s">
        <v>39</v>
      </c>
      <c r="C69" s="71">
        <v>1</v>
      </c>
      <c r="D69" s="99"/>
      <c r="E69" s="99"/>
      <c r="F69" s="99"/>
      <c r="G69" s="71"/>
      <c r="H69" s="71"/>
      <c r="I69" s="71"/>
      <c r="J69" s="71"/>
      <c r="K69" s="71"/>
    </row>
    <row r="70" spans="1:13" x14ac:dyDescent="0.25">
      <c r="A70" s="71"/>
      <c r="B70" s="71"/>
      <c r="C70" s="71">
        <v>2</v>
      </c>
      <c r="D70" s="99"/>
      <c r="E70" s="99"/>
      <c r="F70" s="99"/>
      <c r="G70" s="71"/>
      <c r="H70" s="71"/>
      <c r="I70" s="71"/>
      <c r="J70" s="71"/>
      <c r="K70" s="71"/>
    </row>
    <row r="71" spans="1:13" x14ac:dyDescent="0.25">
      <c r="A71" s="71"/>
      <c r="B71" s="71"/>
      <c r="C71" s="71"/>
      <c r="D71" s="99"/>
      <c r="E71" s="99"/>
      <c r="F71" s="99"/>
      <c r="G71" s="71"/>
      <c r="H71" s="71"/>
      <c r="I71" s="100"/>
      <c r="J71" s="71"/>
      <c r="K71" s="71"/>
    </row>
    <row r="72" spans="1:13" ht="15.75" x14ac:dyDescent="0.25">
      <c r="A72" s="71"/>
      <c r="B72" s="71" t="s">
        <v>61</v>
      </c>
      <c r="C72" s="98">
        <f>SUM(C73:C76)</f>
        <v>14</v>
      </c>
      <c r="D72" s="99">
        <f t="shared" si="7"/>
        <v>1400</v>
      </c>
      <c r="E72" s="99">
        <f t="shared" si="8"/>
        <v>140</v>
      </c>
      <c r="F72" s="99">
        <f t="shared" si="9"/>
        <v>1260</v>
      </c>
      <c r="G72" s="71"/>
      <c r="H72" s="71"/>
      <c r="I72" s="100"/>
      <c r="J72" s="100"/>
      <c r="K72" s="99"/>
      <c r="L72" s="1"/>
      <c r="M72" s="1"/>
    </row>
    <row r="73" spans="1:13" x14ac:dyDescent="0.25">
      <c r="A73" s="71"/>
      <c r="B73" s="71"/>
      <c r="C73" s="71">
        <v>10</v>
      </c>
      <c r="D73" s="99"/>
      <c r="E73" s="99"/>
      <c r="F73" s="99"/>
      <c r="G73" s="71"/>
      <c r="H73" s="71"/>
      <c r="I73" s="71"/>
      <c r="J73" s="71"/>
      <c r="K73" s="71"/>
      <c r="M73" s="1"/>
    </row>
    <row r="74" spans="1:13" x14ac:dyDescent="0.25">
      <c r="A74" s="71"/>
      <c r="B74" s="71" t="s">
        <v>26</v>
      </c>
      <c r="C74" s="71">
        <v>1</v>
      </c>
      <c r="D74" s="99"/>
      <c r="E74" s="99"/>
      <c r="F74" s="99"/>
      <c r="G74" s="71"/>
      <c r="H74" s="71"/>
      <c r="I74" s="71"/>
      <c r="J74" s="71"/>
      <c r="K74" s="71"/>
      <c r="M74" s="13"/>
    </row>
    <row r="75" spans="1:13" x14ac:dyDescent="0.25">
      <c r="A75" s="71"/>
      <c r="B75" s="71" t="s">
        <v>62</v>
      </c>
      <c r="C75" s="71">
        <v>3</v>
      </c>
      <c r="D75" s="99"/>
      <c r="E75" s="99"/>
      <c r="F75" s="99"/>
      <c r="G75" s="71"/>
      <c r="H75" s="71"/>
      <c r="I75" s="71"/>
      <c r="J75" s="71"/>
      <c r="K75" s="71"/>
    </row>
    <row r="76" spans="1:13" x14ac:dyDescent="0.25">
      <c r="A76" s="71"/>
      <c r="B76" s="71"/>
      <c r="C76" s="71"/>
      <c r="D76" s="99"/>
      <c r="E76" s="99"/>
      <c r="F76" s="99"/>
      <c r="G76" s="71"/>
      <c r="H76" s="71"/>
      <c r="I76" s="71"/>
      <c r="J76" s="71"/>
      <c r="K76" s="71"/>
      <c r="M76" s="13"/>
    </row>
    <row r="77" spans="1:13" x14ac:dyDescent="0.25">
      <c r="A77" s="71"/>
      <c r="B77" s="71"/>
      <c r="C77" s="71"/>
      <c r="D77" s="99"/>
      <c r="E77" s="99"/>
      <c r="F77" s="99"/>
      <c r="G77" s="71"/>
      <c r="H77" s="71"/>
      <c r="I77" s="71"/>
      <c r="J77" s="102"/>
      <c r="K77" s="71"/>
    </row>
    <row r="78" spans="1:13" ht="15.75" x14ac:dyDescent="0.25">
      <c r="A78" s="71"/>
      <c r="B78" s="71" t="s">
        <v>63</v>
      </c>
      <c r="C78" s="98">
        <f>SUM(C79:C79)</f>
        <v>7</v>
      </c>
      <c r="D78" s="99">
        <f t="shared" si="7"/>
        <v>700</v>
      </c>
      <c r="E78" s="99">
        <f t="shared" si="8"/>
        <v>70</v>
      </c>
      <c r="F78" s="99">
        <f t="shared" si="9"/>
        <v>630</v>
      </c>
      <c r="G78" s="71"/>
      <c r="H78" s="71"/>
      <c r="I78" s="71"/>
      <c r="J78" s="71"/>
      <c r="K78" s="71"/>
    </row>
    <row r="79" spans="1:13" x14ac:dyDescent="0.25">
      <c r="A79" s="71"/>
      <c r="B79" s="71"/>
      <c r="C79" s="100">
        <v>7</v>
      </c>
      <c r="D79" s="103"/>
      <c r="E79" s="103"/>
      <c r="F79" s="103"/>
      <c r="G79" s="71"/>
      <c r="H79" s="71"/>
      <c r="I79" s="100"/>
      <c r="J79" s="71"/>
      <c r="K79" s="71"/>
    </row>
    <row r="80" spans="1:13" x14ac:dyDescent="0.25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</row>
    <row r="81" spans="1:11" x14ac:dyDescent="0.25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</row>
    <row r="82" spans="1:11" ht="15.75" x14ac:dyDescent="0.25">
      <c r="A82" s="71"/>
      <c r="B82" s="71" t="s">
        <v>64</v>
      </c>
      <c r="C82" s="98">
        <f>SUM(C83:C85)</f>
        <v>12</v>
      </c>
      <c r="D82" s="99">
        <f t="shared" ref="D82" si="10">+C82*100</f>
        <v>1200</v>
      </c>
      <c r="E82" s="99">
        <f t="shared" ref="E82" si="11">+D82*0.1</f>
        <v>120</v>
      </c>
      <c r="F82" s="99">
        <f t="shared" ref="F82" si="12">+D82-E82</f>
        <v>1080</v>
      </c>
      <c r="G82" s="71"/>
      <c r="H82" s="71"/>
      <c r="I82" s="71"/>
      <c r="J82" s="71"/>
      <c r="K82" s="71"/>
    </row>
    <row r="83" spans="1:11" x14ac:dyDescent="0.25">
      <c r="A83" s="71"/>
      <c r="B83" s="71"/>
      <c r="C83" s="100">
        <v>10</v>
      </c>
      <c r="D83" s="103"/>
      <c r="E83" s="103"/>
      <c r="F83" s="103"/>
      <c r="G83" s="71"/>
      <c r="H83" s="71"/>
      <c r="I83" s="71"/>
      <c r="J83" s="71"/>
      <c r="K83" s="71"/>
    </row>
    <row r="84" spans="1:11" x14ac:dyDescent="0.25">
      <c r="A84" s="71"/>
      <c r="B84" s="71"/>
      <c r="C84" s="100">
        <v>2</v>
      </c>
      <c r="D84" s="71"/>
      <c r="E84" s="71"/>
      <c r="F84" s="71"/>
      <c r="G84" s="71"/>
      <c r="H84" s="71"/>
      <c r="I84" s="71"/>
      <c r="J84" s="71"/>
      <c r="K84" s="71"/>
    </row>
    <row r="85" spans="1:11" x14ac:dyDescent="0.2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</row>
    <row r="86" spans="1:11" ht="15.75" x14ac:dyDescent="0.25">
      <c r="A86" s="71"/>
      <c r="B86" s="71" t="s">
        <v>65</v>
      </c>
      <c r="C86" s="98">
        <f>SUM(C87:C89)</f>
        <v>9</v>
      </c>
      <c r="D86" s="99">
        <f t="shared" ref="D86" si="13">+C86*100</f>
        <v>900</v>
      </c>
      <c r="E86" s="99">
        <f t="shared" ref="E86" si="14">+D86*0.1</f>
        <v>90</v>
      </c>
      <c r="F86" s="99">
        <v>814</v>
      </c>
      <c r="G86" s="71"/>
      <c r="H86" s="71"/>
      <c r="I86" s="71"/>
      <c r="J86" s="71"/>
      <c r="K86" s="71"/>
    </row>
    <row r="87" spans="1:11" x14ac:dyDescent="0.25">
      <c r="A87" s="71"/>
      <c r="B87" s="71"/>
      <c r="C87" s="100">
        <v>3</v>
      </c>
      <c r="D87" s="103"/>
      <c r="E87" s="103"/>
      <c r="F87" s="103"/>
      <c r="G87" s="71"/>
      <c r="H87" s="71"/>
      <c r="I87" s="71"/>
      <c r="J87" s="71"/>
      <c r="K87" s="71"/>
    </row>
    <row r="88" spans="1:11" x14ac:dyDescent="0.25">
      <c r="A88" s="71"/>
      <c r="B88" s="71"/>
      <c r="C88" s="100">
        <v>4</v>
      </c>
      <c r="D88" s="71"/>
      <c r="E88" s="71"/>
      <c r="F88" s="71"/>
      <c r="G88" s="71"/>
      <c r="H88" s="71"/>
      <c r="I88" s="71"/>
      <c r="J88" s="71"/>
      <c r="K88" s="71"/>
    </row>
    <row r="89" spans="1:11" x14ac:dyDescent="0.25">
      <c r="A89" s="71"/>
      <c r="B89" s="71"/>
      <c r="C89" s="100">
        <v>2</v>
      </c>
      <c r="D89" s="71"/>
      <c r="E89" s="71"/>
      <c r="F89" s="71"/>
      <c r="G89" s="71"/>
      <c r="H89" s="71"/>
      <c r="I89" s="71"/>
      <c r="J89" s="71"/>
      <c r="K89" s="71"/>
    </row>
    <row r="90" spans="1:11" x14ac:dyDescent="0.25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</row>
    <row r="91" spans="1:11" x14ac:dyDescent="0.25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</row>
    <row r="92" spans="1:11" ht="15.75" x14ac:dyDescent="0.25">
      <c r="A92" s="71"/>
      <c r="B92" s="71" t="s">
        <v>66</v>
      </c>
      <c r="C92" s="98">
        <f>SUM(C93:C97)</f>
        <v>9</v>
      </c>
      <c r="D92" s="99">
        <f t="shared" ref="D92" si="15">+C92*100</f>
        <v>900</v>
      </c>
      <c r="E92" s="99"/>
      <c r="F92" s="99">
        <f t="shared" ref="F92" si="16">+D92-E92</f>
        <v>900</v>
      </c>
      <c r="G92" s="71"/>
      <c r="H92" s="71"/>
      <c r="I92" s="71"/>
      <c r="J92" s="71"/>
      <c r="K92" s="71"/>
    </row>
    <row r="93" spans="1:11" x14ac:dyDescent="0.25">
      <c r="A93" s="71"/>
      <c r="B93" s="71"/>
      <c r="C93" s="100">
        <v>3</v>
      </c>
      <c r="D93" s="71"/>
      <c r="E93" s="71"/>
      <c r="F93" s="71"/>
      <c r="G93" s="71"/>
      <c r="H93" s="71"/>
      <c r="I93" s="71"/>
      <c r="J93" s="71"/>
      <c r="K93" s="71"/>
    </row>
    <row r="94" spans="1:11" x14ac:dyDescent="0.25">
      <c r="A94" s="71"/>
      <c r="B94" s="71"/>
      <c r="C94" s="100">
        <v>2</v>
      </c>
      <c r="D94" s="71"/>
      <c r="E94" s="71"/>
      <c r="F94" s="71"/>
      <c r="G94" s="71"/>
      <c r="H94" s="71"/>
      <c r="I94" s="71"/>
      <c r="J94" s="71"/>
      <c r="K94" s="71"/>
    </row>
    <row r="95" spans="1:11" x14ac:dyDescent="0.25">
      <c r="A95" s="71"/>
      <c r="B95" s="71"/>
      <c r="C95" s="100">
        <v>1</v>
      </c>
      <c r="D95" s="71"/>
      <c r="E95" s="71"/>
      <c r="F95" s="71"/>
      <c r="G95" s="71"/>
      <c r="H95" s="71"/>
      <c r="I95" s="71"/>
      <c r="J95" s="71"/>
      <c r="K95" s="71"/>
    </row>
    <row r="96" spans="1:11" x14ac:dyDescent="0.25">
      <c r="A96" s="71"/>
      <c r="B96" s="71"/>
      <c r="C96" s="100">
        <v>2</v>
      </c>
      <c r="D96" s="71"/>
      <c r="E96" s="71"/>
      <c r="F96" s="71"/>
      <c r="G96" s="71"/>
      <c r="H96" s="71"/>
      <c r="I96" s="71"/>
      <c r="J96" s="71"/>
      <c r="K96" s="71"/>
    </row>
    <row r="97" spans="1:11" x14ac:dyDescent="0.25">
      <c r="A97" s="71"/>
      <c r="B97" s="71"/>
      <c r="C97" s="100">
        <v>1</v>
      </c>
      <c r="D97" s="71"/>
      <c r="E97" s="71"/>
      <c r="F97" s="71"/>
      <c r="G97" s="71"/>
      <c r="H97" s="71"/>
      <c r="I97" s="71"/>
      <c r="J97" s="71"/>
      <c r="K97" s="71"/>
    </row>
    <row r="98" spans="1:11" x14ac:dyDescent="0.25">
      <c r="A98" s="71"/>
      <c r="B98" s="71"/>
      <c r="C98" s="100"/>
      <c r="D98" s="71"/>
      <c r="E98" s="71"/>
      <c r="F98" s="71"/>
      <c r="G98" s="71"/>
      <c r="H98" s="71"/>
      <c r="I98" s="71"/>
      <c r="J98" s="71"/>
      <c r="K98" s="71"/>
    </row>
    <row r="99" spans="1:11" ht="15.75" x14ac:dyDescent="0.25">
      <c r="A99" s="71"/>
      <c r="B99" s="71" t="s">
        <v>67</v>
      </c>
      <c r="C99" s="98">
        <v>1</v>
      </c>
      <c r="D99" s="99">
        <f t="shared" ref="D99" si="17">+C99*100</f>
        <v>100</v>
      </c>
      <c r="E99" s="99"/>
      <c r="F99" s="99">
        <f t="shared" ref="F99" si="18">+D99-E99</f>
        <v>100</v>
      </c>
      <c r="G99" s="71"/>
      <c r="H99" s="71"/>
      <c r="I99" s="71"/>
      <c r="J99" s="71"/>
      <c r="K99" s="71"/>
    </row>
    <row r="100" spans="1:11" x14ac:dyDescent="0.25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</row>
    <row r="101" spans="1:11" x14ac:dyDescent="0.25">
      <c r="A101" s="71"/>
      <c r="B101" s="71"/>
      <c r="C101" s="100">
        <f>+C99+C92+C86+C82+C78+C72+C66+C60+C53</f>
        <v>121</v>
      </c>
      <c r="D101" s="71">
        <f>+C101*100</f>
        <v>12100</v>
      </c>
      <c r="E101" s="71">
        <f>+D101*0.1</f>
        <v>1210</v>
      </c>
      <c r="F101" s="71">
        <f>+D101-E101</f>
        <v>10890</v>
      </c>
      <c r="G101" s="71"/>
      <c r="H101" s="71"/>
      <c r="I101" s="71"/>
      <c r="J101" s="71"/>
      <c r="K101" s="71"/>
    </row>
    <row r="102" spans="1:11" x14ac:dyDescent="0.25">
      <c r="A102" s="71"/>
      <c r="B102" s="71"/>
      <c r="C102" s="71"/>
      <c r="D102" s="71"/>
      <c r="E102" s="71"/>
      <c r="F102" s="100">
        <f>+F101+J51</f>
        <v>16399</v>
      </c>
      <c r="G102" s="71">
        <v>5000</v>
      </c>
      <c r="H102" s="100">
        <f>+F102+G102</f>
        <v>21399</v>
      </c>
      <c r="I102" s="71"/>
      <c r="J102" s="71"/>
      <c r="K102" s="71"/>
    </row>
    <row r="103" spans="1:11" x14ac:dyDescent="0.25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</row>
    <row r="104" spans="1:11" x14ac:dyDescent="0.2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</row>
    <row r="105" spans="1:11" x14ac:dyDescent="0.2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</row>
    <row r="106" spans="1:11" x14ac:dyDescent="0.2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</row>
    <row r="107" spans="1:11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</row>
    <row r="108" spans="1:11" x14ac:dyDescent="0.25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</row>
    <row r="109" spans="1:11" x14ac:dyDescent="0.25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</row>
    <row r="110" spans="1:11" x14ac:dyDescent="0.25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</row>
  </sheetData>
  <pageMargins left="0.33" right="0.7" top="0.32" bottom="0.3" header="0.31496062992125984" footer="0.31496062992125984"/>
  <pageSetup fitToHeight="0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91"/>
  <sheetViews>
    <sheetView topLeftCell="A40" zoomScaleNormal="100" workbookViewId="0">
      <selection activeCell="J36" sqref="J36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5" width="10.7109375" customWidth="1"/>
    <col min="6" max="6" width="10.5703125" customWidth="1"/>
    <col min="7" max="9" width="10.7109375" customWidth="1"/>
    <col min="10" max="10" width="13.85546875" customWidth="1"/>
    <col min="11" max="11" width="16.5703125" customWidth="1"/>
  </cols>
  <sheetData>
    <row r="2" spans="1:11" ht="26.25" x14ac:dyDescent="0.4">
      <c r="B2" s="45" t="s">
        <v>68</v>
      </c>
    </row>
    <row r="3" spans="1:11" x14ac:dyDescent="0.25">
      <c r="A3" s="31" t="s">
        <v>1</v>
      </c>
      <c r="B3" s="32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3" t="s">
        <v>8</v>
      </c>
      <c r="I3" s="33" t="s">
        <v>9</v>
      </c>
      <c r="J3" s="33" t="s">
        <v>10</v>
      </c>
      <c r="K3" s="33" t="s">
        <v>11</v>
      </c>
    </row>
    <row r="4" spans="1:11" ht="18.75" x14ac:dyDescent="0.3">
      <c r="A4" s="31"/>
      <c r="B4" s="32"/>
      <c r="C4" s="46"/>
      <c r="D4" s="46"/>
      <c r="E4" s="46"/>
      <c r="F4" s="46"/>
      <c r="G4" s="46"/>
      <c r="H4" s="46"/>
      <c r="I4" s="46"/>
      <c r="J4" s="33"/>
      <c r="K4" s="34"/>
    </row>
    <row r="5" spans="1:11" ht="18.75" x14ac:dyDescent="0.3">
      <c r="A5" s="31" t="e">
        <f>+#REF!+1</f>
        <v>#REF!</v>
      </c>
      <c r="B5" s="37" t="s">
        <v>69</v>
      </c>
      <c r="C5" s="46">
        <v>4</v>
      </c>
      <c r="D5" s="46"/>
      <c r="E5" s="46">
        <v>10</v>
      </c>
      <c r="F5" s="46">
        <f>15+36+5+19+5</f>
        <v>80</v>
      </c>
      <c r="G5" s="46">
        <f>27+15+12</f>
        <v>54</v>
      </c>
      <c r="H5" s="46"/>
      <c r="I5" s="46">
        <v>285</v>
      </c>
      <c r="J5" s="39">
        <v>236</v>
      </c>
      <c r="K5" s="34"/>
    </row>
    <row r="6" spans="1:11" ht="18.75" x14ac:dyDescent="0.3">
      <c r="A6" s="31" t="e">
        <f t="shared" ref="A6:A9" si="0">+A5+1</f>
        <v>#REF!</v>
      </c>
      <c r="B6" s="37" t="s">
        <v>70</v>
      </c>
      <c r="C6" s="46"/>
      <c r="D6" s="46">
        <v>15</v>
      </c>
      <c r="E6" s="46"/>
      <c r="F6" s="46"/>
      <c r="G6" s="46">
        <v>10</v>
      </c>
      <c r="H6" s="46"/>
      <c r="I6" s="46"/>
      <c r="J6" s="39">
        <v>40</v>
      </c>
      <c r="K6" s="34"/>
    </row>
    <row r="7" spans="1:11" ht="18.75" x14ac:dyDescent="0.3">
      <c r="A7" s="31" t="e">
        <f>+#REF!+1</f>
        <v>#REF!</v>
      </c>
      <c r="B7" s="37" t="s">
        <v>71</v>
      </c>
      <c r="C7" s="46"/>
      <c r="D7" s="46"/>
      <c r="E7" s="46"/>
      <c r="F7" s="46"/>
      <c r="G7" s="46">
        <v>32</v>
      </c>
      <c r="H7" s="46"/>
      <c r="I7" s="46"/>
      <c r="J7" s="39">
        <v>29</v>
      </c>
      <c r="K7" s="34"/>
    </row>
    <row r="8" spans="1:11" ht="18.75" x14ac:dyDescent="0.3">
      <c r="A8" s="31" t="e">
        <f t="shared" si="0"/>
        <v>#REF!</v>
      </c>
      <c r="B8" s="37" t="s">
        <v>72</v>
      </c>
      <c r="C8" s="46"/>
      <c r="D8" s="46"/>
      <c r="E8" s="46">
        <f>24+15</f>
        <v>39</v>
      </c>
      <c r="F8" s="46">
        <f>7+10+7+5</f>
        <v>29</v>
      </c>
      <c r="G8" s="46">
        <f>51+90</f>
        <v>141</v>
      </c>
      <c r="H8" s="46"/>
      <c r="I8" s="46">
        <v>15</v>
      </c>
      <c r="J8" s="39">
        <v>128</v>
      </c>
      <c r="K8" s="34"/>
    </row>
    <row r="9" spans="1:11" ht="18.75" x14ac:dyDescent="0.3">
      <c r="A9" s="31" t="e">
        <f t="shared" si="0"/>
        <v>#REF!</v>
      </c>
      <c r="B9" s="37" t="s">
        <v>73</v>
      </c>
      <c r="C9" s="46"/>
      <c r="D9" s="46"/>
      <c r="E9" s="46"/>
      <c r="F9" s="46">
        <v>45</v>
      </c>
      <c r="G9" s="46">
        <f>30+12</f>
        <v>42</v>
      </c>
      <c r="H9" s="46"/>
      <c r="I9" s="46"/>
      <c r="J9" s="39">
        <v>14</v>
      </c>
      <c r="K9" s="34"/>
    </row>
    <row r="10" spans="1:11" ht="18.75" x14ac:dyDescent="0.3">
      <c r="A10" s="31"/>
      <c r="B10" s="37"/>
      <c r="C10" s="46"/>
      <c r="D10" s="46"/>
      <c r="E10" s="46"/>
      <c r="F10" s="46"/>
      <c r="G10" s="46"/>
      <c r="H10" s="46"/>
      <c r="I10" s="46"/>
      <c r="J10" s="47"/>
      <c r="K10" s="34"/>
    </row>
    <row r="11" spans="1:11" ht="18.75" x14ac:dyDescent="0.3">
      <c r="A11" s="31"/>
      <c r="B11" s="37"/>
      <c r="C11" s="46"/>
      <c r="D11" s="46"/>
      <c r="E11" s="46"/>
      <c r="F11" s="46"/>
      <c r="G11" s="46"/>
      <c r="H11" s="46"/>
      <c r="I11" s="46"/>
      <c r="J11" s="39"/>
      <c r="K11" s="34"/>
    </row>
    <row r="12" spans="1:11" ht="26.25" x14ac:dyDescent="0.4">
      <c r="A12" s="31"/>
      <c r="B12" s="45" t="s">
        <v>74</v>
      </c>
      <c r="C12" s="46"/>
      <c r="D12" s="46"/>
      <c r="E12" s="46"/>
      <c r="F12" s="46"/>
      <c r="G12" s="46"/>
      <c r="H12" s="46"/>
      <c r="I12" s="46"/>
      <c r="J12" s="39"/>
      <c r="K12" s="34"/>
    </row>
    <row r="13" spans="1:11" ht="18.75" x14ac:dyDescent="0.3">
      <c r="A13" s="31"/>
      <c r="B13" s="37"/>
      <c r="C13" s="46"/>
      <c r="D13" s="46"/>
      <c r="E13" s="46"/>
      <c r="F13" s="46"/>
      <c r="G13" s="46"/>
      <c r="H13" s="46"/>
      <c r="I13" s="46"/>
      <c r="J13" s="39"/>
      <c r="K13" s="34"/>
    </row>
    <row r="14" spans="1:11" ht="18.75" x14ac:dyDescent="0.3">
      <c r="A14" s="31" t="e">
        <f>+A9+1</f>
        <v>#REF!</v>
      </c>
      <c r="B14" s="37" t="s">
        <v>22</v>
      </c>
      <c r="C14" s="46"/>
      <c r="D14" s="46">
        <f>30+15</f>
        <v>45</v>
      </c>
      <c r="E14" s="46">
        <f>15+4+30</f>
        <v>49</v>
      </c>
      <c r="F14" s="46">
        <f>4+15+30</f>
        <v>49</v>
      </c>
      <c r="G14" s="46">
        <f>48+30</f>
        <v>78</v>
      </c>
      <c r="H14" s="46"/>
      <c r="I14" s="46"/>
      <c r="J14" s="39">
        <v>36</v>
      </c>
      <c r="K14" s="34"/>
    </row>
    <row r="15" spans="1:11" ht="18.75" x14ac:dyDescent="0.3">
      <c r="A15" s="31" t="e">
        <f>+A14+1</f>
        <v>#REF!</v>
      </c>
      <c r="B15" s="37" t="s">
        <v>75</v>
      </c>
      <c r="C15" s="46"/>
      <c r="D15" s="46"/>
      <c r="E15" s="46">
        <v>5</v>
      </c>
      <c r="F15" s="46"/>
      <c r="G15" s="46"/>
      <c r="H15" s="46"/>
      <c r="I15" s="46"/>
      <c r="J15" s="39">
        <f t="shared" ref="J15" si="1">SUM(C15:I15)</f>
        <v>5</v>
      </c>
      <c r="K15" s="34"/>
    </row>
    <row r="16" spans="1:11" ht="18.75" x14ac:dyDescent="0.3">
      <c r="A16" s="31" t="e">
        <f t="shared" ref="A16" si="2">+A15+1</f>
        <v>#REF!</v>
      </c>
      <c r="B16" s="37" t="s">
        <v>76</v>
      </c>
      <c r="C16" s="46"/>
      <c r="D16" s="46"/>
      <c r="E16" s="46"/>
      <c r="F16" s="46">
        <v>45</v>
      </c>
      <c r="G16" s="46"/>
      <c r="H16" s="46"/>
      <c r="I16" s="46"/>
      <c r="J16" s="39">
        <v>60</v>
      </c>
      <c r="K16" s="34"/>
    </row>
    <row r="17" spans="1:11" ht="18.75" x14ac:dyDescent="0.3">
      <c r="A17" s="31"/>
      <c r="B17" s="37"/>
      <c r="C17" s="46"/>
      <c r="D17" s="46"/>
      <c r="E17" s="46"/>
      <c r="F17" s="46"/>
      <c r="G17" s="46"/>
      <c r="H17" s="46"/>
      <c r="I17" s="46"/>
      <c r="J17" s="39"/>
      <c r="K17" s="34"/>
    </row>
    <row r="18" spans="1:11" ht="26.25" x14ac:dyDescent="0.4">
      <c r="A18" s="31"/>
      <c r="B18" s="45" t="s">
        <v>77</v>
      </c>
      <c r="C18" s="46"/>
      <c r="D18" s="46"/>
      <c r="E18" s="46"/>
      <c r="F18" s="46"/>
      <c r="G18" s="46"/>
      <c r="H18" s="46"/>
      <c r="I18" s="46"/>
      <c r="J18" s="39"/>
      <c r="K18" s="34"/>
    </row>
    <row r="19" spans="1:11" ht="18.75" x14ac:dyDescent="0.3">
      <c r="A19" s="31"/>
      <c r="B19" s="37"/>
      <c r="C19" s="46"/>
      <c r="D19" s="46"/>
      <c r="E19" s="46"/>
      <c r="F19" s="46"/>
      <c r="G19" s="46"/>
      <c r="H19" s="46"/>
      <c r="I19" s="46"/>
      <c r="J19" s="39"/>
      <c r="K19" s="35"/>
    </row>
    <row r="20" spans="1:11" ht="18.75" x14ac:dyDescent="0.3">
      <c r="A20" s="31" t="e">
        <f>+#REF!+1</f>
        <v>#REF!</v>
      </c>
      <c r="B20" s="37" t="s">
        <v>78</v>
      </c>
      <c r="C20" s="46"/>
      <c r="D20" s="46"/>
      <c r="E20" s="46"/>
      <c r="F20" s="46"/>
      <c r="G20" s="46"/>
      <c r="H20" s="46"/>
      <c r="I20" s="46">
        <v>36</v>
      </c>
      <c r="J20" s="39">
        <f>36+15</f>
        <v>51</v>
      </c>
      <c r="K20" s="35"/>
    </row>
    <row r="21" spans="1:11" ht="18.75" x14ac:dyDescent="0.3">
      <c r="A21" s="31" t="e">
        <f>+#REF!+1</f>
        <v>#REF!</v>
      </c>
      <c r="B21" s="37" t="s">
        <v>79</v>
      </c>
      <c r="C21" s="46"/>
      <c r="D21" s="46"/>
      <c r="E21" s="46"/>
      <c r="F21" s="46"/>
      <c r="G21" s="46">
        <v>15</v>
      </c>
      <c r="H21" s="46"/>
      <c r="I21" s="46"/>
      <c r="J21" s="39">
        <f t="shared" ref="J21:J22" si="3">SUM(C21:I21)</f>
        <v>15</v>
      </c>
      <c r="K21" s="35"/>
    </row>
    <row r="22" spans="1:11" ht="18.75" x14ac:dyDescent="0.3">
      <c r="A22" s="31" t="e">
        <f>+#REF!+1</f>
        <v>#REF!</v>
      </c>
      <c r="B22" s="37" t="s">
        <v>80</v>
      </c>
      <c r="C22" s="46"/>
      <c r="D22" s="46">
        <v>12</v>
      </c>
      <c r="E22" s="46"/>
      <c r="F22" s="46"/>
      <c r="G22" s="46">
        <v>15</v>
      </c>
      <c r="H22" s="46"/>
      <c r="I22" s="46"/>
      <c r="J22" s="39">
        <f t="shared" si="3"/>
        <v>27</v>
      </c>
      <c r="K22" s="35"/>
    </row>
    <row r="23" spans="1:11" ht="18.75" x14ac:dyDescent="0.3">
      <c r="A23" s="31"/>
      <c r="B23" s="15"/>
      <c r="C23" s="46"/>
      <c r="D23" s="46"/>
      <c r="E23" s="46"/>
      <c r="F23" s="46"/>
      <c r="G23" s="46"/>
      <c r="H23" s="46"/>
      <c r="I23" s="46"/>
      <c r="J23" s="39"/>
      <c r="K23" s="35"/>
    </row>
    <row r="24" spans="1:11" ht="26.25" x14ac:dyDescent="0.4">
      <c r="A24" s="31"/>
      <c r="B24" s="45" t="s">
        <v>36</v>
      </c>
      <c r="C24" s="46"/>
      <c r="D24" s="46"/>
      <c r="E24" s="46"/>
      <c r="F24" s="46"/>
      <c r="G24" s="46"/>
      <c r="H24" s="46"/>
      <c r="I24" s="46"/>
      <c r="J24" s="39"/>
      <c r="K24" s="35"/>
    </row>
    <row r="25" spans="1:11" ht="18.75" x14ac:dyDescent="0.3">
      <c r="A25" s="31"/>
      <c r="B25" s="15"/>
      <c r="C25" s="46"/>
      <c r="D25" s="46"/>
      <c r="E25" s="46"/>
      <c r="F25" s="46"/>
      <c r="G25" s="46"/>
      <c r="H25" s="46"/>
      <c r="I25" s="46"/>
      <c r="J25" s="39"/>
      <c r="K25" s="35"/>
    </row>
    <row r="26" spans="1:11" ht="18.75" x14ac:dyDescent="0.3">
      <c r="A26" s="31" t="e">
        <f>+#REF!+1</f>
        <v>#REF!</v>
      </c>
      <c r="B26" s="44" t="s">
        <v>81</v>
      </c>
      <c r="C26" s="51"/>
      <c r="D26" s="50"/>
      <c r="E26" s="50"/>
      <c r="F26" s="50"/>
      <c r="G26" s="51"/>
      <c r="H26" s="51"/>
      <c r="I26" s="51">
        <v>35</v>
      </c>
      <c r="J26" s="39">
        <f t="shared" ref="J26" si="4">SUM(C26:I26)</f>
        <v>35</v>
      </c>
      <c r="K26" s="35"/>
    </row>
    <row r="27" spans="1:11" ht="18.75" x14ac:dyDescent="0.3">
      <c r="A27" s="31"/>
      <c r="B27" s="37"/>
      <c r="C27" s="51"/>
      <c r="D27" s="51"/>
      <c r="E27" s="51"/>
      <c r="F27" s="51"/>
      <c r="G27" s="51"/>
      <c r="H27" s="51"/>
      <c r="I27" s="51"/>
      <c r="J27" s="47"/>
      <c r="K27" s="35"/>
    </row>
    <row r="28" spans="1:11" ht="18.75" x14ac:dyDescent="0.3">
      <c r="A28" s="31"/>
      <c r="B28" s="49" t="s">
        <v>40</v>
      </c>
      <c r="C28" s="51"/>
      <c r="D28" s="51"/>
      <c r="E28" s="51"/>
      <c r="F28" s="51"/>
      <c r="G28" s="51"/>
      <c r="H28" s="51"/>
      <c r="I28" s="51"/>
      <c r="J28" s="47"/>
      <c r="K28" s="35"/>
    </row>
    <row r="29" spans="1:11" ht="18.75" x14ac:dyDescent="0.3">
      <c r="A29" s="31"/>
      <c r="B29" s="49"/>
      <c r="C29" s="51"/>
      <c r="D29" s="51"/>
      <c r="E29" s="51"/>
      <c r="F29" s="51"/>
      <c r="G29" s="51"/>
      <c r="H29" s="51"/>
      <c r="I29" s="51"/>
      <c r="J29" s="47"/>
      <c r="K29" s="35"/>
    </row>
    <row r="30" spans="1:11" ht="18.75" x14ac:dyDescent="0.3">
      <c r="A30" s="31" t="e">
        <f>+#REF!+1</f>
        <v>#REF!</v>
      </c>
      <c r="B30" s="37" t="s">
        <v>82</v>
      </c>
      <c r="C30" s="51"/>
      <c r="D30" s="51"/>
      <c r="E30" s="51">
        <v>45</v>
      </c>
      <c r="F30" s="51"/>
      <c r="G30" s="51"/>
      <c r="H30" s="51"/>
      <c r="I30" s="51"/>
      <c r="J30" s="39">
        <f t="shared" ref="J30:J39" si="5">SUM(C30:I30)</f>
        <v>45</v>
      </c>
      <c r="K30" s="35"/>
    </row>
    <row r="31" spans="1:11" ht="18.75" x14ac:dyDescent="0.3">
      <c r="A31" s="31" t="e">
        <f>+A30+1</f>
        <v>#REF!</v>
      </c>
      <c r="B31" s="37" t="s">
        <v>83</v>
      </c>
      <c r="C31" s="51"/>
      <c r="D31" s="51"/>
      <c r="E31" s="51"/>
      <c r="F31" s="51"/>
      <c r="G31" s="51">
        <v>4</v>
      </c>
      <c r="H31" s="51"/>
      <c r="I31" s="51"/>
      <c r="J31" s="39">
        <f t="shared" si="5"/>
        <v>4</v>
      </c>
      <c r="K31" s="35"/>
    </row>
    <row r="32" spans="1:11" ht="18.75" x14ac:dyDescent="0.3">
      <c r="A32" s="31" t="e">
        <f t="shared" ref="A32:A39" si="6">+A31+1</f>
        <v>#REF!</v>
      </c>
      <c r="B32" s="37" t="s">
        <v>41</v>
      </c>
      <c r="C32" s="51"/>
      <c r="D32" s="51">
        <f>15+12</f>
        <v>27</v>
      </c>
      <c r="E32" s="51"/>
      <c r="F32" s="51">
        <v>15</v>
      </c>
      <c r="G32" s="51">
        <v>25</v>
      </c>
      <c r="H32" s="51"/>
      <c r="I32" s="51"/>
      <c r="J32" s="39">
        <f t="shared" si="5"/>
        <v>67</v>
      </c>
      <c r="K32" s="35"/>
    </row>
    <row r="33" spans="1:14" ht="18.75" x14ac:dyDescent="0.3">
      <c r="A33" s="31" t="e">
        <f t="shared" si="6"/>
        <v>#REF!</v>
      </c>
      <c r="B33" s="37" t="s">
        <v>84</v>
      </c>
      <c r="C33" s="51">
        <f>15+12</f>
        <v>27</v>
      </c>
      <c r="D33" s="51"/>
      <c r="E33" s="51">
        <v>20</v>
      </c>
      <c r="F33" s="51">
        <v>20</v>
      </c>
      <c r="G33" s="51"/>
      <c r="H33" s="51">
        <v>10</v>
      </c>
      <c r="I33" s="51">
        <v>360</v>
      </c>
      <c r="J33" s="39">
        <f t="shared" si="5"/>
        <v>437</v>
      </c>
      <c r="K33" s="35"/>
    </row>
    <row r="34" spans="1:14" ht="18.75" x14ac:dyDescent="0.3">
      <c r="A34" s="31" t="e">
        <f>+#REF!+1</f>
        <v>#REF!</v>
      </c>
      <c r="B34" s="37" t="s">
        <v>85</v>
      </c>
      <c r="C34" s="51">
        <v>90</v>
      </c>
      <c r="D34" s="51">
        <f>3*45</f>
        <v>135</v>
      </c>
      <c r="E34" s="51"/>
      <c r="F34" s="51"/>
      <c r="G34" s="51"/>
      <c r="H34" s="51"/>
      <c r="I34" s="51"/>
      <c r="J34" s="39">
        <f t="shared" si="5"/>
        <v>225</v>
      </c>
      <c r="K34" s="35"/>
    </row>
    <row r="35" spans="1:14" ht="18.75" x14ac:dyDescent="0.3">
      <c r="A35" s="31" t="e">
        <f>+#REF!+1</f>
        <v>#REF!</v>
      </c>
      <c r="B35" s="37" t="s">
        <v>45</v>
      </c>
      <c r="C35" s="51"/>
      <c r="D35" s="51"/>
      <c r="E35" s="51"/>
      <c r="F35" s="51">
        <v>15</v>
      </c>
      <c r="G35" s="51"/>
      <c r="H35" s="51"/>
      <c r="I35" s="50"/>
      <c r="J35" s="39">
        <f t="shared" si="5"/>
        <v>15</v>
      </c>
      <c r="K35" s="35"/>
    </row>
    <row r="36" spans="1:14" ht="18.75" x14ac:dyDescent="0.3">
      <c r="A36" s="31" t="e">
        <f>+#REF!+1</f>
        <v>#REF!</v>
      </c>
      <c r="B36" s="37" t="s">
        <v>86</v>
      </c>
      <c r="C36" s="52"/>
      <c r="D36" s="50"/>
      <c r="E36" s="50"/>
      <c r="F36" s="50">
        <v>15</v>
      </c>
      <c r="G36" s="50"/>
      <c r="H36" s="50"/>
      <c r="I36" s="50">
        <v>215</v>
      </c>
      <c r="J36" s="39">
        <f t="shared" si="5"/>
        <v>230</v>
      </c>
      <c r="K36" s="35"/>
    </row>
    <row r="37" spans="1:14" ht="18.75" x14ac:dyDescent="0.3">
      <c r="A37" s="31" t="e">
        <f>+#REF!+1</f>
        <v>#REF!</v>
      </c>
      <c r="B37" s="37" t="s">
        <v>47</v>
      </c>
      <c r="C37" s="52"/>
      <c r="D37" s="50"/>
      <c r="E37" s="50"/>
      <c r="F37" s="50">
        <f>45+100</f>
        <v>145</v>
      </c>
      <c r="G37" s="50">
        <v>45</v>
      </c>
      <c r="H37" s="50"/>
      <c r="I37" s="50">
        <v>117</v>
      </c>
      <c r="J37" s="39">
        <f t="shared" si="5"/>
        <v>307</v>
      </c>
      <c r="K37" s="35"/>
    </row>
    <row r="38" spans="1:14" ht="18.75" x14ac:dyDescent="0.3">
      <c r="A38" s="31" t="e">
        <f>+#REF!+1</f>
        <v>#REF!</v>
      </c>
      <c r="B38" s="37" t="s">
        <v>87</v>
      </c>
      <c r="C38" s="50"/>
      <c r="D38" s="50"/>
      <c r="E38" s="50"/>
      <c r="F38" s="50"/>
      <c r="G38" s="50"/>
      <c r="H38" s="50">
        <f>96+30</f>
        <v>126</v>
      </c>
      <c r="I38" s="50"/>
      <c r="J38" s="39">
        <v>131</v>
      </c>
      <c r="K38" s="35"/>
    </row>
    <row r="39" spans="1:14" ht="18.75" x14ac:dyDescent="0.3">
      <c r="A39" s="31" t="e">
        <f t="shared" si="6"/>
        <v>#REF!</v>
      </c>
      <c r="B39" s="37" t="s">
        <v>88</v>
      </c>
      <c r="C39" s="50"/>
      <c r="D39" s="50"/>
      <c r="E39" s="50"/>
      <c r="F39" s="50"/>
      <c r="G39" s="50"/>
      <c r="H39" s="50">
        <v>48</v>
      </c>
      <c r="I39" s="30"/>
      <c r="J39" s="39">
        <f t="shared" si="5"/>
        <v>48</v>
      </c>
      <c r="K39" s="19"/>
    </row>
    <row r="40" spans="1:14" ht="18.75" x14ac:dyDescent="0.3">
      <c r="G40" s="67"/>
      <c r="L40" s="16"/>
    </row>
    <row r="41" spans="1:14" ht="21" x14ac:dyDescent="0.35">
      <c r="B41" s="57" t="s">
        <v>54</v>
      </c>
      <c r="C41" s="58"/>
      <c r="D41" s="59"/>
      <c r="E41" s="60"/>
      <c r="F41" s="60"/>
      <c r="G41" s="60"/>
      <c r="H41" s="28"/>
      <c r="I41" s="29"/>
      <c r="J41" s="41">
        <f>SUM(J4:J40)</f>
        <v>2185</v>
      </c>
    </row>
    <row r="42" spans="1:14" x14ac:dyDescent="0.25">
      <c r="B42" s="61"/>
      <c r="C42" s="61"/>
      <c r="D42" s="61"/>
      <c r="E42" s="61"/>
      <c r="F42" s="61"/>
      <c r="G42" s="61"/>
      <c r="J42" s="62">
        <f>+F43+J41</f>
        <v>6055</v>
      </c>
    </row>
    <row r="43" spans="1:14" ht="15.75" x14ac:dyDescent="0.25">
      <c r="B43" s="61" t="s">
        <v>55</v>
      </c>
      <c r="C43" s="65">
        <f>SUM(C44:C48)</f>
        <v>43</v>
      </c>
      <c r="D43" s="63">
        <f>+C43*100</f>
        <v>4300</v>
      </c>
      <c r="E43" s="63">
        <f>+D43*0.1</f>
        <v>430</v>
      </c>
      <c r="F43" s="63">
        <f>+D43-E43</f>
        <v>3870</v>
      </c>
      <c r="G43" s="62"/>
      <c r="H43" s="16"/>
      <c r="N43" s="42"/>
    </row>
    <row r="44" spans="1:14" x14ac:dyDescent="0.25">
      <c r="B44" s="61" t="s">
        <v>89</v>
      </c>
      <c r="C44" s="62">
        <v>20</v>
      </c>
      <c r="D44" s="63"/>
      <c r="E44" s="63"/>
      <c r="F44" s="63"/>
      <c r="G44" s="62"/>
      <c r="H44" s="16"/>
      <c r="N44" s="42"/>
    </row>
    <row r="45" spans="1:14" x14ac:dyDescent="0.25">
      <c r="B45" s="61" t="s">
        <v>90</v>
      </c>
      <c r="C45" s="62"/>
      <c r="D45" s="63"/>
      <c r="E45" s="63"/>
      <c r="F45" s="63"/>
      <c r="G45" s="62"/>
      <c r="H45" s="16"/>
      <c r="N45" s="42"/>
    </row>
    <row r="46" spans="1:14" x14ac:dyDescent="0.25">
      <c r="B46" s="61" t="s">
        <v>91</v>
      </c>
      <c r="C46" s="62">
        <v>5</v>
      </c>
      <c r="D46" s="63"/>
      <c r="E46" s="63"/>
      <c r="F46" s="63"/>
      <c r="G46" s="62"/>
      <c r="H46" s="16"/>
      <c r="N46" s="42"/>
    </row>
    <row r="47" spans="1:14" x14ac:dyDescent="0.25">
      <c r="B47" s="61" t="s">
        <v>92</v>
      </c>
      <c r="C47" s="62">
        <v>8</v>
      </c>
      <c r="D47" s="63"/>
      <c r="E47" s="63"/>
      <c r="F47" s="63"/>
      <c r="G47" s="62"/>
      <c r="H47" s="16"/>
      <c r="N47" s="42"/>
    </row>
    <row r="48" spans="1:14" x14ac:dyDescent="0.25">
      <c r="B48" s="61" t="s">
        <v>93</v>
      </c>
      <c r="C48" s="62">
        <v>10</v>
      </c>
      <c r="D48" s="63"/>
      <c r="E48" s="63"/>
      <c r="F48" s="63"/>
      <c r="G48" s="62"/>
      <c r="H48" s="16"/>
      <c r="N48" s="42"/>
    </row>
    <row r="49" spans="2:14" x14ac:dyDescent="0.25">
      <c r="B49" s="61"/>
      <c r="C49" s="62"/>
      <c r="D49" s="63"/>
      <c r="E49" s="63"/>
      <c r="F49" s="63"/>
      <c r="G49" s="62"/>
      <c r="H49" s="16"/>
      <c r="N49" s="42"/>
    </row>
    <row r="50" spans="2:14" ht="15.75" x14ac:dyDescent="0.25">
      <c r="B50" s="61"/>
      <c r="C50" s="65"/>
      <c r="D50" s="63"/>
      <c r="E50" s="63"/>
      <c r="F50" s="63"/>
      <c r="G50" s="61"/>
    </row>
    <row r="51" spans="2:14" x14ac:dyDescent="0.25">
      <c r="B51" s="61"/>
      <c r="C51" s="61"/>
      <c r="D51" s="63"/>
      <c r="E51" s="63"/>
      <c r="F51" s="63"/>
      <c r="G51" s="61"/>
    </row>
    <row r="52" spans="2:14" x14ac:dyDescent="0.25">
      <c r="B52" s="61"/>
      <c r="C52" s="61"/>
      <c r="D52" s="63"/>
      <c r="E52" s="63"/>
      <c r="F52" s="63"/>
      <c r="G52" s="61"/>
    </row>
    <row r="53" spans="2:14" x14ac:dyDescent="0.25">
      <c r="B53" s="61"/>
      <c r="C53" s="61"/>
      <c r="D53" s="63"/>
      <c r="E53" s="63"/>
      <c r="F53" s="63"/>
      <c r="G53" s="61"/>
    </row>
    <row r="54" spans="2:14" x14ac:dyDescent="0.25">
      <c r="B54" s="61"/>
      <c r="C54" s="61"/>
      <c r="D54" s="63"/>
      <c r="E54" s="63"/>
      <c r="F54" s="63"/>
      <c r="G54" s="61"/>
    </row>
    <row r="55" spans="2:14" x14ac:dyDescent="0.25">
      <c r="B55" s="61"/>
      <c r="C55" s="61"/>
      <c r="D55" s="63"/>
      <c r="E55" s="63"/>
      <c r="F55" s="63"/>
      <c r="G55" s="61"/>
    </row>
    <row r="56" spans="2:14" ht="15.75" x14ac:dyDescent="0.25">
      <c r="B56" s="61"/>
      <c r="C56" s="65"/>
      <c r="D56" s="63"/>
      <c r="E56" s="63"/>
      <c r="F56" s="63"/>
      <c r="G56" s="61"/>
    </row>
    <row r="57" spans="2:14" x14ac:dyDescent="0.25">
      <c r="B57" s="61"/>
      <c r="C57" s="61"/>
      <c r="D57" s="63"/>
      <c r="E57" s="63"/>
      <c r="F57" s="63"/>
      <c r="G57" s="61"/>
    </row>
    <row r="58" spans="2:14" x14ac:dyDescent="0.25">
      <c r="B58" s="61"/>
      <c r="C58" s="61"/>
      <c r="D58" s="63"/>
      <c r="E58" s="63"/>
      <c r="F58" s="63"/>
      <c r="G58" s="61"/>
    </row>
    <row r="59" spans="2:14" x14ac:dyDescent="0.25">
      <c r="B59" s="61"/>
      <c r="C59" s="61"/>
      <c r="D59" s="63"/>
      <c r="E59" s="63"/>
      <c r="F59" s="63"/>
      <c r="G59" s="61"/>
    </row>
    <row r="60" spans="2:14" x14ac:dyDescent="0.25">
      <c r="B60" s="61"/>
      <c r="C60" s="61"/>
      <c r="D60" s="63"/>
      <c r="E60" s="63"/>
      <c r="F60" s="63"/>
      <c r="G60" s="61"/>
      <c r="I60" s="16"/>
    </row>
    <row r="61" spans="2:14" ht="15.75" x14ac:dyDescent="0.25">
      <c r="B61" s="61"/>
      <c r="C61" s="65"/>
      <c r="D61" s="63"/>
      <c r="E61" s="63"/>
      <c r="F61" s="63"/>
      <c r="G61" s="61"/>
      <c r="I61" s="16"/>
      <c r="J61" s="16"/>
      <c r="K61" s="1"/>
      <c r="L61" s="1"/>
      <c r="M61" s="1"/>
    </row>
    <row r="62" spans="2:14" x14ac:dyDescent="0.25">
      <c r="B62" s="61"/>
      <c r="C62" s="61"/>
      <c r="D62" s="63"/>
      <c r="E62" s="63"/>
      <c r="F62" s="63"/>
      <c r="G62" s="61"/>
    </row>
    <row r="63" spans="2:14" x14ac:dyDescent="0.25">
      <c r="B63" s="61"/>
      <c r="C63" s="61"/>
      <c r="D63" s="63"/>
      <c r="E63" s="63"/>
      <c r="F63" s="63"/>
      <c r="G63" s="61"/>
      <c r="M63" s="13"/>
    </row>
    <row r="64" spans="2:14" x14ac:dyDescent="0.25">
      <c r="B64" s="61"/>
      <c r="C64" s="61"/>
      <c r="D64" s="63"/>
      <c r="E64" s="63"/>
      <c r="F64" s="63"/>
      <c r="G64" s="61"/>
    </row>
    <row r="65" spans="2:10" x14ac:dyDescent="0.25">
      <c r="B65" s="61"/>
      <c r="C65" s="61"/>
      <c r="D65" s="63"/>
      <c r="E65" s="63"/>
      <c r="F65" s="63"/>
      <c r="G65" s="61"/>
    </row>
    <row r="66" spans="2:10" x14ac:dyDescent="0.25">
      <c r="B66" s="61"/>
      <c r="C66" s="61"/>
      <c r="D66" s="63"/>
      <c r="E66" s="63"/>
      <c r="F66" s="63"/>
      <c r="G66" s="61"/>
      <c r="J66" s="66"/>
    </row>
    <row r="67" spans="2:10" ht="15.75" x14ac:dyDescent="0.25">
      <c r="B67" s="61"/>
      <c r="C67" s="65"/>
      <c r="D67" s="63"/>
      <c r="E67" s="63"/>
      <c r="F67" s="63"/>
      <c r="G67" s="61"/>
    </row>
    <row r="68" spans="2:10" x14ac:dyDescent="0.25">
      <c r="B68" s="61"/>
      <c r="C68" s="62"/>
      <c r="D68" s="64"/>
      <c r="E68" s="64"/>
      <c r="F68" s="64"/>
      <c r="G68" s="61"/>
      <c r="I68" s="16"/>
    </row>
    <row r="69" spans="2:10" x14ac:dyDescent="0.25">
      <c r="B69" s="61"/>
      <c r="C69" s="61"/>
      <c r="D69" s="61"/>
      <c r="E69" s="63"/>
      <c r="F69" s="63"/>
      <c r="G69" s="61"/>
    </row>
    <row r="70" spans="2:10" x14ac:dyDescent="0.25">
      <c r="B70" s="61"/>
      <c r="C70" s="61"/>
      <c r="D70" s="61"/>
      <c r="E70" s="61"/>
      <c r="F70" s="64"/>
      <c r="G70" s="61"/>
    </row>
    <row r="71" spans="2:10" ht="15.75" x14ac:dyDescent="0.25">
      <c r="B71" s="61"/>
      <c r="C71" s="65"/>
      <c r="D71" s="63"/>
    </row>
    <row r="72" spans="2:10" x14ac:dyDescent="0.25">
      <c r="B72" s="61"/>
      <c r="C72" s="61"/>
    </row>
    <row r="73" spans="2:10" x14ac:dyDescent="0.25">
      <c r="B73" s="61"/>
      <c r="C73" s="61"/>
    </row>
    <row r="76" spans="2:10" ht="15.75" x14ac:dyDescent="0.25">
      <c r="B76" s="61"/>
      <c r="C76" s="65"/>
      <c r="D76" s="63"/>
    </row>
    <row r="77" spans="2:10" x14ac:dyDescent="0.25">
      <c r="B77" s="61"/>
      <c r="C77" s="61"/>
    </row>
    <row r="78" spans="2:10" x14ac:dyDescent="0.25">
      <c r="B78" s="61"/>
      <c r="C78" s="61"/>
    </row>
    <row r="79" spans="2:10" x14ac:dyDescent="0.25">
      <c r="B79" s="61"/>
      <c r="C79" s="61"/>
    </row>
    <row r="81" spans="2:4" ht="15.75" x14ac:dyDescent="0.25">
      <c r="B81" s="61"/>
      <c r="C81" s="65"/>
      <c r="D81" s="63"/>
    </row>
    <row r="82" spans="2:4" x14ac:dyDescent="0.25">
      <c r="B82" s="61"/>
      <c r="C82" s="61"/>
    </row>
    <row r="83" spans="2:4" x14ac:dyDescent="0.25">
      <c r="B83" s="61"/>
      <c r="C83" s="61"/>
    </row>
    <row r="84" spans="2:4" x14ac:dyDescent="0.25">
      <c r="B84" s="61"/>
      <c r="C84" s="61"/>
    </row>
    <row r="86" spans="2:4" ht="15.75" x14ac:dyDescent="0.25">
      <c r="B86" s="61"/>
      <c r="C86" s="65"/>
      <c r="D86" s="63"/>
    </row>
    <row r="87" spans="2:4" x14ac:dyDescent="0.25">
      <c r="B87" s="61"/>
      <c r="C87" s="61"/>
    </row>
    <row r="89" spans="2:4" ht="15.75" x14ac:dyDescent="0.25">
      <c r="B89" s="61"/>
      <c r="C89" s="65"/>
      <c r="D89" s="63"/>
    </row>
    <row r="90" spans="2:4" x14ac:dyDescent="0.25">
      <c r="B90" s="61"/>
      <c r="C90" s="61"/>
    </row>
    <row r="91" spans="2:4" x14ac:dyDescent="0.25">
      <c r="B91" s="61"/>
      <c r="C91" s="61"/>
    </row>
  </sheetData>
  <pageMargins left="0.33" right="0.7" top="0.32" bottom="0.3" header="0.31496062992125984" footer="0.31496062992125984"/>
  <pageSetup scale="64" fitToHeight="0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15"/>
  <sheetViews>
    <sheetView topLeftCell="A61" zoomScaleNormal="100" workbookViewId="0">
      <selection activeCell="J11" sqref="J11"/>
    </sheetView>
  </sheetViews>
  <sheetFormatPr baseColWidth="10" defaultColWidth="11.42578125" defaultRowHeight="15" x14ac:dyDescent="0.25"/>
  <cols>
    <col min="1" max="1" width="3.42578125" customWidth="1"/>
    <col min="2" max="2" width="38" customWidth="1"/>
    <col min="3" max="5" width="10.7109375" customWidth="1"/>
    <col min="6" max="6" width="10.5703125" customWidth="1"/>
    <col min="7" max="9" width="10.7109375" customWidth="1"/>
    <col min="10" max="10" width="13.85546875" customWidth="1"/>
    <col min="11" max="11" width="16.5703125" customWidth="1"/>
  </cols>
  <sheetData>
    <row r="2" spans="1:11" ht="26.25" x14ac:dyDescent="0.4">
      <c r="B2" s="45" t="s">
        <v>68</v>
      </c>
    </row>
    <row r="3" spans="1:11" x14ac:dyDescent="0.25">
      <c r="A3" s="31" t="s">
        <v>1</v>
      </c>
      <c r="B3" s="32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3" t="s">
        <v>8</v>
      </c>
      <c r="I3" s="33" t="s">
        <v>9</v>
      </c>
      <c r="J3" s="33" t="s">
        <v>10</v>
      </c>
      <c r="K3" s="33" t="s">
        <v>11</v>
      </c>
    </row>
    <row r="4" spans="1:11" ht="18.75" x14ac:dyDescent="0.3">
      <c r="A4" s="31"/>
      <c r="B4" s="32"/>
      <c r="C4" s="46"/>
      <c r="D4" s="46"/>
      <c r="E4" s="46"/>
      <c r="F4" s="46"/>
      <c r="G4" s="46"/>
      <c r="H4" s="46"/>
      <c r="I4" s="46"/>
      <c r="J4" s="33"/>
      <c r="K4" s="34"/>
    </row>
    <row r="5" spans="1:11" ht="18.75" x14ac:dyDescent="0.3">
      <c r="A5" s="31">
        <v>1</v>
      </c>
      <c r="B5" s="37" t="s">
        <v>94</v>
      </c>
      <c r="C5" s="46"/>
      <c r="D5" s="46"/>
      <c r="E5" s="46"/>
      <c r="F5" s="46">
        <f>12+15</f>
        <v>27</v>
      </c>
      <c r="G5" s="46">
        <v>24</v>
      </c>
      <c r="H5" s="46">
        <f>24+15</f>
        <v>39</v>
      </c>
      <c r="I5" s="46"/>
      <c r="J5" s="39">
        <f>SUM(C5:I5)</f>
        <v>90</v>
      </c>
      <c r="K5" s="34"/>
    </row>
    <row r="6" spans="1:11" ht="18.75" x14ac:dyDescent="0.3">
      <c r="A6" s="31">
        <f>+A5+1</f>
        <v>2</v>
      </c>
      <c r="B6" s="37" t="s">
        <v>69</v>
      </c>
      <c r="C6" s="46">
        <v>4</v>
      </c>
      <c r="D6" s="46"/>
      <c r="E6" s="46">
        <v>10</v>
      </c>
      <c r="F6" s="46">
        <f>15+36+5+19+5</f>
        <v>80</v>
      </c>
      <c r="G6" s="46">
        <f>27+15+12</f>
        <v>54</v>
      </c>
      <c r="H6" s="46"/>
      <c r="I6" s="46">
        <v>285</v>
      </c>
      <c r="J6" s="39">
        <v>200</v>
      </c>
      <c r="K6" s="34"/>
    </row>
    <row r="7" spans="1:11" ht="18.75" x14ac:dyDescent="0.3">
      <c r="A7" s="31">
        <f t="shared" ref="A7:A11" si="0">+A6+1</f>
        <v>3</v>
      </c>
      <c r="B7" s="37" t="s">
        <v>70</v>
      </c>
      <c r="C7" s="46"/>
      <c r="D7" s="46">
        <v>15</v>
      </c>
      <c r="E7" s="46"/>
      <c r="F7" s="46"/>
      <c r="G7" s="46">
        <v>10</v>
      </c>
      <c r="H7" s="46">
        <v>15</v>
      </c>
      <c r="I7" s="46"/>
      <c r="J7" s="39"/>
      <c r="K7" s="34"/>
    </row>
    <row r="8" spans="1:11" ht="18.75" x14ac:dyDescent="0.3">
      <c r="A8" s="31">
        <f t="shared" si="0"/>
        <v>4</v>
      </c>
      <c r="B8" s="37" t="s">
        <v>95</v>
      </c>
      <c r="C8" s="46">
        <v>15</v>
      </c>
      <c r="D8" s="46">
        <v>10</v>
      </c>
      <c r="E8" s="46"/>
      <c r="F8" s="46">
        <v>15</v>
      </c>
      <c r="G8" s="46">
        <f>25+15+30</f>
        <v>70</v>
      </c>
      <c r="H8" s="46"/>
      <c r="I8" s="46"/>
      <c r="J8" s="39">
        <f t="shared" ref="J8" si="1">SUM(C8:I8)</f>
        <v>110</v>
      </c>
      <c r="K8" s="34"/>
    </row>
    <row r="9" spans="1:11" ht="18.75" x14ac:dyDescent="0.3">
      <c r="A9" s="31">
        <f t="shared" si="0"/>
        <v>5</v>
      </c>
      <c r="B9" s="37" t="s">
        <v>71</v>
      </c>
      <c r="C9" s="46"/>
      <c r="D9" s="46"/>
      <c r="E9" s="46"/>
      <c r="F9" s="46"/>
      <c r="G9" s="46">
        <v>32</v>
      </c>
      <c r="H9" s="46"/>
      <c r="I9" s="46"/>
      <c r="J9" s="39"/>
      <c r="K9" s="34"/>
    </row>
    <row r="10" spans="1:11" ht="18.75" x14ac:dyDescent="0.3">
      <c r="A10" s="31">
        <f t="shared" si="0"/>
        <v>6</v>
      </c>
      <c r="B10" s="37" t="s">
        <v>72</v>
      </c>
      <c r="C10" s="46"/>
      <c r="D10" s="46"/>
      <c r="E10" s="46">
        <f>24+15</f>
        <v>39</v>
      </c>
      <c r="F10" s="46">
        <f>7+10+7+5</f>
        <v>29</v>
      </c>
      <c r="G10" s="46">
        <f>51+90</f>
        <v>141</v>
      </c>
      <c r="H10" s="46"/>
      <c r="I10" s="46">
        <v>15</v>
      </c>
      <c r="J10" s="39">
        <v>100</v>
      </c>
      <c r="K10" s="34"/>
    </row>
    <row r="11" spans="1:11" ht="18.75" x14ac:dyDescent="0.3">
      <c r="A11" s="31">
        <f t="shared" si="0"/>
        <v>7</v>
      </c>
      <c r="B11" s="37" t="s">
        <v>73</v>
      </c>
      <c r="C11" s="46"/>
      <c r="D11" s="46"/>
      <c r="E11" s="46"/>
      <c r="F11" s="46">
        <v>45</v>
      </c>
      <c r="G11" s="46">
        <f>30+12</f>
        <v>42</v>
      </c>
      <c r="H11" s="46"/>
      <c r="I11" s="46"/>
      <c r="J11" s="39">
        <f>99-14</f>
        <v>85</v>
      </c>
      <c r="K11" s="34"/>
    </row>
    <row r="12" spans="1:11" ht="18.75" x14ac:dyDescent="0.3">
      <c r="A12" s="31"/>
      <c r="B12" s="37"/>
      <c r="C12" s="46"/>
      <c r="D12" s="46"/>
      <c r="E12" s="46"/>
      <c r="F12" s="46"/>
      <c r="G12" s="46"/>
      <c r="H12" s="46"/>
      <c r="I12" s="46"/>
      <c r="J12" s="47"/>
      <c r="K12" s="34"/>
    </row>
    <row r="13" spans="1:11" ht="18.75" x14ac:dyDescent="0.3">
      <c r="A13" s="31"/>
      <c r="B13" s="37"/>
      <c r="C13" s="46"/>
      <c r="D13" s="46"/>
      <c r="E13" s="46"/>
      <c r="F13" s="46"/>
      <c r="G13" s="46"/>
      <c r="H13" s="46"/>
      <c r="I13" s="46"/>
      <c r="J13" s="39"/>
      <c r="K13" s="34"/>
    </row>
    <row r="14" spans="1:11" ht="26.25" x14ac:dyDescent="0.4">
      <c r="A14" s="31"/>
      <c r="B14" s="45" t="s">
        <v>74</v>
      </c>
      <c r="C14" s="46"/>
      <c r="D14" s="46"/>
      <c r="E14" s="46"/>
      <c r="F14" s="46"/>
      <c r="G14" s="46"/>
      <c r="H14" s="46"/>
      <c r="I14" s="46"/>
      <c r="J14" s="39"/>
      <c r="K14" s="34"/>
    </row>
    <row r="15" spans="1:11" ht="18.75" x14ac:dyDescent="0.3">
      <c r="A15" s="31"/>
      <c r="B15" s="37"/>
      <c r="C15" s="46"/>
      <c r="D15" s="46"/>
      <c r="E15" s="46"/>
      <c r="F15" s="46"/>
      <c r="G15" s="46"/>
      <c r="H15" s="46"/>
      <c r="I15" s="46"/>
      <c r="J15" s="39"/>
      <c r="K15" s="34"/>
    </row>
    <row r="16" spans="1:11" ht="18.75" x14ac:dyDescent="0.3">
      <c r="A16" s="31">
        <f>+A11+1</f>
        <v>8</v>
      </c>
      <c r="B16" s="37" t="s">
        <v>22</v>
      </c>
      <c r="C16" s="46"/>
      <c r="D16" s="46">
        <f>30+15</f>
        <v>45</v>
      </c>
      <c r="E16" s="46">
        <f>15+4+30</f>
        <v>49</v>
      </c>
      <c r="F16" s="46">
        <f>4+15+30</f>
        <v>49</v>
      </c>
      <c r="G16" s="46">
        <f>48+30</f>
        <v>78</v>
      </c>
      <c r="H16" s="46"/>
      <c r="I16" s="46"/>
      <c r="J16" s="39">
        <v>300</v>
      </c>
      <c r="K16" s="34"/>
    </row>
    <row r="17" spans="1:11" ht="18.75" x14ac:dyDescent="0.3">
      <c r="A17" s="31">
        <f>+A16+1</f>
        <v>9</v>
      </c>
      <c r="B17" s="37" t="s">
        <v>75</v>
      </c>
      <c r="C17" s="46"/>
      <c r="D17" s="46"/>
      <c r="E17" s="46">
        <v>5</v>
      </c>
      <c r="F17" s="46"/>
      <c r="G17" s="46"/>
      <c r="H17" s="46"/>
      <c r="I17" s="46"/>
      <c r="J17" s="39"/>
      <c r="K17" s="34"/>
    </row>
    <row r="18" spans="1:11" ht="18.75" x14ac:dyDescent="0.3">
      <c r="A18" s="31">
        <f t="shared" ref="A18:A19" si="2">+A17+1</f>
        <v>10</v>
      </c>
      <c r="B18" s="37" t="s">
        <v>76</v>
      </c>
      <c r="C18" s="46"/>
      <c r="D18" s="46"/>
      <c r="E18" s="46"/>
      <c r="F18" s="46">
        <v>45</v>
      </c>
      <c r="G18" s="46"/>
      <c r="H18" s="46"/>
      <c r="I18" s="46"/>
      <c r="J18" s="39"/>
      <c r="K18" s="34"/>
    </row>
    <row r="19" spans="1:11" ht="18.75" x14ac:dyDescent="0.3">
      <c r="A19" s="31">
        <f t="shared" si="2"/>
        <v>11</v>
      </c>
      <c r="B19" s="37" t="s">
        <v>96</v>
      </c>
      <c r="C19" s="46"/>
      <c r="D19" s="46"/>
      <c r="E19" s="46">
        <v>45</v>
      </c>
      <c r="F19" s="46"/>
      <c r="G19" s="46"/>
      <c r="H19" s="46">
        <f>63+40</f>
        <v>103</v>
      </c>
      <c r="I19" s="46"/>
      <c r="J19" s="39">
        <v>337</v>
      </c>
      <c r="K19" s="34"/>
    </row>
    <row r="20" spans="1:11" ht="18.75" x14ac:dyDescent="0.3">
      <c r="A20" s="31"/>
      <c r="B20" s="37"/>
      <c r="C20" s="46"/>
      <c r="D20" s="46"/>
      <c r="E20" s="46"/>
      <c r="F20" s="46"/>
      <c r="G20" s="46"/>
      <c r="H20" s="46"/>
      <c r="I20" s="46"/>
      <c r="J20" s="39"/>
      <c r="K20" s="34"/>
    </row>
    <row r="21" spans="1:11" ht="26.25" x14ac:dyDescent="0.4">
      <c r="A21" s="31"/>
      <c r="B21" s="45" t="s">
        <v>77</v>
      </c>
      <c r="C21" s="46"/>
      <c r="D21" s="46"/>
      <c r="E21" s="46"/>
      <c r="F21" s="46"/>
      <c r="G21" s="46"/>
      <c r="H21" s="46"/>
      <c r="I21" s="46"/>
      <c r="J21" s="39"/>
      <c r="K21" s="34"/>
    </row>
    <row r="22" spans="1:11" ht="18.75" x14ac:dyDescent="0.3">
      <c r="A22" s="31"/>
      <c r="B22" s="37"/>
      <c r="C22" s="46"/>
      <c r="D22" s="46"/>
      <c r="E22" s="46"/>
      <c r="F22" s="46"/>
      <c r="G22" s="46"/>
      <c r="H22" s="46"/>
      <c r="I22" s="46"/>
      <c r="J22" s="39"/>
      <c r="K22" s="35"/>
    </row>
    <row r="23" spans="1:11" ht="18.75" x14ac:dyDescent="0.3">
      <c r="A23" s="31">
        <f>+A19+1</f>
        <v>12</v>
      </c>
      <c r="B23" s="37" t="s">
        <v>78</v>
      </c>
      <c r="C23" s="46"/>
      <c r="D23" s="46"/>
      <c r="E23" s="46"/>
      <c r="F23" s="46"/>
      <c r="G23" s="46"/>
      <c r="H23" s="46"/>
      <c r="I23" s="46">
        <v>36</v>
      </c>
      <c r="J23" s="39"/>
      <c r="K23" s="35"/>
    </row>
    <row r="24" spans="1:11" ht="18.75" x14ac:dyDescent="0.3">
      <c r="A24" s="31" t="e">
        <f>+#REF!+1</f>
        <v>#REF!</v>
      </c>
      <c r="B24" s="37" t="s">
        <v>97</v>
      </c>
      <c r="C24" s="46"/>
      <c r="D24" s="46"/>
      <c r="E24" s="46"/>
      <c r="F24" s="46"/>
      <c r="G24" s="46">
        <f>27+47</f>
        <v>74</v>
      </c>
      <c r="H24" s="46"/>
      <c r="I24" s="46"/>
      <c r="J24" s="39">
        <f t="shared" ref="J24" si="3">SUM(C24:I24)</f>
        <v>74</v>
      </c>
      <c r="K24" s="35"/>
    </row>
    <row r="25" spans="1:11" ht="18.75" x14ac:dyDescent="0.3">
      <c r="A25" s="31" t="e">
        <f t="shared" ref="A25:A26" si="4">+A24+1</f>
        <v>#REF!</v>
      </c>
      <c r="B25" s="37" t="s">
        <v>79</v>
      </c>
      <c r="C25" s="46"/>
      <c r="D25" s="46"/>
      <c r="E25" s="46"/>
      <c r="F25" s="46"/>
      <c r="G25" s="46">
        <v>15</v>
      </c>
      <c r="H25" s="46"/>
      <c r="I25" s="46"/>
      <c r="J25" s="39"/>
      <c r="K25" s="35"/>
    </row>
    <row r="26" spans="1:11" ht="18.75" x14ac:dyDescent="0.3">
      <c r="A26" s="31" t="e">
        <f t="shared" si="4"/>
        <v>#REF!</v>
      </c>
      <c r="B26" s="37" t="s">
        <v>98</v>
      </c>
      <c r="C26" s="46"/>
      <c r="D26" s="46"/>
      <c r="E26" s="46"/>
      <c r="F26" s="46"/>
      <c r="G26" s="46">
        <f>40+15</f>
        <v>55</v>
      </c>
      <c r="H26" s="46">
        <v>20</v>
      </c>
      <c r="I26" s="46"/>
      <c r="J26" s="39">
        <v>85</v>
      </c>
      <c r="K26" s="35"/>
    </row>
    <row r="27" spans="1:11" ht="18.75" x14ac:dyDescent="0.3">
      <c r="A27" s="31" t="e">
        <f>+#REF!+1</f>
        <v>#REF!</v>
      </c>
      <c r="B27" s="37" t="s">
        <v>80</v>
      </c>
      <c r="C27" s="46"/>
      <c r="D27" s="46">
        <v>12</v>
      </c>
      <c r="E27" s="46"/>
      <c r="F27" s="46"/>
      <c r="G27" s="46">
        <v>15</v>
      </c>
      <c r="H27" s="46"/>
      <c r="I27" s="46"/>
      <c r="J27" s="39"/>
      <c r="K27" s="35"/>
    </row>
    <row r="28" spans="1:11" ht="18.75" x14ac:dyDescent="0.3">
      <c r="A28" s="31"/>
      <c r="B28" s="15"/>
      <c r="C28" s="46"/>
      <c r="D28" s="46"/>
      <c r="E28" s="46"/>
      <c r="F28" s="46"/>
      <c r="G28" s="46"/>
      <c r="H28" s="46"/>
      <c r="I28" s="46"/>
      <c r="J28" s="39"/>
      <c r="K28" s="35"/>
    </row>
    <row r="29" spans="1:11" ht="26.25" x14ac:dyDescent="0.4">
      <c r="A29" s="31"/>
      <c r="B29" s="45" t="s">
        <v>36</v>
      </c>
      <c r="C29" s="46"/>
      <c r="D29" s="46"/>
      <c r="E29" s="46"/>
      <c r="F29" s="46"/>
      <c r="G29" s="46"/>
      <c r="H29" s="46"/>
      <c r="I29" s="46"/>
      <c r="J29" s="39"/>
      <c r="K29" s="35"/>
    </row>
    <row r="30" spans="1:11" ht="18.75" x14ac:dyDescent="0.3">
      <c r="A30" s="31"/>
      <c r="B30" s="15"/>
      <c r="C30" s="46"/>
      <c r="D30" s="46"/>
      <c r="E30" s="46"/>
      <c r="F30" s="46"/>
      <c r="G30" s="46"/>
      <c r="H30" s="46"/>
      <c r="I30" s="46"/>
      <c r="J30" s="39"/>
      <c r="K30" s="35"/>
    </row>
    <row r="31" spans="1:11" ht="18.75" x14ac:dyDescent="0.3">
      <c r="A31" s="31" t="e">
        <f>+A27+1</f>
        <v>#REF!</v>
      </c>
      <c r="B31" s="37" t="s">
        <v>37</v>
      </c>
      <c r="C31" s="46"/>
      <c r="D31" s="46">
        <f>24+15</f>
        <v>39</v>
      </c>
      <c r="E31" s="46">
        <f>24+15+45</f>
        <v>84</v>
      </c>
      <c r="F31" s="46">
        <f>24+15</f>
        <v>39</v>
      </c>
      <c r="G31" s="46">
        <f>12+12+15+15</f>
        <v>54</v>
      </c>
      <c r="H31" s="46">
        <f>24+15</f>
        <v>39</v>
      </c>
      <c r="I31" s="46"/>
      <c r="J31" s="39">
        <f t="shared" ref="J31:J37" si="5">SUM(C31:I31)</f>
        <v>255</v>
      </c>
      <c r="K31" s="35"/>
    </row>
    <row r="32" spans="1:11" ht="18.75" x14ac:dyDescent="0.3">
      <c r="A32" s="31" t="e">
        <f>+A31+1</f>
        <v>#REF!</v>
      </c>
      <c r="B32" s="44" t="s">
        <v>99</v>
      </c>
      <c r="C32" s="51">
        <f>15+12</f>
        <v>27</v>
      </c>
      <c r="D32" s="50"/>
      <c r="E32" s="50">
        <f>35+45</f>
        <v>80</v>
      </c>
      <c r="F32" s="50">
        <v>7</v>
      </c>
      <c r="G32" s="51">
        <f>27+35</f>
        <v>62</v>
      </c>
      <c r="H32" s="51">
        <v>24</v>
      </c>
      <c r="I32" s="51"/>
      <c r="J32" s="39">
        <f t="shared" si="5"/>
        <v>200</v>
      </c>
      <c r="K32" s="35"/>
    </row>
    <row r="33" spans="1:11" ht="18.75" x14ac:dyDescent="0.3">
      <c r="A33" s="31" t="e">
        <f t="shared" ref="A33:A37" si="6">+A32+1</f>
        <v>#REF!</v>
      </c>
      <c r="B33" s="44" t="s">
        <v>100</v>
      </c>
      <c r="C33" s="51"/>
      <c r="D33" s="50"/>
      <c r="E33" s="50"/>
      <c r="F33" s="50">
        <f>36+4+18</f>
        <v>58</v>
      </c>
      <c r="G33" s="51">
        <f>51+60</f>
        <v>111</v>
      </c>
      <c r="H33" s="51">
        <v>36</v>
      </c>
      <c r="I33" s="51"/>
      <c r="J33" s="39">
        <f t="shared" si="5"/>
        <v>205</v>
      </c>
      <c r="K33" s="35"/>
    </row>
    <row r="34" spans="1:11" ht="18.75" x14ac:dyDescent="0.3">
      <c r="A34" s="31" t="e">
        <f t="shared" si="6"/>
        <v>#REF!</v>
      </c>
      <c r="B34" s="44" t="s">
        <v>81</v>
      </c>
      <c r="C34" s="51"/>
      <c r="D34" s="50"/>
      <c r="E34" s="50"/>
      <c r="F34" s="50"/>
      <c r="G34" s="51"/>
      <c r="H34" s="51"/>
      <c r="I34" s="51">
        <v>35</v>
      </c>
      <c r="J34" s="39"/>
      <c r="K34" s="35"/>
    </row>
    <row r="35" spans="1:11" ht="18.75" x14ac:dyDescent="0.3">
      <c r="A35" s="31" t="e">
        <f t="shared" si="6"/>
        <v>#REF!</v>
      </c>
      <c r="B35" s="44" t="s">
        <v>101</v>
      </c>
      <c r="C35" s="51"/>
      <c r="D35" s="50"/>
      <c r="E35" s="50"/>
      <c r="F35" s="50"/>
      <c r="G35" s="51">
        <v>45</v>
      </c>
      <c r="H35" s="51"/>
      <c r="I35" s="51"/>
      <c r="J35" s="39">
        <f t="shared" si="5"/>
        <v>45</v>
      </c>
      <c r="K35" s="35"/>
    </row>
    <row r="36" spans="1:11" ht="18.75" x14ac:dyDescent="0.3">
      <c r="A36" s="31" t="e">
        <f t="shared" si="6"/>
        <v>#REF!</v>
      </c>
      <c r="B36" s="37" t="s">
        <v>102</v>
      </c>
      <c r="C36" s="51">
        <v>100</v>
      </c>
      <c r="D36" s="51"/>
      <c r="E36" s="51"/>
      <c r="F36" s="51"/>
      <c r="G36" s="51"/>
      <c r="H36" s="51"/>
      <c r="I36" s="51"/>
      <c r="J36" s="39">
        <f t="shared" si="5"/>
        <v>100</v>
      </c>
      <c r="K36" s="35"/>
    </row>
    <row r="37" spans="1:11" ht="18.75" x14ac:dyDescent="0.3">
      <c r="A37" s="31" t="e">
        <f t="shared" si="6"/>
        <v>#REF!</v>
      </c>
      <c r="B37" s="37" t="s">
        <v>103</v>
      </c>
      <c r="C37" s="51"/>
      <c r="D37" s="51"/>
      <c r="E37" s="51"/>
      <c r="F37" s="51">
        <v>36</v>
      </c>
      <c r="G37" s="51"/>
      <c r="H37" s="51"/>
      <c r="I37" s="51"/>
      <c r="J37" s="39">
        <f t="shared" si="5"/>
        <v>36</v>
      </c>
      <c r="K37" s="35"/>
    </row>
    <row r="38" spans="1:11" ht="18.75" x14ac:dyDescent="0.3">
      <c r="A38" s="31"/>
      <c r="B38" s="37" t="s">
        <v>44</v>
      </c>
      <c r="C38" s="51"/>
      <c r="D38" s="51"/>
      <c r="E38" s="51">
        <v>100</v>
      </c>
      <c r="F38" s="51"/>
      <c r="G38" s="51"/>
      <c r="H38" s="51"/>
      <c r="I38" s="51"/>
      <c r="J38" s="39">
        <f>SUM(C38:I38)</f>
        <v>100</v>
      </c>
      <c r="K38" s="35"/>
    </row>
    <row r="39" spans="1:11" ht="18.75" x14ac:dyDescent="0.3">
      <c r="A39" s="31" t="e">
        <f>+A37+1</f>
        <v>#REF!</v>
      </c>
      <c r="B39" s="37" t="s">
        <v>104</v>
      </c>
      <c r="C39" s="51">
        <f>15+47</f>
        <v>62</v>
      </c>
      <c r="D39" s="51"/>
      <c r="E39" s="51"/>
      <c r="F39" s="51">
        <v>47</v>
      </c>
      <c r="G39" s="51">
        <f>47+45</f>
        <v>92</v>
      </c>
      <c r="H39" s="51"/>
      <c r="I39" s="51"/>
      <c r="J39" s="39">
        <v>200</v>
      </c>
      <c r="K39" s="35"/>
    </row>
    <row r="40" spans="1:11" ht="18.75" x14ac:dyDescent="0.3">
      <c r="A40" s="31"/>
      <c r="B40" s="37"/>
      <c r="C40" s="51"/>
      <c r="D40" s="51"/>
      <c r="E40" s="51"/>
      <c r="F40" s="51"/>
      <c r="G40" s="51"/>
      <c r="H40" s="51"/>
      <c r="I40" s="51"/>
      <c r="J40" s="47"/>
      <c r="K40" s="35"/>
    </row>
    <row r="41" spans="1:11" ht="18.75" x14ac:dyDescent="0.3">
      <c r="A41" s="31"/>
      <c r="B41" s="49" t="s">
        <v>40</v>
      </c>
      <c r="C41" s="51"/>
      <c r="D41" s="51"/>
      <c r="E41" s="51"/>
      <c r="F41" s="51"/>
      <c r="G41" s="51"/>
      <c r="H41" s="51"/>
      <c r="I41" s="51"/>
      <c r="J41" s="47"/>
      <c r="K41" s="35"/>
    </row>
    <row r="42" spans="1:11" ht="18.75" x14ac:dyDescent="0.3">
      <c r="A42" s="31"/>
      <c r="B42" s="49"/>
      <c r="C42" s="51"/>
      <c r="D42" s="51"/>
      <c r="E42" s="51"/>
      <c r="F42" s="51"/>
      <c r="G42" s="51"/>
      <c r="H42" s="51"/>
      <c r="I42" s="51"/>
      <c r="J42" s="47"/>
      <c r="K42" s="35"/>
    </row>
    <row r="43" spans="1:11" ht="18.75" x14ac:dyDescent="0.3">
      <c r="A43" s="31" t="e">
        <f>+A39+1</f>
        <v>#REF!</v>
      </c>
      <c r="B43" s="37" t="s">
        <v>82</v>
      </c>
      <c r="C43" s="51"/>
      <c r="D43" s="51"/>
      <c r="E43" s="51">
        <v>45</v>
      </c>
      <c r="F43" s="51"/>
      <c r="G43" s="51"/>
      <c r="H43" s="51"/>
      <c r="I43" s="51"/>
      <c r="J43" s="39"/>
      <c r="K43" s="35"/>
    </row>
    <row r="44" spans="1:11" ht="18.75" x14ac:dyDescent="0.3">
      <c r="A44" s="31" t="e">
        <f>+A43+1</f>
        <v>#REF!</v>
      </c>
      <c r="B44" s="37" t="s">
        <v>83</v>
      </c>
      <c r="C44" s="51"/>
      <c r="D44" s="51"/>
      <c r="E44" s="51"/>
      <c r="F44" s="51"/>
      <c r="G44" s="51">
        <v>4</v>
      </c>
      <c r="H44" s="51"/>
      <c r="I44" s="51"/>
      <c r="J44" s="39"/>
      <c r="K44" s="35"/>
    </row>
    <row r="45" spans="1:11" ht="18.75" x14ac:dyDescent="0.3">
      <c r="A45" s="31" t="e">
        <f t="shared" ref="A45:A63" si="7">+A44+1</f>
        <v>#REF!</v>
      </c>
      <c r="B45" s="37" t="s">
        <v>41</v>
      </c>
      <c r="C45" s="51"/>
      <c r="D45" s="51">
        <f>15+12</f>
        <v>27</v>
      </c>
      <c r="E45" s="51"/>
      <c r="F45" s="51">
        <v>15</v>
      </c>
      <c r="G45" s="51">
        <v>25</v>
      </c>
      <c r="H45" s="51"/>
      <c r="I45" s="51"/>
      <c r="J45" s="39"/>
      <c r="K45" s="35"/>
    </row>
    <row r="46" spans="1:11" ht="18.75" x14ac:dyDescent="0.3">
      <c r="A46" s="31" t="e">
        <f t="shared" si="7"/>
        <v>#REF!</v>
      </c>
      <c r="B46" s="37" t="s">
        <v>84</v>
      </c>
      <c r="C46" s="51">
        <f>15+12</f>
        <v>27</v>
      </c>
      <c r="D46" s="51"/>
      <c r="E46" s="51">
        <v>20</v>
      </c>
      <c r="F46" s="51">
        <v>20</v>
      </c>
      <c r="G46" s="51"/>
      <c r="H46" s="51">
        <v>10</v>
      </c>
      <c r="I46" s="51">
        <v>360</v>
      </c>
      <c r="J46" s="39"/>
      <c r="K46" s="35"/>
    </row>
    <row r="47" spans="1:11" ht="18.75" x14ac:dyDescent="0.3">
      <c r="A47" s="31" t="e">
        <f t="shared" si="7"/>
        <v>#REF!</v>
      </c>
      <c r="B47" s="37" t="s">
        <v>42</v>
      </c>
      <c r="C47" s="51">
        <f>15+12</f>
        <v>27</v>
      </c>
      <c r="D47" s="51"/>
      <c r="E47" s="51">
        <f>40+20</f>
        <v>60</v>
      </c>
      <c r="F47" s="51"/>
      <c r="G47" s="51">
        <v>10</v>
      </c>
      <c r="H47" s="51"/>
      <c r="I47" s="51"/>
      <c r="J47" s="39">
        <f t="shared" ref="J47:J62" si="8">SUM(C47:I47)</f>
        <v>97</v>
      </c>
      <c r="K47" s="35"/>
    </row>
    <row r="48" spans="1:11" ht="18.75" x14ac:dyDescent="0.3">
      <c r="A48" s="31" t="e">
        <f t="shared" si="7"/>
        <v>#REF!</v>
      </c>
      <c r="B48" s="37" t="s">
        <v>105</v>
      </c>
      <c r="C48" s="51"/>
      <c r="D48" s="51">
        <f>36+12+45</f>
        <v>93</v>
      </c>
      <c r="E48" s="51">
        <f>36+12+45</f>
        <v>93</v>
      </c>
      <c r="F48" s="51">
        <f>24+12+35+15</f>
        <v>86</v>
      </c>
      <c r="G48" s="51">
        <f>48+45+15</f>
        <v>108</v>
      </c>
      <c r="H48" s="51">
        <f>36+12</f>
        <v>48</v>
      </c>
      <c r="I48" s="51"/>
      <c r="J48" s="39">
        <f t="shared" si="8"/>
        <v>428</v>
      </c>
      <c r="K48" s="35"/>
    </row>
    <row r="49" spans="1:12" ht="18.75" x14ac:dyDescent="0.3">
      <c r="A49" s="31" t="e">
        <f t="shared" si="7"/>
        <v>#REF!</v>
      </c>
      <c r="B49" s="37" t="s">
        <v>85</v>
      </c>
      <c r="C49" s="51">
        <v>90</v>
      </c>
      <c r="D49" s="51">
        <f>3*45</f>
        <v>135</v>
      </c>
      <c r="E49" s="51"/>
      <c r="F49" s="51"/>
      <c r="G49" s="51"/>
      <c r="H49" s="51"/>
      <c r="I49" s="51"/>
      <c r="J49" s="39"/>
      <c r="K49" s="35"/>
    </row>
    <row r="50" spans="1:12" ht="18.75" x14ac:dyDescent="0.3">
      <c r="A50" s="31" t="e">
        <f>+#REF!+1</f>
        <v>#REF!</v>
      </c>
      <c r="B50" s="37" t="s">
        <v>106</v>
      </c>
      <c r="C50" s="51">
        <v>100</v>
      </c>
      <c r="D50" s="51">
        <v>100</v>
      </c>
      <c r="E50" s="51"/>
      <c r="F50" s="51"/>
      <c r="G50" s="51">
        <v>100</v>
      </c>
      <c r="H50" s="51"/>
      <c r="I50" s="51"/>
      <c r="J50" s="39">
        <f t="shared" si="8"/>
        <v>300</v>
      </c>
      <c r="K50" s="35"/>
    </row>
    <row r="51" spans="1:12" ht="18.75" x14ac:dyDescent="0.3">
      <c r="A51" s="31" t="e">
        <f t="shared" si="7"/>
        <v>#REF!</v>
      </c>
      <c r="B51" s="37" t="s">
        <v>107</v>
      </c>
      <c r="C51" s="51">
        <f>45+15</f>
        <v>60</v>
      </c>
      <c r="D51" s="51">
        <v>47</v>
      </c>
      <c r="E51" s="51"/>
      <c r="F51" s="51">
        <v>47</v>
      </c>
      <c r="G51" s="51">
        <f>51+65</f>
        <v>116</v>
      </c>
      <c r="H51" s="51">
        <f>24+15</f>
        <v>39</v>
      </c>
      <c r="I51" s="51"/>
      <c r="J51" s="39">
        <v>300</v>
      </c>
      <c r="K51" s="35"/>
    </row>
    <row r="52" spans="1:12" ht="18.75" x14ac:dyDescent="0.3">
      <c r="A52" s="31" t="e">
        <f t="shared" si="7"/>
        <v>#REF!</v>
      </c>
      <c r="B52" s="37" t="s">
        <v>108</v>
      </c>
      <c r="C52" s="51">
        <v>100</v>
      </c>
      <c r="D52" s="51"/>
      <c r="E52" s="51">
        <v>100</v>
      </c>
      <c r="F52" s="51">
        <v>100</v>
      </c>
      <c r="G52" s="51"/>
      <c r="H52" s="51"/>
      <c r="I52" s="51"/>
      <c r="J52" s="39">
        <f t="shared" si="8"/>
        <v>300</v>
      </c>
      <c r="K52" s="35"/>
    </row>
    <row r="53" spans="1:12" ht="18.75" x14ac:dyDescent="0.3">
      <c r="A53" s="31" t="e">
        <f t="shared" si="7"/>
        <v>#REF!</v>
      </c>
      <c r="B53" s="37" t="s">
        <v>109</v>
      </c>
      <c r="C53" s="52"/>
      <c r="D53" s="50">
        <v>10</v>
      </c>
      <c r="E53" s="50">
        <v>35</v>
      </c>
      <c r="F53" s="50"/>
      <c r="G53" s="50">
        <f>27+16</f>
        <v>43</v>
      </c>
      <c r="H53" s="50"/>
      <c r="I53" s="50"/>
      <c r="J53" s="39">
        <f t="shared" si="8"/>
        <v>88</v>
      </c>
      <c r="K53" s="35"/>
    </row>
    <row r="54" spans="1:12" ht="18.75" x14ac:dyDescent="0.3">
      <c r="A54" s="31" t="e">
        <f t="shared" si="7"/>
        <v>#REF!</v>
      </c>
      <c r="B54" s="37" t="s">
        <v>110</v>
      </c>
      <c r="C54" s="51"/>
      <c r="D54" s="51"/>
      <c r="E54" s="51">
        <v>100</v>
      </c>
      <c r="F54" s="51"/>
      <c r="G54" s="51">
        <v>100</v>
      </c>
      <c r="H54" s="51"/>
      <c r="I54" s="50"/>
      <c r="J54" s="39">
        <f t="shared" si="8"/>
        <v>200</v>
      </c>
      <c r="K54" s="35"/>
    </row>
    <row r="55" spans="1:12" ht="18.75" x14ac:dyDescent="0.3">
      <c r="A55" s="31" t="e">
        <f t="shared" si="7"/>
        <v>#REF!</v>
      </c>
      <c r="B55" s="37" t="s">
        <v>45</v>
      </c>
      <c r="C55" s="51"/>
      <c r="D55" s="51"/>
      <c r="E55" s="51"/>
      <c r="F55" s="51">
        <v>15</v>
      </c>
      <c r="G55" s="51"/>
      <c r="H55" s="51"/>
      <c r="I55" s="50"/>
      <c r="J55" s="39"/>
      <c r="K55" s="35"/>
    </row>
    <row r="56" spans="1:12" ht="18.75" x14ac:dyDescent="0.3">
      <c r="A56" s="31" t="e">
        <f t="shared" si="7"/>
        <v>#REF!</v>
      </c>
      <c r="B56" s="37" t="s">
        <v>111</v>
      </c>
      <c r="C56" s="51">
        <v>12</v>
      </c>
      <c r="D56" s="51">
        <v>30</v>
      </c>
      <c r="E56" s="51"/>
      <c r="F56" s="51">
        <v>90</v>
      </c>
      <c r="G56" s="51">
        <v>12</v>
      </c>
      <c r="H56" s="51"/>
      <c r="I56" s="50"/>
      <c r="J56" s="39">
        <v>174</v>
      </c>
      <c r="K56" s="35"/>
    </row>
    <row r="57" spans="1:12" ht="18.75" x14ac:dyDescent="0.3">
      <c r="A57" s="31" t="e">
        <f t="shared" si="7"/>
        <v>#REF!</v>
      </c>
      <c r="B57" s="37" t="s">
        <v>86</v>
      </c>
      <c r="C57" s="52"/>
      <c r="D57" s="50"/>
      <c r="E57" s="50"/>
      <c r="F57" s="50">
        <v>15</v>
      </c>
      <c r="G57" s="50"/>
      <c r="H57" s="50"/>
      <c r="I57" s="50">
        <v>215</v>
      </c>
      <c r="J57" s="39">
        <v>200</v>
      </c>
      <c r="K57" s="35"/>
    </row>
    <row r="58" spans="1:12" ht="18.75" x14ac:dyDescent="0.3">
      <c r="A58" s="31" t="e">
        <f t="shared" si="7"/>
        <v>#REF!</v>
      </c>
      <c r="B58" s="37" t="s">
        <v>112</v>
      </c>
      <c r="C58" s="52"/>
      <c r="D58" s="50">
        <f>24+40+45+10</f>
        <v>119</v>
      </c>
      <c r="E58" s="50">
        <f>24+15+40+45</f>
        <v>124</v>
      </c>
      <c r="F58" s="50">
        <f>24+12+35+40</f>
        <v>111</v>
      </c>
      <c r="G58" s="50">
        <f>39+45</f>
        <v>84</v>
      </c>
      <c r="H58" s="50">
        <v>12</v>
      </c>
      <c r="I58" s="50"/>
      <c r="J58" s="39">
        <f t="shared" si="8"/>
        <v>450</v>
      </c>
      <c r="K58" s="35"/>
    </row>
    <row r="59" spans="1:12" ht="18.75" x14ac:dyDescent="0.3">
      <c r="A59" s="31" t="e">
        <f t="shared" si="7"/>
        <v>#REF!</v>
      </c>
      <c r="B59" s="37" t="s">
        <v>47</v>
      </c>
      <c r="C59" s="52"/>
      <c r="D59" s="50"/>
      <c r="E59" s="50"/>
      <c r="F59" s="50">
        <f>45+100</f>
        <v>145</v>
      </c>
      <c r="G59" s="50">
        <v>45</v>
      </c>
      <c r="H59" s="50"/>
      <c r="I59" s="50">
        <v>117</v>
      </c>
      <c r="J59" s="39"/>
      <c r="K59" s="35"/>
    </row>
    <row r="60" spans="1:12" ht="18.75" x14ac:dyDescent="0.3">
      <c r="A60" s="31" t="e">
        <f t="shared" si="7"/>
        <v>#REF!</v>
      </c>
      <c r="B60" s="37" t="s">
        <v>48</v>
      </c>
      <c r="C60" s="50"/>
      <c r="D60" s="50">
        <v>47</v>
      </c>
      <c r="E60" s="50">
        <v>5</v>
      </c>
      <c r="F60" s="50"/>
      <c r="G60" s="50">
        <v>30</v>
      </c>
      <c r="H60" s="50"/>
      <c r="I60" s="50"/>
      <c r="J60" s="39">
        <f t="shared" si="8"/>
        <v>82</v>
      </c>
      <c r="K60" s="35"/>
    </row>
    <row r="61" spans="1:12" ht="18.75" x14ac:dyDescent="0.3">
      <c r="A61" s="31" t="e">
        <f t="shared" si="7"/>
        <v>#REF!</v>
      </c>
      <c r="B61" s="37" t="s">
        <v>87</v>
      </c>
      <c r="C61" s="50"/>
      <c r="D61" s="50"/>
      <c r="E61" s="50"/>
      <c r="F61" s="50"/>
      <c r="G61" s="50"/>
      <c r="H61" s="50">
        <f>96+30</f>
        <v>126</v>
      </c>
      <c r="I61" s="50"/>
      <c r="J61" s="39"/>
      <c r="K61" s="35"/>
    </row>
    <row r="62" spans="1:12" ht="18.75" x14ac:dyDescent="0.3">
      <c r="A62" s="31" t="e">
        <f t="shared" si="7"/>
        <v>#REF!</v>
      </c>
      <c r="B62" s="37" t="s">
        <v>49</v>
      </c>
      <c r="C62" s="50">
        <v>47</v>
      </c>
      <c r="D62" s="50"/>
      <c r="E62" s="50">
        <v>15</v>
      </c>
      <c r="F62" s="50">
        <v>10</v>
      </c>
      <c r="G62" s="50">
        <f>15+15</f>
        <v>30</v>
      </c>
      <c r="H62" s="50">
        <v>15</v>
      </c>
      <c r="I62" s="30"/>
      <c r="J62" s="39">
        <f t="shared" si="8"/>
        <v>117</v>
      </c>
      <c r="K62" s="19"/>
    </row>
    <row r="63" spans="1:12" ht="18.75" x14ac:dyDescent="0.3">
      <c r="A63" s="31" t="e">
        <f t="shared" si="7"/>
        <v>#REF!</v>
      </c>
      <c r="B63" s="37" t="s">
        <v>113</v>
      </c>
      <c r="C63" s="50"/>
      <c r="D63" s="50"/>
      <c r="E63" s="50"/>
      <c r="F63" s="50"/>
      <c r="G63" s="50"/>
      <c r="H63" s="50">
        <v>48</v>
      </c>
      <c r="I63" s="30"/>
      <c r="J63" s="39">
        <f t="shared" ref="J63" si="9">SUM(C63:I63)</f>
        <v>48</v>
      </c>
      <c r="L63" s="16"/>
    </row>
    <row r="64" spans="1:12" ht="18.75" x14ac:dyDescent="0.3">
      <c r="A64" s="68"/>
      <c r="B64" s="37" t="s">
        <v>114</v>
      </c>
      <c r="C64" s="50"/>
      <c r="D64" s="50"/>
      <c r="E64" s="50"/>
      <c r="F64" s="50"/>
      <c r="G64" s="50"/>
      <c r="H64" s="50">
        <v>15</v>
      </c>
      <c r="I64" s="30"/>
      <c r="J64" s="39">
        <f t="shared" ref="J64" si="10">SUM(C64:I64)</f>
        <v>15</v>
      </c>
      <c r="L64" s="16"/>
    </row>
    <row r="65" spans="2:14" ht="21" x14ac:dyDescent="0.35">
      <c r="B65" s="57" t="s">
        <v>54</v>
      </c>
      <c r="C65" s="58"/>
      <c r="D65" s="59"/>
      <c r="E65" s="60"/>
      <c r="F65" s="60"/>
      <c r="G65" s="60"/>
      <c r="H65" s="28"/>
      <c r="I65" s="29"/>
      <c r="J65" s="41">
        <f>SUM(J4:J63)</f>
        <v>5306</v>
      </c>
    </row>
    <row r="66" spans="2:14" x14ac:dyDescent="0.25">
      <c r="B66" s="61"/>
      <c r="C66" s="61"/>
      <c r="D66" s="61"/>
      <c r="E66" s="61"/>
      <c r="F66" s="61"/>
      <c r="G66" s="61"/>
    </row>
    <row r="67" spans="2:14" ht="15.75" x14ac:dyDescent="0.25">
      <c r="B67" s="61" t="s">
        <v>55</v>
      </c>
      <c r="C67" s="65">
        <f>SUM(C68:C72)</f>
        <v>58</v>
      </c>
      <c r="D67" s="63">
        <f>+C67*100</f>
        <v>5800</v>
      </c>
      <c r="E67" s="63">
        <f>+D67*0.1</f>
        <v>580</v>
      </c>
      <c r="F67" s="63">
        <f>+D67-E67</f>
        <v>5220</v>
      </c>
      <c r="G67" s="62"/>
      <c r="H67" s="16"/>
      <c r="N67" s="42"/>
    </row>
    <row r="68" spans="2:14" x14ac:dyDescent="0.25">
      <c r="B68" s="61" t="s">
        <v>89</v>
      </c>
      <c r="C68" s="62">
        <v>20</v>
      </c>
      <c r="D68" s="63"/>
      <c r="E68" s="63"/>
      <c r="F68" s="63"/>
      <c r="G68" s="62"/>
      <c r="H68" s="16"/>
      <c r="N68" s="42"/>
    </row>
    <row r="69" spans="2:14" x14ac:dyDescent="0.25">
      <c r="B69" s="61" t="s">
        <v>90</v>
      </c>
      <c r="C69" s="62">
        <v>15</v>
      </c>
      <c r="D69" s="63"/>
      <c r="E69" s="63"/>
      <c r="F69" s="63"/>
      <c r="G69" s="62"/>
      <c r="H69" s="16"/>
      <c r="N69" s="42"/>
    </row>
    <row r="70" spans="2:14" x14ac:dyDescent="0.25">
      <c r="B70" s="61" t="s">
        <v>91</v>
      </c>
      <c r="C70" s="62">
        <v>5</v>
      </c>
      <c r="D70" s="63"/>
      <c r="E70" s="63"/>
      <c r="F70" s="63"/>
      <c r="G70" s="62"/>
      <c r="H70" s="16"/>
      <c r="J70" s="13">
        <f>+F74+F80+F91+F85+1500</f>
        <v>9510</v>
      </c>
      <c r="N70" s="42"/>
    </row>
    <row r="71" spans="2:14" x14ac:dyDescent="0.25">
      <c r="B71" s="61" t="s">
        <v>92</v>
      </c>
      <c r="C71" s="62">
        <v>8</v>
      </c>
      <c r="D71" s="63"/>
      <c r="E71" s="63"/>
      <c r="F71" s="63"/>
      <c r="G71" s="62"/>
      <c r="H71" s="16"/>
      <c r="N71" s="42"/>
    </row>
    <row r="72" spans="2:14" x14ac:dyDescent="0.25">
      <c r="B72" s="61" t="s">
        <v>93</v>
      </c>
      <c r="C72" s="62">
        <v>10</v>
      </c>
      <c r="D72" s="63"/>
      <c r="E72" s="63"/>
      <c r="F72" s="63"/>
      <c r="G72" s="62"/>
      <c r="H72" s="16"/>
      <c r="J72" s="16">
        <f>+J70+J65</f>
        <v>14816</v>
      </c>
      <c r="K72" s="16">
        <f>+J72+'17-12-X COBRAR'!J42</f>
        <v>20871</v>
      </c>
      <c r="N72" s="42"/>
    </row>
    <row r="73" spans="2:14" x14ac:dyDescent="0.25">
      <c r="B73" s="61"/>
      <c r="C73" s="62"/>
      <c r="D73" s="63"/>
      <c r="E73" s="63"/>
      <c r="F73" s="63"/>
      <c r="G73" s="62"/>
      <c r="H73" s="16"/>
      <c r="N73" s="42"/>
    </row>
    <row r="74" spans="2:14" ht="15.75" x14ac:dyDescent="0.25">
      <c r="B74" s="61" t="s">
        <v>57</v>
      </c>
      <c r="C74" s="65">
        <f>SUM(C75:C77)</f>
        <v>40</v>
      </c>
      <c r="D74" s="63">
        <f t="shared" ref="D74:D91" si="11">+C74*100</f>
        <v>4000</v>
      </c>
      <c r="E74" s="63">
        <f t="shared" ref="E74:E91" si="12">+D74*0.1</f>
        <v>400</v>
      </c>
      <c r="F74" s="63">
        <f t="shared" ref="F74:F91" si="13">+D74-E74</f>
        <v>3600</v>
      </c>
      <c r="G74" s="61"/>
      <c r="J74" s="1">
        <v>300</v>
      </c>
      <c r="K74" t="s">
        <v>115</v>
      </c>
    </row>
    <row r="75" spans="2:14" x14ac:dyDescent="0.25">
      <c r="B75" s="61" t="s">
        <v>89</v>
      </c>
      <c r="C75" s="61">
        <v>20</v>
      </c>
      <c r="D75" s="63"/>
      <c r="E75" s="63"/>
      <c r="F75" s="63"/>
      <c r="G75" s="61"/>
      <c r="J75" s="1">
        <v>620</v>
      </c>
      <c r="K75" t="s">
        <v>116</v>
      </c>
    </row>
    <row r="76" spans="2:14" x14ac:dyDescent="0.25">
      <c r="B76" s="61" t="s">
        <v>91</v>
      </c>
      <c r="C76" s="61">
        <v>20</v>
      </c>
      <c r="D76" s="63"/>
      <c r="E76" s="63"/>
      <c r="F76" s="63"/>
      <c r="G76" s="61"/>
      <c r="J76" s="1">
        <v>1500</v>
      </c>
      <c r="K76" t="s">
        <v>117</v>
      </c>
    </row>
    <row r="77" spans="2:14" x14ac:dyDescent="0.25">
      <c r="B77" s="61"/>
      <c r="C77" s="61"/>
      <c r="D77" s="63"/>
      <c r="E77" s="63"/>
      <c r="F77" s="63"/>
      <c r="G77" s="61"/>
      <c r="J77" s="1">
        <v>1500</v>
      </c>
      <c r="K77" t="s">
        <v>118</v>
      </c>
    </row>
    <row r="78" spans="2:14" x14ac:dyDescent="0.25">
      <c r="B78" s="61"/>
      <c r="C78" s="61"/>
      <c r="D78" s="63"/>
      <c r="E78" s="63"/>
      <c r="F78" s="63"/>
      <c r="G78" s="61"/>
      <c r="J78" s="1">
        <v>1000</v>
      </c>
      <c r="K78" t="s">
        <v>119</v>
      </c>
    </row>
    <row r="79" spans="2:14" x14ac:dyDescent="0.25">
      <c r="B79" s="61"/>
      <c r="C79" s="61"/>
      <c r="D79" s="63"/>
      <c r="E79" s="63"/>
      <c r="F79" s="63"/>
      <c r="G79" s="61"/>
      <c r="J79" s="1">
        <v>1000</v>
      </c>
      <c r="K79" t="s">
        <v>120</v>
      </c>
    </row>
    <row r="80" spans="2:14" ht="15.75" x14ac:dyDescent="0.25">
      <c r="B80" s="61" t="s">
        <v>59</v>
      </c>
      <c r="C80" s="65">
        <f>SUM(C81:C83)</f>
        <v>15</v>
      </c>
      <c r="D80" s="63">
        <f t="shared" si="11"/>
        <v>1500</v>
      </c>
      <c r="E80" s="63">
        <f t="shared" si="12"/>
        <v>150</v>
      </c>
      <c r="F80" s="63">
        <f t="shared" si="13"/>
        <v>1350</v>
      </c>
      <c r="G80" s="61"/>
      <c r="J80" s="1">
        <v>500</v>
      </c>
      <c r="K80" t="s">
        <v>121</v>
      </c>
    </row>
    <row r="81" spans="2:15" x14ac:dyDescent="0.25">
      <c r="B81" s="61" t="s">
        <v>89</v>
      </c>
      <c r="C81" s="61">
        <v>15</v>
      </c>
      <c r="D81" s="63"/>
      <c r="E81" s="63"/>
      <c r="F81" s="63"/>
      <c r="G81" s="61"/>
      <c r="J81" s="1">
        <f>SUM(J74:J80)</f>
        <v>6420</v>
      </c>
    </row>
    <row r="82" spans="2:15" x14ac:dyDescent="0.25">
      <c r="B82" s="61"/>
      <c r="C82" s="61"/>
      <c r="D82" s="63"/>
      <c r="E82" s="63"/>
      <c r="F82" s="63"/>
      <c r="G82" s="61"/>
    </row>
    <row r="83" spans="2:15" x14ac:dyDescent="0.25">
      <c r="B83" s="61"/>
      <c r="C83" s="61"/>
      <c r="D83" s="63"/>
      <c r="E83" s="63"/>
      <c r="F83" s="63"/>
      <c r="G83" s="61"/>
      <c r="J83" s="13">
        <f>+J72-J81</f>
        <v>8396</v>
      </c>
    </row>
    <row r="84" spans="2:15" x14ac:dyDescent="0.25">
      <c r="B84" s="61"/>
      <c r="C84" s="61"/>
      <c r="D84" s="63"/>
      <c r="E84" s="63"/>
      <c r="F84" s="63"/>
      <c r="G84" s="61"/>
      <c r="I84" s="16"/>
    </row>
    <row r="85" spans="2:15" ht="15.75" x14ac:dyDescent="0.25">
      <c r="B85" s="61" t="s">
        <v>61</v>
      </c>
      <c r="C85" s="65">
        <f>SUM(C86:C89)</f>
        <v>19</v>
      </c>
      <c r="D85" s="63">
        <f t="shared" si="11"/>
        <v>1900</v>
      </c>
      <c r="E85" s="63">
        <f t="shared" si="12"/>
        <v>190</v>
      </c>
      <c r="F85" s="63">
        <f t="shared" si="13"/>
        <v>1710</v>
      </c>
      <c r="G85" s="61"/>
      <c r="I85" s="16"/>
      <c r="J85" s="16">
        <v>1000</v>
      </c>
      <c r="K85" s="1"/>
      <c r="L85" s="1"/>
      <c r="M85" s="69">
        <v>3</v>
      </c>
      <c r="N85">
        <v>500</v>
      </c>
      <c r="O85" s="1">
        <f>+M85*N85</f>
        <v>1500</v>
      </c>
    </row>
    <row r="86" spans="2:15" x14ac:dyDescent="0.25">
      <c r="B86" s="61" t="s">
        <v>89</v>
      </c>
      <c r="C86" s="61">
        <v>15</v>
      </c>
      <c r="D86" s="63"/>
      <c r="E86" s="63"/>
      <c r="F86" s="63"/>
      <c r="G86" s="61"/>
      <c r="J86" s="16">
        <f>+J83-J85</f>
        <v>7396</v>
      </c>
      <c r="M86">
        <v>13</v>
      </c>
      <c r="N86">
        <v>200</v>
      </c>
      <c r="O86" s="1">
        <f t="shared" ref="O86:O89" si="14">+M86*N86</f>
        <v>2600</v>
      </c>
    </row>
    <row r="87" spans="2:15" x14ac:dyDescent="0.25">
      <c r="B87" s="61" t="s">
        <v>122</v>
      </c>
      <c r="C87" s="61">
        <v>3</v>
      </c>
      <c r="D87" s="63"/>
      <c r="E87" s="63"/>
      <c r="F87" s="63"/>
      <c r="G87" s="61"/>
      <c r="M87" s="70">
        <v>31</v>
      </c>
      <c r="N87">
        <v>100</v>
      </c>
      <c r="O87" s="1">
        <f t="shared" si="14"/>
        <v>3100</v>
      </c>
    </row>
    <row r="88" spans="2:15" x14ac:dyDescent="0.25">
      <c r="B88" s="61" t="s">
        <v>8</v>
      </c>
      <c r="C88">
        <v>1</v>
      </c>
      <c r="D88" s="63"/>
      <c r="E88" s="63"/>
      <c r="F88" s="63"/>
      <c r="G88" s="61"/>
      <c r="M88" s="70">
        <v>19</v>
      </c>
      <c r="N88">
        <v>50</v>
      </c>
      <c r="O88" s="1">
        <f t="shared" si="14"/>
        <v>950</v>
      </c>
    </row>
    <row r="89" spans="2:15" x14ac:dyDescent="0.25">
      <c r="B89" s="61"/>
      <c r="C89" s="61"/>
      <c r="D89" s="63"/>
      <c r="E89" s="63"/>
      <c r="F89" s="63"/>
      <c r="G89" s="61"/>
      <c r="M89" s="70">
        <v>5</v>
      </c>
      <c r="N89">
        <v>20</v>
      </c>
      <c r="O89" s="1">
        <f t="shared" si="14"/>
        <v>100</v>
      </c>
    </row>
    <row r="90" spans="2:15" x14ac:dyDescent="0.25">
      <c r="B90" s="61"/>
      <c r="C90" s="61"/>
      <c r="D90" s="63"/>
      <c r="E90" s="63"/>
      <c r="F90" s="63"/>
      <c r="G90" s="61"/>
      <c r="J90" s="66"/>
      <c r="O90" s="1">
        <f>SUM(O85:O89)</f>
        <v>8250</v>
      </c>
    </row>
    <row r="91" spans="2:15" ht="15.75" x14ac:dyDescent="0.25">
      <c r="B91" s="61" t="s">
        <v>63</v>
      </c>
      <c r="C91" s="65">
        <f>SUM(C92:C94)</f>
        <v>15</v>
      </c>
      <c r="D91" s="63">
        <f t="shared" si="11"/>
        <v>1500</v>
      </c>
      <c r="E91" s="63">
        <f t="shared" si="12"/>
        <v>150</v>
      </c>
      <c r="F91" s="63">
        <f t="shared" si="13"/>
        <v>1350</v>
      </c>
      <c r="G91" s="61"/>
    </row>
    <row r="92" spans="2:15" x14ac:dyDescent="0.25">
      <c r="B92" s="61" t="s">
        <v>123</v>
      </c>
      <c r="C92" s="62">
        <v>9</v>
      </c>
      <c r="D92" s="64"/>
      <c r="E92" s="64"/>
      <c r="F92" s="64"/>
      <c r="G92" s="61"/>
      <c r="I92" s="16"/>
    </row>
    <row r="93" spans="2:15" x14ac:dyDescent="0.25">
      <c r="B93" s="61" t="s">
        <v>91</v>
      </c>
      <c r="C93" s="61">
        <v>6</v>
      </c>
      <c r="D93" s="61"/>
      <c r="E93" s="63"/>
      <c r="F93" s="63"/>
      <c r="G93" s="61"/>
    </row>
    <row r="94" spans="2:15" x14ac:dyDescent="0.25">
      <c r="B94" s="61"/>
      <c r="C94" s="61"/>
      <c r="D94" s="61"/>
      <c r="E94" s="61"/>
      <c r="F94" s="64"/>
      <c r="G94" s="61"/>
    </row>
    <row r="95" spans="2:15" ht="15.75" x14ac:dyDescent="0.25">
      <c r="B95" s="61"/>
      <c r="C95" s="65"/>
      <c r="D95" s="63"/>
    </row>
    <row r="96" spans="2:15" x14ac:dyDescent="0.25">
      <c r="B96" s="61"/>
      <c r="C96" s="61"/>
    </row>
    <row r="97" spans="2:4" x14ac:dyDescent="0.25">
      <c r="B97" s="61"/>
      <c r="C97" s="61"/>
    </row>
    <row r="100" spans="2:4" ht="15.75" x14ac:dyDescent="0.25">
      <c r="B100" s="61"/>
      <c r="C100" s="65"/>
      <c r="D100" s="63"/>
    </row>
    <row r="101" spans="2:4" x14ac:dyDescent="0.25">
      <c r="B101" s="61"/>
      <c r="C101" s="61"/>
    </row>
    <row r="102" spans="2:4" x14ac:dyDescent="0.25">
      <c r="B102" s="61"/>
      <c r="C102" s="61"/>
    </row>
    <row r="103" spans="2:4" x14ac:dyDescent="0.25">
      <c r="B103" s="61"/>
      <c r="C103" s="61"/>
    </row>
    <row r="105" spans="2:4" ht="15.75" x14ac:dyDescent="0.25">
      <c r="B105" s="61"/>
      <c r="C105" s="65"/>
      <c r="D105" s="63"/>
    </row>
    <row r="106" spans="2:4" x14ac:dyDescent="0.25">
      <c r="B106" s="61"/>
      <c r="C106" s="61"/>
    </row>
    <row r="107" spans="2:4" x14ac:dyDescent="0.25">
      <c r="B107" s="61"/>
      <c r="C107" s="61"/>
    </row>
    <row r="108" spans="2:4" x14ac:dyDescent="0.25">
      <c r="B108" s="61"/>
      <c r="C108" s="61"/>
    </row>
    <row r="110" spans="2:4" ht="15.75" x14ac:dyDescent="0.25">
      <c r="B110" s="61"/>
      <c r="C110" s="65"/>
      <c r="D110" s="63"/>
    </row>
    <row r="111" spans="2:4" x14ac:dyDescent="0.25">
      <c r="B111" s="61"/>
      <c r="C111" s="61"/>
    </row>
    <row r="113" spans="2:4" ht="15.75" x14ac:dyDescent="0.25">
      <c r="B113" s="61"/>
      <c r="C113" s="65"/>
      <c r="D113" s="63"/>
    </row>
    <row r="114" spans="2:4" x14ac:dyDescent="0.25">
      <c r="B114" s="61"/>
      <c r="C114" s="61"/>
    </row>
    <row r="115" spans="2:4" x14ac:dyDescent="0.25">
      <c r="B115" s="61"/>
      <c r="C115" s="61"/>
    </row>
  </sheetData>
  <pageMargins left="0.33" right="0.7" top="0.32" bottom="0.3" header="0.31496062992125984" footer="0.31496062992125984"/>
  <pageSetup scale="52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12</vt:i4>
      </vt:variant>
    </vt:vector>
  </HeadingPairs>
  <TitlesOfParts>
    <vt:vector size="31" baseType="lpstr">
      <vt:lpstr>18-02-17</vt:lpstr>
      <vt:lpstr>11-02-17</vt:lpstr>
      <vt:lpstr>04-02-17</vt:lpstr>
      <vt:lpstr>28-01-17</vt:lpstr>
      <vt:lpstr>21-1-17</vt:lpstr>
      <vt:lpstr>14-01-17</vt:lpstr>
      <vt:lpstr>07-01-17</vt:lpstr>
      <vt:lpstr>17-12-X COBRAR</vt:lpstr>
      <vt:lpstr>17-12- COBRADO</vt:lpstr>
      <vt:lpstr>17-12-16</vt:lpstr>
      <vt:lpstr>10-12-16</vt:lpstr>
      <vt:lpstr>03-12-16</vt:lpstr>
      <vt:lpstr>26-11-16</vt:lpstr>
      <vt:lpstr>19-11-16</vt:lpstr>
      <vt:lpstr>12-11-16</vt:lpstr>
      <vt:lpstr>05-11-16</vt:lpstr>
      <vt:lpstr>28-10-16</vt:lpstr>
      <vt:lpstr>22-10-16</vt:lpstr>
      <vt:lpstr>Hoja1</vt:lpstr>
      <vt:lpstr>'04-02-17'!Área_de_impresión</vt:lpstr>
      <vt:lpstr>'05-11-16'!Área_de_impresión</vt:lpstr>
      <vt:lpstr>'07-01-17'!Área_de_impresión</vt:lpstr>
      <vt:lpstr>'11-02-17'!Área_de_impresión</vt:lpstr>
      <vt:lpstr>'12-11-16'!Área_de_impresión</vt:lpstr>
      <vt:lpstr>'14-01-17'!Área_de_impresión</vt:lpstr>
      <vt:lpstr>'18-02-17'!Área_de_impresión</vt:lpstr>
      <vt:lpstr>'19-11-16'!Área_de_impresión</vt:lpstr>
      <vt:lpstr>'21-1-17'!Área_de_impresión</vt:lpstr>
      <vt:lpstr>'26-11-16'!Área_de_impresión</vt:lpstr>
      <vt:lpstr>'28-01-17'!Área_de_impresión</vt:lpstr>
      <vt:lpstr>'28-10-16'!Área_de_impresión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PC-Home</dc:creator>
  <cp:keywords/>
  <dc:description/>
  <cp:lastModifiedBy>Reyes A Mtez</cp:lastModifiedBy>
  <cp:revision/>
  <cp:lastPrinted>2017-02-18T13:22:48Z</cp:lastPrinted>
  <dcterms:created xsi:type="dcterms:W3CDTF">2016-10-15T02:17:13Z</dcterms:created>
  <dcterms:modified xsi:type="dcterms:W3CDTF">2017-02-18T13:23:40Z</dcterms:modified>
  <cp:category/>
  <cp:contentStatus/>
</cp:coreProperties>
</file>